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drawings/drawing10.xml" ContentType="application/vnd.openxmlformats-officedocument.drawing+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fileSharing readOnlyRecommended="1"/>
  <workbookPr codeName="ThisWorkbook" defaultThemeVersion="124226"/>
  <mc:AlternateContent xmlns:mc="http://schemas.openxmlformats.org/markup-compatibility/2006">
    <mc:Choice Requires="x15">
      <x15ac:absPath xmlns:x15ac="http://schemas.microsoft.com/office/spreadsheetml/2010/11/ac" url="https://cornerstonebuildingbrands-my.sharepoint.com/personal/joseph_amaya_cornerstone-bb_com/Documents/Documents/Projects/109 1500-5/PO Download/Manual PO download for FAT SASHHHH/"/>
    </mc:Choice>
  </mc:AlternateContent>
  <xr:revisionPtr revIDLastSave="73" documentId="8_{F4CEECD9-E822-4F2A-B028-796D787397E3}" xr6:coauthVersionLast="47" xr6:coauthVersionMax="47" xr10:uidLastSave="{0C7B1F60-316F-4BB0-BFD6-6DE496D23651}"/>
  <bookViews>
    <workbookView xWindow="11232" yWindow="12852" windowWidth="23256" windowHeight="13896" tabRatio="919" activeTab="1" xr2:uid="{00000000-000D-0000-FFFF-FFFF00000000}"/>
  </bookViews>
  <sheets>
    <sheet name="Revisions" sheetId="9" r:id="rId1"/>
    <sheet name="Single Hung" sheetId="11" r:id="rId2"/>
    <sheet name="Fixed Window" sheetId="17" r:id="rId3"/>
    <sheet name="2SL Slider" sheetId="19" r:id="rId4"/>
    <sheet name="3SL Even &amp; Custom Slider " sheetId="20" r:id="rId5"/>
    <sheet name="3SL QHQ Slider" sheetId="21" r:id="rId6"/>
    <sheet name="Integral Mull" sheetId="14" r:id="rId7"/>
    <sheet name="All Screens" sheetId="7" r:id="rId8"/>
    <sheet name="Screen assys" sheetId="24" r:id="rId9"/>
    <sheet name="Kits" sheetId="18" r:id="rId10"/>
    <sheet name="Accessories" sheetId="13" r:id="rId11"/>
    <sheet name="SH Sash &amp; unit Weight" sheetId="4" r:id="rId12"/>
    <sheet name="OBSOLETE Bendable Fixed" sheetId="22" r:id="rId13"/>
  </sheets>
  <definedNames>
    <definedName name="_1mmPVB">'SH Sash &amp; unit Weight'!$C$96</definedName>
    <definedName name="_2.3mm">'SH Sash &amp; unit Weight'!$C$87</definedName>
    <definedName name="_2.5mm">'SH Sash &amp; unit Weight'!$C$88</definedName>
    <definedName name="_3mm">'SH Sash &amp; unit Weight'!$C$89</definedName>
    <definedName name="_4mm">'SH Sash &amp; unit Weight'!$C$90</definedName>
    <definedName name="_5mm">'SH Sash &amp; unit Weight'!$C$91</definedName>
    <definedName name="_6mm">'SH Sash &amp; unit Weight'!$C$92</definedName>
    <definedName name="_6mmLami">'SH Sash &amp; unit Weight'!$C$94</definedName>
    <definedName name="_6mmOffsetLami">'SH Sash &amp; unit Weight'!$C$93</definedName>
    <definedName name="_8.5mmLami">'SH Sash &amp; unit Weight'!$C$95</definedName>
    <definedName name="_BT_HtOffset">'SH Sash &amp; unit Weight'!$D$53</definedName>
    <definedName name="_BT_WtOffset">'SH Sash &amp; unit Weight'!$D$52</definedName>
    <definedName name="_BT_WtScalar">'SH Sash &amp; unit Weight'!$D$51</definedName>
    <definedName name="_Coil_WtAdder">'SH Sash &amp; unit Weight'!$D$50</definedName>
    <definedName name="_Coil_WtScalar">'SH Sash &amp; unit Weight'!$D$50</definedName>
    <definedName name="_SHSashRailDensity">'SH Sash &amp; unit Weight'!$C$25</definedName>
    <definedName name="_SHSashStileDensity">'SH Sash &amp; unit Weight'!$D$25</definedName>
    <definedName name="_SHSGlbpersqin">'SH Sash &amp; unit Weight'!$D$81</definedName>
    <definedName name="_Small_Sash_BT_HtOffset">'SH Sash &amp; unit Weight'!$D$54</definedName>
    <definedName name="_VConv">'SH Sash &amp; unit Weight'!$C$12</definedName>
    <definedName name="AccSScostperlb">Accessories!$X$3</definedName>
    <definedName name="AtolbperftAccy">Accessories!$W$6</definedName>
    <definedName name="AtolbperftEQ" localSheetId="4">'3SL Even &amp; Custom Slider '!$AG$11</definedName>
    <definedName name="AtolbperftFixed">'Fixed Window'!$AG$6</definedName>
    <definedName name="AtolbperftINT">'Integral Mull'!$AF$13</definedName>
    <definedName name="AtolbperftKit">Kits!$AC$5</definedName>
    <definedName name="AtolbperftQHQ" localSheetId="5">'3SL QHQ Slider'!$AG$11</definedName>
    <definedName name="AtolbperftSH" localSheetId="1">'Single Hung'!$AH$12</definedName>
    <definedName name="AtolbperftSL2" localSheetId="3">'2SL Slider'!$AG$11</definedName>
    <definedName name="FWConfigData">'Fixed Window'!$AM$9:$AR$605</definedName>
    <definedName name="FWConfigOpt">'Fixed Window'!$AP$2</definedName>
    <definedName name="FWDayHeight">'Fixed Window'!$S$614</definedName>
    <definedName name="FWDayWidth">'Fixed Window'!$S$613</definedName>
    <definedName name="FWDLHeight">'Fixed Window'!#REF!</definedName>
    <definedName name="FWDLHtInput">'Fixed Window'!$Z$4</definedName>
    <definedName name="FWDLWidInput">'Fixed Window'!$Z$3</definedName>
    <definedName name="FWDLWidth">'Fixed Window'!#REF!</definedName>
    <definedName name="FWGlassArea">'Fixed Window'!$S$612</definedName>
    <definedName name="FWGlassHeight">'Fixed Window'!$S$611</definedName>
    <definedName name="FWGlassWidth">'Fixed Window'!$S$610</definedName>
    <definedName name="FWHeight">'Fixed Window'!$G$5</definedName>
    <definedName name="FWSelectedConfig">'Fixed Window'!$E$3</definedName>
    <definedName name="FWSingleCost">'Fixed Window'!$AH$4</definedName>
    <definedName name="FWTwinCost">'Fixed Window'!$AH$3</definedName>
    <definedName name="FWWidth">'Fixed Window'!$E$5</definedName>
    <definedName name="INT2width">'Integral Mull'!$E$8</definedName>
    <definedName name="INTheight">'Integral Mull'!$E$9</definedName>
    <definedName name="INTNW">'Integral Mull'!$F$3</definedName>
    <definedName name="INTSideliteW">'Integral Mull'!$G$7</definedName>
    <definedName name="KitSHheight">Kits!$F$5</definedName>
    <definedName name="KitSHwidth">Kits!$F$4</definedName>
    <definedName name="_xlnm.Print_Area" localSheetId="3">'2SL Slider'!$A$1:$BG$804</definedName>
    <definedName name="_xlnm.Print_Area" localSheetId="4">'3SL Even &amp; Custom Slider '!$A$1:$AL$722</definedName>
    <definedName name="_xlnm.Print_Area" localSheetId="5">'3SL QHQ Slider'!$A$1:$AL$726</definedName>
    <definedName name="_xlnm.Print_Area" localSheetId="10">Accessories!$A$1:$Y$462</definedName>
    <definedName name="_xlnm.Print_Area" localSheetId="7">'All Screens'!$A$1:$CF$54</definedName>
    <definedName name="_xlnm.Print_Area" localSheetId="2">'Fixed Window'!$A$1:$AU$649</definedName>
    <definedName name="_xlnm.Print_Area" localSheetId="6">'Integral Mull'!$A$1:$AH$188</definedName>
    <definedName name="_xlnm.Print_Area" localSheetId="12">'OBSOLETE Bendable Fixed'!$A$1:$AK$175</definedName>
    <definedName name="_xlnm.Print_Area" localSheetId="8">'Screen assys'!$A$1:$S$73</definedName>
    <definedName name="_xlnm.Print_Titles" localSheetId="3">'2SL Slider'!$2:$13</definedName>
    <definedName name="_xlnm.Print_Titles" localSheetId="4">'3SL Even &amp; Custom Slider '!$2:$13</definedName>
    <definedName name="_xlnm.Print_Titles" localSheetId="5">'3SL QHQ Slider'!$2:$13</definedName>
    <definedName name="_xlnm.Print_Titles" localSheetId="10">Accessories!$1:$6</definedName>
    <definedName name="_xlnm.Print_Titles" localSheetId="7">'All Screens'!$A:$I</definedName>
    <definedName name="_xlnm.Print_Titles" localSheetId="2">'Fixed Window'!$2:$11</definedName>
    <definedName name="_xlnm.Print_Titles" localSheetId="9">Kits!$1:$10</definedName>
    <definedName name="_xlnm.Print_Titles" localSheetId="12">'OBSOLETE Bendable Fixed'!$2:$12</definedName>
    <definedName name="_xlnm.Print_Titles" localSheetId="1">'Single Hung'!$2:$14</definedName>
    <definedName name="SHBGdayheight">'Single Hung'!$S$1226</definedName>
    <definedName name="SHBGdaywidth">'Single Hung'!$S$1225</definedName>
    <definedName name="SHBTAdjSashWeight">'Single Hung'!$T$549</definedName>
    <definedName name="SHCO" localSheetId="1">'Single Hung'!$S$1260</definedName>
    <definedName name="SHCoilAdjSashWeight">'Single Hung'!$S$552</definedName>
    <definedName name="SHConfigData">'Single Hung'!$AN$12:$AY$1203</definedName>
    <definedName name="SHConfigOpt">'Single Hung'!$AR$2</definedName>
    <definedName name="SHCORnd" localSheetId="1">'Single Hung'!$S$1261</definedName>
    <definedName name="SHDIM_A">'Single Hung'!$E$8</definedName>
    <definedName name="SHGlassTable">'Single Hung'!$C$1267:$G$1283</definedName>
    <definedName name="SHHeight" localSheetId="1">'Single Hung'!$G$5</definedName>
    <definedName name="SHImpactBox">'Single Hung'!$G$9</definedName>
    <definedName name="SHPerformanceDataDP">'Single Hung'!$I$1294:$I$1324</definedName>
    <definedName name="SHRSashH" localSheetId="1">'Single Hung'!$S$1248</definedName>
    <definedName name="SHSashGH">'Single Hung'!$S$1222</definedName>
    <definedName name="SHSashGW">'Single Hung'!$S$1221</definedName>
    <definedName name="SHSashH">'Single Hung'!$S$796</definedName>
    <definedName name="SHSashW">'Single Hung'!$S$795</definedName>
    <definedName name="SHSashWeight">'Single Hung'!$S$548</definedName>
    <definedName name="SHSDLbox">'Single Hung'!$E$9</definedName>
    <definedName name="SHSelectedConfig">'Single Hung'!$E$3</definedName>
    <definedName name="SHTGdayheight">'Single Hung'!$S$1218</definedName>
    <definedName name="SHTGdaywidth">'Single Hung'!$S$1217</definedName>
    <definedName name="SHTGH">'Single Hung'!$S$1214</definedName>
    <definedName name="SHTGW">'Single Hung'!$S$1213</definedName>
    <definedName name="SHTwoLockCutoff">'Single Hung'!$M$798</definedName>
    <definedName name="SHWidth" localSheetId="1">'Single Hung'!$E$5</definedName>
    <definedName name="SL2ConfigData" localSheetId="3">'2SL Slider'!$AM$11:$AQ$723</definedName>
    <definedName name="SL2ConfigOpt" localSheetId="3">'2SL Slider'!$AP$2</definedName>
    <definedName name="SL2FGH">'2SL Slider'!$S$735</definedName>
    <definedName name="SL2FGW">'2SL Slider'!$S$734</definedName>
    <definedName name="SL2Height" localSheetId="3">'2SL Slider'!$G$5</definedName>
    <definedName name="SL2HSHeight">'2SL Slider'!$S$637</definedName>
    <definedName name="SL2HSWidth">'2SL Slider'!$S$636</definedName>
    <definedName name="SL2RSashW">'2SL Slider'!$S$767</definedName>
    <definedName name="SL2SelectedConfig" localSheetId="3">'2SL Slider'!$E$3</definedName>
    <definedName name="SL2SGH" localSheetId="3">'2SL Slider'!$S$741</definedName>
    <definedName name="SL2SGW" localSheetId="3">'2SL Slider'!$S$740</definedName>
    <definedName name="SL2SH" localSheetId="3">'2SL Slider'!$S$444</definedName>
    <definedName name="SL2SO" localSheetId="3">'2SL Slider'!$S$770</definedName>
    <definedName name="SL2SORnd" localSheetId="3">'2SL Slider'!$S$771</definedName>
    <definedName name="SL2SW" localSheetId="3">'2SL Slider'!$S$443</definedName>
    <definedName name="SL2TwoLockCutoff">'2SL Slider'!$M$447</definedName>
    <definedName name="SL2Width" localSheetId="3">'2SL Slider'!$E$5</definedName>
    <definedName name="SLEQFGH">'3SL Even &amp; Custom Slider '!$S$678</definedName>
    <definedName name="SLEQFGW">'3SL Even &amp; Custom Slider '!$S$677</definedName>
    <definedName name="SLEQheight">'3SL Even &amp; Custom Slider '!$G$5</definedName>
    <definedName name="SLEQRSashW">'3SL Even &amp; Custom Slider '!$S$717</definedName>
    <definedName name="SLEQSelectedConfig" localSheetId="4">'3SL Even &amp; Custom Slider '!$E$3</definedName>
    <definedName name="SLEQSGH">'3SL Even &amp; Custom Slider '!$S$684</definedName>
    <definedName name="SLEQSGW">'3SL Even &amp; Custom Slider '!$S$683</definedName>
    <definedName name="SLEQSH">'3SL Even &amp; Custom Slider '!$S$442</definedName>
    <definedName name="SLEQSO" localSheetId="4">'3SL Even &amp; Custom Slider '!$S$720</definedName>
    <definedName name="SLEQSORnd" localSheetId="4">'3SL Even &amp; Custom Slider '!$S$721</definedName>
    <definedName name="SLEQSORnd" localSheetId="5">'3SL QHQ Slider'!$S$725</definedName>
    <definedName name="SLEQSW">'3SL Even &amp; Custom Slider '!$S$441</definedName>
    <definedName name="SLEQwidth">'3SL Even &amp; Custom Slider '!$E$5</definedName>
    <definedName name="SLQHQFGH">'3SL QHQ Slider'!$S$677</definedName>
    <definedName name="SLQHQFGW">'3SL QHQ Slider'!$S$676</definedName>
    <definedName name="SLQHQheight">'3SL QHQ Slider'!$G$6</definedName>
    <definedName name="SLQHQSelectedConfig" localSheetId="5">'3SL QHQ Slider'!$E$3</definedName>
    <definedName name="SLQHQSGH">'3SL QHQ Slider'!$S$683</definedName>
    <definedName name="SLQHQSGW">'3SL QHQ Slider'!$S$682</definedName>
    <definedName name="SLQHQSH">'3SL QHQ Slider'!$S$444</definedName>
    <definedName name="SLQHQSW">'3SL QHQ Slider'!$S$443</definedName>
    <definedName name="SLQHQwidth">'3SL QHQ Slider'!$E$6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541" i="11" l="1"/>
  <c r="AL539" i="21"/>
  <c r="AL540" i="21"/>
  <c r="AL541" i="21"/>
  <c r="AL542" i="21"/>
  <c r="AL543" i="21"/>
  <c r="AL538" i="21"/>
  <c r="AL518" i="21"/>
  <c r="AL519" i="21"/>
  <c r="AL520" i="21"/>
  <c r="AL521" i="21"/>
  <c r="AL522" i="21"/>
  <c r="AL517" i="21"/>
  <c r="AL504" i="21"/>
  <c r="AL505" i="21"/>
  <c r="AL506" i="21"/>
  <c r="AL507" i="21"/>
  <c r="AL508" i="21"/>
  <c r="AL503" i="21"/>
  <c r="AL322" i="21"/>
  <c r="AL323" i="21"/>
  <c r="AL324" i="21"/>
  <c r="AL325" i="21"/>
  <c r="AL321" i="21"/>
  <c r="AL304" i="21"/>
  <c r="AL305" i="21"/>
  <c r="AL306" i="21"/>
  <c r="AL307" i="21"/>
  <c r="AL303" i="21"/>
  <c r="S302" i="21"/>
  <c r="S296" i="21"/>
  <c r="S290" i="21"/>
  <c r="AD290" i="21" s="1"/>
  <c r="S284" i="21"/>
  <c r="S278" i="21"/>
  <c r="AD278" i="21" s="1"/>
  <c r="AL282" i="21" s="1"/>
  <c r="AH488" i="20"/>
  <c r="AL488" i="20"/>
  <c r="AH489" i="20"/>
  <c r="AL489" i="20"/>
  <c r="AH490" i="20"/>
  <c r="AL490" i="20"/>
  <c r="AL492" i="20"/>
  <c r="AH494" i="20"/>
  <c r="AL494" i="20"/>
  <c r="AH495" i="20"/>
  <c r="AL495" i="20"/>
  <c r="AH496" i="20"/>
  <c r="AL496" i="20"/>
  <c r="AH497" i="20"/>
  <c r="AL497" i="20"/>
  <c r="AL499" i="20"/>
  <c r="AL326" i="19"/>
  <c r="AL472" i="17"/>
  <c r="AI426" i="11"/>
  <c r="S29" i="20"/>
  <c r="AL292" i="21" l="1"/>
  <c r="AL293" i="21"/>
  <c r="AL294" i="21"/>
  <c r="AL295" i="21"/>
  <c r="AL291" i="21"/>
  <c r="AI413" i="11"/>
  <c r="Y413" i="11"/>
  <c r="AG154" i="14"/>
  <c r="AG164" i="14" s="1"/>
  <c r="AG148" i="14"/>
  <c r="AG149" i="14"/>
  <c r="AG83" i="14"/>
  <c r="AG81" i="14"/>
  <c r="AG82" i="14"/>
  <c r="AG72" i="14"/>
  <c r="AL41" i="20"/>
  <c r="AH655" i="19"/>
  <c r="AH649" i="19"/>
  <c r="AL419" i="19"/>
  <c r="AL403" i="19"/>
  <c r="AL402" i="19"/>
  <c r="AL401" i="19"/>
  <c r="AL399" i="19"/>
  <c r="AL398" i="19"/>
  <c r="AL397" i="19"/>
  <c r="AL396" i="19"/>
  <c r="AH301" i="19"/>
  <c r="AH302" i="19"/>
  <c r="AH246" i="19"/>
  <c r="AH247" i="19"/>
  <c r="AG159" i="14" l="1"/>
  <c r="S152" i="11"/>
  <c r="AE152" i="11" s="1"/>
  <c r="AM152" i="11" s="1"/>
  <c r="S151" i="11"/>
  <c r="S150" i="11"/>
  <c r="AE150" i="11" s="1"/>
  <c r="O153" i="11"/>
  <c r="AG153" i="11"/>
  <c r="AH153" i="11"/>
  <c r="AI154" i="11"/>
  <c r="AI155" i="11"/>
  <c r="S141" i="11"/>
  <c r="AE141" i="11" s="1"/>
  <c r="AM141" i="11" s="1"/>
  <c r="S88" i="11"/>
  <c r="AE88" i="11" s="1"/>
  <c r="AM88" i="11" s="1"/>
  <c r="S87" i="11"/>
  <c r="AE87" i="11" s="1"/>
  <c r="AM87" i="11" s="1"/>
  <c r="S78" i="11"/>
  <c r="AE78" i="11" s="1"/>
  <c r="AM78" i="11" s="1"/>
  <c r="S77" i="11"/>
  <c r="AE77" i="11" s="1"/>
  <c r="AM77" i="11" s="1"/>
  <c r="AH132" i="21"/>
  <c r="AL132" i="21" s="1"/>
  <c r="AH456" i="21"/>
  <c r="M456" i="21"/>
  <c r="S456" i="21" s="1"/>
  <c r="AD456" i="21" s="1"/>
  <c r="AL456" i="21" l="1"/>
  <c r="M1010" i="11"/>
  <c r="AD1010" i="11" s="1"/>
  <c r="AE1010" i="11" s="1"/>
  <c r="AH266" i="19" l="1"/>
  <c r="S266" i="19"/>
  <c r="AD266" i="19" s="1"/>
  <c r="AH235" i="19"/>
  <c r="S235" i="19"/>
  <c r="AD235" i="19" s="1"/>
  <c r="AL235" i="19" s="1"/>
  <c r="AH226" i="19"/>
  <c r="S226" i="19"/>
  <c r="AD226" i="19" s="1"/>
  <c r="AH210" i="19"/>
  <c r="S210" i="19"/>
  <c r="AD210" i="19" s="1"/>
  <c r="AH201" i="19"/>
  <c r="S201" i="19"/>
  <c r="AD201" i="19" s="1"/>
  <c r="AH181" i="19"/>
  <c r="S181" i="19"/>
  <c r="AD181" i="19" s="1"/>
  <c r="AH172" i="19"/>
  <c r="S172" i="19"/>
  <c r="AD172" i="19" s="1"/>
  <c r="AH105" i="19"/>
  <c r="S105" i="19"/>
  <c r="AD105" i="19" s="1"/>
  <c r="AH29" i="19"/>
  <c r="S29" i="19"/>
  <c r="AD29" i="19" s="1"/>
  <c r="AH69" i="19"/>
  <c r="S69" i="19"/>
  <c r="AD69" i="19" s="1"/>
  <c r="AL69" i="19" l="1"/>
  <c r="AL266" i="19"/>
  <c r="AL172" i="19"/>
  <c r="AL226" i="19"/>
  <c r="AL105" i="19"/>
  <c r="AL210" i="19"/>
  <c r="AL201" i="19"/>
  <c r="AL181" i="19"/>
  <c r="AL29" i="19"/>
  <c r="M23" i="11" l="1"/>
  <c r="S128" i="14"/>
  <c r="AC128" i="14" s="1"/>
  <c r="AH128" i="14" s="1"/>
  <c r="AH264" i="21"/>
  <c r="S264" i="21"/>
  <c r="AD264" i="21" s="1"/>
  <c r="AH235" i="21"/>
  <c r="S235" i="21"/>
  <c r="AD235" i="21" s="1"/>
  <c r="AH226" i="21"/>
  <c r="S226" i="21"/>
  <c r="AD226" i="21" s="1"/>
  <c r="AH210" i="21"/>
  <c r="S210" i="21"/>
  <c r="AD210" i="21" s="1"/>
  <c r="AH201" i="21"/>
  <c r="S201" i="21"/>
  <c r="AD201" i="21" s="1"/>
  <c r="AH181" i="21"/>
  <c r="S181" i="21"/>
  <c r="AD181" i="21" s="1"/>
  <c r="AH172" i="21"/>
  <c r="S172" i="21"/>
  <c r="AD172" i="21" s="1"/>
  <c r="AH105" i="21"/>
  <c r="S105" i="21"/>
  <c r="AD105" i="21" s="1"/>
  <c r="AH69" i="21"/>
  <c r="S69" i="21"/>
  <c r="AD69" i="21" s="1"/>
  <c r="AH29" i="21"/>
  <c r="S29" i="21"/>
  <c r="AD29" i="21" s="1"/>
  <c r="AH262" i="20"/>
  <c r="S262" i="20"/>
  <c r="AD262" i="20" s="1"/>
  <c r="AH234" i="20"/>
  <c r="S234" i="20"/>
  <c r="AD234" i="20" s="1"/>
  <c r="AH225" i="20"/>
  <c r="S225" i="20"/>
  <c r="AD225" i="20" s="1"/>
  <c r="AH209" i="20"/>
  <c r="S209" i="20"/>
  <c r="AD209" i="20" s="1"/>
  <c r="AH200" i="20"/>
  <c r="S200" i="20"/>
  <c r="AD200" i="20" s="1"/>
  <c r="AH180" i="20"/>
  <c r="S180" i="20"/>
  <c r="AD180" i="20" s="1"/>
  <c r="AH171" i="20"/>
  <c r="S171" i="20"/>
  <c r="AD171" i="20" s="1"/>
  <c r="AH104" i="20"/>
  <c r="S104" i="20"/>
  <c r="AD104" i="20" s="1"/>
  <c r="AH68" i="20"/>
  <c r="S68" i="20"/>
  <c r="AD68" i="20" s="1"/>
  <c r="AH28" i="20"/>
  <c r="S28" i="20"/>
  <c r="AD28" i="20" s="1"/>
  <c r="AL210" i="21" l="1"/>
  <c r="AL181" i="21"/>
  <c r="AL235" i="21"/>
  <c r="AL105" i="21"/>
  <c r="AL234" i="20"/>
  <c r="AL262" i="20"/>
  <c r="AL225" i="20"/>
  <c r="AL180" i="20"/>
  <c r="AL264" i="21"/>
  <c r="AL201" i="21"/>
  <c r="AL226" i="21"/>
  <c r="AL172" i="21"/>
  <c r="AL29" i="21"/>
  <c r="AL69" i="21"/>
  <c r="AL200" i="20"/>
  <c r="AL209" i="20"/>
  <c r="AL171" i="20"/>
  <c r="AL68" i="20"/>
  <c r="AL104" i="20"/>
  <c r="AL28" i="20"/>
  <c r="S330" i="17" l="1"/>
  <c r="AD330" i="17" s="1"/>
  <c r="AL330" i="17" s="1"/>
  <c r="S337" i="17"/>
  <c r="AD337" i="17" s="1"/>
  <c r="AL337" i="17" s="1"/>
  <c r="S317" i="17"/>
  <c r="AD317" i="17" s="1"/>
  <c r="AL317" i="17" s="1"/>
  <c r="S310" i="17"/>
  <c r="AD310" i="17" s="1"/>
  <c r="AL310" i="17" s="1"/>
  <c r="N3" i="17"/>
  <c r="S288" i="17"/>
  <c r="AD288" i="17" s="1"/>
  <c r="AL288" i="17" s="1"/>
  <c r="S281" i="17"/>
  <c r="AD281" i="17" s="1"/>
  <c r="AL281" i="17" s="1"/>
  <c r="S268" i="17"/>
  <c r="AD268" i="17" s="1"/>
  <c r="AL268" i="17" s="1"/>
  <c r="S261" i="17"/>
  <c r="AD261" i="17" s="1"/>
  <c r="AL261" i="17" s="1"/>
  <c r="S242" i="17"/>
  <c r="AD242" i="17" s="1"/>
  <c r="AL242" i="17" s="1"/>
  <c r="S235" i="17"/>
  <c r="AD235" i="17" s="1"/>
  <c r="AL235" i="17" s="1"/>
  <c r="S221" i="17"/>
  <c r="AD221" i="17" s="1"/>
  <c r="AL221" i="17" s="1"/>
  <c r="S213" i="17"/>
  <c r="AD213" i="17" s="1"/>
  <c r="AL213" i="17" s="1"/>
  <c r="S146" i="17"/>
  <c r="AD146" i="17" s="1"/>
  <c r="AL146" i="17" s="1"/>
  <c r="S135" i="17"/>
  <c r="AD135" i="17" s="1"/>
  <c r="AL135" i="17" s="1"/>
  <c r="S85" i="17"/>
  <c r="AD85" i="17" s="1"/>
  <c r="AL85" i="17" s="1"/>
  <c r="S74" i="17"/>
  <c r="AD74" i="17" s="1"/>
  <c r="AL74" i="17" s="1"/>
  <c r="S36" i="17"/>
  <c r="AD36" i="17" s="1"/>
  <c r="AL36" i="17" s="1"/>
  <c r="S25" i="17"/>
  <c r="AD25" i="17" s="1"/>
  <c r="AL25" i="17" s="1"/>
  <c r="S408" i="11" l="1"/>
  <c r="AE408" i="11" s="1"/>
  <c r="AM408" i="11" s="1"/>
  <c r="S282" i="11"/>
  <c r="AE282" i="11" s="1"/>
  <c r="AM282" i="11" s="1"/>
  <c r="S270" i="11"/>
  <c r="AE270" i="11" s="1"/>
  <c r="AM270" i="11" s="1"/>
  <c r="AM231" i="11"/>
  <c r="AM225" i="11"/>
  <c r="AC79" i="18" l="1"/>
  <c r="AC72" i="18"/>
  <c r="AC65" i="18"/>
  <c r="AF160" i="14"/>
  <c r="AF155" i="14"/>
  <c r="AF150" i="14"/>
  <c r="AF74" i="14"/>
  <c r="AG467" i="17"/>
  <c r="AG461" i="17"/>
  <c r="AG455" i="17"/>
  <c r="AG418" i="17"/>
  <c r="AG412" i="17"/>
  <c r="AG406" i="17"/>
  <c r="AG360" i="17"/>
  <c r="AG344" i="17"/>
  <c r="AG304" i="17"/>
  <c r="AG293" i="17"/>
  <c r="AG289" i="17"/>
  <c r="AG254" i="17"/>
  <c r="AG249" i="17"/>
  <c r="AG243" i="17"/>
  <c r="AG229" i="17"/>
  <c r="AG206" i="17"/>
  <c r="AG189" i="17"/>
  <c r="AG161" i="17"/>
  <c r="AG103" i="17"/>
  <c r="AG86" i="17"/>
  <c r="AG64" i="17"/>
  <c r="AG56" i="17"/>
  <c r="AG52" i="17"/>
  <c r="AG45" i="17"/>
  <c r="AG37" i="17"/>
  <c r="AG26" i="17"/>
  <c r="AG15" i="17"/>
  <c r="D730" i="21"/>
  <c r="D731" i="21"/>
  <c r="D732" i="21"/>
  <c r="D733" i="21"/>
  <c r="D734" i="21"/>
  <c r="D735" i="21"/>
  <c r="D736" i="21"/>
  <c r="D737" i="21"/>
  <c r="D738" i="21"/>
  <c r="D739" i="21"/>
  <c r="D740" i="21"/>
  <c r="D741" i="21"/>
  <c r="D742" i="21"/>
  <c r="D743" i="21"/>
  <c r="D744" i="21"/>
  <c r="D745" i="21"/>
  <c r="D746" i="21"/>
  <c r="D747" i="21"/>
  <c r="D748" i="21"/>
  <c r="D729" i="21"/>
  <c r="C730" i="21"/>
  <c r="C731" i="21"/>
  <c r="C732" i="21"/>
  <c r="C733" i="21"/>
  <c r="C734" i="21"/>
  <c r="C735" i="21"/>
  <c r="C736" i="21"/>
  <c r="C737" i="21"/>
  <c r="C738" i="21"/>
  <c r="C739" i="21"/>
  <c r="C740" i="21"/>
  <c r="C741" i="21"/>
  <c r="C742" i="21"/>
  <c r="C743" i="21"/>
  <c r="C744" i="21"/>
  <c r="C745" i="21"/>
  <c r="C746" i="21"/>
  <c r="C747" i="21"/>
  <c r="C748" i="21"/>
  <c r="C729" i="21"/>
  <c r="D726" i="20" l="1"/>
  <c r="D727" i="20"/>
  <c r="D728" i="20"/>
  <c r="D729" i="20"/>
  <c r="D730" i="20"/>
  <c r="D731" i="20"/>
  <c r="D732" i="20"/>
  <c r="D733" i="20"/>
  <c r="D734" i="20"/>
  <c r="D735" i="20"/>
  <c r="D736" i="20"/>
  <c r="D737" i="20"/>
  <c r="D738" i="20"/>
  <c r="D739" i="20"/>
  <c r="D740" i="20"/>
  <c r="D741" i="20"/>
  <c r="D742" i="20"/>
  <c r="D743" i="20"/>
  <c r="D744" i="20"/>
  <c r="D725" i="20"/>
  <c r="C726" i="20"/>
  <c r="C727" i="20"/>
  <c r="C728" i="20"/>
  <c r="C729" i="20"/>
  <c r="C730" i="20"/>
  <c r="C731" i="20"/>
  <c r="C732" i="20"/>
  <c r="C733" i="20"/>
  <c r="C734" i="20"/>
  <c r="C735" i="20"/>
  <c r="C736" i="20"/>
  <c r="C737" i="20"/>
  <c r="C738" i="20"/>
  <c r="C739" i="20"/>
  <c r="C740" i="20"/>
  <c r="C741" i="20"/>
  <c r="C742" i="20"/>
  <c r="C743" i="20"/>
  <c r="C744" i="20"/>
  <c r="C725" i="20"/>
  <c r="C782" i="19"/>
  <c r="D782" i="19"/>
  <c r="C783" i="19"/>
  <c r="D783" i="19"/>
  <c r="C784" i="19"/>
  <c r="D784" i="19"/>
  <c r="C785" i="19"/>
  <c r="D785" i="19"/>
  <c r="C786" i="19"/>
  <c r="D786" i="19"/>
  <c r="C787" i="19"/>
  <c r="D787" i="19"/>
  <c r="C788" i="19"/>
  <c r="D788" i="19"/>
  <c r="C789" i="19"/>
  <c r="D789" i="19"/>
  <c r="C790" i="19"/>
  <c r="D790" i="19"/>
  <c r="C791" i="19"/>
  <c r="D791" i="19"/>
  <c r="C792" i="19"/>
  <c r="D792" i="19"/>
  <c r="C793" i="19"/>
  <c r="D793" i="19"/>
  <c r="C794" i="19"/>
  <c r="D794" i="19"/>
  <c r="C795" i="19"/>
  <c r="D795" i="19"/>
  <c r="C796" i="19"/>
  <c r="D796" i="19"/>
  <c r="C797" i="19"/>
  <c r="D797" i="19"/>
  <c r="C798" i="19"/>
  <c r="D798" i="19"/>
  <c r="C799" i="19"/>
  <c r="D799" i="19"/>
  <c r="C800" i="19"/>
  <c r="D800" i="19"/>
  <c r="D801" i="19"/>
  <c r="S684" i="21"/>
  <c r="S682" i="21"/>
  <c r="S678" i="21"/>
  <c r="S676" i="21"/>
  <c r="S669" i="21"/>
  <c r="S446" i="21"/>
  <c r="S443" i="21"/>
  <c r="S601" i="21"/>
  <c r="S770" i="19"/>
  <c r="Z648" i="21"/>
  <c r="Z647" i="21"/>
  <c r="Y648" i="21"/>
  <c r="Y649" i="21"/>
  <c r="Y650" i="21"/>
  <c r="Y647" i="21"/>
  <c r="B648" i="21"/>
  <c r="B649" i="21"/>
  <c r="B650" i="21"/>
  <c r="B647" i="21"/>
  <c r="Z646" i="20"/>
  <c r="Z645" i="20"/>
  <c r="Y646" i="20"/>
  <c r="Y647" i="20"/>
  <c r="Y648" i="20"/>
  <c r="Y645" i="20"/>
  <c r="B646" i="20"/>
  <c r="B647" i="20"/>
  <c r="B648" i="20"/>
  <c r="B645" i="20"/>
  <c r="Z626" i="19"/>
  <c r="Z625" i="19"/>
  <c r="Y627" i="19"/>
  <c r="Y628" i="19"/>
  <c r="Y626" i="19"/>
  <c r="Y625" i="19"/>
  <c r="B626" i="19"/>
  <c r="B627" i="19"/>
  <c r="B628" i="19"/>
  <c r="B625" i="19"/>
  <c r="AH626" i="19"/>
  <c r="O171" i="18"/>
  <c r="AE137" i="18"/>
  <c r="AE138" i="18"/>
  <c r="AE139" i="18"/>
  <c r="AE140" i="18"/>
  <c r="AE141" i="18"/>
  <c r="AE136" i="18"/>
  <c r="AE134" i="18"/>
  <c r="AE133" i="18"/>
  <c r="AE132" i="18"/>
  <c r="AE130" i="18"/>
  <c r="AE129" i="18"/>
  <c r="AH650" i="21"/>
  <c r="AD650" i="21"/>
  <c r="AH649" i="21"/>
  <c r="AH647" i="21"/>
  <c r="AH646" i="21"/>
  <c r="AH645" i="21"/>
  <c r="M486" i="21"/>
  <c r="S486" i="21" s="1"/>
  <c r="AH468" i="21"/>
  <c r="AL468" i="21" s="1"/>
  <c r="M468" i="21"/>
  <c r="S468" i="21" s="1"/>
  <c r="M454" i="20"/>
  <c r="AH454" i="20"/>
  <c r="AD468" i="21" l="1"/>
  <c r="AH555" i="19" l="1"/>
  <c r="AH556" i="19"/>
  <c r="AH557" i="19"/>
  <c r="AH558" i="19"/>
  <c r="AH559" i="19"/>
  <c r="AH560" i="19"/>
  <c r="AH561" i="19"/>
  <c r="AH562" i="19"/>
  <c r="AH563" i="19"/>
  <c r="AH564" i="19"/>
  <c r="AH565" i="19"/>
  <c r="AH566" i="19"/>
  <c r="AH567" i="19"/>
  <c r="AH568" i="19"/>
  <c r="AH569" i="19"/>
  <c r="AH570" i="19"/>
  <c r="AH571" i="19"/>
  <c r="AH554" i="19"/>
  <c r="S673" i="19"/>
  <c r="AH672" i="19"/>
  <c r="S672" i="19"/>
  <c r="S671" i="19"/>
  <c r="AH670" i="19"/>
  <c r="S670" i="19"/>
  <c r="S664" i="19"/>
  <c r="AH663" i="19"/>
  <c r="S663" i="19"/>
  <c r="S662" i="19"/>
  <c r="AH661" i="19"/>
  <c r="S661" i="19"/>
  <c r="AD670" i="19" l="1"/>
  <c r="AL670" i="19" s="1"/>
  <c r="AD661" i="19"/>
  <c r="AL661" i="19" s="1"/>
  <c r="AD672" i="19"/>
  <c r="AL672" i="19" s="1"/>
  <c r="AD663" i="19"/>
  <c r="AL663" i="19" s="1"/>
  <c r="S534" i="17" l="1"/>
  <c r="S533" i="17"/>
  <c r="S532" i="17"/>
  <c r="S531" i="17"/>
  <c r="S530" i="17"/>
  <c r="S529" i="17"/>
  <c r="S528" i="17"/>
  <c r="S527" i="17"/>
  <c r="S526" i="17"/>
  <c r="S525" i="17"/>
  <c r="S522" i="17"/>
  <c r="S521" i="17"/>
  <c r="S518" i="17"/>
  <c r="S517" i="17"/>
  <c r="S516" i="17"/>
  <c r="S515" i="17"/>
  <c r="S514" i="17"/>
  <c r="S513" i="17"/>
  <c r="S512" i="17"/>
  <c r="S511" i="17"/>
  <c r="S510" i="17"/>
  <c r="S509" i="17"/>
  <c r="S506" i="17"/>
  <c r="S505" i="17"/>
  <c r="S1102" i="11"/>
  <c r="S1100" i="11"/>
  <c r="S1098" i="11"/>
  <c r="S1089" i="11"/>
  <c r="S1079" i="11"/>
  <c r="AD529" i="17" l="1"/>
  <c r="AL529" i="17" s="1"/>
  <c r="AD533" i="17"/>
  <c r="AL533" i="17" s="1"/>
  <c r="AD531" i="17"/>
  <c r="AL531" i="17" s="1"/>
  <c r="AD527" i="17"/>
  <c r="AL527" i="17" s="1"/>
  <c r="AD515" i="17"/>
  <c r="AL515" i="17" s="1"/>
  <c r="AD511" i="17"/>
  <c r="AL511" i="17" s="1"/>
  <c r="AD521" i="17"/>
  <c r="AL521" i="17" s="1"/>
  <c r="AD513" i="17"/>
  <c r="AL513" i="17" s="1"/>
  <c r="AD525" i="17"/>
  <c r="AL525" i="17" s="1"/>
  <c r="AD509" i="17"/>
  <c r="AL509" i="17" s="1"/>
  <c r="AD505" i="17"/>
  <c r="AL505" i="17" s="1"/>
  <c r="AD517" i="17"/>
  <c r="AL517" i="17" s="1"/>
  <c r="AC564" i="17" l="1"/>
  <c r="Z1027" i="11" l="1"/>
  <c r="Z1026" i="11"/>
  <c r="Y1029" i="11"/>
  <c r="Y1028" i="11"/>
  <c r="Y1027" i="11"/>
  <c r="Y1026" i="11"/>
  <c r="B1029" i="11"/>
  <c r="B1028" i="11"/>
  <c r="B1027" i="11"/>
  <c r="B1026" i="11"/>
  <c r="A461" i="13"/>
  <c r="A232" i="13"/>
  <c r="A238" i="13" s="1"/>
  <c r="A253" i="13" s="1"/>
  <c r="A260" i="13" s="1"/>
  <c r="A267" i="13" s="1"/>
  <c r="A274" i="13" s="1"/>
  <c r="A281" i="13" s="1"/>
  <c r="A288" i="13" s="1"/>
  <c r="A293" i="13" s="1"/>
  <c r="A297" i="13" s="1"/>
  <c r="A301" i="13" s="1"/>
  <c r="A306" i="13" s="1"/>
  <c r="A311" i="13" s="1"/>
  <c r="A316" i="13" s="1"/>
  <c r="A321" i="13" s="1"/>
  <c r="A328" i="13" s="1"/>
  <c r="A330" i="13" s="1"/>
  <c r="A337" i="13" s="1"/>
  <c r="A344" i="13" s="1"/>
  <c r="A346" i="13" s="1"/>
  <c r="A353" i="13" s="1"/>
  <c r="A355" i="13" s="1"/>
  <c r="A362" i="13" s="1"/>
  <c r="A366" i="13" s="1"/>
  <c r="A370" i="13" s="1"/>
  <c r="A374" i="13" s="1"/>
  <c r="A378" i="13" s="1"/>
  <c r="A382" i="13" s="1"/>
  <c r="A386" i="13" s="1"/>
  <c r="A393" i="13" s="1"/>
  <c r="A398" i="13" s="1"/>
  <c r="A403" i="13" s="1"/>
  <c r="A410" i="13" s="1"/>
  <c r="A414" i="13" s="1"/>
  <c r="A421" i="13" s="1"/>
  <c r="A427" i="13" s="1"/>
  <c r="A433" i="13" s="1"/>
  <c r="A435" i="13" s="1"/>
  <c r="A437" i="13" s="1"/>
  <c r="A439" i="13" s="1"/>
  <c r="A441" i="13" s="1"/>
  <c r="A443" i="13" s="1"/>
  <c r="A447" i="13" s="1"/>
  <c r="A451" i="13" s="1"/>
  <c r="A455" i="13" s="1"/>
  <c r="A149" i="13"/>
  <c r="A153" i="13" s="1"/>
  <c r="A160" i="13" s="1"/>
  <c r="A165" i="13" s="1"/>
  <c r="A172" i="13" s="1"/>
  <c r="A187" i="13" s="1"/>
  <c r="A202" i="13" s="1"/>
  <c r="A16" i="13"/>
  <c r="A20" i="13" s="1"/>
  <c r="A30" i="13" s="1"/>
  <c r="A35" i="13" s="1"/>
  <c r="A42" i="13" s="1"/>
  <c r="A56" i="13" s="1"/>
  <c r="A70" i="13" s="1"/>
  <c r="A77" i="13" s="1"/>
  <c r="A81" i="13" s="1"/>
  <c r="A85" i="13" s="1"/>
  <c r="A92" i="13" s="1"/>
  <c r="A96" i="13" s="1"/>
  <c r="A103" i="13" s="1"/>
  <c r="A110" i="13" s="1"/>
  <c r="A117" i="13" s="1"/>
  <c r="A124" i="13" s="1"/>
  <c r="A131" i="13" s="1"/>
  <c r="Y423" i="11" l="1"/>
  <c r="Y424" i="11"/>
  <c r="Y425" i="11"/>
  <c r="Y422" i="11"/>
  <c r="Y417" i="11"/>
  <c r="Y418" i="11"/>
  <c r="Y419" i="11"/>
  <c r="Y416" i="11"/>
  <c r="Y411" i="11"/>
  <c r="Y412" i="11"/>
  <c r="Y414" i="11"/>
  <c r="Y410" i="11"/>
  <c r="AE551" i="11" l="1"/>
  <c r="Y551" i="11"/>
  <c r="S351" i="11"/>
  <c r="AE351" i="11" s="1"/>
  <c r="S350" i="11"/>
  <c r="AE350" i="11" s="1"/>
  <c r="O345" i="11"/>
  <c r="S345" i="11" s="1"/>
  <c r="O344" i="11"/>
  <c r="M344" i="11"/>
  <c r="S344" i="11" l="1"/>
  <c r="C1285" i="11"/>
  <c r="C1286" i="11"/>
  <c r="D1286" i="11"/>
  <c r="C1269" i="11"/>
  <c r="D1269" i="11"/>
  <c r="C1270" i="11"/>
  <c r="C1271" i="11"/>
  <c r="C1272" i="11"/>
  <c r="C1273" i="11"/>
  <c r="C1274" i="11"/>
  <c r="C1275" i="11"/>
  <c r="D1275" i="11"/>
  <c r="C1276" i="11"/>
  <c r="D1276" i="11"/>
  <c r="C1277" i="11"/>
  <c r="D1277" i="11"/>
  <c r="C1278" i="11"/>
  <c r="C1279" i="11"/>
  <c r="C1280" i="11"/>
  <c r="D1280" i="11"/>
  <c r="C1281" i="11"/>
  <c r="C1282" i="11"/>
  <c r="D1282" i="11"/>
  <c r="C1283" i="11"/>
  <c r="D1283" i="11"/>
  <c r="C1284" i="11"/>
  <c r="D1284" i="11"/>
  <c r="I80" i="4"/>
  <c r="I79" i="4"/>
  <c r="I78" i="4"/>
  <c r="I77" i="4"/>
  <c r="I76" i="4"/>
  <c r="I75" i="4"/>
  <c r="I74" i="4"/>
  <c r="I73" i="4"/>
  <c r="I72" i="4"/>
  <c r="I71" i="4"/>
  <c r="I70" i="4"/>
  <c r="I69" i="4"/>
  <c r="I68" i="4"/>
  <c r="I67" i="4"/>
  <c r="I66" i="4"/>
  <c r="I65" i="4"/>
  <c r="I64" i="4"/>
  <c r="I63" i="4"/>
  <c r="I62" i="4"/>
  <c r="I61" i="4"/>
  <c r="C63" i="4"/>
  <c r="D63" i="4" s="1"/>
  <c r="F63" i="4"/>
  <c r="C61" i="4"/>
  <c r="C66" i="4"/>
  <c r="C96" i="4"/>
  <c r="F66" i="4" l="1"/>
  <c r="D1272" i="11" s="1"/>
  <c r="D66" i="4"/>
  <c r="A164" i="9" l="1"/>
  <c r="A218" i="9" s="1"/>
  <c r="A274" i="9" s="1"/>
  <c r="A324" i="9" s="1"/>
  <c r="A373" i="9" s="1"/>
  <c r="A413" i="9" s="1"/>
  <c r="A442" i="9" s="1"/>
  <c r="A466" i="9" s="1"/>
  <c r="A498" i="9" s="1"/>
  <c r="A537" i="9" s="1"/>
  <c r="AD632" i="19" l="1"/>
  <c r="AD438" i="19"/>
  <c r="AI972" i="11"/>
  <c r="AI964" i="11"/>
  <c r="AL232" i="21"/>
  <c r="AL231" i="21"/>
  <c r="AL223" i="21"/>
  <c r="AL222" i="21"/>
  <c r="AL216" i="21"/>
  <c r="AL215" i="21"/>
  <c r="AL207" i="21"/>
  <c r="AL206" i="21"/>
  <c r="AL178" i="21"/>
  <c r="AL177" i="21"/>
  <c r="AL222" i="20" l="1"/>
  <c r="AL221" i="20"/>
  <c r="AD403" i="20"/>
  <c r="AL404" i="20" s="1"/>
  <c r="A9" i="11"/>
  <c r="A5" i="11"/>
  <c r="S1069" i="11" l="1"/>
  <c r="S39" i="11"/>
  <c r="AE39" i="11" s="1"/>
  <c r="AM39" i="11" s="1"/>
  <c r="S38" i="11"/>
  <c r="AE38" i="11" s="1"/>
  <c r="AM38" i="11" s="1"/>
  <c r="S27" i="11"/>
  <c r="AE27" i="11" s="1"/>
  <c r="AM27" i="11" s="1"/>
  <c r="S231" i="11"/>
  <c r="AE231" i="11" s="1"/>
  <c r="S225" i="11"/>
  <c r="AE225" i="11" s="1"/>
  <c r="S28" i="11"/>
  <c r="AE28" i="11" s="1"/>
  <c r="AM28" i="11" s="1"/>
  <c r="S1099" i="11"/>
  <c r="AE1098" i="11" s="1"/>
  <c r="AM1098" i="11" s="1"/>
  <c r="S1080" i="11"/>
  <c r="AE1079" i="11" s="1"/>
  <c r="AM1079" i="11" s="1"/>
  <c r="S1090" i="11"/>
  <c r="AE1089" i="11" s="1"/>
  <c r="AM1089" i="11" s="1"/>
  <c r="S1101" i="11"/>
  <c r="AE1100" i="11" s="1"/>
  <c r="AM1100" i="11" s="1"/>
  <c r="S1103" i="11"/>
  <c r="AE1102" i="11" s="1"/>
  <c r="AM1102" i="11" s="1"/>
  <c r="AL405" i="20"/>
  <c r="AI1026" i="11"/>
  <c r="AI997" i="11"/>
  <c r="AI982" i="11"/>
  <c r="AI998" i="11" s="1"/>
  <c r="AI907" i="11"/>
  <c r="AI900" i="11"/>
  <c r="AI895" i="11"/>
  <c r="AI874" i="11" s="1"/>
  <c r="AI893" i="11"/>
  <c r="AI889" i="11"/>
  <c r="AI890" i="11"/>
  <c r="AI888" i="11"/>
  <c r="AI822" i="11"/>
  <c r="AI820" i="11"/>
  <c r="AI983" i="11" l="1"/>
  <c r="AI999" i="11" s="1"/>
  <c r="AI885" i="11"/>
  <c r="AI884" i="11"/>
  <c r="AI886" i="11"/>
  <c r="AI878" i="11"/>
  <c r="AI877" i="11"/>
  <c r="AI879" i="11"/>
  <c r="AI868" i="11"/>
  <c r="AI869" i="11"/>
  <c r="AI870" i="11"/>
  <c r="AI872" i="11"/>
  <c r="AI867" i="11"/>
  <c r="AI903" i="11"/>
  <c r="AI882" i="11" s="1"/>
  <c r="AI904" i="11"/>
  <c r="AI883" i="11" s="1"/>
  <c r="AI896" i="11"/>
  <c r="AI875" i="11" s="1"/>
  <c r="AI897" i="11"/>
  <c r="AI876" i="11" s="1"/>
  <c r="AI455" i="11"/>
  <c r="AI454" i="11"/>
  <c r="AI453" i="11"/>
  <c r="AI423" i="11"/>
  <c r="AI424" i="11"/>
  <c r="AI425" i="11"/>
  <c r="AI417" i="11"/>
  <c r="AI418" i="11"/>
  <c r="AI419" i="11"/>
  <c r="AI411" i="11"/>
  <c r="AI412" i="11"/>
  <c r="AI414" i="11"/>
  <c r="AI410" i="11"/>
  <c r="AI407" i="11"/>
  <c r="AI406" i="11"/>
  <c r="AI340" i="11"/>
  <c r="AI341" i="11"/>
  <c r="AI342" i="11"/>
  <c r="AI343" i="11"/>
  <c r="AI339" i="11"/>
  <c r="AI333" i="11"/>
  <c r="AI334" i="11"/>
  <c r="AI335" i="11"/>
  <c r="AI336" i="11"/>
  <c r="AI325" i="11"/>
  <c r="AI338" i="11" s="1"/>
  <c r="AI351" i="11" s="1"/>
  <c r="AI324" i="11"/>
  <c r="AI337" i="11" s="1"/>
  <c r="AI350" i="11" s="1"/>
  <c r="AI266" i="11"/>
  <c r="AI278" i="11" s="1"/>
  <c r="AI290" i="11" s="1"/>
  <c r="AI267" i="11"/>
  <c r="AI279" i="11" s="1"/>
  <c r="AI291" i="11" s="1"/>
  <c r="AI268" i="11"/>
  <c r="AI280" i="11" s="1"/>
  <c r="AI292" i="11" s="1"/>
  <c r="AI269" i="11"/>
  <c r="AI281" i="11" s="1"/>
  <c r="AI293" i="11" s="1"/>
  <c r="AI236" i="11"/>
  <c r="AI247" i="11" s="1"/>
  <c r="AI237" i="11"/>
  <c r="AI248" i="11" s="1"/>
  <c r="AI233" i="11"/>
  <c r="AI162" i="11"/>
  <c r="AI163" i="11"/>
  <c r="AI165" i="11"/>
  <c r="AI164" i="11"/>
  <c r="AI166" i="11"/>
  <c r="AI159" i="11"/>
  <c r="AI156" i="11"/>
  <c r="AI158" i="11"/>
  <c r="AI157" i="11"/>
  <c r="AI106" i="11"/>
  <c r="AI107" i="11"/>
  <c r="AI109" i="11"/>
  <c r="AI108" i="11"/>
  <c r="AI110" i="11"/>
  <c r="AI99" i="11"/>
  <c r="AI100" i="11"/>
  <c r="AI102" i="11"/>
  <c r="AI101" i="11"/>
  <c r="AI103" i="11"/>
  <c r="AI91" i="11"/>
  <c r="AI92" i="11"/>
  <c r="AI94" i="11"/>
  <c r="AI93" i="11"/>
  <c r="AI95" i="11"/>
  <c r="AI80" i="11"/>
  <c r="AI81" i="11"/>
  <c r="AI82" i="11"/>
  <c r="AI83" i="11"/>
  <c r="AI84" i="11"/>
  <c r="AI85" i="11"/>
  <c r="AI79" i="11"/>
  <c r="AI69" i="11"/>
  <c r="AI70" i="11"/>
  <c r="AI71" i="11"/>
  <c r="AI72" i="11"/>
  <c r="AI74" i="11"/>
  <c r="AI73" i="11"/>
  <c r="AI75" i="11"/>
  <c r="S1147" i="11"/>
  <c r="S1148" i="11" l="1"/>
  <c r="AE1146" i="11" s="1"/>
  <c r="AM1146" i="11" s="1"/>
  <c r="U211" i="13" l="1"/>
  <c r="U378" i="13" l="1"/>
  <c r="U374" i="13"/>
  <c r="U370" i="13"/>
  <c r="U366" i="13"/>
  <c r="U362" i="13"/>
  <c r="AL356" i="17" l="1"/>
  <c r="AL354" i="17"/>
  <c r="AL355" i="17"/>
  <c r="AL353" i="17"/>
  <c r="AL352" i="17"/>
  <c r="AL351" i="17"/>
  <c r="AD350" i="17"/>
  <c r="AE260" i="11" l="1"/>
  <c r="AM261" i="11" s="1"/>
  <c r="AH260" i="11"/>
  <c r="M288" i="11" l="1"/>
  <c r="O288" i="11"/>
  <c r="O289" i="11"/>
  <c r="S289" i="11" s="1"/>
  <c r="O299" i="11"/>
  <c r="S299" i="11" s="1"/>
  <c r="AE299" i="11" s="1"/>
  <c r="AG299" i="11"/>
  <c r="AH299" i="11" s="1"/>
  <c r="AI300" i="11"/>
  <c r="AI301" i="11"/>
  <c r="AI302" i="11"/>
  <c r="M243" i="11"/>
  <c r="O243" i="11"/>
  <c r="O244" i="11"/>
  <c r="M254" i="11"/>
  <c r="O254" i="11"/>
  <c r="AH254" i="11"/>
  <c r="S243" i="11" l="1"/>
  <c r="AE243" i="11" s="1"/>
  <c r="S288" i="11"/>
  <c r="AE288" i="11" s="1"/>
  <c r="S254" i="11"/>
  <c r="AE254" i="11" s="1"/>
  <c r="AM257" i="11" s="1"/>
  <c r="AM302" i="11"/>
  <c r="AM301" i="11"/>
  <c r="AM300" i="11"/>
  <c r="U451" i="13"/>
  <c r="AM256" i="11" l="1"/>
  <c r="AM255" i="11"/>
  <c r="M249" i="21" l="1"/>
  <c r="S249" i="21" s="1"/>
  <c r="M247" i="20"/>
  <c r="U437" i="13" l="1"/>
  <c r="U435" i="13"/>
  <c r="S559" i="17"/>
  <c r="S558" i="17"/>
  <c r="S557" i="17"/>
  <c r="S556" i="17"/>
  <c r="S555" i="17"/>
  <c r="S554" i="17"/>
  <c r="S552" i="17"/>
  <c r="AH551" i="17"/>
  <c r="S551" i="17"/>
  <c r="S550" i="17"/>
  <c r="AH549" i="17"/>
  <c r="S549" i="17"/>
  <c r="S548" i="17"/>
  <c r="AH547" i="17"/>
  <c r="S547" i="17"/>
  <c r="S546" i="17"/>
  <c r="AH545" i="17"/>
  <c r="S545" i="17"/>
  <c r="S543" i="17"/>
  <c r="AH542" i="17"/>
  <c r="S542" i="17"/>
  <c r="S541" i="17"/>
  <c r="AH540" i="17"/>
  <c r="S540" i="17"/>
  <c r="S539" i="17"/>
  <c r="AH538" i="17"/>
  <c r="S538" i="17"/>
  <c r="S537" i="17"/>
  <c r="AH536" i="17"/>
  <c r="S536" i="17"/>
  <c r="S1122" i="11"/>
  <c r="S1121" i="11"/>
  <c r="S1124" i="11"/>
  <c r="S1123" i="11"/>
  <c r="S1120" i="11"/>
  <c r="S1119" i="11"/>
  <c r="S1118" i="11"/>
  <c r="S1117" i="11"/>
  <c r="S1116" i="11"/>
  <c r="S1115" i="11"/>
  <c r="S1114" i="11"/>
  <c r="S1113" i="11"/>
  <c r="S1112" i="11"/>
  <c r="S1111" i="11"/>
  <c r="S1108" i="11"/>
  <c r="S1107" i="11"/>
  <c r="AD554" i="17" l="1"/>
  <c r="AL554" i="17" s="1"/>
  <c r="AD556" i="17"/>
  <c r="AL556" i="17" s="1"/>
  <c r="AE1107" i="11"/>
  <c r="AM1107" i="11" s="1"/>
  <c r="AE1113" i="11"/>
  <c r="AM1113" i="11" s="1"/>
  <c r="AD558" i="17"/>
  <c r="AL558" i="17" s="1"/>
  <c r="AE1121" i="11"/>
  <c r="AM1121" i="11" s="1"/>
  <c r="AE1123" i="11"/>
  <c r="AM1123" i="11" s="1"/>
  <c r="AD540" i="17"/>
  <c r="AL540" i="17" s="1"/>
  <c r="AD551" i="17"/>
  <c r="AL551" i="17" s="1"/>
  <c r="AD542" i="17"/>
  <c r="AL542" i="17" s="1"/>
  <c r="AD549" i="17"/>
  <c r="AL549" i="17" s="1"/>
  <c r="AD547" i="17"/>
  <c r="AL547" i="17" s="1"/>
  <c r="AD545" i="17"/>
  <c r="AL545" i="17" s="1"/>
  <c r="AD538" i="17"/>
  <c r="AL538" i="17" s="1"/>
  <c r="AD536" i="17"/>
  <c r="AL536" i="17" s="1"/>
  <c r="AE1115" i="11"/>
  <c r="AM1115" i="11" s="1"/>
  <c r="AE1119" i="11"/>
  <c r="AM1119" i="11" s="1"/>
  <c r="AE1117" i="11"/>
  <c r="AM1117" i="11" s="1"/>
  <c r="AE1111" i="11"/>
  <c r="AM1111" i="11" s="1"/>
  <c r="S1092" i="11"/>
  <c r="S1091" i="11"/>
  <c r="AE1091" i="11" l="1"/>
  <c r="AM1091" i="11" s="1"/>
  <c r="S207" i="11"/>
  <c r="AE207" i="11" s="1"/>
  <c r="AM207" i="11" s="1"/>
  <c r="AM205" i="11"/>
  <c r="S201" i="11"/>
  <c r="AE201" i="11" s="1"/>
  <c r="AM201" i="11" s="1"/>
  <c r="AH321" i="17" l="1"/>
  <c r="AH320" i="17"/>
  <c r="AH319" i="17"/>
  <c r="O319" i="17"/>
  <c r="S319" i="17" s="1"/>
  <c r="AF318" i="17"/>
  <c r="O318" i="17"/>
  <c r="S318" i="17" s="1"/>
  <c r="AD318" i="17" s="1"/>
  <c r="AH314" i="17"/>
  <c r="AH313" i="17"/>
  <c r="AH312" i="17"/>
  <c r="O312" i="17"/>
  <c r="S312" i="17" s="1"/>
  <c r="AF311" i="17"/>
  <c r="O311" i="17"/>
  <c r="S311" i="17" s="1"/>
  <c r="AD311" i="17" s="1"/>
  <c r="O305" i="17"/>
  <c r="S305" i="17" s="1"/>
  <c r="AH304" i="17"/>
  <c r="O304" i="17"/>
  <c r="S304" i="17" s="1"/>
  <c r="AD304" i="17" s="1"/>
  <c r="AH272" i="17"/>
  <c r="AH265" i="17"/>
  <c r="AH271" i="17"/>
  <c r="AH264" i="17"/>
  <c r="AH270" i="17"/>
  <c r="AH263" i="17"/>
  <c r="O223" i="17"/>
  <c r="S223" i="17" s="1"/>
  <c r="O222" i="17"/>
  <c r="S222" i="17" s="1"/>
  <c r="AD222" i="17" s="1"/>
  <c r="O215" i="17"/>
  <c r="S215" i="17" s="1"/>
  <c r="O214" i="17"/>
  <c r="S214" i="17" s="1"/>
  <c r="AD214" i="17" s="1"/>
  <c r="O207" i="17"/>
  <c r="S207" i="17" s="1"/>
  <c r="AF214" i="17"/>
  <c r="O206" i="17"/>
  <c r="S206" i="17" s="1"/>
  <c r="AD206" i="17" s="1"/>
  <c r="AG311" i="17" l="1"/>
  <c r="AH311" i="17" s="1"/>
  <c r="AG214" i="17"/>
  <c r="AH214" i="17" s="1"/>
  <c r="AG318" i="17"/>
  <c r="AH318" i="17" s="1"/>
  <c r="AL208" i="17"/>
  <c r="AL209" i="17"/>
  <c r="AL207" i="17"/>
  <c r="AL224" i="17"/>
  <c r="AL225" i="17"/>
  <c r="AL223" i="17"/>
  <c r="AL218" i="17"/>
  <c r="AL215" i="17"/>
  <c r="AL219" i="17"/>
  <c r="AL216" i="17"/>
  <c r="AL217" i="17"/>
  <c r="AH206" i="17"/>
  <c r="AF222" i="17"/>
  <c r="AG222" i="17" l="1"/>
  <c r="AH222" i="17" s="1"/>
  <c r="S333" i="21"/>
  <c r="AL336" i="21"/>
  <c r="AL335" i="21"/>
  <c r="AL334" i="21"/>
  <c r="AG333" i="21"/>
  <c r="AL334" i="20"/>
  <c r="AL333" i="20"/>
  <c r="AL332" i="20"/>
  <c r="AG331" i="20"/>
  <c r="AL412" i="21"/>
  <c r="AL411" i="21"/>
  <c r="AL410" i="21"/>
  <c r="AD409" i="21"/>
  <c r="AL410" i="20"/>
  <c r="AL409" i="20"/>
  <c r="AL408" i="20"/>
  <c r="AD407" i="20"/>
  <c r="AD408" i="19"/>
  <c r="AL337" i="19"/>
  <c r="AL336" i="19"/>
  <c r="AL335" i="19"/>
  <c r="AG334" i="19"/>
  <c r="M452" i="11"/>
  <c r="AE527" i="11"/>
  <c r="AM455" i="11"/>
  <c r="AM454" i="11"/>
  <c r="AM453" i="11"/>
  <c r="AH452" i="11"/>
  <c r="AL412" i="19" l="1"/>
  <c r="AL411" i="19"/>
  <c r="AL410" i="19"/>
  <c r="AL409" i="19"/>
  <c r="S122" i="14"/>
  <c r="M1050" i="11" l="1"/>
  <c r="AH1050" i="11"/>
  <c r="AM1182" i="11" l="1"/>
  <c r="U29" i="7" l="1"/>
  <c r="AL132" i="20"/>
  <c r="AL427" i="21"/>
  <c r="AL426" i="20"/>
  <c r="AL332" i="21"/>
  <c r="AL330" i="20"/>
  <c r="AH93" i="14"/>
  <c r="AL152" i="21"/>
  <c r="AL152" i="20"/>
  <c r="AL91" i="21"/>
  <c r="AL55" i="21"/>
  <c r="AL119" i="21"/>
  <c r="AL118" i="20"/>
  <c r="AL112" i="21"/>
  <c r="AL83" i="21"/>
  <c r="AL84" i="21"/>
  <c r="AL44" i="21"/>
  <c r="AL111" i="20"/>
  <c r="AL83" i="20"/>
  <c r="AL43" i="20"/>
  <c r="AL288" i="21"/>
  <c r="AL283" i="21"/>
  <c r="AL292" i="20"/>
  <c r="AL322" i="20"/>
  <c r="AL515" i="21"/>
  <c r="AL501" i="21"/>
  <c r="AL494" i="21"/>
  <c r="AL536" i="21"/>
  <c r="AL300" i="21"/>
  <c r="AL318" i="21"/>
  <c r="AL534" i="20"/>
  <c r="AL298" i="20"/>
  <c r="AL286" i="20"/>
  <c r="AL316" i="20"/>
  <c r="AL513" i="20"/>
  <c r="AL313" i="21"/>
  <c r="AL527" i="20"/>
  <c r="AL281" i="20"/>
  <c r="AL76" i="21" l="1"/>
  <c r="AL36" i="21"/>
  <c r="AL75" i="20"/>
  <c r="AL126" i="21"/>
  <c r="AL125" i="20"/>
  <c r="AL101" i="21"/>
  <c r="AL65" i="21"/>
  <c r="AL25" i="21"/>
  <c r="AL98" i="20"/>
  <c r="AL100" i="20"/>
  <c r="AL63" i="20"/>
  <c r="AL64" i="20"/>
  <c r="AL466" i="21"/>
  <c r="AL464" i="20"/>
  <c r="AL484" i="21"/>
  <c r="AL453" i="21"/>
  <c r="AL454" i="21"/>
  <c r="AL478" i="20"/>
  <c r="AL479" i="20"/>
  <c r="AL480" i="20"/>
  <c r="AL481" i="20"/>
  <c r="AL482" i="20"/>
  <c r="AL448" i="20"/>
  <c r="AL449" i="20"/>
  <c r="AL450" i="20"/>
  <c r="AL451" i="20"/>
  <c r="AL452" i="20"/>
  <c r="AH421" i="21" l="1"/>
  <c r="AH419" i="20"/>
  <c r="AD421" i="21"/>
  <c r="AD419" i="20"/>
  <c r="AD414" i="20"/>
  <c r="AD416" i="21"/>
  <c r="AH419" i="21"/>
  <c r="AH418" i="21"/>
  <c r="AH417" i="21"/>
  <c r="AH417" i="20"/>
  <c r="AH416" i="20"/>
  <c r="AH415" i="20"/>
  <c r="AH415" i="21"/>
  <c r="AH414" i="21"/>
  <c r="AD415" i="21"/>
  <c r="AD414" i="21"/>
  <c r="AH413" i="20"/>
  <c r="AH412" i="20"/>
  <c r="AD413" i="20"/>
  <c r="AD412" i="20"/>
  <c r="AH380" i="21"/>
  <c r="AL380" i="21" s="1"/>
  <c r="AH379" i="21"/>
  <c r="AL379" i="21" s="1"/>
  <c r="AH379" i="20"/>
  <c r="AL379" i="20" s="1"/>
  <c r="AH378" i="20"/>
  <c r="AL378" i="20" s="1"/>
  <c r="S373" i="21"/>
  <c r="AD373" i="21" s="1"/>
  <c r="AH343" i="21"/>
  <c r="AH341" i="20"/>
  <c r="AF252" i="21"/>
  <c r="AG252" i="21" s="1"/>
  <c r="AF250" i="20"/>
  <c r="AG250" i="20" s="1"/>
  <c r="AH420" i="19"/>
  <c r="AH417" i="19"/>
  <c r="AL417" i="19" s="1"/>
  <c r="AH418" i="19"/>
  <c r="AL418" i="19" s="1"/>
  <c r="AH416" i="19"/>
  <c r="AL416" i="19" s="1"/>
  <c r="AE539" i="11"/>
  <c r="M300" i="20"/>
  <c r="M294" i="20"/>
  <c r="M288" i="20"/>
  <c r="M282" i="20"/>
  <c r="M276" i="20"/>
  <c r="M232" i="11"/>
  <c r="M219" i="11"/>
  <c r="M129" i="11"/>
  <c r="M153" i="11" s="1"/>
  <c r="S153" i="11" s="1"/>
  <c r="AE153" i="11" s="1"/>
  <c r="M18" i="11"/>
  <c r="AE160" i="18"/>
  <c r="X561" i="11"/>
  <c r="X562" i="11"/>
  <c r="X563" i="11"/>
  <c r="X564" i="11"/>
  <c r="M352" i="11"/>
  <c r="O392" i="11"/>
  <c r="O393" i="11" s="1"/>
  <c r="AE392" i="11" s="1"/>
  <c r="AE158" i="18"/>
  <c r="AE112" i="18"/>
  <c r="AE113" i="18"/>
  <c r="AE116" i="18"/>
  <c r="AE117" i="18"/>
  <c r="AE120" i="18"/>
  <c r="AE121" i="18"/>
  <c r="AE125" i="18"/>
  <c r="AE128" i="18"/>
  <c r="AE143" i="18"/>
  <c r="AE146" i="18"/>
  <c r="AE149" i="18"/>
  <c r="AE152" i="18"/>
  <c r="AE155" i="18"/>
  <c r="AH499" i="21"/>
  <c r="AL499" i="21" s="1"/>
  <c r="AH513" i="21"/>
  <c r="AL513" i="21" s="1"/>
  <c r="AH492" i="21"/>
  <c r="AL492" i="21" s="1"/>
  <c r="AH534" i="21"/>
  <c r="AL534" i="21" s="1"/>
  <c r="AH527" i="21"/>
  <c r="AL527" i="21" s="1"/>
  <c r="AL482" i="21"/>
  <c r="AL464" i="21"/>
  <c r="AL452" i="21"/>
  <c r="AH150" i="21"/>
  <c r="AL150" i="21" s="1"/>
  <c r="AH131" i="21"/>
  <c r="AL131" i="21" s="1"/>
  <c r="AL124" i="21"/>
  <c r="AL117" i="21"/>
  <c r="AH110" i="21"/>
  <c r="AL110" i="21" s="1"/>
  <c r="AL99" i="21"/>
  <c r="AL89" i="21"/>
  <c r="AH82" i="21"/>
  <c r="AL82" i="21" s="1"/>
  <c r="AH74" i="21"/>
  <c r="AL74" i="21" s="1"/>
  <c r="AL63" i="21"/>
  <c r="AL53" i="21"/>
  <c r="AH42" i="21"/>
  <c r="AL42" i="21" s="1"/>
  <c r="AH34" i="21"/>
  <c r="AL34" i="21" s="1"/>
  <c r="AL23" i="21"/>
  <c r="AD215" i="18"/>
  <c r="AE215" i="18" s="1"/>
  <c r="AD209" i="18"/>
  <c r="AE209" i="18" s="1"/>
  <c r="AD203" i="18"/>
  <c r="AE203" i="18" s="1"/>
  <c r="AD187" i="18"/>
  <c r="AE187" i="18" s="1"/>
  <c r="AD181" i="18"/>
  <c r="AE181" i="18" s="1"/>
  <c r="AD175" i="18"/>
  <c r="AE175" i="18" s="1"/>
  <c r="I21" i="7"/>
  <c r="U28" i="7"/>
  <c r="AG146" i="14"/>
  <c r="AG92" i="14"/>
  <c r="AH92" i="14" s="1"/>
  <c r="AG70" i="14"/>
  <c r="AH511" i="20"/>
  <c r="AL511" i="20" s="1"/>
  <c r="AH532" i="20"/>
  <c r="AL532" i="20" s="1"/>
  <c r="AH525" i="20"/>
  <c r="AL525" i="20" s="1"/>
  <c r="AL328" i="20"/>
  <c r="AH150" i="20"/>
  <c r="AL150" i="20" s="1"/>
  <c r="AH130" i="20"/>
  <c r="AL130" i="20" s="1"/>
  <c r="AH123" i="20"/>
  <c r="AL123" i="20" s="1"/>
  <c r="AL116" i="20"/>
  <c r="AL109" i="20"/>
  <c r="AL88" i="20"/>
  <c r="AH80" i="20"/>
  <c r="AL80" i="20" s="1"/>
  <c r="AH73" i="20"/>
  <c r="AL73" i="20" s="1"/>
  <c r="AL54" i="20"/>
  <c r="AH42" i="20"/>
  <c r="AL42" i="20" s="1"/>
  <c r="AH34" i="20"/>
  <c r="AH473" i="19"/>
  <c r="AH152" i="19"/>
  <c r="AH146" i="19"/>
  <c r="AH139" i="19"/>
  <c r="AH132" i="19"/>
  <c r="AH125" i="19"/>
  <c r="AH64" i="19"/>
  <c r="AH100" i="19" s="1"/>
  <c r="AH54" i="19"/>
  <c r="AH43" i="19"/>
  <c r="AH35" i="19"/>
  <c r="AH122" i="17"/>
  <c r="AH159" i="17" s="1"/>
  <c r="AH115" i="17"/>
  <c r="AH152" i="17" s="1"/>
  <c r="AH100" i="17"/>
  <c r="AH82" i="17"/>
  <c r="AH71" i="17"/>
  <c r="AH132" i="17" s="1"/>
  <c r="AH536" i="19"/>
  <c r="AE388" i="11"/>
  <c r="AM389" i="11" s="1"/>
  <c r="AH694" i="19"/>
  <c r="AD694" i="19"/>
  <c r="AD693" i="19"/>
  <c r="AH580" i="17"/>
  <c r="AD580" i="17"/>
  <c r="AE1145" i="11"/>
  <c r="AM1145" i="11" s="1"/>
  <c r="A139" i="13"/>
  <c r="A207" i="13"/>
  <c r="U441" i="13"/>
  <c r="AC58" i="14"/>
  <c r="AH720" i="19"/>
  <c r="U24" i="7"/>
  <c r="AH573" i="19"/>
  <c r="W548" i="19"/>
  <c r="V548" i="19"/>
  <c r="AC550" i="19" s="1"/>
  <c r="V547" i="19"/>
  <c r="W547" i="19"/>
  <c r="AH478" i="19"/>
  <c r="AH435" i="19"/>
  <c r="AL435" i="19" s="1"/>
  <c r="AH378" i="19"/>
  <c r="AL378" i="19" s="1"/>
  <c r="AH379" i="19"/>
  <c r="AL379" i="19" s="1"/>
  <c r="W346" i="19"/>
  <c r="V346" i="19"/>
  <c r="V347" i="19"/>
  <c r="AC347" i="19" s="1"/>
  <c r="AH328" i="19"/>
  <c r="AH265" i="19"/>
  <c r="AH264" i="19"/>
  <c r="AH194" i="19"/>
  <c r="AH219" i="19" s="1"/>
  <c r="AH228" i="19" s="1"/>
  <c r="AH174" i="19"/>
  <c r="AH157" i="19"/>
  <c r="AH68" i="19"/>
  <c r="AH104" i="19" s="1"/>
  <c r="AH171" i="19" s="1"/>
  <c r="AH180" i="19" s="1"/>
  <c r="AH200" i="19" s="1"/>
  <c r="AH67" i="19"/>
  <c r="AH103" i="19" s="1"/>
  <c r="AH170" i="19" s="1"/>
  <c r="AH58" i="19"/>
  <c r="AH94" i="19" s="1"/>
  <c r="AH39" i="19"/>
  <c r="AD486" i="17"/>
  <c r="AD483" i="17"/>
  <c r="AD488" i="17"/>
  <c r="AM787" i="11"/>
  <c r="AH469" i="17"/>
  <c r="AH439" i="17" s="1"/>
  <c r="AH451" i="17" s="1"/>
  <c r="AH470" i="17"/>
  <c r="AH440" i="17" s="1"/>
  <c r="AH452" i="17" s="1"/>
  <c r="AH468" i="17"/>
  <c r="AH438" i="17" s="1"/>
  <c r="AH450" i="17" s="1"/>
  <c r="AH463" i="17"/>
  <c r="AH433" i="17" s="1"/>
  <c r="AH445" i="17" s="1"/>
  <c r="AH464" i="17"/>
  <c r="AH434" i="17" s="1"/>
  <c r="AH446" i="17" s="1"/>
  <c r="AH462" i="17"/>
  <c r="AH432" i="17" s="1"/>
  <c r="AH444" i="17" s="1"/>
  <c r="AH457" i="17"/>
  <c r="AH427" i="17" s="1"/>
  <c r="AH458" i="17"/>
  <c r="AH428" i="17" s="1"/>
  <c r="AH456" i="17"/>
  <c r="AH426" i="17" s="1"/>
  <c r="AH371" i="17"/>
  <c r="AH298" i="17"/>
  <c r="AH339" i="17" s="1"/>
  <c r="AH276" i="17"/>
  <c r="AH325" i="17" s="1"/>
  <c r="AH332" i="17" s="1"/>
  <c r="AH118" i="17"/>
  <c r="AH155" i="17" s="1"/>
  <c r="AH111" i="17"/>
  <c r="AH148" i="17" s="1"/>
  <c r="AH96" i="17"/>
  <c r="AH76" i="17"/>
  <c r="AH137" i="17" s="1"/>
  <c r="AH65" i="17"/>
  <c r="AH126" i="17" s="1"/>
  <c r="AD1194" i="11"/>
  <c r="AM1194" i="11" s="1"/>
  <c r="AD1193" i="11"/>
  <c r="AD1192" i="11"/>
  <c r="AI1174" i="11"/>
  <c r="AH704" i="19" s="1"/>
  <c r="AI1173" i="11"/>
  <c r="AH703" i="19" s="1"/>
  <c r="AI1167" i="11"/>
  <c r="AI1158" i="11"/>
  <c r="U27" i="7"/>
  <c r="U25" i="7"/>
  <c r="U26" i="7"/>
  <c r="I20" i="7"/>
  <c r="I19" i="7"/>
  <c r="I18" i="7"/>
  <c r="I17" i="7"/>
  <c r="AI1031" i="11"/>
  <c r="AI1032" i="11"/>
  <c r="AI1033" i="11"/>
  <c r="AH632" i="19" s="1"/>
  <c r="AL632" i="19" s="1"/>
  <c r="AI1034" i="11"/>
  <c r="AI1035" i="11"/>
  <c r="AH634" i="19" s="1"/>
  <c r="AL634" i="19" s="1"/>
  <c r="AI1030" i="11"/>
  <c r="AM1030" i="11" s="1"/>
  <c r="AI1029" i="11"/>
  <c r="AH628" i="19" s="1"/>
  <c r="AL628" i="19" s="1"/>
  <c r="AH625" i="19"/>
  <c r="AI1025" i="11"/>
  <c r="AI1006" i="11"/>
  <c r="AH604" i="19" s="1"/>
  <c r="AI422" i="11"/>
  <c r="AI416" i="11"/>
  <c r="AI353" i="11"/>
  <c r="AI265" i="11"/>
  <c r="AI277" i="11" s="1"/>
  <c r="AI289" i="11" s="1"/>
  <c r="AI235" i="11"/>
  <c r="AI246" i="11" s="1"/>
  <c r="AI244" i="11"/>
  <c r="AI234" i="11"/>
  <c r="AI245" i="11" s="1"/>
  <c r="AI161" i="11"/>
  <c r="AI105" i="11"/>
  <c r="AI98" i="11"/>
  <c r="AI90" i="11"/>
  <c r="AI68" i="11"/>
  <c r="V464" i="11"/>
  <c r="V465" i="11"/>
  <c r="AD465" i="11" s="1"/>
  <c r="W464" i="11"/>
  <c r="V910" i="11"/>
  <c r="V911" i="11"/>
  <c r="AD913" i="11" s="1"/>
  <c r="W911" i="11"/>
  <c r="W910" i="11"/>
  <c r="S546" i="11"/>
  <c r="AD675" i="19"/>
  <c r="AL675" i="19" s="1"/>
  <c r="AE1125" i="11"/>
  <c r="AM1125" i="11" s="1"/>
  <c r="AD561" i="17"/>
  <c r="AL561" i="17" s="1"/>
  <c r="G245" i="9"/>
  <c r="AM543" i="11"/>
  <c r="F73" i="4"/>
  <c r="D1279" i="11" s="1"/>
  <c r="S1162" i="11"/>
  <c r="S1161" i="11"/>
  <c r="AE1159" i="11"/>
  <c r="AM1159" i="11" s="1"/>
  <c r="AE1158" i="11"/>
  <c r="AE1157" i="11"/>
  <c r="AM1157" i="11" s="1"/>
  <c r="AE1156" i="11"/>
  <c r="AM1156" i="11" s="1"/>
  <c r="Q1134" i="11"/>
  <c r="W246" i="13"/>
  <c r="X246" i="13" s="1"/>
  <c r="W195" i="13"/>
  <c r="X195" i="13" s="1"/>
  <c r="W180" i="13"/>
  <c r="X180" i="13" s="1"/>
  <c r="W63" i="13"/>
  <c r="X63" i="13" s="1"/>
  <c r="W49" i="13"/>
  <c r="X49" i="13" s="1"/>
  <c r="U45" i="7"/>
  <c r="AH601" i="17"/>
  <c r="AH602" i="17"/>
  <c r="AL602" i="17" s="1"/>
  <c r="AH600" i="17"/>
  <c r="AH565" i="17"/>
  <c r="AH563" i="17"/>
  <c r="AH523" i="17"/>
  <c r="AH519" i="17"/>
  <c r="AH507" i="17"/>
  <c r="AH503" i="17"/>
  <c r="AH500" i="17"/>
  <c r="AH501" i="17"/>
  <c r="AH499" i="17"/>
  <c r="AH495" i="17"/>
  <c r="AH496" i="17"/>
  <c r="AH494" i="17"/>
  <c r="AH490" i="17"/>
  <c r="AH484" i="17"/>
  <c r="AL484" i="17" s="1"/>
  <c r="AH485" i="17"/>
  <c r="AL485" i="17" s="1"/>
  <c r="AH486" i="17"/>
  <c r="AH487" i="17"/>
  <c r="AL487" i="17" s="1"/>
  <c r="AH488" i="17"/>
  <c r="AH483" i="17"/>
  <c r="AH476" i="17"/>
  <c r="AH477" i="17" s="1"/>
  <c r="AH474" i="17"/>
  <c r="AH475" i="17" s="1"/>
  <c r="AC563" i="17"/>
  <c r="AH692" i="19"/>
  <c r="AH578" i="17"/>
  <c r="AD692" i="19"/>
  <c r="AD578" i="17"/>
  <c r="AE1143" i="11"/>
  <c r="AM1143" i="11" s="1"/>
  <c r="F245" i="9"/>
  <c r="E245" i="9"/>
  <c r="D245" i="9"/>
  <c r="F183" i="9"/>
  <c r="E183" i="9"/>
  <c r="D183" i="9"/>
  <c r="AH598" i="17"/>
  <c r="AH597" i="17"/>
  <c r="AH592" i="17"/>
  <c r="AH590" i="17"/>
  <c r="AH583" i="17"/>
  <c r="AH584" i="17"/>
  <c r="AH585" i="17"/>
  <c r="AH586" i="17"/>
  <c r="AH579" i="17"/>
  <c r="AH574" i="17"/>
  <c r="AH575" i="17"/>
  <c r="AH576" i="17"/>
  <c r="AH573" i="17"/>
  <c r="AH570" i="17"/>
  <c r="AH571" i="17"/>
  <c r="AH572" i="17"/>
  <c r="AH569" i="17"/>
  <c r="AD590" i="17"/>
  <c r="AD588" i="17"/>
  <c r="AD587" i="17"/>
  <c r="AD586" i="17"/>
  <c r="AD585" i="17"/>
  <c r="AD584" i="17"/>
  <c r="AD583" i="17"/>
  <c r="AD582" i="17"/>
  <c r="AD570" i="17"/>
  <c r="AD569" i="17"/>
  <c r="S594" i="17"/>
  <c r="S593" i="17"/>
  <c r="S579" i="17"/>
  <c r="AD579" i="17" s="1"/>
  <c r="Q576" i="17"/>
  <c r="AD576" i="17" s="1"/>
  <c r="Q575" i="17"/>
  <c r="AD575" i="17" s="1"/>
  <c r="Q574" i="17"/>
  <c r="AD574" i="17" s="1"/>
  <c r="Q573" i="17"/>
  <c r="AD573" i="17" s="1"/>
  <c r="Q572" i="17"/>
  <c r="AD572" i="17" s="1"/>
  <c r="Q571" i="17"/>
  <c r="AD571" i="17" s="1"/>
  <c r="S507" i="17"/>
  <c r="S503" i="17"/>
  <c r="S524" i="17"/>
  <c r="S520" i="17"/>
  <c r="S508" i="17"/>
  <c r="S523" i="17"/>
  <c r="S519" i="17"/>
  <c r="S504" i="17"/>
  <c r="AD498" i="17"/>
  <c r="AL502" i="17" s="1"/>
  <c r="S493" i="17"/>
  <c r="AD493" i="17" s="1"/>
  <c r="AL497" i="17" s="1"/>
  <c r="AD490" i="17"/>
  <c r="AL482" i="17"/>
  <c r="BN46" i="7"/>
  <c r="BN45" i="7"/>
  <c r="AY46" i="7"/>
  <c r="AY45" i="7"/>
  <c r="AH719" i="19"/>
  <c r="AH718" i="19"/>
  <c r="AH716" i="19"/>
  <c r="AH715" i="19"/>
  <c r="AH710" i="19"/>
  <c r="AH708" i="19"/>
  <c r="AH707" i="19"/>
  <c r="AH706" i="19"/>
  <c r="AH698" i="19"/>
  <c r="AH699" i="19"/>
  <c r="AH700" i="19"/>
  <c r="AH701" i="19"/>
  <c r="AH702" i="19"/>
  <c r="AH696" i="19"/>
  <c r="AH693" i="19"/>
  <c r="AH684" i="19"/>
  <c r="AH685" i="19"/>
  <c r="AH686" i="19"/>
  <c r="AH687" i="19"/>
  <c r="AH688" i="19"/>
  <c r="AH689" i="19"/>
  <c r="AH690" i="19"/>
  <c r="AH683" i="19"/>
  <c r="AH679" i="19"/>
  <c r="AH677" i="19"/>
  <c r="AH668" i="19"/>
  <c r="AH666" i="19"/>
  <c r="AH659" i="19"/>
  <c r="AH657" i="19"/>
  <c r="AH653" i="19"/>
  <c r="AH654" i="19"/>
  <c r="AH652" i="19"/>
  <c r="AH647" i="19"/>
  <c r="AH648" i="19"/>
  <c r="AH646" i="19"/>
  <c r="AH642" i="19"/>
  <c r="AH627" i="19"/>
  <c r="AH623" i="19"/>
  <c r="AH436" i="19"/>
  <c r="AL436" i="19" s="1"/>
  <c r="AH437" i="19"/>
  <c r="AL437" i="19" s="1"/>
  <c r="AH438" i="19"/>
  <c r="AL438" i="19" s="1"/>
  <c r="AH439" i="19"/>
  <c r="AL439" i="19" s="1"/>
  <c r="AH440" i="19"/>
  <c r="AL440" i="19" s="1"/>
  <c r="AH433" i="19"/>
  <c r="AH434" i="19"/>
  <c r="AH431" i="19"/>
  <c r="AH430" i="19"/>
  <c r="AL430" i="19" s="1"/>
  <c r="AH373" i="19"/>
  <c r="AH183" i="19"/>
  <c r="AH151" i="19"/>
  <c r="AH37" i="19"/>
  <c r="AH77" i="19" s="1"/>
  <c r="AH339" i="19"/>
  <c r="AH331" i="19"/>
  <c r="AH159" i="19"/>
  <c r="AH155" i="19"/>
  <c r="AH149" i="19"/>
  <c r="AH150" i="19"/>
  <c r="AH148" i="19"/>
  <c r="AH143" i="19"/>
  <c r="AH144" i="19"/>
  <c r="AH145" i="19"/>
  <c r="AH142" i="19"/>
  <c r="AH136" i="19"/>
  <c r="AH137" i="19"/>
  <c r="AH138" i="19"/>
  <c r="AH135" i="19"/>
  <c r="AH129" i="19"/>
  <c r="AH130" i="19"/>
  <c r="AH131" i="19"/>
  <c r="AH128" i="19"/>
  <c r="AH122" i="19"/>
  <c r="AH123" i="19"/>
  <c r="AH124" i="19"/>
  <c r="AH121" i="19"/>
  <c r="AH323" i="19"/>
  <c r="AH324" i="19"/>
  <c r="AH322" i="19"/>
  <c r="AH292" i="19" s="1"/>
  <c r="AH317" i="19"/>
  <c r="AH318" i="19"/>
  <c r="AH316" i="19"/>
  <c r="AH311" i="19"/>
  <c r="AH312" i="19"/>
  <c r="AH310" i="19"/>
  <c r="AH280" i="19" s="1"/>
  <c r="AH53" i="19"/>
  <c r="AH51" i="19"/>
  <c r="AH52" i="19"/>
  <c r="AH50" i="19"/>
  <c r="AH40" i="19"/>
  <c r="AH41" i="19"/>
  <c r="AH81" i="19" s="1"/>
  <c r="AH42" i="19"/>
  <c r="AH46" i="19"/>
  <c r="AH32" i="19"/>
  <c r="AH33" i="19"/>
  <c r="AH34" i="19"/>
  <c r="AH31" i="19"/>
  <c r="AH176" i="19"/>
  <c r="AH175" i="19"/>
  <c r="AF449" i="17"/>
  <c r="AF443" i="17"/>
  <c r="AF437" i="17"/>
  <c r="AF431" i="17"/>
  <c r="AF425" i="17"/>
  <c r="AH467" i="17"/>
  <c r="AH461" i="17"/>
  <c r="AH455" i="17"/>
  <c r="AF400" i="17"/>
  <c r="AF394" i="17"/>
  <c r="AF388" i="17"/>
  <c r="AF382" i="17"/>
  <c r="AF376" i="17"/>
  <c r="AH390" i="17"/>
  <c r="AH402" i="17" s="1"/>
  <c r="AH391" i="17"/>
  <c r="AH403" i="17" s="1"/>
  <c r="AH389" i="17"/>
  <c r="AH401" i="17" s="1"/>
  <c r="AH378" i="17"/>
  <c r="AH379" i="17"/>
  <c r="AH377" i="17"/>
  <c r="AH366" i="17"/>
  <c r="AF370" i="17"/>
  <c r="AF365" i="17"/>
  <c r="AH299" i="17"/>
  <c r="AH340" i="17" s="1"/>
  <c r="AH300" i="17"/>
  <c r="AH341" i="17" s="1"/>
  <c r="AH277" i="17"/>
  <c r="AH326" i="17" s="1"/>
  <c r="AH333" i="17" s="1"/>
  <c r="AH278" i="17"/>
  <c r="AF297" i="17"/>
  <c r="AF275" i="17"/>
  <c r="AF269" i="17"/>
  <c r="AF262" i="17"/>
  <c r="AH284" i="17"/>
  <c r="AH285" i="17"/>
  <c r="AH283" i="17"/>
  <c r="AF236" i="17"/>
  <c r="AH119" i="17"/>
  <c r="AH156" i="17" s="1"/>
  <c r="AH120" i="17"/>
  <c r="AH157" i="17" s="1"/>
  <c r="AH121" i="17"/>
  <c r="AH158" i="17" s="1"/>
  <c r="AH112" i="17"/>
  <c r="AH149" i="17" s="1"/>
  <c r="AH113" i="17"/>
  <c r="AH150" i="17" s="1"/>
  <c r="AH114" i="17"/>
  <c r="AH151" i="17" s="1"/>
  <c r="AF117" i="17"/>
  <c r="AF110" i="17"/>
  <c r="AH102" i="17"/>
  <c r="AH97" i="17"/>
  <c r="AH98" i="17"/>
  <c r="AH99" i="17"/>
  <c r="AF95" i="17"/>
  <c r="AH77" i="17"/>
  <c r="AH138" i="17" s="1"/>
  <c r="AH78" i="17"/>
  <c r="AH139" i="17" s="1"/>
  <c r="AH79" i="17"/>
  <c r="AH140" i="17" s="1"/>
  <c r="AH80" i="17"/>
  <c r="AH141" i="17" s="1"/>
  <c r="AH81" i="17"/>
  <c r="AH142" i="17" s="1"/>
  <c r="AF75" i="17"/>
  <c r="AH66" i="17"/>
  <c r="AH127" i="17" s="1"/>
  <c r="AH67" i="17"/>
  <c r="AH128" i="17" s="1"/>
  <c r="AH68" i="17"/>
  <c r="AH129" i="17" s="1"/>
  <c r="AH69" i="17"/>
  <c r="AH130" i="17" s="1"/>
  <c r="AH70" i="17"/>
  <c r="AH131" i="17" s="1"/>
  <c r="AF125" i="17"/>
  <c r="AH52" i="17"/>
  <c r="O270" i="17"/>
  <c r="S270" i="17" s="1"/>
  <c r="O269" i="17"/>
  <c r="S269" i="17" s="1"/>
  <c r="AD269" i="17" s="1"/>
  <c r="AH18" i="11"/>
  <c r="U439" i="13"/>
  <c r="U433" i="13"/>
  <c r="S717" i="20"/>
  <c r="S719" i="20" s="1"/>
  <c r="S720" i="20" s="1"/>
  <c r="S721" i="20" s="1"/>
  <c r="M1214" i="11"/>
  <c r="AG232" i="11"/>
  <c r="AG243" i="11" s="1"/>
  <c r="AH243" i="11" s="1"/>
  <c r="Q10" i="4"/>
  <c r="B1210" i="11"/>
  <c r="K14" i="4"/>
  <c r="AD65" i="18"/>
  <c r="BE3" i="7"/>
  <c r="BI16" i="7" s="1"/>
  <c r="BJ16" i="7" s="1"/>
  <c r="BE2" i="7"/>
  <c r="AP3" i="7"/>
  <c r="AP2" i="7"/>
  <c r="AA2" i="7"/>
  <c r="AD79" i="18"/>
  <c r="AD72" i="18"/>
  <c r="Z103" i="18"/>
  <c r="AE103" i="18" s="1"/>
  <c r="D33" i="4"/>
  <c r="D32" i="4"/>
  <c r="T923" i="11"/>
  <c r="S923" i="11"/>
  <c r="T910" i="11"/>
  <c r="S910" i="11"/>
  <c r="W924" i="11"/>
  <c r="W923" i="11"/>
  <c r="S368" i="11"/>
  <c r="U355" i="13"/>
  <c r="U353" i="13"/>
  <c r="U344" i="13"/>
  <c r="U328" i="13"/>
  <c r="M619" i="20"/>
  <c r="AH618" i="20"/>
  <c r="M618" i="20"/>
  <c r="AC618" i="20" s="1"/>
  <c r="M628" i="20"/>
  <c r="M629" i="20" s="1"/>
  <c r="AH484" i="20"/>
  <c r="AD484" i="20"/>
  <c r="AL439" i="20"/>
  <c r="AL438" i="20"/>
  <c r="AL437" i="20"/>
  <c r="AL436" i="20"/>
  <c r="AL435" i="20"/>
  <c r="AL434" i="20"/>
  <c r="AD433" i="20"/>
  <c r="AL429" i="20"/>
  <c r="S372" i="20"/>
  <c r="AD372" i="20" s="1"/>
  <c r="AL372" i="20" s="1"/>
  <c r="S370" i="20"/>
  <c r="AD370" i="20" s="1"/>
  <c r="AL370" i="20" s="1"/>
  <c r="S368" i="20"/>
  <c r="AD368" i="20" s="1"/>
  <c r="AL368" i="20" s="1"/>
  <c r="S366" i="20"/>
  <c r="AD366" i="20" s="1"/>
  <c r="AL366" i="20" s="1"/>
  <c r="S364" i="20"/>
  <c r="AD364" i="20" s="1"/>
  <c r="AL364" i="20" s="1"/>
  <c r="AD719" i="19"/>
  <c r="AC720" i="19"/>
  <c r="AC719" i="19"/>
  <c r="AC718" i="19"/>
  <c r="S718" i="19"/>
  <c r="AD718" i="19" s="1"/>
  <c r="S645" i="19"/>
  <c r="AD645" i="19" s="1"/>
  <c r="AL645" i="19" s="1"/>
  <c r="AD601" i="17"/>
  <c r="AC602" i="17"/>
  <c r="AC601" i="17"/>
  <c r="AC600" i="17"/>
  <c r="S600" i="17"/>
  <c r="AD600" i="17" s="1"/>
  <c r="S477" i="17"/>
  <c r="AD477" i="17" s="1"/>
  <c r="S475" i="17"/>
  <c r="AD475" i="17" s="1"/>
  <c r="S467" i="17"/>
  <c r="AD467" i="17" s="1"/>
  <c r="AL471" i="17" s="1"/>
  <c r="S461" i="17"/>
  <c r="AD461" i="17" s="1"/>
  <c r="AE1193" i="11"/>
  <c r="S1144" i="11"/>
  <c r="AE1144" i="11" s="1"/>
  <c r="AM1144" i="11" s="1"/>
  <c r="Z53" i="18"/>
  <c r="Z58" i="18"/>
  <c r="O65" i="18"/>
  <c r="Z65" i="18" s="1"/>
  <c r="Z44" i="18"/>
  <c r="Z33" i="18"/>
  <c r="Z98" i="18"/>
  <c r="AE1062" i="11"/>
  <c r="AM1063" i="11" s="1"/>
  <c r="S1056" i="11"/>
  <c r="AE1056" i="11" s="1"/>
  <c r="AM1061" i="11" s="1"/>
  <c r="U427" i="13"/>
  <c r="U421" i="13"/>
  <c r="AD651" i="19"/>
  <c r="AL651" i="19" s="1"/>
  <c r="S1192" i="11"/>
  <c r="AE1192" i="11" s="1"/>
  <c r="M127" i="11"/>
  <c r="AG120" i="11"/>
  <c r="AH120" i="11" s="1"/>
  <c r="AE120" i="11"/>
  <c r="AD293" i="17"/>
  <c r="AL296" i="17" s="1"/>
  <c r="AD289" i="17"/>
  <c r="AL290" i="17" s="1"/>
  <c r="AD86" i="17"/>
  <c r="AL90" i="17" s="1"/>
  <c r="AE311" i="11"/>
  <c r="AH305" i="11"/>
  <c r="AE305" i="11"/>
  <c r="AG111" i="11"/>
  <c r="AH111" i="11" s="1"/>
  <c r="AE111" i="11"/>
  <c r="M276" i="21"/>
  <c r="S276" i="21" s="1"/>
  <c r="M274" i="20"/>
  <c r="S274" i="20" s="1"/>
  <c r="M278" i="19"/>
  <c r="S278" i="19" s="1"/>
  <c r="AG142" i="14"/>
  <c r="AG143" i="14"/>
  <c r="AG144" i="14"/>
  <c r="AG145" i="14"/>
  <c r="AG147" i="14"/>
  <c r="AG141" i="14"/>
  <c r="AG152" i="14"/>
  <c r="AG157" i="14" s="1"/>
  <c r="AG153" i="14"/>
  <c r="AG158" i="14" s="1"/>
  <c r="AG151" i="14"/>
  <c r="AG156" i="14" s="1"/>
  <c r="AH372" i="17"/>
  <c r="AH373" i="17"/>
  <c r="AH367" i="17"/>
  <c r="AH368" i="17"/>
  <c r="S155" i="14"/>
  <c r="S130" i="14"/>
  <c r="S109" i="14"/>
  <c r="S108" i="14"/>
  <c r="S107" i="14"/>
  <c r="S99" i="14"/>
  <c r="S86" i="14"/>
  <c r="S85" i="14"/>
  <c r="S84" i="14"/>
  <c r="S67" i="14"/>
  <c r="G8" i="14"/>
  <c r="S150" i="14"/>
  <c r="S118" i="14"/>
  <c r="S119" i="14"/>
  <c r="AG112" i="14"/>
  <c r="AH112" i="14" s="1"/>
  <c r="AG113" i="14"/>
  <c r="AH113" i="14" s="1"/>
  <c r="AG111" i="14"/>
  <c r="Y105" i="14"/>
  <c r="Y106" i="14"/>
  <c r="Y104" i="14"/>
  <c r="Y97" i="14"/>
  <c r="Y98" i="14"/>
  <c r="Y96" i="14"/>
  <c r="AG104" i="14"/>
  <c r="AG97" i="14"/>
  <c r="AG98" i="14"/>
  <c r="AG96" i="14"/>
  <c r="AE110" i="14"/>
  <c r="AF110" i="14" s="1"/>
  <c r="AE103" i="14"/>
  <c r="AF103" i="14" s="1"/>
  <c r="AE95" i="14"/>
  <c r="AF95" i="14" s="1"/>
  <c r="AG89" i="14"/>
  <c r="AG90" i="14"/>
  <c r="AG91" i="14"/>
  <c r="AH91" i="14" s="1"/>
  <c r="AG88" i="14"/>
  <c r="AE87" i="14"/>
  <c r="AF87" i="14" s="1"/>
  <c r="AG76" i="14"/>
  <c r="AG77" i="14"/>
  <c r="AG78" i="14"/>
  <c r="AG79" i="14"/>
  <c r="AG80" i="14"/>
  <c r="AG75" i="14"/>
  <c r="I27" i="14"/>
  <c r="AE63" i="14"/>
  <c r="AF63" i="14" s="1"/>
  <c r="AG65" i="14"/>
  <c r="AG66" i="14"/>
  <c r="AG67" i="14"/>
  <c r="AG68" i="14"/>
  <c r="AG69" i="14"/>
  <c r="AG64" i="14"/>
  <c r="W316" i="13"/>
  <c r="X316" i="13" s="1"/>
  <c r="U316" i="13"/>
  <c r="W311" i="13"/>
  <c r="X311" i="13" s="1"/>
  <c r="U311" i="13"/>
  <c r="AD158" i="21"/>
  <c r="AL158" i="21" s="1"/>
  <c r="AD156" i="21"/>
  <c r="AL156" i="21" s="1"/>
  <c r="AD154" i="21"/>
  <c r="AL154" i="21" s="1"/>
  <c r="AD158" i="20"/>
  <c r="AL158" i="20" s="1"/>
  <c r="AD156" i="20"/>
  <c r="AL156" i="20" s="1"/>
  <c r="AD154" i="20"/>
  <c r="AL154" i="20" s="1"/>
  <c r="AD159" i="19"/>
  <c r="AD157" i="19"/>
  <c r="AD155" i="19"/>
  <c r="AD201" i="17"/>
  <c r="AL201" i="17" s="1"/>
  <c r="AD199" i="17"/>
  <c r="AL199" i="17" s="1"/>
  <c r="AD197" i="17"/>
  <c r="AL197" i="17" s="1"/>
  <c r="AE214" i="11"/>
  <c r="AM214" i="11" s="1"/>
  <c r="AE212" i="11"/>
  <c r="AM212" i="11" s="1"/>
  <c r="AE210" i="11"/>
  <c r="AM210" i="11" s="1"/>
  <c r="S272" i="20"/>
  <c r="S276" i="19"/>
  <c r="O127" i="11"/>
  <c r="AH311" i="11"/>
  <c r="S686" i="20"/>
  <c r="S684" i="20"/>
  <c r="S680" i="20"/>
  <c r="S678" i="20"/>
  <c r="S671" i="20"/>
  <c r="AC603" i="20"/>
  <c r="AD603" i="20" s="1"/>
  <c r="AL606" i="20" s="1"/>
  <c r="S597" i="20"/>
  <c r="AD597" i="20" s="1"/>
  <c r="AL597" i="20" s="1"/>
  <c r="S593" i="20"/>
  <c r="AD593" i="20" s="1"/>
  <c r="AL593" i="20" s="1"/>
  <c r="S546" i="20"/>
  <c r="AD546" i="20" s="1"/>
  <c r="AL546" i="20" s="1"/>
  <c r="S545" i="20"/>
  <c r="W545" i="20" s="1"/>
  <c r="S535" i="20"/>
  <c r="AD535" i="20" s="1"/>
  <c r="S528" i="20"/>
  <c r="AD528" i="20" s="1"/>
  <c r="S521" i="20"/>
  <c r="AD521" i="20" s="1"/>
  <c r="S474" i="20"/>
  <c r="AD474" i="20" s="1"/>
  <c r="S468" i="20"/>
  <c r="S456" i="20"/>
  <c r="AD456" i="20" s="1"/>
  <c r="S442" i="20"/>
  <c r="AC385" i="20"/>
  <c r="AD385" i="20" s="1"/>
  <c r="AC380" i="20"/>
  <c r="AC390" i="20" s="1"/>
  <c r="AD390" i="20" s="1"/>
  <c r="AL390" i="20" s="1"/>
  <c r="S318" i="20"/>
  <c r="AD318" i="20" s="1"/>
  <c r="AL323" i="20" s="1"/>
  <c r="S312" i="20"/>
  <c r="AD312" i="20" s="1"/>
  <c r="AL317" i="20" s="1"/>
  <c r="S306" i="20"/>
  <c r="AD306" i="20" s="1"/>
  <c r="S270" i="20"/>
  <c r="S250" i="20"/>
  <c r="AD250" i="20" s="1"/>
  <c r="AL258" i="20" s="1"/>
  <c r="S48" i="20"/>
  <c r="AD48" i="20" s="1"/>
  <c r="S30" i="20"/>
  <c r="AD29" i="20"/>
  <c r="S27" i="20"/>
  <c r="AD27" i="20" s="1"/>
  <c r="N3" i="20"/>
  <c r="V468" i="20"/>
  <c r="V270" i="20"/>
  <c r="S268" i="20"/>
  <c r="S263" i="20"/>
  <c r="AD263" i="20" s="1"/>
  <c r="S241" i="20"/>
  <c r="AD241" i="20" s="1"/>
  <c r="S233" i="20"/>
  <c r="AD233" i="20" s="1"/>
  <c r="S224" i="20"/>
  <c r="AD224" i="20" s="1"/>
  <c r="S146" i="20"/>
  <c r="AD146" i="20" s="1"/>
  <c r="S119" i="20"/>
  <c r="AD119" i="20" s="1"/>
  <c r="S112" i="20"/>
  <c r="AD112" i="20" s="1"/>
  <c r="S103" i="20"/>
  <c r="AD103" i="20" s="1"/>
  <c r="S93" i="20"/>
  <c r="S84" i="20"/>
  <c r="AD84" i="20" s="1"/>
  <c r="S67" i="20"/>
  <c r="AD67" i="20" s="1"/>
  <c r="S57" i="20"/>
  <c r="S718" i="21"/>
  <c r="S516" i="21"/>
  <c r="AD516" i="21" s="1"/>
  <c r="S509" i="21"/>
  <c r="AD509" i="21" s="1"/>
  <c r="S502" i="21"/>
  <c r="AD502" i="21" s="1"/>
  <c r="S495" i="21"/>
  <c r="AD495" i="21" s="1"/>
  <c r="S488" i="21"/>
  <c r="AD488" i="21" s="1"/>
  <c r="V470" i="21"/>
  <c r="S371" i="21"/>
  <c r="AD371" i="21" s="1"/>
  <c r="S367" i="21"/>
  <c r="AD367" i="21" s="1"/>
  <c r="AL369" i="21" s="1"/>
  <c r="V272" i="21"/>
  <c r="S270" i="21"/>
  <c r="S265" i="21"/>
  <c r="AD265" i="21" s="1"/>
  <c r="S242" i="21"/>
  <c r="AD242" i="21" s="1"/>
  <c r="S234" i="21"/>
  <c r="AD234" i="21" s="1"/>
  <c r="S225" i="21"/>
  <c r="AD225" i="21" s="1"/>
  <c r="S209" i="21"/>
  <c r="AD209" i="21" s="1"/>
  <c r="S200" i="21"/>
  <c r="AD200" i="21" s="1"/>
  <c r="S180" i="21"/>
  <c r="AD180" i="21" s="1"/>
  <c r="S171" i="21"/>
  <c r="AD171" i="21" s="1"/>
  <c r="S146" i="21"/>
  <c r="AD146" i="21" s="1"/>
  <c r="S120" i="21"/>
  <c r="AD120" i="21" s="1"/>
  <c r="S113" i="21"/>
  <c r="AD113" i="21" s="1"/>
  <c r="S104" i="21"/>
  <c r="AD104" i="21" s="1"/>
  <c r="S94" i="21"/>
  <c r="S85" i="21"/>
  <c r="AD85" i="21" s="1"/>
  <c r="S68" i="21"/>
  <c r="AD68" i="21" s="1"/>
  <c r="S58" i="21"/>
  <c r="N3" i="21"/>
  <c r="S685" i="21"/>
  <c r="S683" i="21"/>
  <c r="S645" i="21" s="1"/>
  <c r="S679" i="21"/>
  <c r="S677" i="21"/>
  <c r="S670" i="21"/>
  <c r="AC605" i="21"/>
  <c r="AD605" i="21" s="1"/>
  <c r="S599" i="21"/>
  <c r="AD599" i="21" s="1"/>
  <c r="AL599" i="21" s="1"/>
  <c r="S595" i="21"/>
  <c r="AD595" i="21" s="1"/>
  <c r="AL595" i="21" s="1"/>
  <c r="S548" i="21"/>
  <c r="X548" i="21" s="1"/>
  <c r="S547" i="21"/>
  <c r="AD547" i="21" s="1"/>
  <c r="S537" i="21"/>
  <c r="AD537" i="21" s="1"/>
  <c r="S530" i="21"/>
  <c r="AD530" i="21" s="1"/>
  <c r="S523" i="21"/>
  <c r="AD523" i="21" s="1"/>
  <c r="S476" i="21"/>
  <c r="AD476" i="21" s="1"/>
  <c r="S470" i="21"/>
  <c r="S458" i="21"/>
  <c r="AD458" i="21" s="1"/>
  <c r="S444" i="21"/>
  <c r="AC386" i="21"/>
  <c r="AD386" i="21" s="1"/>
  <c r="S369" i="21"/>
  <c r="AD369" i="21" s="1"/>
  <c r="AL371" i="21" s="1"/>
  <c r="S365" i="21"/>
  <c r="AD365" i="21" s="1"/>
  <c r="S320" i="21"/>
  <c r="AD320" i="21" s="1"/>
  <c r="S314" i="21"/>
  <c r="AD314" i="21" s="1"/>
  <c r="S308" i="21"/>
  <c r="AD308" i="21" s="1"/>
  <c r="AL312" i="21" s="1"/>
  <c r="S272" i="21"/>
  <c r="S252" i="21"/>
  <c r="AD252" i="21" s="1"/>
  <c r="AL260" i="21" s="1"/>
  <c r="S49" i="21"/>
  <c r="AD49" i="21" s="1"/>
  <c r="AL50" i="21" s="1"/>
  <c r="S31" i="21"/>
  <c r="S30" i="21"/>
  <c r="AD30" i="21" s="1"/>
  <c r="S28" i="21"/>
  <c r="AD28" i="21" s="1"/>
  <c r="O72" i="18"/>
  <c r="Z72" i="18" s="1"/>
  <c r="O79" i="18"/>
  <c r="Z79" i="18" s="1"/>
  <c r="S121" i="14"/>
  <c r="G11" i="14"/>
  <c r="S712" i="19"/>
  <c r="S711" i="19"/>
  <c r="AD708" i="19"/>
  <c r="AD707" i="19"/>
  <c r="AD706" i="19"/>
  <c r="AD704" i="19"/>
  <c r="AD703" i="19"/>
  <c r="AD702" i="19"/>
  <c r="AD701" i="19"/>
  <c r="AD700" i="19"/>
  <c r="AD699" i="19"/>
  <c r="AD698" i="19"/>
  <c r="AD697" i="19"/>
  <c r="AD696" i="19"/>
  <c r="AD684" i="19"/>
  <c r="AM684" i="19" s="1"/>
  <c r="AD683" i="19"/>
  <c r="AN683" i="19" s="1"/>
  <c r="Q690" i="19"/>
  <c r="AD690" i="19" s="1"/>
  <c r="Q689" i="19"/>
  <c r="AD689" i="19" s="1"/>
  <c r="Q688" i="19"/>
  <c r="AD688" i="19" s="1"/>
  <c r="Q687" i="19"/>
  <c r="AD687" i="19" s="1"/>
  <c r="Q686" i="19"/>
  <c r="AD686" i="19" s="1"/>
  <c r="Q685" i="19"/>
  <c r="AD685" i="19" s="1"/>
  <c r="AD677" i="19"/>
  <c r="AC679" i="19"/>
  <c r="AD679" i="19" s="1"/>
  <c r="S669" i="19"/>
  <c r="S668" i="19"/>
  <c r="S667" i="19"/>
  <c r="S666" i="19"/>
  <c r="S660" i="19"/>
  <c r="S659" i="19"/>
  <c r="S658" i="19"/>
  <c r="S657" i="19"/>
  <c r="AD642" i="19"/>
  <c r="AJ46" i="7"/>
  <c r="AJ45" i="7"/>
  <c r="AB36" i="7"/>
  <c r="AB37" i="7"/>
  <c r="AB38" i="7"/>
  <c r="AB39" i="7"/>
  <c r="AB40" i="7"/>
  <c r="AB41" i="7"/>
  <c r="AB35" i="7"/>
  <c r="AH615" i="19"/>
  <c r="AH616" i="19"/>
  <c r="AH614" i="19"/>
  <c r="AH610" i="19"/>
  <c r="AH611" i="19"/>
  <c r="AH609" i="19"/>
  <c r="AH598" i="19"/>
  <c r="AH595" i="19"/>
  <c r="AH594" i="19"/>
  <c r="AH589" i="19"/>
  <c r="M614" i="19"/>
  <c r="M613" i="19"/>
  <c r="AC613" i="19" s="1"/>
  <c r="AD613" i="19" s="1"/>
  <c r="AL617" i="19" s="1"/>
  <c r="M609" i="19"/>
  <c r="M608" i="19"/>
  <c r="AC608" i="19" s="1"/>
  <c r="AD608" i="19" s="1"/>
  <c r="AL612" i="19" s="1"/>
  <c r="M599" i="19"/>
  <c r="M598" i="19"/>
  <c r="AC598" i="19" s="1"/>
  <c r="M584" i="19"/>
  <c r="M583" i="19"/>
  <c r="AC583" i="19" s="1"/>
  <c r="AC593" i="19" s="1"/>
  <c r="AD593" i="19" s="1"/>
  <c r="AL597" i="19" s="1"/>
  <c r="AH584" i="19"/>
  <c r="AH577" i="19"/>
  <c r="G547" i="19"/>
  <c r="S550" i="19" s="1"/>
  <c r="S554" i="19"/>
  <c r="S555" i="19" s="1"/>
  <c r="G924" i="11"/>
  <c r="J926" i="11" s="1"/>
  <c r="AH542" i="19"/>
  <c r="AH535" i="19"/>
  <c r="AH528" i="19"/>
  <c r="AH479" i="19"/>
  <c r="AH480" i="19"/>
  <c r="AH481" i="19"/>
  <c r="AH482" i="19"/>
  <c r="AH483" i="19"/>
  <c r="M487" i="19"/>
  <c r="S487" i="19" s="1"/>
  <c r="AD487" i="19" s="1"/>
  <c r="AH464" i="19"/>
  <c r="AH487" i="19" s="1"/>
  <c r="M464" i="19"/>
  <c r="AH476" i="19"/>
  <c r="M476" i="19"/>
  <c r="S476" i="19" s="1"/>
  <c r="AD476" i="19" s="1"/>
  <c r="AH468" i="19"/>
  <c r="AH469" i="19"/>
  <c r="AH470" i="19"/>
  <c r="AH471" i="19"/>
  <c r="AH472" i="19"/>
  <c r="AH467" i="19"/>
  <c r="AF466" i="19"/>
  <c r="AG466" i="19" s="1"/>
  <c r="AF454" i="19"/>
  <c r="AD434" i="19"/>
  <c r="AH414" i="19"/>
  <c r="AH413" i="19"/>
  <c r="AH407" i="19"/>
  <c r="AH405" i="19"/>
  <c r="AH392" i="19"/>
  <c r="AH393" i="19"/>
  <c r="AH391" i="19"/>
  <c r="AH387" i="19"/>
  <c r="AH388" i="19"/>
  <c r="AH386" i="19"/>
  <c r="M386" i="19"/>
  <c r="M385" i="19"/>
  <c r="AC385" i="19" s="1"/>
  <c r="AD385" i="19" s="1"/>
  <c r="AL389" i="19" s="1"/>
  <c r="AH381" i="19"/>
  <c r="M381" i="19"/>
  <c r="M380" i="19"/>
  <c r="AC380" i="19" s="1"/>
  <c r="AD380" i="19" s="1"/>
  <c r="AL384" i="19" s="1"/>
  <c r="AH372" i="19"/>
  <c r="AH370" i="19"/>
  <c r="S372" i="19"/>
  <c r="AD372" i="19" s="1"/>
  <c r="S371" i="19"/>
  <c r="AD371" i="19" s="1"/>
  <c r="AL371" i="19" s="1"/>
  <c r="S370" i="19"/>
  <c r="AD370" i="19" s="1"/>
  <c r="S369" i="19"/>
  <c r="AD369" i="19" s="1"/>
  <c r="AL369" i="19" s="1"/>
  <c r="S490" i="11"/>
  <c r="AE490" i="11" s="1"/>
  <c r="S489" i="11"/>
  <c r="AE489" i="11" s="1"/>
  <c r="AM489" i="11" s="1"/>
  <c r="S488" i="11"/>
  <c r="AE488" i="11" s="1"/>
  <c r="S487" i="11"/>
  <c r="AE487" i="11" s="1"/>
  <c r="AM487" i="11" s="1"/>
  <c r="S350" i="19"/>
  <c r="S351" i="19" s="1"/>
  <c r="S352" i="19" s="1"/>
  <c r="S353" i="19" s="1"/>
  <c r="S354" i="19" s="1"/>
  <c r="S355" i="19" s="1"/>
  <c r="S356" i="19" s="1"/>
  <c r="S357" i="19" s="1"/>
  <c r="S358" i="19" s="1"/>
  <c r="AH347" i="19"/>
  <c r="S347" i="19"/>
  <c r="AF338" i="19"/>
  <c r="AG338" i="19" s="1"/>
  <c r="AH329" i="19"/>
  <c r="AH332" i="19"/>
  <c r="AF327" i="19"/>
  <c r="AG327" i="19" s="1"/>
  <c r="AF321" i="19"/>
  <c r="AG321" i="19" s="1"/>
  <c r="AF315" i="19"/>
  <c r="AG315" i="19" s="1"/>
  <c r="AF309" i="19"/>
  <c r="AG309" i="19" s="1"/>
  <c r="V385" i="11"/>
  <c r="V379" i="11"/>
  <c r="V274" i="19"/>
  <c r="S274" i="19"/>
  <c r="AF254" i="19"/>
  <c r="AG254" i="19" s="1"/>
  <c r="S265" i="19"/>
  <c r="S264" i="19"/>
  <c r="AD264" i="19" s="1"/>
  <c r="AH244" i="19"/>
  <c r="AH245" i="19"/>
  <c r="AH243" i="19"/>
  <c r="AF242" i="19"/>
  <c r="AG242" i="19" s="1"/>
  <c r="S234" i="19"/>
  <c r="S233" i="19"/>
  <c r="AD233" i="19" s="1"/>
  <c r="S225" i="19"/>
  <c r="S224" i="19"/>
  <c r="AD224" i="19" s="1"/>
  <c r="S209" i="19"/>
  <c r="S208" i="19"/>
  <c r="AD208" i="19" s="1"/>
  <c r="S200" i="19"/>
  <c r="S199" i="19"/>
  <c r="AD199" i="19" s="1"/>
  <c r="AH195" i="19"/>
  <c r="AH204" i="19" s="1"/>
  <c r="AH196" i="19"/>
  <c r="AH221" i="19" s="1"/>
  <c r="AH230" i="19" s="1"/>
  <c r="AH188" i="19"/>
  <c r="AH213" i="19" s="1"/>
  <c r="AH238" i="19" s="1"/>
  <c r="AH189" i="19"/>
  <c r="AH187" i="19"/>
  <c r="AF186" i="19"/>
  <c r="AF211" i="19" s="1"/>
  <c r="AG182" i="19"/>
  <c r="AD182" i="19"/>
  <c r="S180" i="19"/>
  <c r="S179" i="19"/>
  <c r="AD179" i="19" s="1"/>
  <c r="S171" i="19"/>
  <c r="S170" i="19"/>
  <c r="AD170" i="19" s="1"/>
  <c r="AF202" i="19"/>
  <c r="AG202" i="19" s="1"/>
  <c r="AF147" i="19"/>
  <c r="AG147" i="19" s="1"/>
  <c r="AF120" i="19"/>
  <c r="AG120" i="19" s="1"/>
  <c r="AF85" i="19"/>
  <c r="AG85" i="19" s="1"/>
  <c r="AF78" i="19"/>
  <c r="AF106" i="19" s="1"/>
  <c r="AG106" i="19" s="1"/>
  <c r="AF70" i="19"/>
  <c r="AG70" i="19" s="1"/>
  <c r="AG45" i="19"/>
  <c r="AD45" i="19"/>
  <c r="S104" i="19"/>
  <c r="S103" i="19"/>
  <c r="AD103" i="19" s="1"/>
  <c r="S68" i="19"/>
  <c r="S67" i="19"/>
  <c r="AD67" i="19" s="1"/>
  <c r="AH59" i="19"/>
  <c r="AH95" i="19" s="1"/>
  <c r="AH60" i="19"/>
  <c r="AH96" i="19" s="1"/>
  <c r="AH61" i="19"/>
  <c r="AH97" i="19" s="1"/>
  <c r="AH62" i="19"/>
  <c r="AH98" i="19" s="1"/>
  <c r="AH63" i="19"/>
  <c r="AH99" i="19" s="1"/>
  <c r="S28" i="19"/>
  <c r="S27" i="19"/>
  <c r="AD27" i="19" s="1"/>
  <c r="S1255" i="11"/>
  <c r="S1254" i="11"/>
  <c r="S1253" i="11"/>
  <c r="S1252" i="11"/>
  <c r="W131" i="13"/>
  <c r="X131" i="13" s="1"/>
  <c r="W117" i="13"/>
  <c r="X117" i="13" s="1"/>
  <c r="W42" i="13"/>
  <c r="X42" i="13" s="1"/>
  <c r="S614" i="17"/>
  <c r="S613" i="17"/>
  <c r="S611" i="17"/>
  <c r="S610" i="17"/>
  <c r="Z6" i="17"/>
  <c r="Z5" i="17"/>
  <c r="AD1128" i="11"/>
  <c r="AE1127" i="11" s="1"/>
  <c r="AM1127" i="11" s="1"/>
  <c r="S1110" i="11"/>
  <c r="S1109" i="11"/>
  <c r="S1105" i="11"/>
  <c r="S1104" i="11"/>
  <c r="S1082" i="11"/>
  <c r="S1081" i="11"/>
  <c r="S1068" i="11"/>
  <c r="AE1068" i="11" s="1"/>
  <c r="AE1047" i="11"/>
  <c r="AM1047" i="11" s="1"/>
  <c r="U46" i="7"/>
  <c r="M36" i="7"/>
  <c r="M37" i="7"/>
  <c r="M38" i="7"/>
  <c r="M39" i="7"/>
  <c r="M40" i="7"/>
  <c r="M41" i="7"/>
  <c r="M35" i="7"/>
  <c r="AE1133" i="11"/>
  <c r="AX1133" i="11" s="1"/>
  <c r="AE1021" i="11"/>
  <c r="AM1021" i="11" s="1"/>
  <c r="AE1167" i="11"/>
  <c r="AE1168" i="11"/>
  <c r="AM1168" i="11" s="1"/>
  <c r="AE1169" i="11"/>
  <c r="AM1169" i="11" s="1"/>
  <c r="AE1170" i="11"/>
  <c r="AM1170" i="11" s="1"/>
  <c r="AE1171" i="11"/>
  <c r="AM1171" i="11" s="1"/>
  <c r="AE1172" i="11"/>
  <c r="AM1172" i="11" s="1"/>
  <c r="AE1173" i="11"/>
  <c r="AE1174" i="11"/>
  <c r="AE1176" i="11"/>
  <c r="AM1176" i="11" s="1"/>
  <c r="AE1177" i="11"/>
  <c r="AM1177" i="11" s="1"/>
  <c r="AE1178" i="11"/>
  <c r="AM1178" i="11" s="1"/>
  <c r="AE1179" i="11"/>
  <c r="AM1179" i="11" s="1"/>
  <c r="AE1180" i="11"/>
  <c r="AM1180" i="11" s="1"/>
  <c r="AE1181" i="11"/>
  <c r="AM1181" i="11" s="1"/>
  <c r="AE1166" i="11"/>
  <c r="AM1166" i="11" s="1"/>
  <c r="Q1139" i="11"/>
  <c r="AE1139" i="11" s="1"/>
  <c r="AM1139" i="11" s="1"/>
  <c r="Q1137" i="11"/>
  <c r="AE1137" i="11" s="1"/>
  <c r="AM1137" i="11" s="1"/>
  <c r="Q1135" i="11"/>
  <c r="AE1135" i="11" s="1"/>
  <c r="AM1135" i="11" s="1"/>
  <c r="S1152" i="11"/>
  <c r="S1151" i="11"/>
  <c r="AD422" i="21"/>
  <c r="AL426" i="21" s="1"/>
  <c r="AD420" i="20"/>
  <c r="AL424" i="20" s="1"/>
  <c r="AD421" i="19"/>
  <c r="AL441" i="21"/>
  <c r="AL440" i="21"/>
  <c r="AL439" i="21"/>
  <c r="AL438" i="21"/>
  <c r="AL437" i="21"/>
  <c r="AL436" i="21"/>
  <c r="AL432" i="21"/>
  <c r="AD420" i="19"/>
  <c r="AD414" i="19"/>
  <c r="AD413" i="19"/>
  <c r="AD404" i="19"/>
  <c r="AL406" i="19" s="1"/>
  <c r="AH382" i="20"/>
  <c r="AH383" i="20" s="1"/>
  <c r="AH383" i="21"/>
  <c r="AH384" i="21" s="1"/>
  <c r="V924" i="11"/>
  <c r="AD926" i="11" s="1"/>
  <c r="V923" i="11"/>
  <c r="AE1020" i="11"/>
  <c r="AM1020" i="11" s="1"/>
  <c r="AE980" i="11"/>
  <c r="AM981" i="11" s="1"/>
  <c r="AE975" i="11"/>
  <c r="AM976" i="11" s="1"/>
  <c r="AE966" i="11"/>
  <c r="AM967" i="11" s="1"/>
  <c r="AE958" i="11"/>
  <c r="AH596" i="19"/>
  <c r="AI993" i="11"/>
  <c r="AI988" i="11"/>
  <c r="AI989" i="11" s="1"/>
  <c r="AH586" i="19" s="1"/>
  <c r="AI977" i="11"/>
  <c r="AI968" i="11"/>
  <c r="AI969" i="11" s="1"/>
  <c r="AI960" i="11"/>
  <c r="AI961" i="11" s="1"/>
  <c r="AI954" i="11"/>
  <c r="AI955" i="11" s="1"/>
  <c r="AI951" i="11"/>
  <c r="AI952" i="11" s="1"/>
  <c r="S931" i="11"/>
  <c r="AE931" i="11" s="1"/>
  <c r="S465" i="11"/>
  <c r="J14" i="4" s="1"/>
  <c r="S468" i="11"/>
  <c r="S469" i="11" s="1"/>
  <c r="S470" i="11" s="1"/>
  <c r="S471" i="11" s="1"/>
  <c r="S472" i="11" s="1"/>
  <c r="S473" i="11" s="1"/>
  <c r="S474" i="11" s="1"/>
  <c r="S475" i="11" s="1"/>
  <c r="S476" i="11" s="1"/>
  <c r="S477" i="11" s="1"/>
  <c r="S478" i="11" s="1"/>
  <c r="S479" i="11" s="1"/>
  <c r="S480" i="11" s="1"/>
  <c r="S481" i="11" s="1"/>
  <c r="S482" i="11" s="1"/>
  <c r="S483" i="11" s="1"/>
  <c r="S484" i="11" s="1"/>
  <c r="S485" i="11" s="1"/>
  <c r="AH540" i="19"/>
  <c r="AI902" i="11"/>
  <c r="AH539" i="19" s="1"/>
  <c r="AH526" i="19"/>
  <c r="AG901" i="11"/>
  <c r="AG894" i="11"/>
  <c r="AG887" i="11"/>
  <c r="AG866" i="11" s="1"/>
  <c r="AH843" i="11"/>
  <c r="AH824" i="11"/>
  <c r="AM792" i="11"/>
  <c r="AM789" i="11"/>
  <c r="AM790" i="11"/>
  <c r="AM791" i="11"/>
  <c r="AM788" i="11"/>
  <c r="AM781" i="11"/>
  <c r="AH802" i="11"/>
  <c r="W801" i="11"/>
  <c r="V801" i="11"/>
  <c r="V799" i="11"/>
  <c r="S799" i="11"/>
  <c r="AI96" i="11"/>
  <c r="AI127" i="11" s="1"/>
  <c r="AE776" i="11"/>
  <c r="AM776" i="11" s="1"/>
  <c r="AE775" i="11"/>
  <c r="AM775" i="11" s="1"/>
  <c r="AE774" i="11"/>
  <c r="AM774" i="11" s="1"/>
  <c r="AE773" i="11"/>
  <c r="AM773" i="11" s="1"/>
  <c r="AE767" i="11"/>
  <c r="AM767" i="11" s="1"/>
  <c r="AE705" i="11"/>
  <c r="AM705" i="11" s="1"/>
  <c r="X617" i="11"/>
  <c r="AE554" i="11"/>
  <c r="C8" i="4"/>
  <c r="AE533" i="11"/>
  <c r="AM539" i="11" s="1"/>
  <c r="AE532" i="11"/>
  <c r="AM532" i="11" s="1"/>
  <c r="AE522" i="11"/>
  <c r="AM523" i="11" s="1"/>
  <c r="AD502" i="11"/>
  <c r="AE502" i="11" s="1"/>
  <c r="AM503" i="11" s="1"/>
  <c r="AI499" i="11"/>
  <c r="AH382" i="19" s="1"/>
  <c r="AD497" i="11"/>
  <c r="M800" i="11"/>
  <c r="M1016" i="11"/>
  <c r="M1015" i="11"/>
  <c r="AD1015" i="11" s="1"/>
  <c r="AE1015" i="11" s="1"/>
  <c r="M1011" i="11"/>
  <c r="M1002" i="11"/>
  <c r="M1001" i="11"/>
  <c r="AD1001" i="11" s="1"/>
  <c r="M987" i="11"/>
  <c r="M986" i="11"/>
  <c r="AD986" i="11" s="1"/>
  <c r="AD996" i="11" s="1"/>
  <c r="AE996" i="11" s="1"/>
  <c r="M503" i="11"/>
  <c r="M502" i="11"/>
  <c r="M498" i="11"/>
  <c r="M497" i="11"/>
  <c r="AI490" i="11"/>
  <c r="AI488" i="11"/>
  <c r="AE456" i="11"/>
  <c r="AM457" i="11" s="1"/>
  <c r="I462" i="11"/>
  <c r="AH456" i="11"/>
  <c r="AH445" i="11"/>
  <c r="AE445" i="11"/>
  <c r="AG421" i="11"/>
  <c r="AH421" i="11" s="1"/>
  <c r="AG415" i="11"/>
  <c r="AH415" i="11" s="1"/>
  <c r="AG409" i="11"/>
  <c r="AH409" i="11" s="1"/>
  <c r="K12" i="4" s="1"/>
  <c r="S406" i="11"/>
  <c r="AE406" i="11" s="1"/>
  <c r="AM406" i="11" s="1"/>
  <c r="AH396" i="11"/>
  <c r="K11" i="4" s="1"/>
  <c r="AI332" i="11"/>
  <c r="AG331" i="11"/>
  <c r="AH331" i="11" s="1"/>
  <c r="S337" i="11"/>
  <c r="AE337" i="11" s="1"/>
  <c r="AM350" i="11" s="1"/>
  <c r="S324" i="11"/>
  <c r="AE324" i="11" s="1"/>
  <c r="AM324" i="11" s="1"/>
  <c r="AI354" i="11"/>
  <c r="AI355" i="11"/>
  <c r="AG264" i="11"/>
  <c r="AE188" i="11"/>
  <c r="AE181" i="11"/>
  <c r="AM182" i="11" s="1"/>
  <c r="AE174" i="11"/>
  <c r="AG160" i="11"/>
  <c r="AH160" i="11" s="1"/>
  <c r="S139" i="11"/>
  <c r="AE139" i="11" s="1"/>
  <c r="AG104" i="11"/>
  <c r="AH104" i="11" s="1"/>
  <c r="AG97" i="11"/>
  <c r="AH97" i="11" s="1"/>
  <c r="AE55" i="11"/>
  <c r="AM56" i="11" s="1"/>
  <c r="AG89" i="11"/>
  <c r="AH89" i="11" s="1"/>
  <c r="AG67" i="11"/>
  <c r="AH67" i="11" s="1"/>
  <c r="AH59" i="11"/>
  <c r="AH55" i="11"/>
  <c r="AH48" i="11"/>
  <c r="AH40" i="11"/>
  <c r="Z25" i="18"/>
  <c r="Z13" i="18"/>
  <c r="U131" i="13"/>
  <c r="U410" i="13"/>
  <c r="W414" i="13"/>
  <c r="X414" i="13" s="1"/>
  <c r="U414" i="13"/>
  <c r="W403" i="13"/>
  <c r="U403" i="13"/>
  <c r="W386" i="13"/>
  <c r="X386" i="13" s="1"/>
  <c r="W382" i="13"/>
  <c r="X382" i="13" s="1"/>
  <c r="W306" i="13"/>
  <c r="X306" i="13" s="1"/>
  <c r="W301" i="13"/>
  <c r="X301" i="13" s="1"/>
  <c r="W297" i="13"/>
  <c r="X297" i="13" s="1"/>
  <c r="W293" i="13"/>
  <c r="X293" i="13" s="1"/>
  <c r="W288" i="13"/>
  <c r="X288" i="13" s="1"/>
  <c r="W281" i="13"/>
  <c r="X281" i="13" s="1"/>
  <c r="W274" i="13"/>
  <c r="X274" i="13" s="1"/>
  <c r="W260" i="13"/>
  <c r="X260" i="13" s="1"/>
  <c r="W239" i="13"/>
  <c r="X239" i="13" s="1"/>
  <c r="W232" i="13"/>
  <c r="X232" i="13" s="1"/>
  <c r="W187" i="13"/>
  <c r="X187" i="13" s="1"/>
  <c r="W172" i="13"/>
  <c r="X172" i="13" s="1"/>
  <c r="W165" i="13"/>
  <c r="X165" i="13" s="1"/>
  <c r="W160" i="13"/>
  <c r="X160" i="13" s="1"/>
  <c r="W153" i="13"/>
  <c r="X153" i="13" s="1"/>
  <c r="W149" i="13"/>
  <c r="X149" i="13" s="1"/>
  <c r="W142" i="13"/>
  <c r="X142" i="13" s="1"/>
  <c r="U149" i="13"/>
  <c r="U160" i="13"/>
  <c r="W96" i="13"/>
  <c r="X96" i="13" s="1"/>
  <c r="W92" i="13"/>
  <c r="X92" i="13" s="1"/>
  <c r="W85" i="13"/>
  <c r="X85" i="13" s="1"/>
  <c r="W70" i="13"/>
  <c r="X70" i="13" s="1"/>
  <c r="W56" i="13"/>
  <c r="X56" i="13" s="1"/>
  <c r="W35" i="13"/>
  <c r="X35" i="13" s="1"/>
  <c r="W9" i="13"/>
  <c r="X9" i="13" s="1"/>
  <c r="W31" i="13"/>
  <c r="X31" i="13" s="1"/>
  <c r="W20" i="13"/>
  <c r="X20" i="13" s="1"/>
  <c r="W16" i="13"/>
  <c r="X16" i="13" s="1"/>
  <c r="AD640" i="21"/>
  <c r="AL640" i="21" s="1"/>
  <c r="M630" i="21"/>
  <c r="M631" i="21" s="1"/>
  <c r="AD127" i="19"/>
  <c r="AL133" i="19" s="1"/>
  <c r="M386" i="20"/>
  <c r="M381" i="20"/>
  <c r="AD140" i="20"/>
  <c r="AL140" i="20" s="1"/>
  <c r="AD133" i="20"/>
  <c r="AL133" i="20" s="1"/>
  <c r="AD126" i="20"/>
  <c r="AG265" i="21"/>
  <c r="AH267" i="21" s="1"/>
  <c r="AG267" i="19"/>
  <c r="AL263" i="20"/>
  <c r="AD140" i="21"/>
  <c r="AL140" i="21" s="1"/>
  <c r="AD133" i="21"/>
  <c r="AL133" i="21" s="1"/>
  <c r="AD141" i="19"/>
  <c r="AD134" i="19"/>
  <c r="AL140" i="19" s="1"/>
  <c r="AD182" i="17"/>
  <c r="AL186" i="17" s="1"/>
  <c r="AD175" i="17"/>
  <c r="AL181" i="17" s="1"/>
  <c r="M633" i="20"/>
  <c r="M634" i="20" s="1"/>
  <c r="AD618" i="19"/>
  <c r="AL618" i="19" s="1"/>
  <c r="AD638" i="20"/>
  <c r="AL638" i="20" s="1"/>
  <c r="AD103" i="17"/>
  <c r="AL105" i="17" s="1"/>
  <c r="AL373" i="21"/>
  <c r="AG516" i="21"/>
  <c r="AG502" i="21"/>
  <c r="AG537" i="21"/>
  <c r="AG302" i="21"/>
  <c r="AG290" i="21"/>
  <c r="AG320" i="21"/>
  <c r="S767" i="19"/>
  <c r="S769" i="19" s="1"/>
  <c r="AG514" i="20"/>
  <c r="AG500" i="20"/>
  <c r="AG535" i="20"/>
  <c r="AG300" i="20"/>
  <c r="AH301" i="20" s="1"/>
  <c r="AG288" i="20"/>
  <c r="AH289" i="20" s="1"/>
  <c r="AG318" i="20"/>
  <c r="AH319" i="20" s="1"/>
  <c r="S577" i="19"/>
  <c r="AD577" i="19" s="1"/>
  <c r="S573" i="19"/>
  <c r="AD573" i="19" s="1"/>
  <c r="AG538" i="19"/>
  <c r="AG503" i="19"/>
  <c r="AG517" i="19"/>
  <c r="S321" i="19"/>
  <c r="AD321" i="19" s="1"/>
  <c r="AL325" i="19" s="1"/>
  <c r="S315" i="19"/>
  <c r="AD315" i="19" s="1"/>
  <c r="S309" i="19"/>
  <c r="AD309" i="19" s="1"/>
  <c r="S242" i="19"/>
  <c r="AD242" i="19" s="1"/>
  <c r="S147" i="19"/>
  <c r="AD147" i="19" s="1"/>
  <c r="AL153" i="19" s="1"/>
  <c r="S120" i="19"/>
  <c r="AD120" i="19" s="1"/>
  <c r="AL126" i="19" s="1"/>
  <c r="S85" i="19"/>
  <c r="AD85" i="19" s="1"/>
  <c r="AL91" i="19" s="1"/>
  <c r="S49" i="19"/>
  <c r="AD49" i="19" s="1"/>
  <c r="AL55" i="19" s="1"/>
  <c r="S31" i="19"/>
  <c r="S30" i="19"/>
  <c r="AD30" i="19" s="1"/>
  <c r="AL36" i="19" s="1"/>
  <c r="S538" i="19"/>
  <c r="AD538" i="19" s="1"/>
  <c r="AL544" i="19" s="1"/>
  <c r="AH418" i="17"/>
  <c r="S449" i="17"/>
  <c r="AD449" i="17" s="1"/>
  <c r="S437" i="17"/>
  <c r="AD437" i="17" s="1"/>
  <c r="M400" i="17"/>
  <c r="S400" i="17" s="1"/>
  <c r="AD400" i="17" s="1"/>
  <c r="S388" i="17"/>
  <c r="AD388" i="17" s="1"/>
  <c r="AL393" i="17" s="1"/>
  <c r="S418" i="17"/>
  <c r="AD418" i="17" s="1"/>
  <c r="AH439" i="11"/>
  <c r="S421" i="11"/>
  <c r="AE421" i="11" s="1"/>
  <c r="S880" i="11"/>
  <c r="AE880" i="11" s="1"/>
  <c r="AM886" i="11" s="1"/>
  <c r="M635" i="21"/>
  <c r="M636" i="21" s="1"/>
  <c r="M606" i="21"/>
  <c r="M620" i="21"/>
  <c r="M621" i="21" s="1"/>
  <c r="AD338" i="19"/>
  <c r="S113" i="19"/>
  <c r="AD113" i="19" s="1"/>
  <c r="AL119" i="19" s="1"/>
  <c r="AG113" i="21"/>
  <c r="AG112" i="20"/>
  <c r="AG85" i="21"/>
  <c r="AG84" i="20"/>
  <c r="AG49" i="21"/>
  <c r="AG48" i="20"/>
  <c r="S154" i="17"/>
  <c r="AD154" i="17" s="1"/>
  <c r="AL160" i="17" s="1"/>
  <c r="S117" i="17"/>
  <c r="AD117" i="17" s="1"/>
  <c r="S56" i="17"/>
  <c r="AD56" i="17" s="1"/>
  <c r="AL62" i="17" s="1"/>
  <c r="AH56" i="17"/>
  <c r="AG182" i="21"/>
  <c r="AD182" i="21"/>
  <c r="AG181" i="20"/>
  <c r="AD181" i="20"/>
  <c r="AL183" i="20" s="1"/>
  <c r="AG45" i="21"/>
  <c r="AD45" i="21"/>
  <c r="AL48" i="21" s="1"/>
  <c r="AG44" i="20"/>
  <c r="AD44" i="20"/>
  <c r="AL45" i="20" s="1"/>
  <c r="AH249" i="17"/>
  <c r="AD249" i="17"/>
  <c r="AL250" i="17" s="1"/>
  <c r="AD52" i="17"/>
  <c r="AL53" i="17" s="1"/>
  <c r="U16" i="13"/>
  <c r="U9" i="13"/>
  <c r="O177" i="18"/>
  <c r="Z177" i="18" s="1"/>
  <c r="O183" i="18"/>
  <c r="Z183" i="18" s="1"/>
  <c r="O189" i="18"/>
  <c r="Z189" i="18" s="1"/>
  <c r="O195" i="18"/>
  <c r="Z195" i="18" s="1"/>
  <c r="Z171" i="18"/>
  <c r="AD75" i="17"/>
  <c r="O37" i="21"/>
  <c r="M37" i="21"/>
  <c r="M77" i="21"/>
  <c r="M76" i="20"/>
  <c r="O36" i="20"/>
  <c r="M36" i="20"/>
  <c r="M77" i="19"/>
  <c r="O37" i="19"/>
  <c r="M37" i="19"/>
  <c r="M102" i="17"/>
  <c r="O44" i="17"/>
  <c r="M44" i="17"/>
  <c r="M96" i="11"/>
  <c r="O47" i="11"/>
  <c r="M47" i="11"/>
  <c r="L41" i="4"/>
  <c r="J41" i="4"/>
  <c r="L40" i="4"/>
  <c r="J39" i="4"/>
  <c r="J40" i="4" s="1"/>
  <c r="J38" i="4"/>
  <c r="J37" i="4"/>
  <c r="M261" i="20"/>
  <c r="S261" i="20" s="1"/>
  <c r="AD261" i="20" s="1"/>
  <c r="M263" i="21"/>
  <c r="S263" i="21" s="1"/>
  <c r="AD263" i="21" s="1"/>
  <c r="AG456" i="20"/>
  <c r="AH457" i="20" s="1"/>
  <c r="E35" i="4"/>
  <c r="D34" i="4"/>
  <c r="M275" i="21"/>
  <c r="V276" i="21" s="1"/>
  <c r="M273" i="21"/>
  <c r="V274" i="21" s="1"/>
  <c r="M273" i="20"/>
  <c r="V274" i="20" s="1"/>
  <c r="M271" i="20"/>
  <c r="V272" i="20" s="1"/>
  <c r="S387" i="11"/>
  <c r="U20" i="13"/>
  <c r="U153" i="13"/>
  <c r="U386" i="13"/>
  <c r="S918" i="11"/>
  <c r="AE918" i="11" s="1"/>
  <c r="C36" i="4" s="1"/>
  <c r="E36" i="4" s="1"/>
  <c r="J117" i="13"/>
  <c r="U96" i="13"/>
  <c r="U288" i="13"/>
  <c r="U110" i="13"/>
  <c r="U124" i="13"/>
  <c r="U301" i="13"/>
  <c r="U306" i="13"/>
  <c r="U337" i="13"/>
  <c r="U346" i="13"/>
  <c r="U321" i="13"/>
  <c r="U330" i="13"/>
  <c r="U92" i="13"/>
  <c r="U281" i="13"/>
  <c r="U274" i="13"/>
  <c r="U260" i="13"/>
  <c r="U70" i="13"/>
  <c r="U232" i="13"/>
  <c r="U297" i="13"/>
  <c r="U293" i="13"/>
  <c r="AD198" i="18"/>
  <c r="AD197" i="18"/>
  <c r="AD196" i="18"/>
  <c r="AD192" i="18"/>
  <c r="AD191" i="18"/>
  <c r="AD190" i="18"/>
  <c r="AD220" i="18"/>
  <c r="Z217" i="18"/>
  <c r="AD219" i="18"/>
  <c r="AD218" i="18"/>
  <c r="AD214" i="18"/>
  <c r="Z211" i="18"/>
  <c r="AD213" i="18"/>
  <c r="AD212" i="18"/>
  <c r="O332" i="17"/>
  <c r="S332" i="17" s="1"/>
  <c r="O331" i="17"/>
  <c r="S331" i="17" s="1"/>
  <c r="AD331" i="17" s="1"/>
  <c r="O325" i="17"/>
  <c r="S325" i="17" s="1"/>
  <c r="O324" i="17"/>
  <c r="S324" i="17" s="1"/>
  <c r="AD324" i="17" s="1"/>
  <c r="AD282" i="17"/>
  <c r="AD275" i="17"/>
  <c r="O237" i="17"/>
  <c r="S237" i="17" s="1"/>
  <c r="O236" i="17"/>
  <c r="S236" i="17" s="1"/>
  <c r="AD236" i="17" s="1"/>
  <c r="O230" i="17"/>
  <c r="S230" i="17" s="1"/>
  <c r="O229" i="17"/>
  <c r="S229" i="17" s="1"/>
  <c r="AD229" i="17" s="1"/>
  <c r="AL656" i="21"/>
  <c r="AL655" i="21"/>
  <c r="AL654" i="21"/>
  <c r="AL653" i="21"/>
  <c r="AL652" i="21"/>
  <c r="AL651" i="21"/>
  <c r="AL650" i="21"/>
  <c r="AL646" i="21"/>
  <c r="AL654" i="20"/>
  <c r="AL653" i="20"/>
  <c r="AL652" i="20"/>
  <c r="AL651" i="20"/>
  <c r="AL650" i="20"/>
  <c r="AL649" i="20"/>
  <c r="AL644" i="20"/>
  <c r="AL645" i="20"/>
  <c r="AD337" i="21"/>
  <c r="AL338" i="21" s="1"/>
  <c r="AD335" i="20"/>
  <c r="AL336" i="20" s="1"/>
  <c r="M1045" i="11"/>
  <c r="M1044" i="11"/>
  <c r="S1044" i="11" s="1"/>
  <c r="CC30" i="7"/>
  <c r="L2" i="7"/>
  <c r="L3" i="7"/>
  <c r="CC46" i="7"/>
  <c r="CC45" i="7"/>
  <c r="BT2" i="7"/>
  <c r="BT3" i="7"/>
  <c r="CC23" i="7"/>
  <c r="BW9" i="7"/>
  <c r="Z83" i="18"/>
  <c r="AE83" i="18" s="1"/>
  <c r="Z90" i="18"/>
  <c r="AE90" i="18" s="1"/>
  <c r="Z94" i="18"/>
  <c r="AE94" i="18" s="1"/>
  <c r="X616" i="11"/>
  <c r="X618" i="11"/>
  <c r="X619" i="11"/>
  <c r="X620" i="11"/>
  <c r="X621" i="11"/>
  <c r="X622" i="11"/>
  <c r="X623" i="11"/>
  <c r="X624" i="11"/>
  <c r="X625" i="11"/>
  <c r="X626" i="11"/>
  <c r="X627" i="11"/>
  <c r="X628" i="11"/>
  <c r="X629" i="11"/>
  <c r="X630" i="11"/>
  <c r="X631" i="11"/>
  <c r="X632" i="11"/>
  <c r="X633" i="11"/>
  <c r="X634" i="11"/>
  <c r="X635" i="11"/>
  <c r="X636" i="11"/>
  <c r="X637" i="11"/>
  <c r="X638" i="11"/>
  <c r="X639" i="11"/>
  <c r="X640" i="11"/>
  <c r="X641" i="11"/>
  <c r="X642" i="11"/>
  <c r="X643" i="11"/>
  <c r="X644" i="11"/>
  <c r="X645" i="11"/>
  <c r="X646" i="11"/>
  <c r="X647" i="11"/>
  <c r="X648" i="11"/>
  <c r="X649" i="11"/>
  <c r="X650" i="11"/>
  <c r="X651" i="11"/>
  <c r="X652" i="11"/>
  <c r="X653" i="11"/>
  <c r="X654" i="11"/>
  <c r="X655" i="11"/>
  <c r="X656" i="11"/>
  <c r="X657" i="11"/>
  <c r="X658" i="11"/>
  <c r="X659" i="11"/>
  <c r="X660" i="11"/>
  <c r="X661" i="11"/>
  <c r="X662" i="11"/>
  <c r="X663" i="11"/>
  <c r="X664" i="11"/>
  <c r="X665" i="11"/>
  <c r="X666" i="11"/>
  <c r="X667" i="11"/>
  <c r="X668" i="11"/>
  <c r="X669" i="11"/>
  <c r="X670" i="11"/>
  <c r="X671" i="11"/>
  <c r="X672" i="11"/>
  <c r="X673" i="11"/>
  <c r="X674" i="11"/>
  <c r="X675" i="11"/>
  <c r="X676" i="11"/>
  <c r="X677" i="11"/>
  <c r="X678" i="11"/>
  <c r="X679" i="11"/>
  <c r="X680" i="11"/>
  <c r="X681" i="11"/>
  <c r="X682" i="11"/>
  <c r="X683" i="11"/>
  <c r="X684" i="11"/>
  <c r="X685" i="11"/>
  <c r="X686" i="11"/>
  <c r="X687" i="11"/>
  <c r="X688" i="11"/>
  <c r="X689" i="11"/>
  <c r="X690" i="11"/>
  <c r="X691" i="11"/>
  <c r="X692" i="11"/>
  <c r="X693" i="11"/>
  <c r="X694" i="11"/>
  <c r="X695" i="11"/>
  <c r="X696" i="11"/>
  <c r="X697" i="11"/>
  <c r="X698" i="11"/>
  <c r="X699" i="11"/>
  <c r="X700" i="11"/>
  <c r="X701" i="11"/>
  <c r="X702" i="11"/>
  <c r="X703" i="11"/>
  <c r="Y703" i="11" s="1"/>
  <c r="X558" i="11"/>
  <c r="X559" i="11"/>
  <c r="X560" i="11"/>
  <c r="X565" i="11"/>
  <c r="X566" i="11"/>
  <c r="X567" i="11"/>
  <c r="X568" i="11"/>
  <c r="X569" i="11"/>
  <c r="X570" i="11"/>
  <c r="X571" i="11"/>
  <c r="X572" i="11"/>
  <c r="X573" i="11"/>
  <c r="X574" i="11"/>
  <c r="X575" i="11"/>
  <c r="X576" i="11"/>
  <c r="X577" i="11"/>
  <c r="X578" i="11"/>
  <c r="X579" i="11"/>
  <c r="X580" i="11"/>
  <c r="X581" i="11"/>
  <c r="X582" i="11"/>
  <c r="X583" i="11"/>
  <c r="X584" i="11"/>
  <c r="X585" i="11"/>
  <c r="X586" i="11"/>
  <c r="X587" i="11"/>
  <c r="X588" i="11"/>
  <c r="X589" i="11"/>
  <c r="X590" i="11"/>
  <c r="X591" i="11"/>
  <c r="X592" i="11"/>
  <c r="X593" i="11"/>
  <c r="X594" i="11"/>
  <c r="X595" i="11"/>
  <c r="X596" i="11"/>
  <c r="X597" i="11"/>
  <c r="X598" i="11"/>
  <c r="X599" i="11"/>
  <c r="X600" i="11"/>
  <c r="X601" i="11"/>
  <c r="X602" i="11"/>
  <c r="X603" i="11"/>
  <c r="X604" i="11"/>
  <c r="X605" i="11"/>
  <c r="X606" i="11"/>
  <c r="X607" i="11"/>
  <c r="X608" i="11"/>
  <c r="X609" i="11"/>
  <c r="X611" i="11"/>
  <c r="X612" i="11"/>
  <c r="X613" i="11"/>
  <c r="X614" i="11"/>
  <c r="X615" i="11"/>
  <c r="X610" i="11"/>
  <c r="M380" i="11"/>
  <c r="V381" i="11" s="1"/>
  <c r="S915" i="11"/>
  <c r="AE915" i="11" s="1"/>
  <c r="AD405" i="21"/>
  <c r="AL408" i="21" s="1"/>
  <c r="AL406" i="20"/>
  <c r="S443" i="17"/>
  <c r="AD443" i="17" s="1"/>
  <c r="AL447" i="17" s="1"/>
  <c r="S431" i="17"/>
  <c r="AD431" i="17" s="1"/>
  <c r="AL435" i="17" s="1"/>
  <c r="S425" i="17"/>
  <c r="AD425" i="17" s="1"/>
  <c r="S455" i="17"/>
  <c r="AD455" i="17" s="1"/>
  <c r="AL459" i="17" s="1"/>
  <c r="S415" i="11"/>
  <c r="AE415" i="11" s="1"/>
  <c r="AM419" i="11" s="1"/>
  <c r="S409" i="11"/>
  <c r="AE409" i="11" s="1"/>
  <c r="M32" i="21"/>
  <c r="S32" i="21" s="1"/>
  <c r="M31" i="20"/>
  <c r="S31" i="20" s="1"/>
  <c r="M71" i="21"/>
  <c r="O71" i="21"/>
  <c r="O70" i="21"/>
  <c r="S70" i="21" s="1"/>
  <c r="AD70" i="21" s="1"/>
  <c r="M70" i="20"/>
  <c r="M71" i="20" s="1"/>
  <c r="S71" i="20" s="1"/>
  <c r="O70" i="20"/>
  <c r="O69" i="20"/>
  <c r="O76" i="20" s="1"/>
  <c r="M96" i="17"/>
  <c r="M97" i="17" s="1"/>
  <c r="S97" i="17" s="1"/>
  <c r="O96" i="17"/>
  <c r="O95" i="17"/>
  <c r="O102" i="17" s="1"/>
  <c r="S38" i="17"/>
  <c r="M39" i="17"/>
  <c r="S39" i="17" s="1"/>
  <c r="AD223" i="18"/>
  <c r="B631" i="17"/>
  <c r="S365" i="17"/>
  <c r="AD365" i="17" s="1"/>
  <c r="S370" i="17"/>
  <c r="AD370" i="17" s="1"/>
  <c r="S634" i="17"/>
  <c r="S635" i="17"/>
  <c r="S633" i="17"/>
  <c r="S632" i="17"/>
  <c r="AH26" i="17"/>
  <c r="AH15" i="17"/>
  <c r="AH37" i="17"/>
  <c r="AH45" i="17"/>
  <c r="AH161" i="17"/>
  <c r="AH189" i="17"/>
  <c r="S189" i="17"/>
  <c r="AD189" i="17" s="1"/>
  <c r="AL195" i="17" s="1"/>
  <c r="AH243" i="17"/>
  <c r="AH344" i="17"/>
  <c r="S344" i="17"/>
  <c r="AD344" i="17" s="1"/>
  <c r="AH360" i="17"/>
  <c r="S360" i="17"/>
  <c r="AD360" i="17" s="1"/>
  <c r="AL361" i="17" s="1"/>
  <c r="AH406" i="17"/>
  <c r="AH412" i="17"/>
  <c r="S412" i="17"/>
  <c r="AD412" i="17" s="1"/>
  <c r="AL417" i="17" s="1"/>
  <c r="S382" i="17"/>
  <c r="AD382" i="17" s="1"/>
  <c r="S474" i="17"/>
  <c r="AD474" i="17" s="1"/>
  <c r="S476" i="17"/>
  <c r="AD476" i="17" s="1"/>
  <c r="AH229" i="17"/>
  <c r="M136" i="17"/>
  <c r="O136" i="17"/>
  <c r="S137" i="17"/>
  <c r="M26" i="17"/>
  <c r="O26" i="17"/>
  <c r="S27" i="17"/>
  <c r="AF46" i="22"/>
  <c r="M46" i="22"/>
  <c r="O46" i="22"/>
  <c r="S47" i="22"/>
  <c r="S30" i="22"/>
  <c r="AF29" i="22"/>
  <c r="AG31" i="22" s="1"/>
  <c r="M29" i="22"/>
  <c r="O29" i="22"/>
  <c r="S160" i="11"/>
  <c r="AE160" i="11" s="1"/>
  <c r="AM166" i="11" s="1"/>
  <c r="M264" i="11"/>
  <c r="O264" i="11"/>
  <c r="S358" i="11"/>
  <c r="AE358" i="11" s="1"/>
  <c r="AH433" i="11"/>
  <c r="I1312" i="11"/>
  <c r="Y1312" i="11" s="1"/>
  <c r="I1313" i="11"/>
  <c r="AE1313" i="11" s="1"/>
  <c r="AF1313" i="11" s="1"/>
  <c r="I1314" i="11"/>
  <c r="AE1314" i="11" s="1"/>
  <c r="AF1314" i="11" s="1"/>
  <c r="I1315" i="11"/>
  <c r="I1316" i="11"/>
  <c r="AE1316" i="11" s="1"/>
  <c r="AF1316" i="11" s="1"/>
  <c r="I1317" i="11"/>
  <c r="AC1317" i="11" s="1"/>
  <c r="I1318" i="11"/>
  <c r="AE1318" i="11" s="1"/>
  <c r="AF1318" i="11" s="1"/>
  <c r="I1319" i="11"/>
  <c r="AC1319" i="11" s="1"/>
  <c r="I1320" i="11"/>
  <c r="I1321" i="11"/>
  <c r="Y1321" i="11" s="1"/>
  <c r="I1322" i="11"/>
  <c r="AE1322" i="11" s="1"/>
  <c r="AF1322" i="11" s="1"/>
  <c r="I1323" i="11"/>
  <c r="AE1323" i="11" s="1"/>
  <c r="AF1323" i="11" s="1"/>
  <c r="AF1324" i="11"/>
  <c r="S1221" i="11"/>
  <c r="M795" i="11"/>
  <c r="M950" i="11" s="1"/>
  <c r="C11" i="4"/>
  <c r="K39" i="4" s="1"/>
  <c r="S866" i="11"/>
  <c r="AE866" i="11" s="1"/>
  <c r="AM872" i="11" s="1"/>
  <c r="M802" i="11"/>
  <c r="R713" i="11"/>
  <c r="R714" i="11"/>
  <c r="R715" i="11"/>
  <c r="R716" i="11"/>
  <c r="R717" i="11"/>
  <c r="S861" i="11"/>
  <c r="AE861" i="11" s="1"/>
  <c r="AM863" i="11" s="1"/>
  <c r="S873" i="11"/>
  <c r="AE873" i="11" s="1"/>
  <c r="AM879" i="11" s="1"/>
  <c r="O9" i="7"/>
  <c r="O18" i="11"/>
  <c r="S40" i="11"/>
  <c r="AE40" i="11" s="1"/>
  <c r="AM46" i="11" s="1"/>
  <c r="M48" i="11"/>
  <c r="O48" i="11"/>
  <c r="S59" i="11"/>
  <c r="AE59" i="11" s="1"/>
  <c r="M67" i="11"/>
  <c r="M97" i="11" s="1"/>
  <c r="O67" i="11"/>
  <c r="O89" i="11"/>
  <c r="S89" i="11" s="1"/>
  <c r="AE89" i="11" s="1"/>
  <c r="O97" i="11"/>
  <c r="S104" i="11"/>
  <c r="AE104" i="11" s="1"/>
  <c r="AM110" i="11" s="1"/>
  <c r="O129" i="11"/>
  <c r="S167" i="11"/>
  <c r="AE167" i="11" s="1"/>
  <c r="AM173" i="11" s="1"/>
  <c r="S194" i="11"/>
  <c r="AE194" i="11" s="1"/>
  <c r="O219" i="11"/>
  <c r="O232" i="11"/>
  <c r="M276" i="11"/>
  <c r="O276" i="11"/>
  <c r="M318" i="11"/>
  <c r="O318" i="11"/>
  <c r="M331" i="11"/>
  <c r="O331" i="11"/>
  <c r="O352" i="11"/>
  <c r="S396" i="11"/>
  <c r="J11" i="4" s="1"/>
  <c r="AD771" i="11"/>
  <c r="AE771" i="11" s="1"/>
  <c r="AM771" i="11" s="1"/>
  <c r="S1213" i="11"/>
  <c r="S491" i="11"/>
  <c r="AE491" i="11" s="1"/>
  <c r="AM491" i="11" s="1"/>
  <c r="AM793" i="11"/>
  <c r="M659" i="21"/>
  <c r="S659" i="21" s="1"/>
  <c r="M658" i="21"/>
  <c r="S658" i="21" s="1"/>
  <c r="S721" i="21"/>
  <c r="S722" i="21" s="1"/>
  <c r="BJ23" i="7"/>
  <c r="BN23" i="7" s="1"/>
  <c r="AA3" i="7"/>
  <c r="M656" i="20"/>
  <c r="M657" i="20"/>
  <c r="S657" i="20" s="1"/>
  <c r="AU23" i="7"/>
  <c r="AY23" i="7" s="1"/>
  <c r="M637" i="19"/>
  <c r="S637" i="19" s="1"/>
  <c r="M636" i="19"/>
  <c r="AG49" i="19"/>
  <c r="O70" i="19"/>
  <c r="S70" i="19" s="1"/>
  <c r="AD70" i="19" s="1"/>
  <c r="AL76" i="19" s="1"/>
  <c r="M71" i="19"/>
  <c r="M72" i="19" s="1"/>
  <c r="S72" i="19" s="1"/>
  <c r="O71" i="19"/>
  <c r="M32" i="19"/>
  <c r="S32" i="19" s="1"/>
  <c r="AG30" i="19"/>
  <c r="R718" i="11"/>
  <c r="O19" i="11"/>
  <c r="S19" i="11" s="1"/>
  <c r="M233" i="11"/>
  <c r="M244" i="11" s="1"/>
  <c r="S244" i="11" s="1"/>
  <c r="O90" i="11"/>
  <c r="M90" i="11"/>
  <c r="M91" i="11" s="1"/>
  <c r="S91" i="11" s="1"/>
  <c r="M42" i="11"/>
  <c r="S42" i="11" s="1"/>
  <c r="O68" i="11"/>
  <c r="M68" i="11"/>
  <c r="I342" i="21"/>
  <c r="I340" i="20"/>
  <c r="S448" i="19"/>
  <c r="S373" i="19"/>
  <c r="AD373" i="19" s="1"/>
  <c r="I344" i="19"/>
  <c r="M1037" i="11"/>
  <c r="S1037" i="11" s="1"/>
  <c r="M1038" i="11"/>
  <c r="AF137" i="22"/>
  <c r="AG140" i="22" s="1"/>
  <c r="S137" i="22"/>
  <c r="AC137" i="22" s="1"/>
  <c r="AF133" i="22"/>
  <c r="AG136" i="22" s="1"/>
  <c r="S133" i="22"/>
  <c r="AC133" i="22" s="1"/>
  <c r="AF121" i="22"/>
  <c r="S121" i="22"/>
  <c r="AC121" i="22" s="1"/>
  <c r="AF115" i="22"/>
  <c r="AG117" i="22" s="1"/>
  <c r="S115" i="22"/>
  <c r="AC115" i="22" s="1"/>
  <c r="I115" i="22"/>
  <c r="S70" i="22"/>
  <c r="AC70" i="22" s="1"/>
  <c r="AF70" i="22"/>
  <c r="AG71" i="22" s="1"/>
  <c r="I70" i="22"/>
  <c r="M394" i="17"/>
  <c r="S394" i="17" s="1"/>
  <c r="AD394" i="17" s="1"/>
  <c r="I344" i="17"/>
  <c r="I189" i="17"/>
  <c r="AF23" i="7"/>
  <c r="AJ28" i="7" s="1"/>
  <c r="AG509" i="21"/>
  <c r="AH510" i="21" s="1"/>
  <c r="AG495" i="21"/>
  <c r="AH498" i="21" s="1"/>
  <c r="AG488" i="21"/>
  <c r="AH491" i="21" s="1"/>
  <c r="AG530" i="21"/>
  <c r="AH531" i="21" s="1"/>
  <c r="AG523" i="21"/>
  <c r="AH524" i="21" s="1"/>
  <c r="AG507" i="20"/>
  <c r="AH510" i="20" s="1"/>
  <c r="AG493" i="20"/>
  <c r="AG486" i="20"/>
  <c r="AG528" i="20"/>
  <c r="AH530" i="20" s="1"/>
  <c r="AG521" i="20"/>
  <c r="AG296" i="21"/>
  <c r="AH298" i="21" s="1"/>
  <c r="AG284" i="21"/>
  <c r="AH286" i="21" s="1"/>
  <c r="AG278" i="21"/>
  <c r="AH281" i="21" s="1"/>
  <c r="AG314" i="21"/>
  <c r="AH317" i="21" s="1"/>
  <c r="AG308" i="21"/>
  <c r="AH309" i="21" s="1"/>
  <c r="AG294" i="20"/>
  <c r="AG282" i="20"/>
  <c r="AH285" i="20" s="1"/>
  <c r="AG276" i="20"/>
  <c r="AH277" i="20" s="1"/>
  <c r="AG312" i="20"/>
  <c r="AH314" i="20" s="1"/>
  <c r="AG306" i="20"/>
  <c r="AH308" i="20" s="1"/>
  <c r="AG510" i="19"/>
  <c r="S531" i="19"/>
  <c r="AD531" i="19" s="1"/>
  <c r="AL537" i="19" s="1"/>
  <c r="S524" i="19"/>
  <c r="AD524" i="19" s="1"/>
  <c r="AL530" i="19" s="1"/>
  <c r="S110" i="14"/>
  <c r="AC110" i="14" s="1"/>
  <c r="I110" i="14"/>
  <c r="M103" i="14"/>
  <c r="O103" i="14"/>
  <c r="S104" i="14"/>
  <c r="M95" i="14"/>
  <c r="O95" i="14"/>
  <c r="S96" i="14"/>
  <c r="S87" i="14"/>
  <c r="AC87" i="14" s="1"/>
  <c r="I87" i="14"/>
  <c r="AG146" i="21"/>
  <c r="AH148" i="21" s="1"/>
  <c r="I146" i="21"/>
  <c r="AG146" i="20"/>
  <c r="AH148" i="20" s="1"/>
  <c r="I146" i="20"/>
  <c r="I147" i="19"/>
  <c r="AG242" i="21"/>
  <c r="AH244" i="21" s="1"/>
  <c r="I242" i="21"/>
  <c r="AG241" i="20"/>
  <c r="AH242" i="20" s="1"/>
  <c r="I241" i="20"/>
  <c r="I242" i="19"/>
  <c r="I194" i="11"/>
  <c r="I358" i="11"/>
  <c r="AH358" i="11"/>
  <c r="AH194" i="11"/>
  <c r="O105" i="20"/>
  <c r="S105" i="20" s="1"/>
  <c r="AD105" i="20" s="1"/>
  <c r="C79" i="4"/>
  <c r="D79" i="4" s="1"/>
  <c r="C78" i="4"/>
  <c r="D78" i="4" s="1"/>
  <c r="C77" i="4"/>
  <c r="D77" i="4" s="1"/>
  <c r="C76" i="4"/>
  <c r="D76" i="4" s="1"/>
  <c r="C75" i="4"/>
  <c r="D75" i="4" s="1"/>
  <c r="C74" i="4"/>
  <c r="D74" i="4" s="1"/>
  <c r="C72" i="4"/>
  <c r="D72" i="4" s="1"/>
  <c r="C71" i="4"/>
  <c r="D71" i="4" s="1"/>
  <c r="C70" i="4"/>
  <c r="D70" i="4" s="1"/>
  <c r="C69" i="4"/>
  <c r="D69" i="4" s="1"/>
  <c r="C67" i="4"/>
  <c r="D67" i="4" s="1"/>
  <c r="C65" i="4"/>
  <c r="D65" i="4" s="1"/>
  <c r="C64" i="4"/>
  <c r="D64" i="4" s="1"/>
  <c r="C62" i="4"/>
  <c r="D62" i="4" s="1"/>
  <c r="D61" i="4"/>
  <c r="F3" i="14"/>
  <c r="I140" i="14" s="1"/>
  <c r="M250" i="21"/>
  <c r="M248" i="20"/>
  <c r="M252" i="19"/>
  <c r="D1288" i="11"/>
  <c r="C1288" i="11"/>
  <c r="F64" i="4"/>
  <c r="F65" i="4"/>
  <c r="F67" i="4"/>
  <c r="D1273" i="11" s="1"/>
  <c r="F68" i="4"/>
  <c r="D1274" i="11" s="1"/>
  <c r="F69" i="4"/>
  <c r="F70" i="4"/>
  <c r="F71" i="4"/>
  <c r="F72" i="4"/>
  <c r="D1278" i="11" s="1"/>
  <c r="F74" i="4"/>
  <c r="F75" i="4"/>
  <c r="D1281" i="11" s="1"/>
  <c r="F76" i="4"/>
  <c r="F77" i="4"/>
  <c r="F78" i="4"/>
  <c r="F79" i="4"/>
  <c r="D1285" i="11" s="1"/>
  <c r="F80" i="4"/>
  <c r="D80" i="4"/>
  <c r="W6" i="22"/>
  <c r="W5" i="22"/>
  <c r="AD172" i="18"/>
  <c r="AD185" i="18"/>
  <c r="Z199" i="18"/>
  <c r="AD202" i="18"/>
  <c r="Z205" i="18"/>
  <c r="AD206" i="18"/>
  <c r="Z222" i="18"/>
  <c r="S31" i="14"/>
  <c r="M63" i="14"/>
  <c r="O63" i="14"/>
  <c r="S64" i="14"/>
  <c r="M74" i="14"/>
  <c r="O74" i="14"/>
  <c r="S75" i="14"/>
  <c r="AO2" i="22"/>
  <c r="N3" i="22"/>
  <c r="M16" i="22"/>
  <c r="O16" i="22"/>
  <c r="AF16" i="22"/>
  <c r="AG18" i="22" s="1"/>
  <c r="S17" i="22"/>
  <c r="M20" i="22"/>
  <c r="O20" i="22"/>
  <c r="AF20" i="22"/>
  <c r="AG23" i="22" s="1"/>
  <c r="O24" i="22"/>
  <c r="S24" i="22" s="1"/>
  <c r="AC24" i="22" s="1"/>
  <c r="AF24" i="22"/>
  <c r="AG25" i="22" s="1"/>
  <c r="M33" i="22"/>
  <c r="O33" i="22"/>
  <c r="AE33" i="22"/>
  <c r="AE50" i="22" s="1"/>
  <c r="AF50" i="22" s="1"/>
  <c r="AG51" i="22" s="1"/>
  <c r="M50" i="22"/>
  <c r="O50" i="22"/>
  <c r="S34" i="22"/>
  <c r="O37" i="22"/>
  <c r="S37" i="22" s="1"/>
  <c r="AC37" i="22" s="1"/>
  <c r="AF37" i="22"/>
  <c r="AG38" i="22" s="1"/>
  <c r="O41" i="22"/>
  <c r="S41" i="22"/>
  <c r="AC41" i="22" s="1"/>
  <c r="AF41" i="22"/>
  <c r="AG44" i="22" s="1"/>
  <c r="S51" i="22"/>
  <c r="O54" i="22"/>
  <c r="S54" i="22" s="1"/>
  <c r="AC54" i="22" s="1"/>
  <c r="AF54" i="22"/>
  <c r="AG56" i="22" s="1"/>
  <c r="O58" i="22"/>
  <c r="S58" i="22" s="1"/>
  <c r="AC58" i="22" s="1"/>
  <c r="AF58" i="22"/>
  <c r="AG60" i="22" s="1"/>
  <c r="AC62" i="22"/>
  <c r="AF62" i="22"/>
  <c r="AG65" i="22" s="1"/>
  <c r="AK65" i="22" s="1"/>
  <c r="AC67" i="22"/>
  <c r="AC68" i="22"/>
  <c r="AK69" i="22" s="1"/>
  <c r="AC69" i="22"/>
  <c r="O77" i="22"/>
  <c r="S77" i="22" s="1"/>
  <c r="AC77" i="22" s="1"/>
  <c r="AF77" i="22"/>
  <c r="AG80" i="22" s="1"/>
  <c r="O78" i="22"/>
  <c r="S78" i="22" s="1"/>
  <c r="O81" i="22"/>
  <c r="S81" i="22"/>
  <c r="AC81" i="22" s="1"/>
  <c r="AF81" i="22"/>
  <c r="AG84" i="22" s="1"/>
  <c r="O82" i="22"/>
  <c r="S82" i="22" s="1"/>
  <c r="O85" i="22"/>
  <c r="S85" i="22" s="1"/>
  <c r="AC85" i="22" s="1"/>
  <c r="AF85" i="22"/>
  <c r="AG86" i="22" s="1"/>
  <c r="O90" i="22"/>
  <c r="S90" i="22" s="1"/>
  <c r="AC90" i="22" s="1"/>
  <c r="AE90" i="22"/>
  <c r="AE103" i="22" s="1"/>
  <c r="O91" i="22"/>
  <c r="S91" i="22" s="1"/>
  <c r="O94" i="22"/>
  <c r="S94" i="22" s="1"/>
  <c r="AC94" i="22" s="1"/>
  <c r="AE94" i="22"/>
  <c r="AF94" i="22" s="1"/>
  <c r="AG97" i="22" s="1"/>
  <c r="O95" i="22"/>
  <c r="S95" i="22" s="1"/>
  <c r="O98" i="22"/>
  <c r="S98" i="22" s="1"/>
  <c r="AC98" i="22" s="1"/>
  <c r="AF98" i="22"/>
  <c r="AG101" i="22" s="1"/>
  <c r="O103" i="22"/>
  <c r="S103" i="22" s="1"/>
  <c r="AC103" i="22" s="1"/>
  <c r="O104" i="22"/>
  <c r="S104" i="22"/>
  <c r="O107" i="22"/>
  <c r="S107" i="22" s="1"/>
  <c r="AC107" i="22" s="1"/>
  <c r="AE107" i="22"/>
  <c r="AF107" i="22" s="1"/>
  <c r="AG109" i="22" s="1"/>
  <c r="O108" i="22"/>
  <c r="S108" i="22" s="1"/>
  <c r="O111" i="22"/>
  <c r="S111" i="22"/>
  <c r="AC111" i="22" s="1"/>
  <c r="AF111" i="22"/>
  <c r="AG113" i="22" s="1"/>
  <c r="S125" i="22"/>
  <c r="AC125" i="22" s="1"/>
  <c r="AF125" i="22"/>
  <c r="S129" i="22"/>
  <c r="AC129" i="22" s="1"/>
  <c r="AF129" i="22"/>
  <c r="AG131" i="22" s="1"/>
  <c r="AC143" i="22"/>
  <c r="AK143" i="22" s="1"/>
  <c r="AK144" i="22"/>
  <c r="AK145" i="22"/>
  <c r="AK146" i="22"/>
  <c r="AK147" i="22"/>
  <c r="S158" i="22"/>
  <c r="S159" i="22"/>
  <c r="S160" i="22"/>
  <c r="S161" i="22"/>
  <c r="AP2" i="17"/>
  <c r="M15" i="17"/>
  <c r="O15" i="17"/>
  <c r="S16" i="17"/>
  <c r="O45" i="17"/>
  <c r="S45" i="17" s="1"/>
  <c r="AD45" i="17" s="1"/>
  <c r="AL51" i="17" s="1"/>
  <c r="M64" i="17"/>
  <c r="O64" i="17"/>
  <c r="AH64" i="17"/>
  <c r="S65" i="17"/>
  <c r="O110" i="17"/>
  <c r="S110" i="17" s="1"/>
  <c r="AD110" i="17" s="1"/>
  <c r="AL116" i="17" s="1"/>
  <c r="M125" i="17"/>
  <c r="O125" i="17"/>
  <c r="S126" i="17"/>
  <c r="O147" i="17"/>
  <c r="S147" i="17" s="1"/>
  <c r="AD147" i="17" s="1"/>
  <c r="S161" i="17"/>
  <c r="AD161" i="17" s="1"/>
  <c r="AL167" i="17" s="1"/>
  <c r="AD168" i="17"/>
  <c r="AL170" i="17" s="1"/>
  <c r="O243" i="17"/>
  <c r="S243" i="17" s="1"/>
  <c r="AD243" i="17" s="1"/>
  <c r="O254" i="17"/>
  <c r="S254" i="17" s="1"/>
  <c r="AD254" i="17" s="1"/>
  <c r="AH254" i="17"/>
  <c r="O255" i="17"/>
  <c r="S255" i="17" s="1"/>
  <c r="O262" i="17"/>
  <c r="S262" i="17" s="1"/>
  <c r="AD262" i="17" s="1"/>
  <c r="O263" i="17"/>
  <c r="S263" i="17" s="1"/>
  <c r="O297" i="17"/>
  <c r="S297" i="17" s="1"/>
  <c r="AD297" i="17" s="1"/>
  <c r="O338" i="17"/>
  <c r="S338" i="17" s="1"/>
  <c r="AD338" i="17" s="1"/>
  <c r="M406" i="17"/>
  <c r="S406" i="17" s="1"/>
  <c r="AD406" i="17" s="1"/>
  <c r="AL410" i="17" s="1"/>
  <c r="M376" i="17"/>
  <c r="S376" i="17" s="1"/>
  <c r="AD376" i="17" s="1"/>
  <c r="AP2" i="21"/>
  <c r="M17" i="21"/>
  <c r="O17" i="21"/>
  <c r="AG17" i="21"/>
  <c r="AH18" i="21" s="1"/>
  <c r="O18" i="21"/>
  <c r="S18" i="21" s="1"/>
  <c r="AG30" i="21"/>
  <c r="AH33" i="21" s="1"/>
  <c r="O38" i="21"/>
  <c r="S38" i="21" s="1"/>
  <c r="AD38" i="21" s="1"/>
  <c r="AG38" i="21"/>
  <c r="AH39" i="21" s="1"/>
  <c r="M57" i="21"/>
  <c r="O57" i="21"/>
  <c r="AF57" i="21"/>
  <c r="AG57" i="21" s="1"/>
  <c r="AH60" i="21" s="1"/>
  <c r="AG70" i="21"/>
  <c r="AH72" i="21" s="1"/>
  <c r="O78" i="21"/>
  <c r="S78" i="21" s="1"/>
  <c r="AD78" i="21" s="1"/>
  <c r="AG78" i="21"/>
  <c r="AH79" i="21" s="1"/>
  <c r="M93" i="21"/>
  <c r="O93" i="21"/>
  <c r="AG93" i="21"/>
  <c r="AH95" i="21" s="1"/>
  <c r="O106" i="21"/>
  <c r="S106" i="21" s="1"/>
  <c r="AD106" i="21" s="1"/>
  <c r="AG106" i="21"/>
  <c r="AH107" i="21" s="1"/>
  <c r="AG120" i="21"/>
  <c r="AH121" i="21" s="1"/>
  <c r="AD127" i="21"/>
  <c r="AG127" i="21"/>
  <c r="AH128" i="21" s="1"/>
  <c r="O164" i="21"/>
  <c r="S164" i="21" s="1"/>
  <c r="AD164" i="21" s="1"/>
  <c r="AG164" i="21"/>
  <c r="AH166" i="21" s="1"/>
  <c r="O165" i="21"/>
  <c r="S165" i="21" s="1"/>
  <c r="O173" i="21"/>
  <c r="S173" i="21" s="1"/>
  <c r="AD173" i="21" s="1"/>
  <c r="AG173" i="21"/>
  <c r="AH176" i="21" s="1"/>
  <c r="O174" i="21"/>
  <c r="S174" i="21" s="1"/>
  <c r="O186" i="21"/>
  <c r="S186" i="21" s="1"/>
  <c r="AD186" i="21" s="1"/>
  <c r="AG186" i="21"/>
  <c r="AH188" i="21" s="1"/>
  <c r="O193" i="21"/>
  <c r="S193" i="21" s="1"/>
  <c r="AD193" i="21" s="1"/>
  <c r="AF193" i="21"/>
  <c r="AG193" i="21" s="1"/>
  <c r="AH194" i="21" s="1"/>
  <c r="O194" i="21"/>
  <c r="S194" i="21" s="1"/>
  <c r="O202" i="21"/>
  <c r="S202" i="21" s="1"/>
  <c r="AD202" i="21" s="1"/>
  <c r="AF202" i="21"/>
  <c r="AG202" i="21" s="1"/>
  <c r="AH205" i="21" s="1"/>
  <c r="O203" i="21"/>
  <c r="S203" i="21" s="1"/>
  <c r="O211" i="21"/>
  <c r="S211" i="21" s="1"/>
  <c r="AD211" i="21" s="1"/>
  <c r="AG211" i="21"/>
  <c r="AH213" i="21" s="1"/>
  <c r="O218" i="21"/>
  <c r="S218" i="21" s="1"/>
  <c r="AD218" i="21" s="1"/>
  <c r="AG218" i="21"/>
  <c r="AH220" i="21" s="1"/>
  <c r="O219" i="21"/>
  <c r="S219" i="21" s="1"/>
  <c r="O227" i="21"/>
  <c r="S227" i="21" s="1"/>
  <c r="AD227" i="21" s="1"/>
  <c r="AG227" i="21"/>
  <c r="AH230" i="21" s="1"/>
  <c r="O228" i="21"/>
  <c r="S228" i="21" s="1"/>
  <c r="O236" i="21"/>
  <c r="S236" i="21" s="1"/>
  <c r="AD236" i="21" s="1"/>
  <c r="AG236" i="21"/>
  <c r="AH237" i="21" s="1"/>
  <c r="AL263" i="21"/>
  <c r="S274" i="21"/>
  <c r="AD326" i="21"/>
  <c r="AL330" i="21" s="1"/>
  <c r="S346" i="21"/>
  <c r="AD346" i="21" s="1"/>
  <c r="AG446" i="21"/>
  <c r="AH447" i="21" s="1"/>
  <c r="AG458" i="21"/>
  <c r="AH460" i="21" s="1"/>
  <c r="M471" i="21"/>
  <c r="V472" i="21" s="1"/>
  <c r="S472" i="21"/>
  <c r="M473" i="21"/>
  <c r="V474" i="21" s="1"/>
  <c r="S474" i="21"/>
  <c r="AG476" i="21"/>
  <c r="AH479" i="21" s="1"/>
  <c r="AD487" i="21"/>
  <c r="I546" i="21"/>
  <c r="S555" i="21"/>
  <c r="AD555" i="21" s="1"/>
  <c r="F61" i="4"/>
  <c r="D781" i="19" s="1"/>
  <c r="F62" i="4"/>
  <c r="D1268" i="11" s="1"/>
  <c r="AP2" i="20"/>
  <c r="F8" i="20"/>
  <c r="M16" i="20"/>
  <c r="O16" i="20"/>
  <c r="AG16" i="20"/>
  <c r="AH19" i="20" s="1"/>
  <c r="O17" i="20"/>
  <c r="S17" i="20" s="1"/>
  <c r="AG29" i="20"/>
  <c r="AH32" i="20" s="1"/>
  <c r="AL32" i="20" s="1"/>
  <c r="O37" i="20"/>
  <c r="S37" i="20" s="1"/>
  <c r="AD37" i="20" s="1"/>
  <c r="AG37" i="20"/>
  <c r="AH39" i="20" s="1"/>
  <c r="M56" i="20"/>
  <c r="O56" i="20"/>
  <c r="AF56" i="20"/>
  <c r="AG56" i="20" s="1"/>
  <c r="AH57" i="20" s="1"/>
  <c r="AG69" i="20"/>
  <c r="AH71" i="20" s="1"/>
  <c r="O77" i="20"/>
  <c r="AG77" i="20"/>
  <c r="AH79" i="20" s="1"/>
  <c r="M92" i="20"/>
  <c r="O92" i="20"/>
  <c r="AG92" i="20"/>
  <c r="AH94" i="20" s="1"/>
  <c r="AG105" i="20"/>
  <c r="AG119" i="20"/>
  <c r="AH121" i="20" s="1"/>
  <c r="AG126" i="20"/>
  <c r="AH129" i="20" s="1"/>
  <c r="O163" i="20"/>
  <c r="S163" i="20" s="1"/>
  <c r="S170" i="20" s="1"/>
  <c r="AD170" i="20" s="1"/>
  <c r="AG163" i="20"/>
  <c r="AH164" i="20" s="1"/>
  <c r="O164" i="20"/>
  <c r="S164" i="20" s="1"/>
  <c r="O172" i="20"/>
  <c r="S172" i="20" s="1"/>
  <c r="AD172" i="20" s="1"/>
  <c r="AG172" i="20"/>
  <c r="AH174" i="20" s="1"/>
  <c r="O173" i="20"/>
  <c r="S173" i="20" s="1"/>
  <c r="O185" i="20"/>
  <c r="S185" i="20" s="1"/>
  <c r="AD185" i="20" s="1"/>
  <c r="AG185" i="20"/>
  <c r="O192" i="20"/>
  <c r="S192" i="20" s="1"/>
  <c r="AD192" i="20" s="1"/>
  <c r="AF192" i="20"/>
  <c r="AG192" i="20" s="1"/>
  <c r="AH195" i="20" s="1"/>
  <c r="O193" i="20"/>
  <c r="S193" i="20" s="1"/>
  <c r="O201" i="20"/>
  <c r="S201" i="20" s="1"/>
  <c r="S208" i="20" s="1"/>
  <c r="AD208" i="20" s="1"/>
  <c r="AF201" i="20"/>
  <c r="AG201" i="20" s="1"/>
  <c r="AH204" i="20" s="1"/>
  <c r="O202" i="20"/>
  <c r="S202" i="20" s="1"/>
  <c r="O210" i="20"/>
  <c r="S210" i="20" s="1"/>
  <c r="AD210" i="20" s="1"/>
  <c r="AG210" i="20"/>
  <c r="O217" i="20"/>
  <c r="S217" i="20" s="1"/>
  <c r="AD217" i="20" s="1"/>
  <c r="AG217" i="20"/>
  <c r="AH220" i="20" s="1"/>
  <c r="O218" i="20"/>
  <c r="S218" i="20" s="1"/>
  <c r="O226" i="20"/>
  <c r="S226" i="20" s="1"/>
  <c r="AD226" i="20" s="1"/>
  <c r="AG226" i="20"/>
  <c r="AH229" i="20" s="1"/>
  <c r="O227" i="20"/>
  <c r="S227" i="20" s="1"/>
  <c r="O235" i="20"/>
  <c r="S235" i="20" s="1"/>
  <c r="AD235" i="20" s="1"/>
  <c r="AG235" i="20"/>
  <c r="AL261" i="20"/>
  <c r="AD324" i="20"/>
  <c r="AL326" i="20" s="1"/>
  <c r="S345" i="20"/>
  <c r="AD345" i="20" s="1"/>
  <c r="AG444" i="20"/>
  <c r="AH445" i="20" s="1"/>
  <c r="M469" i="20"/>
  <c r="V470" i="20" s="1"/>
  <c r="S470" i="20"/>
  <c r="M471" i="20"/>
  <c r="V472" i="20" s="1"/>
  <c r="S472" i="20"/>
  <c r="AG474" i="20"/>
  <c r="AH476" i="20" s="1"/>
  <c r="I544" i="20"/>
  <c r="S553" i="20"/>
  <c r="O553" i="20" s="1"/>
  <c r="M604" i="20"/>
  <c r="AP2" i="19"/>
  <c r="N3" i="19"/>
  <c r="F8" i="19"/>
  <c r="M17" i="19"/>
  <c r="O17" i="19"/>
  <c r="AG17" i="19"/>
  <c r="O18" i="19"/>
  <c r="S18" i="19" s="1"/>
  <c r="O38" i="19"/>
  <c r="S38" i="19" s="1"/>
  <c r="AD38" i="19" s="1"/>
  <c r="AL44" i="19" s="1"/>
  <c r="AG38" i="19"/>
  <c r="M57" i="19"/>
  <c r="O57" i="19"/>
  <c r="AF57" i="19"/>
  <c r="AF93" i="19" s="1"/>
  <c r="AG93" i="19" s="1"/>
  <c r="S58" i="19"/>
  <c r="O78" i="19"/>
  <c r="M93" i="19"/>
  <c r="O93" i="19"/>
  <c r="S94" i="19"/>
  <c r="O106" i="19"/>
  <c r="O164" i="19"/>
  <c r="S164" i="19" s="1"/>
  <c r="AD164" i="19" s="1"/>
  <c r="AG164" i="19"/>
  <c r="O165" i="19"/>
  <c r="S165" i="19" s="1"/>
  <c r="O173" i="19"/>
  <c r="S173" i="19" s="1"/>
  <c r="AD173" i="19" s="1"/>
  <c r="AG173" i="19"/>
  <c r="O174" i="19"/>
  <c r="S174" i="19" s="1"/>
  <c r="O186" i="19"/>
  <c r="S186" i="19" s="1"/>
  <c r="AD186" i="19" s="1"/>
  <c r="O193" i="19"/>
  <c r="S193" i="19" s="1"/>
  <c r="AD193" i="19" s="1"/>
  <c r="AF193" i="19"/>
  <c r="AF218" i="19" s="1"/>
  <c r="AG218" i="19" s="1"/>
  <c r="O194" i="19"/>
  <c r="S194" i="19" s="1"/>
  <c r="O202" i="19"/>
  <c r="S202" i="19" s="1"/>
  <c r="AD202" i="19" s="1"/>
  <c r="O203" i="19"/>
  <c r="S203" i="19" s="1"/>
  <c r="O211" i="19"/>
  <c r="S211" i="19" s="1"/>
  <c r="AD211" i="19" s="1"/>
  <c r="O218" i="19"/>
  <c r="S218" i="19" s="1"/>
  <c r="AD218" i="19" s="1"/>
  <c r="O219" i="19"/>
  <c r="S219" i="19" s="1"/>
  <c r="O227" i="19"/>
  <c r="S227" i="19" s="1"/>
  <c r="AD227" i="19" s="1"/>
  <c r="O228" i="19"/>
  <c r="S228" i="19" s="1"/>
  <c r="O236" i="19"/>
  <c r="S236" i="19" s="1"/>
  <c r="AD236" i="19" s="1"/>
  <c r="S254" i="19"/>
  <c r="AD254" i="19" s="1"/>
  <c r="AL263" i="19" s="1"/>
  <c r="S267" i="19"/>
  <c r="AD267" i="19" s="1"/>
  <c r="M275" i="19"/>
  <c r="V276" i="19" s="1"/>
  <c r="M277" i="19"/>
  <c r="V278" i="19" s="1"/>
  <c r="AD327" i="19"/>
  <c r="AL333" i="19" s="1"/>
  <c r="S444" i="19"/>
  <c r="S466" i="19"/>
  <c r="AD466" i="19" s="1"/>
  <c r="V448" i="19"/>
  <c r="M449" i="19"/>
  <c r="V450" i="19" s="1"/>
  <c r="S450" i="19"/>
  <c r="W450" i="19" s="1"/>
  <c r="M451" i="19"/>
  <c r="V452" i="19" s="1"/>
  <c r="S452" i="19"/>
  <c r="W452" i="19" s="1"/>
  <c r="S477" i="19"/>
  <c r="AD477" i="19" s="1"/>
  <c r="AG524" i="19"/>
  <c r="AG531" i="19"/>
  <c r="AG489" i="19"/>
  <c r="AG496" i="19"/>
  <c r="S728" i="19"/>
  <c r="S735" i="19"/>
  <c r="S737" i="19"/>
  <c r="S741" i="19"/>
  <c r="S743" i="19"/>
  <c r="C3" i="4"/>
  <c r="C4" i="4"/>
  <c r="E20" i="4"/>
  <c r="E21" i="4"/>
  <c r="AR2" i="11"/>
  <c r="N3" i="11"/>
  <c r="F8" i="11"/>
  <c r="S41" i="11"/>
  <c r="AH129" i="11"/>
  <c r="S130" i="11"/>
  <c r="S140" i="11"/>
  <c r="AH167" i="11"/>
  <c r="AH219" i="11"/>
  <c r="K10" i="4" s="1"/>
  <c r="O220" i="11"/>
  <c r="S220" i="11" s="1"/>
  <c r="J10" i="4" s="1"/>
  <c r="O233" i="11"/>
  <c r="O265" i="11"/>
  <c r="S265" i="11" s="1"/>
  <c r="J9" i="4" s="1"/>
  <c r="O277" i="11"/>
  <c r="S277" i="11" s="1"/>
  <c r="AH318" i="11"/>
  <c r="K8" i="4" s="1"/>
  <c r="O319" i="11"/>
  <c r="S319" i="11" s="1"/>
  <c r="J8" i="4" s="1"/>
  <c r="S325" i="11"/>
  <c r="O332" i="11"/>
  <c r="S332" i="11" s="1"/>
  <c r="S338" i="11"/>
  <c r="AE338" i="11" s="1"/>
  <c r="S367" i="11"/>
  <c r="M370" i="11"/>
  <c r="S407" i="11"/>
  <c r="M386" i="11"/>
  <c r="V387" i="11" s="1"/>
  <c r="AH427" i="11"/>
  <c r="K13" i="4" s="1"/>
  <c r="R719" i="11"/>
  <c r="R720" i="11"/>
  <c r="R721" i="11"/>
  <c r="R722" i="11"/>
  <c r="R723" i="11"/>
  <c r="R724" i="11"/>
  <c r="R725" i="11"/>
  <c r="R726" i="11"/>
  <c r="R727" i="11"/>
  <c r="R728" i="11"/>
  <c r="R729" i="11"/>
  <c r="R730" i="11"/>
  <c r="R731" i="11"/>
  <c r="R732" i="11"/>
  <c r="R733" i="11"/>
  <c r="R734" i="11"/>
  <c r="R735" i="11"/>
  <c r="R736" i="11"/>
  <c r="R737" i="11"/>
  <c r="R738" i="11"/>
  <c r="R739" i="11"/>
  <c r="R740" i="11"/>
  <c r="R741" i="11"/>
  <c r="R742" i="11"/>
  <c r="R743" i="11"/>
  <c r="M1206" i="11"/>
  <c r="S1206" i="11" s="1"/>
  <c r="S1217" i="11"/>
  <c r="M1218" i="11"/>
  <c r="S1225" i="11"/>
  <c r="K1324" i="11"/>
  <c r="M1324" i="11"/>
  <c r="AE1324" i="11"/>
  <c r="AG119" i="22"/>
  <c r="AK119" i="22" s="1"/>
  <c r="AG120" i="22"/>
  <c r="AK120" i="22" s="1"/>
  <c r="AK148" i="22"/>
  <c r="AL658" i="20"/>
  <c r="AL660" i="21"/>
  <c r="Q1248" i="11"/>
  <c r="S1248" i="11" s="1"/>
  <c r="AL662" i="20"/>
  <c r="AL661" i="21"/>
  <c r="AK149" i="22"/>
  <c r="AD225" i="18"/>
  <c r="AD224" i="18"/>
  <c r="S37" i="17"/>
  <c r="AD37" i="17" s="1"/>
  <c r="M951" i="11"/>
  <c r="S951" i="11" s="1"/>
  <c r="AE951" i="11" s="1"/>
  <c r="AD207" i="18"/>
  <c r="AD208" i="18"/>
  <c r="AD184" i="18"/>
  <c r="AD186" i="18"/>
  <c r="AD173" i="18"/>
  <c r="AD200" i="18"/>
  <c r="AD201" i="18"/>
  <c r="AD174" i="18"/>
  <c r="AD178" i="18"/>
  <c r="AD180" i="18"/>
  <c r="AD179" i="18"/>
  <c r="AJ27" i="7"/>
  <c r="AJ24" i="7"/>
  <c r="AJ25" i="7"/>
  <c r="D1267" i="11"/>
  <c r="AH384" i="17"/>
  <c r="AH396" i="17" s="1"/>
  <c r="S46" i="22"/>
  <c r="AC46" i="22" s="1"/>
  <c r="AF103" i="22"/>
  <c r="AG106" i="22" s="1"/>
  <c r="M1312" i="11"/>
  <c r="AA1312" i="11" s="1"/>
  <c r="U142" i="13"/>
  <c r="S29" i="22"/>
  <c r="AC29" i="22" s="1"/>
  <c r="S20" i="22"/>
  <c r="AC20" i="22" s="1"/>
  <c r="I1301" i="11"/>
  <c r="I1300" i="11"/>
  <c r="I1299" i="11"/>
  <c r="Y1299" i="11" s="1"/>
  <c r="I1295" i="11"/>
  <c r="Y1295" i="11" s="1"/>
  <c r="I1305" i="11"/>
  <c r="AC1305" i="11" s="1"/>
  <c r="I1297" i="11"/>
  <c r="AC1297" i="11" s="1"/>
  <c r="I1309" i="11"/>
  <c r="I1298" i="11"/>
  <c r="Y1298" i="11" s="1"/>
  <c r="I1310" i="11"/>
  <c r="Y1310" i="11" s="1"/>
  <c r="I1294" i="11"/>
  <c r="Y1294" i="11" s="1"/>
  <c r="I1296" i="11"/>
  <c r="Y1296" i="11" s="1"/>
  <c r="I1306" i="11"/>
  <c r="AC1306" i="11" s="1"/>
  <c r="I1304" i="11"/>
  <c r="I1302" i="11"/>
  <c r="Y1302" i="11" s="1"/>
  <c r="I1303" i="11"/>
  <c r="Y1303" i="11" s="1"/>
  <c r="I1307" i="11"/>
  <c r="AC1307" i="11" s="1"/>
  <c r="I1311" i="11"/>
  <c r="I1308" i="11"/>
  <c r="Y1308" i="11" s="1"/>
  <c r="U85" i="13"/>
  <c r="U103" i="13"/>
  <c r="AH385" i="17"/>
  <c r="AH397" i="17" s="1"/>
  <c r="AH383" i="17"/>
  <c r="AH395" i="17" s="1"/>
  <c r="K1312" i="11"/>
  <c r="Z1312" i="11" s="1"/>
  <c r="U165" i="13"/>
  <c r="BW34" i="7"/>
  <c r="BW41" i="7" s="1"/>
  <c r="U35" i="13"/>
  <c r="K1303" i="11"/>
  <c r="Z1303" i="11" s="1"/>
  <c r="M1303" i="11"/>
  <c r="AA1303" i="11" s="1"/>
  <c r="K1320" i="11"/>
  <c r="Z1320" i="11" s="1"/>
  <c r="M1320" i="11"/>
  <c r="AA1320" i="11" s="1"/>
  <c r="M1321" i="11"/>
  <c r="AA1321" i="11" s="1"/>
  <c r="K1321" i="11"/>
  <c r="Z1321" i="11" s="1"/>
  <c r="K1302" i="11"/>
  <c r="Z1302" i="11" s="1"/>
  <c r="M1302" i="11"/>
  <c r="AA1302" i="11" s="1"/>
  <c r="K1296" i="11"/>
  <c r="Z1296" i="11" s="1"/>
  <c r="M1296" i="11"/>
  <c r="AA1296" i="11" s="1"/>
  <c r="M1294" i="11"/>
  <c r="AA1294" i="11" s="1"/>
  <c r="K1294" i="11"/>
  <c r="Z1294" i="11" s="1"/>
  <c r="M1309" i="11"/>
  <c r="AA1309" i="11" s="1"/>
  <c r="K1309" i="11"/>
  <c r="Z1309" i="11" s="1"/>
  <c r="M1304" i="11"/>
  <c r="AA1304" i="11" s="1"/>
  <c r="K1304" i="11"/>
  <c r="Z1304" i="11" s="1"/>
  <c r="M1306" i="11"/>
  <c r="AA1306" i="11" s="1"/>
  <c r="K1306" i="11"/>
  <c r="Z1306" i="11" s="1"/>
  <c r="K1317" i="11"/>
  <c r="Z1317" i="11" s="1"/>
  <c r="M1317" i="11"/>
  <c r="AA1317" i="11" s="1"/>
  <c r="M1314" i="11"/>
  <c r="AA1314" i="11" s="1"/>
  <c r="K1314" i="11"/>
  <c r="Z1314" i="11" s="1"/>
  <c r="K1323" i="11"/>
  <c r="Z1323" i="11" s="1"/>
  <c r="M1323" i="11"/>
  <c r="AA1323" i="11" s="1"/>
  <c r="K1299" i="11"/>
  <c r="Z1299" i="11" s="1"/>
  <c r="M1299" i="11"/>
  <c r="AA1299" i="11" s="1"/>
  <c r="M1298" i="11"/>
  <c r="AA1298" i="11" s="1"/>
  <c r="K1298" i="11"/>
  <c r="Z1298" i="11" s="1"/>
  <c r="K1313" i="11"/>
  <c r="Z1313" i="11" s="1"/>
  <c r="M1313" i="11"/>
  <c r="AA1313" i="11" s="1"/>
  <c r="M1297" i="11"/>
  <c r="AA1297" i="11" s="1"/>
  <c r="K1297" i="11"/>
  <c r="Z1297" i="11" s="1"/>
  <c r="M1319" i="11"/>
  <c r="AA1319" i="11" s="1"/>
  <c r="K1319" i="11"/>
  <c r="Z1319" i="11" s="1"/>
  <c r="M1295" i="11"/>
  <c r="AA1295" i="11" s="1"/>
  <c r="K1295" i="11"/>
  <c r="Z1295" i="11" s="1"/>
  <c r="M1322" i="11"/>
  <c r="AA1322" i="11" s="1"/>
  <c r="K1322" i="11"/>
  <c r="Z1322" i="11" s="1"/>
  <c r="K1318" i="11"/>
  <c r="Z1318" i="11" s="1"/>
  <c r="M1318" i="11"/>
  <c r="AA1318" i="11" s="1"/>
  <c r="K1310" i="11"/>
  <c r="Z1310" i="11" s="1"/>
  <c r="M1310" i="11"/>
  <c r="AA1310" i="11" s="1"/>
  <c r="M1301" i="11"/>
  <c r="AA1301" i="11" s="1"/>
  <c r="K1301" i="11"/>
  <c r="Z1301" i="11" s="1"/>
  <c r="M1307" i="11"/>
  <c r="AA1307" i="11" s="1"/>
  <c r="K1307" i="11"/>
  <c r="Z1307" i="11" s="1"/>
  <c r="M1316" i="11"/>
  <c r="AA1316" i="11" s="1"/>
  <c r="K1316" i="11"/>
  <c r="Z1316" i="11" s="1"/>
  <c r="M1311" i="11"/>
  <c r="AA1311" i="11" s="1"/>
  <c r="K1311" i="11"/>
  <c r="Z1311" i="11" s="1"/>
  <c r="M1300" i="11"/>
  <c r="AA1300" i="11" s="1"/>
  <c r="K1300" i="11"/>
  <c r="Z1300" i="11" s="1"/>
  <c r="K1308" i="11"/>
  <c r="Z1308" i="11" s="1"/>
  <c r="M1308" i="11"/>
  <c r="AA1308" i="11" s="1"/>
  <c r="M1315" i="11"/>
  <c r="AA1315" i="11" s="1"/>
  <c r="K1315" i="11"/>
  <c r="Z1315" i="11" s="1"/>
  <c r="K1305" i="11"/>
  <c r="Z1305" i="11" s="1"/>
  <c r="M1305" i="11"/>
  <c r="AA1305" i="11" s="1"/>
  <c r="V546" i="20"/>
  <c r="X1325" i="11"/>
  <c r="V1325" i="11"/>
  <c r="Y1325" i="11"/>
  <c r="T1325" i="11"/>
  <c r="S1325" i="11"/>
  <c r="W1325" i="11"/>
  <c r="Q1325" i="11"/>
  <c r="AL655" i="20"/>
  <c r="V547" i="21"/>
  <c r="AC547" i="21" s="1"/>
  <c r="V546" i="21"/>
  <c r="V548" i="21"/>
  <c r="V544" i="20"/>
  <c r="V545" i="20"/>
  <c r="AC545" i="20" s="1"/>
  <c r="AL657" i="21"/>
  <c r="G911" i="11"/>
  <c r="J913" i="11" s="1"/>
  <c r="AH114" i="14" l="1"/>
  <c r="AH115" i="14"/>
  <c r="AH111" i="14"/>
  <c r="AE208" i="18"/>
  <c r="AL310" i="20"/>
  <c r="AL311" i="20"/>
  <c r="AL314" i="19"/>
  <c r="AL313" i="19"/>
  <c r="AL453" i="17"/>
  <c r="AL454" i="17"/>
  <c r="AL441" i="17"/>
  <c r="AL442" i="17"/>
  <c r="AL423" i="17"/>
  <c r="AL398" i="17"/>
  <c r="AL399" i="17"/>
  <c r="AL386" i="17"/>
  <c r="AL387" i="17"/>
  <c r="AL404" i="17"/>
  <c r="AL405" i="17"/>
  <c r="AM425" i="11"/>
  <c r="AM426" i="11"/>
  <c r="AM414" i="11"/>
  <c r="AM413" i="11"/>
  <c r="AL34" i="20"/>
  <c r="AL33" i="20"/>
  <c r="AL35" i="20"/>
  <c r="AL484" i="19"/>
  <c r="AL486" i="19"/>
  <c r="AL474" i="19"/>
  <c r="AL475" i="19"/>
  <c r="AL405" i="19"/>
  <c r="AL407" i="19"/>
  <c r="AL427" i="19"/>
  <c r="AL426" i="19"/>
  <c r="AL425" i="19"/>
  <c r="AL430" i="17"/>
  <c r="AL429" i="17"/>
  <c r="AL381" i="17"/>
  <c r="AL380" i="17"/>
  <c r="AL268" i="19"/>
  <c r="AL271" i="19"/>
  <c r="AL246" i="19"/>
  <c r="AL247" i="19"/>
  <c r="AL319" i="19"/>
  <c r="AL320" i="19"/>
  <c r="AM139" i="11"/>
  <c r="AM150" i="11"/>
  <c r="AM154" i="11"/>
  <c r="AM155" i="11"/>
  <c r="AG117" i="17"/>
  <c r="AH117" i="17" s="1"/>
  <c r="AG400" i="17"/>
  <c r="AH400" i="17" s="1"/>
  <c r="AG365" i="17"/>
  <c r="AH365" i="17" s="1"/>
  <c r="AF136" i="17"/>
  <c r="AG75" i="17"/>
  <c r="AH75" i="17" s="1"/>
  <c r="AG370" i="17"/>
  <c r="AH370" i="17" s="1"/>
  <c r="AG425" i="17"/>
  <c r="AH425" i="17" s="1"/>
  <c r="AG431" i="17"/>
  <c r="AH431" i="17" s="1"/>
  <c r="AG437" i="17"/>
  <c r="AH437" i="17" s="1"/>
  <c r="AG236" i="17"/>
  <c r="AH236" i="17" s="1"/>
  <c r="AG443" i="17"/>
  <c r="AH443" i="17" s="1"/>
  <c r="AG449" i="17"/>
  <c r="AH449" i="17" s="1"/>
  <c r="AG95" i="17"/>
  <c r="AH95" i="17" s="1"/>
  <c r="AG262" i="17"/>
  <c r="AH262" i="17" s="1"/>
  <c r="AG269" i="17"/>
  <c r="AH269" i="17" s="1"/>
  <c r="AG376" i="17"/>
  <c r="AH376" i="17" s="1"/>
  <c r="AG275" i="17"/>
  <c r="AH275" i="17" s="1"/>
  <c r="AG382" i="17"/>
  <c r="AH382" i="17" s="1"/>
  <c r="AG125" i="17"/>
  <c r="AH125" i="17" s="1"/>
  <c r="AF338" i="17"/>
  <c r="AG297" i="17"/>
  <c r="AH297" i="17" s="1"/>
  <c r="AG388" i="17"/>
  <c r="AH388" i="17" s="1"/>
  <c r="AF147" i="17"/>
  <c r="AG110" i="17"/>
  <c r="AH110" i="17" s="1"/>
  <c r="AG394" i="17"/>
  <c r="AH394" i="17" s="1"/>
  <c r="O77" i="21"/>
  <c r="S77" i="21" s="1"/>
  <c r="AD77" i="21" s="1"/>
  <c r="AE219" i="18"/>
  <c r="AE223" i="18"/>
  <c r="AE207" i="18"/>
  <c r="AE200" i="18"/>
  <c r="AE212" i="18"/>
  <c r="BN17" i="7"/>
  <c r="S77" i="20"/>
  <c r="AD77" i="20" s="1"/>
  <c r="AL79" i="20" s="1"/>
  <c r="S656" i="20"/>
  <c r="B655" i="20" s="1"/>
  <c r="S454" i="20"/>
  <c r="AD454" i="20" s="1"/>
  <c r="AL454" i="20" s="1"/>
  <c r="S106" i="19"/>
  <c r="AD106" i="19" s="1"/>
  <c r="AL112" i="19" s="1"/>
  <c r="S78" i="19"/>
  <c r="AD78" i="19" s="1"/>
  <c r="S771" i="19"/>
  <c r="AL185" i="17"/>
  <c r="I10" i="14"/>
  <c r="I9" i="14"/>
  <c r="G3" i="14"/>
  <c r="G4" i="14"/>
  <c r="G5" i="14" s="1"/>
  <c r="AL238" i="20"/>
  <c r="AL237" i="20"/>
  <c r="AL236" i="20"/>
  <c r="AL215" i="20"/>
  <c r="AL214" i="20"/>
  <c r="AL213" i="20"/>
  <c r="AL239" i="20"/>
  <c r="AL188" i="20"/>
  <c r="AL240" i="20"/>
  <c r="AL190" i="20"/>
  <c r="AL189" i="20"/>
  <c r="AM338" i="11"/>
  <c r="AM351" i="11"/>
  <c r="D1270" i="11"/>
  <c r="D1271" i="11"/>
  <c r="C73" i="4"/>
  <c r="D73" i="4" s="1"/>
  <c r="AL246" i="17"/>
  <c r="AL248" i="17"/>
  <c r="AL247" i="17"/>
  <c r="AL342" i="17"/>
  <c r="AL343" i="17"/>
  <c r="AL301" i="17"/>
  <c r="AL302" i="17"/>
  <c r="AL191" i="19"/>
  <c r="AL190" i="19"/>
  <c r="AL177" i="19"/>
  <c r="AL178" i="19"/>
  <c r="AL169" i="19"/>
  <c r="AL168" i="19"/>
  <c r="AL207" i="19"/>
  <c r="AL206" i="19"/>
  <c r="AL231" i="19"/>
  <c r="AL232" i="19"/>
  <c r="AL223" i="19"/>
  <c r="AL222" i="19"/>
  <c r="AL215" i="19"/>
  <c r="AL216" i="19"/>
  <c r="AL197" i="19"/>
  <c r="AL198" i="19"/>
  <c r="AL241" i="19"/>
  <c r="AL240" i="19"/>
  <c r="AM972" i="11"/>
  <c r="AM971" i="11"/>
  <c r="AM970" i="11"/>
  <c r="AM962" i="11"/>
  <c r="AM964" i="11"/>
  <c r="AM963" i="11"/>
  <c r="AM1175" i="11"/>
  <c r="AL241" i="21"/>
  <c r="AL240" i="21"/>
  <c r="AL197" i="21"/>
  <c r="AL198" i="21"/>
  <c r="S17" i="21"/>
  <c r="AD17" i="21" s="1"/>
  <c r="AL18" i="21" s="1"/>
  <c r="AL183" i="21"/>
  <c r="AL191" i="21"/>
  <c r="AL190" i="21"/>
  <c r="O555" i="21"/>
  <c r="AL169" i="21"/>
  <c r="AL168" i="21"/>
  <c r="AL197" i="20"/>
  <c r="AL196" i="20"/>
  <c r="AL230" i="20"/>
  <c r="AL231" i="20"/>
  <c r="AL206" i="20"/>
  <c r="AL205" i="20"/>
  <c r="S76" i="20"/>
  <c r="AD76" i="20" s="1"/>
  <c r="AL47" i="20"/>
  <c r="AL176" i="20"/>
  <c r="AL177" i="20"/>
  <c r="O554" i="19"/>
  <c r="AG78" i="19"/>
  <c r="AH203" i="19"/>
  <c r="AL203" i="19" s="1"/>
  <c r="S15" i="17"/>
  <c r="AD15" i="17" s="1"/>
  <c r="AL23" i="17" s="1"/>
  <c r="AL294" i="17"/>
  <c r="S556" i="21"/>
  <c r="S557" i="21" s="1"/>
  <c r="S558" i="21" s="1"/>
  <c r="O558" i="21" s="1"/>
  <c r="AL184" i="21"/>
  <c r="S37" i="21"/>
  <c r="AD37" i="21" s="1"/>
  <c r="S70" i="20"/>
  <c r="S36" i="20"/>
  <c r="AD36" i="20" s="1"/>
  <c r="S37" i="19"/>
  <c r="AD37" i="19" s="1"/>
  <c r="AL37" i="19" s="1"/>
  <c r="AF113" i="19"/>
  <c r="AG113" i="19" s="1"/>
  <c r="AH590" i="19"/>
  <c r="AI1007" i="11"/>
  <c r="AH605" i="19" s="1"/>
  <c r="AW1133" i="11"/>
  <c r="AO1133" i="11"/>
  <c r="AC1302" i="11"/>
  <c r="AE1302" i="11" s="1"/>
  <c r="AF1302" i="11" s="1"/>
  <c r="S232" i="11"/>
  <c r="AE232" i="11" s="1"/>
  <c r="AL418" i="21"/>
  <c r="S17" i="19"/>
  <c r="AD17" i="19" s="1"/>
  <c r="S57" i="21"/>
  <c r="AD57" i="21" s="1"/>
  <c r="AL60" i="21" s="1"/>
  <c r="S103" i="14"/>
  <c r="AC103" i="14" s="1"/>
  <c r="AE220" i="18"/>
  <c r="AE185" i="18"/>
  <c r="AF227" i="19"/>
  <c r="AG227" i="19" s="1"/>
  <c r="AL419" i="21"/>
  <c r="S92" i="20"/>
  <c r="AD92" i="20" s="1"/>
  <c r="AL94" i="20" s="1"/>
  <c r="S93" i="21"/>
  <c r="AD93" i="21" s="1"/>
  <c r="AL95" i="21" s="1"/>
  <c r="S16" i="22"/>
  <c r="AC16" i="22" s="1"/>
  <c r="AK18" i="22" s="1"/>
  <c r="AE202" i="18"/>
  <c r="AE213" i="18"/>
  <c r="AL185" i="21"/>
  <c r="AF33" i="22"/>
  <c r="AG35" i="22" s="1"/>
  <c r="S913" i="11"/>
  <c r="AG57" i="19"/>
  <c r="AE224" i="18"/>
  <c r="S63" i="14"/>
  <c r="AC63" i="14" s="1"/>
  <c r="AE214" i="18"/>
  <c r="S347" i="21"/>
  <c r="AD347" i="21" s="1"/>
  <c r="S233" i="11"/>
  <c r="AE197" i="18"/>
  <c r="AL425" i="21"/>
  <c r="AL692" i="19"/>
  <c r="AL421" i="21"/>
  <c r="AL276" i="17"/>
  <c r="AL81" i="17"/>
  <c r="AL173" i="17"/>
  <c r="AL179" i="17"/>
  <c r="S136" i="17"/>
  <c r="AD136" i="17" s="1"/>
  <c r="AL137" i="17" s="1"/>
  <c r="S125" i="17"/>
  <c r="AD125" i="17" s="1"/>
  <c r="AL133" i="17" s="1"/>
  <c r="C81" i="4"/>
  <c r="D81" i="4"/>
  <c r="AE184" i="18"/>
  <c r="S57" i="19"/>
  <c r="AD57" i="19" s="1"/>
  <c r="AF90" i="22"/>
  <c r="AG92" i="22" s="1"/>
  <c r="AK92" i="22" s="1"/>
  <c r="S50" i="22"/>
  <c r="AC50" i="22" s="1"/>
  <c r="AK51" i="22" s="1"/>
  <c r="AL46" i="20"/>
  <c r="AH220" i="19"/>
  <c r="AH229" i="19" s="1"/>
  <c r="AL229" i="19" s="1"/>
  <c r="AL693" i="19"/>
  <c r="AC1303" i="11"/>
  <c r="AE1303" i="11" s="1"/>
  <c r="AF1303" i="11" s="1"/>
  <c r="AL407" i="21"/>
  <c r="AE201" i="18"/>
  <c r="AL129" i="20"/>
  <c r="S33" i="22"/>
  <c r="AC33" i="22" s="1"/>
  <c r="AB22" i="14"/>
  <c r="AC22" i="14" s="1"/>
  <c r="AH22" i="14" s="1"/>
  <c r="AD554" i="19"/>
  <c r="S71" i="21"/>
  <c r="AL283" i="17"/>
  <c r="AE186" i="18"/>
  <c r="O77" i="19"/>
  <c r="S77" i="19" s="1"/>
  <c r="AD77" i="19" s="1"/>
  <c r="AL77" i="19" s="1"/>
  <c r="AL413" i="19"/>
  <c r="AE218" i="18"/>
  <c r="AL406" i="21"/>
  <c r="AL171" i="17"/>
  <c r="AE225" i="18"/>
  <c r="S71" i="19"/>
  <c r="AL184" i="17"/>
  <c r="AL67" i="19"/>
  <c r="C781" i="19"/>
  <c r="C1267" i="11"/>
  <c r="C1268" i="11"/>
  <c r="C9" i="4"/>
  <c r="AM1068" i="11"/>
  <c r="S331" i="20"/>
  <c r="AD331" i="20" s="1"/>
  <c r="S300" i="20"/>
  <c r="AD300" i="20" s="1"/>
  <c r="Y611" i="11"/>
  <c r="AM977" i="11"/>
  <c r="AH588" i="17"/>
  <c r="AL588" i="17" s="1"/>
  <c r="AC1295" i="11"/>
  <c r="AE1295" i="11" s="1"/>
  <c r="AF1295" i="11" s="1"/>
  <c r="S129" i="11"/>
  <c r="AE129" i="11" s="1"/>
  <c r="AM137" i="11" s="1"/>
  <c r="AG352" i="11"/>
  <c r="AH352" i="11" s="1"/>
  <c r="AC1322" i="11"/>
  <c r="S127" i="11"/>
  <c r="AE127" i="11" s="1"/>
  <c r="AM127" i="11" s="1"/>
  <c r="AH866" i="11"/>
  <c r="AH887" i="11"/>
  <c r="AH591" i="19"/>
  <c r="AM1173" i="11"/>
  <c r="AC1323" i="11"/>
  <c r="AM525" i="11"/>
  <c r="S90" i="11"/>
  <c r="Y1322" i="11"/>
  <c r="AE1321" i="11"/>
  <c r="AF1321" i="11" s="1"/>
  <c r="AM524" i="11"/>
  <c r="AI881" i="11"/>
  <c r="S102" i="17"/>
  <c r="AD102" i="17" s="1"/>
  <c r="AL102" i="17" s="1"/>
  <c r="AL183" i="17"/>
  <c r="AL169" i="17"/>
  <c r="S64" i="17"/>
  <c r="AD64" i="17" s="1"/>
  <c r="AL67" i="17" s="1"/>
  <c r="S44" i="17"/>
  <c r="AD44" i="17" s="1"/>
  <c r="AL44" i="17" s="1"/>
  <c r="AL321" i="17"/>
  <c r="AL320" i="17"/>
  <c r="AL319" i="17"/>
  <c r="AL307" i="17"/>
  <c r="AL306" i="17"/>
  <c r="AL305" i="17"/>
  <c r="AL313" i="17"/>
  <c r="AL312" i="17"/>
  <c r="AL314" i="17"/>
  <c r="AL89" i="17"/>
  <c r="AF282" i="17"/>
  <c r="S26" i="17"/>
  <c r="AD26" i="17" s="1"/>
  <c r="AL34" i="17" s="1"/>
  <c r="AL79" i="17"/>
  <c r="AF154" i="17"/>
  <c r="AF324" i="17"/>
  <c r="AL237" i="17"/>
  <c r="S95" i="17"/>
  <c r="AD95" i="17" s="1"/>
  <c r="AL101" i="17" s="1"/>
  <c r="AL92" i="17"/>
  <c r="AL490" i="17"/>
  <c r="AL88" i="17"/>
  <c r="AL87" i="17"/>
  <c r="AL76" i="17"/>
  <c r="AL80" i="17"/>
  <c r="AL584" i="17"/>
  <c r="S96" i="17"/>
  <c r="AL176" i="17"/>
  <c r="AL187" i="17"/>
  <c r="AL295" i="17"/>
  <c r="AL583" i="17"/>
  <c r="AL578" i="17"/>
  <c r="AL580" i="17"/>
  <c r="AL178" i="17"/>
  <c r="AL91" i="17"/>
  <c r="AL270" i="17"/>
  <c r="AL488" i="17"/>
  <c r="AD333" i="21"/>
  <c r="W8" i="20"/>
  <c r="AL184" i="20"/>
  <c r="AD555" i="19"/>
  <c r="O555" i="19"/>
  <c r="S556" i="19"/>
  <c r="O556" i="19" s="1"/>
  <c r="AL414" i="19"/>
  <c r="AL138" i="19"/>
  <c r="AL183" i="19"/>
  <c r="AL698" i="19"/>
  <c r="AG193" i="19"/>
  <c r="AL137" i="19"/>
  <c r="AL103" i="19"/>
  <c r="AL155" i="19"/>
  <c r="AL228" i="19"/>
  <c r="AL159" i="19"/>
  <c r="AL157" i="19"/>
  <c r="AL694" i="19"/>
  <c r="AH205" i="19"/>
  <c r="AL205" i="19" s="1"/>
  <c r="AM530" i="11"/>
  <c r="AM529" i="11"/>
  <c r="AM528" i="11"/>
  <c r="AM1033" i="11"/>
  <c r="AE190" i="18"/>
  <c r="AE191" i="18"/>
  <c r="S32" i="14"/>
  <c r="S33" i="14" s="1"/>
  <c r="AC33" i="14" s="1"/>
  <c r="AG33" i="14" s="1"/>
  <c r="AC31" i="14"/>
  <c r="AG31" i="14" s="1"/>
  <c r="AE1319" i="11"/>
  <c r="AF1319" i="11" s="1"/>
  <c r="AC381" i="21"/>
  <c r="AD381" i="21" s="1"/>
  <c r="AL383" i="21" s="1"/>
  <c r="AJ29" i="7"/>
  <c r="AJ26" i="7"/>
  <c r="AE1317" i="11"/>
  <c r="AF1317" i="11" s="1"/>
  <c r="AM179" i="11"/>
  <c r="AM180" i="11"/>
  <c r="AG873" i="11"/>
  <c r="AH873" i="11" s="1"/>
  <c r="AH894" i="11"/>
  <c r="AH179" i="19"/>
  <c r="AL179" i="19" s="1"/>
  <c r="AH199" i="19"/>
  <c r="AL199" i="19" s="1"/>
  <c r="AL128" i="21"/>
  <c r="AE206" i="18"/>
  <c r="M72" i="21"/>
  <c r="S72" i="21" s="1"/>
  <c r="AH901" i="11"/>
  <c r="AG880" i="11"/>
  <c r="AH880" i="11" s="1"/>
  <c r="Y1307" i="11"/>
  <c r="AM192" i="11"/>
  <c r="AM193" i="11"/>
  <c r="AM191" i="11"/>
  <c r="AM190" i="11"/>
  <c r="AL328" i="21"/>
  <c r="AL327" i="21"/>
  <c r="Y1317" i="11"/>
  <c r="S576" i="21"/>
  <c r="C68" i="4"/>
  <c r="D68" i="4" s="1"/>
  <c r="S93" i="19"/>
  <c r="AD93" i="19" s="1"/>
  <c r="S346" i="20"/>
  <c r="S347" i="20" s="1"/>
  <c r="AD347" i="20" s="1"/>
  <c r="S56" i="20"/>
  <c r="AD56" i="20" s="1"/>
  <c r="AL57" i="20" s="1"/>
  <c r="S16" i="20"/>
  <c r="AD16" i="20" s="1"/>
  <c r="AL174" i="17"/>
  <c r="AL172" i="17"/>
  <c r="AC620" i="21"/>
  <c r="AC635" i="21" s="1"/>
  <c r="AD635" i="21" s="1"/>
  <c r="AL637" i="21" s="1"/>
  <c r="AL177" i="17"/>
  <c r="AL180" i="17"/>
  <c r="AH225" i="19"/>
  <c r="AH234" i="19" s="1"/>
  <c r="AH209" i="19"/>
  <c r="AK68" i="22"/>
  <c r="AK67" i="22"/>
  <c r="AE192" i="18"/>
  <c r="AL47" i="21"/>
  <c r="AL46" i="21"/>
  <c r="AL109" i="17"/>
  <c r="AL106" i="17"/>
  <c r="AL104" i="17"/>
  <c r="AL107" i="17"/>
  <c r="AL108" i="17"/>
  <c r="AL423" i="19"/>
  <c r="AL424" i="19"/>
  <c r="AL422" i="19"/>
  <c r="AH541" i="19"/>
  <c r="AH506" i="19" s="1"/>
  <c r="J550" i="19"/>
  <c r="AL372" i="19"/>
  <c r="S74" i="14"/>
  <c r="AC74" i="14" s="1"/>
  <c r="S67" i="11"/>
  <c r="AE67" i="11" s="1"/>
  <c r="P9" i="7"/>
  <c r="U10" i="7" s="1"/>
  <c r="AL423" i="21"/>
  <c r="AL329" i="19"/>
  <c r="AM490" i="11"/>
  <c r="AM1065" i="11"/>
  <c r="AM1067" i="11"/>
  <c r="AL128" i="19"/>
  <c r="AL142" i="19"/>
  <c r="AL696" i="19"/>
  <c r="AL708" i="19"/>
  <c r="AL703" i="19"/>
  <c r="AL291" i="17"/>
  <c r="AL278" i="17"/>
  <c r="AL131" i="19"/>
  <c r="AL145" i="19"/>
  <c r="AL331" i="19"/>
  <c r="AL702" i="19"/>
  <c r="AL579" i="17"/>
  <c r="AL494" i="17"/>
  <c r="AL704" i="19"/>
  <c r="AL132" i="19"/>
  <c r="AM185" i="11"/>
  <c r="AM187" i="11"/>
  <c r="AM448" i="11"/>
  <c r="AM451" i="11"/>
  <c r="AM983" i="11"/>
  <c r="AL370" i="19"/>
  <c r="AL292" i="17"/>
  <c r="AL130" i="19"/>
  <c r="AL144" i="19"/>
  <c r="AL339" i="19"/>
  <c r="AL642" i="19"/>
  <c r="AL701" i="19"/>
  <c r="AH587" i="17"/>
  <c r="AL587" i="17" s="1"/>
  <c r="AL496" i="17"/>
  <c r="AL139" i="19"/>
  <c r="AL420" i="19"/>
  <c r="AL414" i="21"/>
  <c r="S48" i="11"/>
  <c r="AE48" i="11" s="1"/>
  <c r="AM54" i="11" s="1"/>
  <c r="S47" i="11"/>
  <c r="AE47" i="11" s="1"/>
  <c r="AM47" i="11" s="1"/>
  <c r="AL547" i="21"/>
  <c r="AL285" i="17"/>
  <c r="AL46" i="19"/>
  <c r="AL129" i="19"/>
  <c r="AL143" i="19"/>
  <c r="AL700" i="19"/>
  <c r="AL586" i="17"/>
  <c r="AL495" i="17"/>
  <c r="AL146" i="19"/>
  <c r="AL415" i="21"/>
  <c r="AM1066" i="11"/>
  <c r="AL284" i="17"/>
  <c r="AL135" i="19"/>
  <c r="AL699" i="19"/>
  <c r="AL585" i="17"/>
  <c r="AL499" i="17"/>
  <c r="AH585" i="19"/>
  <c r="AL424" i="21"/>
  <c r="AL677" i="19"/>
  <c r="AL501" i="17"/>
  <c r="AH525" i="19"/>
  <c r="AL525" i="19" s="1"/>
  <c r="AL77" i="17"/>
  <c r="AL679" i="19"/>
  <c r="AL706" i="19"/>
  <c r="AL500" i="17"/>
  <c r="AL328" i="19"/>
  <c r="AL82" i="17"/>
  <c r="AL332" i="19"/>
  <c r="AL136" i="19"/>
  <c r="AL707" i="19"/>
  <c r="AL590" i="17"/>
  <c r="AL589" i="17" s="1"/>
  <c r="AL417" i="21"/>
  <c r="AM198" i="11"/>
  <c r="AM200" i="11"/>
  <c r="AE72" i="18"/>
  <c r="AE79" i="18"/>
  <c r="AE65" i="18"/>
  <c r="AL120" i="17"/>
  <c r="AL123" i="17"/>
  <c r="AL150" i="17"/>
  <c r="AL153" i="17"/>
  <c r="AM61" i="11"/>
  <c r="AM65" i="11"/>
  <c r="S554" i="20"/>
  <c r="AD553" i="20"/>
  <c r="AL182" i="20"/>
  <c r="AL421" i="20"/>
  <c r="AL325" i="20"/>
  <c r="S574" i="20"/>
  <c r="S69" i="20"/>
  <c r="AD69" i="20" s="1"/>
  <c r="AL71" i="20" s="1"/>
  <c r="AL415" i="20"/>
  <c r="AL422" i="20"/>
  <c r="AL416" i="20"/>
  <c r="AL327" i="20"/>
  <c r="AL423" i="20"/>
  <c r="AL412" i="20"/>
  <c r="AL417" i="20"/>
  <c r="AL419" i="20"/>
  <c r="AL413" i="20"/>
  <c r="AL389" i="17"/>
  <c r="AL392" i="17"/>
  <c r="AL420" i="17"/>
  <c r="AL422" i="17"/>
  <c r="AL462" i="17"/>
  <c r="AL465" i="17"/>
  <c r="Y560" i="11"/>
  <c r="Y627" i="11"/>
  <c r="B657" i="21"/>
  <c r="AH95" i="20"/>
  <c r="AH17" i="20"/>
  <c r="AL414" i="17"/>
  <c r="AL416" i="17"/>
  <c r="Y592" i="11"/>
  <c r="Y584" i="11"/>
  <c r="Y576" i="11"/>
  <c r="AH490" i="21"/>
  <c r="AL490" i="21" s="1"/>
  <c r="AH123" i="21"/>
  <c r="AL123" i="21" s="1"/>
  <c r="AH18" i="20"/>
  <c r="AL18" i="20" s="1"/>
  <c r="S713" i="19"/>
  <c r="S714" i="19" s="1"/>
  <c r="AD710" i="19" s="1"/>
  <c r="AL710" i="19" s="1"/>
  <c r="AL709" i="19" s="1"/>
  <c r="AD657" i="19"/>
  <c r="AL657" i="19" s="1"/>
  <c r="AL456" i="17"/>
  <c r="AL460" i="17"/>
  <c r="AL368" i="17"/>
  <c r="AL277" i="17"/>
  <c r="AL452" i="17"/>
  <c r="AL396" i="17"/>
  <c r="AL434" i="17"/>
  <c r="AH327" i="17"/>
  <c r="AH334" i="17" s="1"/>
  <c r="AL334" i="17" s="1"/>
  <c r="AL409" i="17"/>
  <c r="AL411" i="17"/>
  <c r="AL378" i="17"/>
  <c r="B609" i="17"/>
  <c r="Y665" i="11"/>
  <c r="Y664" i="11"/>
  <c r="Y607" i="11"/>
  <c r="Y583" i="11"/>
  <c r="Y695" i="11"/>
  <c r="Y655" i="11"/>
  <c r="AM122" i="11"/>
  <c r="AM126" i="11"/>
  <c r="AD503" i="17"/>
  <c r="AL503" i="17" s="1"/>
  <c r="AH149" i="21"/>
  <c r="AL149" i="21" s="1"/>
  <c r="AH311" i="21"/>
  <c r="AL311" i="21" s="1"/>
  <c r="AH489" i="21"/>
  <c r="AL489" i="21" s="1"/>
  <c r="AH266" i="21"/>
  <c r="AH122" i="21"/>
  <c r="AL122" i="21" s="1"/>
  <c r="BJ8" i="7"/>
  <c r="BK3" i="7" s="1"/>
  <c r="BI34" i="7" s="1"/>
  <c r="AH212" i="21"/>
  <c r="AL212" i="21" s="1"/>
  <c r="AH487" i="20"/>
  <c r="AH58" i="20"/>
  <c r="AL257" i="20"/>
  <c r="S507" i="20"/>
  <c r="AD507" i="20" s="1"/>
  <c r="AL510" i="20" s="1"/>
  <c r="S685" i="20"/>
  <c r="C682" i="20" s="1"/>
  <c r="S500" i="20"/>
  <c r="AD500" i="20" s="1"/>
  <c r="AH509" i="20"/>
  <c r="AD347" i="19"/>
  <c r="AL347" i="19" s="1"/>
  <c r="AL342" i="19" s="1"/>
  <c r="AL42" i="17"/>
  <c r="AL43" i="17"/>
  <c r="AF285" i="19"/>
  <c r="AG285" i="19" s="1"/>
  <c r="AH78" i="20"/>
  <c r="AH477" i="20"/>
  <c r="AL477" i="20" s="1"/>
  <c r="AH280" i="21"/>
  <c r="X547" i="21"/>
  <c r="AH80" i="21"/>
  <c r="AL80" i="21" s="1"/>
  <c r="AH245" i="21"/>
  <c r="AL245" i="21" s="1"/>
  <c r="W548" i="21"/>
  <c r="AH243" i="21"/>
  <c r="AL243" i="21" s="1"/>
  <c r="AH478" i="21"/>
  <c r="AL478" i="21" s="1"/>
  <c r="AH147" i="20"/>
  <c r="AL147" i="20" s="1"/>
  <c r="S199" i="20"/>
  <c r="AD199" i="20" s="1"/>
  <c r="AH244" i="20"/>
  <c r="AL244" i="20" s="1"/>
  <c r="AH127" i="20"/>
  <c r="AL127" i="20" s="1"/>
  <c r="AH283" i="20"/>
  <c r="AH458" i="20"/>
  <c r="AL458" i="20" s="1"/>
  <c r="AH82" i="20"/>
  <c r="AH290" i="20"/>
  <c r="AD163" i="20"/>
  <c r="AH149" i="20"/>
  <c r="AL149" i="20" s="1"/>
  <c r="AL121" i="20"/>
  <c r="AL684" i="19"/>
  <c r="AL256" i="19"/>
  <c r="AL262" i="19"/>
  <c r="AD659" i="19"/>
  <c r="AL659" i="19" s="1"/>
  <c r="N4" i="22"/>
  <c r="B157" i="22"/>
  <c r="AL119" i="17"/>
  <c r="AL122" i="17"/>
  <c r="AL395" i="17"/>
  <c r="AD519" i="17"/>
  <c r="AL519" i="17" s="1"/>
  <c r="AL571" i="17"/>
  <c r="AD523" i="17"/>
  <c r="AL523" i="17" s="1"/>
  <c r="AL570" i="17"/>
  <c r="AB16" i="14"/>
  <c r="AC16" i="14" s="1"/>
  <c r="AH16" i="14" s="1"/>
  <c r="AB130" i="14"/>
  <c r="AC130" i="14" s="1"/>
  <c r="S95" i="14"/>
  <c r="AC95" i="14" s="1"/>
  <c r="AH189" i="21"/>
  <c r="AL189" i="21" s="1"/>
  <c r="AH287" i="21"/>
  <c r="AL460" i="21"/>
  <c r="AH229" i="21"/>
  <c r="AL229" i="21" s="1"/>
  <c r="AH203" i="21"/>
  <c r="AL203" i="21" s="1"/>
  <c r="AH204" i="21"/>
  <c r="AL204" i="21" s="1"/>
  <c r="AH297" i="21"/>
  <c r="AH285" i="21"/>
  <c r="AH165" i="21"/>
  <c r="AL165" i="21" s="1"/>
  <c r="Y548" i="21"/>
  <c r="AH449" i="21"/>
  <c r="AL148" i="21"/>
  <c r="AH279" i="21"/>
  <c r="AD548" i="21"/>
  <c r="AL548" i="21" s="1"/>
  <c r="AH299" i="21"/>
  <c r="AH129" i="21"/>
  <c r="AL129" i="21" s="1"/>
  <c r="AH94" i="21"/>
  <c r="AL107" i="21"/>
  <c r="AL52" i="21"/>
  <c r="AL87" i="20"/>
  <c r="AL85" i="20"/>
  <c r="AH203" i="20"/>
  <c r="AH279" i="20"/>
  <c r="AH59" i="20"/>
  <c r="AH202" i="20"/>
  <c r="AH128" i="20"/>
  <c r="AL128" i="20" s="1"/>
  <c r="AL220" i="20"/>
  <c r="AH446" i="20"/>
  <c r="AL242" i="20"/>
  <c r="AH173" i="20"/>
  <c r="AL173" i="20" s="1"/>
  <c r="AD201" i="20"/>
  <c r="AL204" i="20" s="1"/>
  <c r="AL195" i="20"/>
  <c r="AL319" i="20"/>
  <c r="AH30" i="20"/>
  <c r="AL30" i="20" s="1"/>
  <c r="AH175" i="20"/>
  <c r="AL175" i="20" s="1"/>
  <c r="AH243" i="20"/>
  <c r="AL243" i="20" s="1"/>
  <c r="AH278" i="20"/>
  <c r="AH31" i="20"/>
  <c r="AL31" i="20" s="1"/>
  <c r="AH531" i="20"/>
  <c r="AL531" i="20" s="1"/>
  <c r="AL125" i="19"/>
  <c r="AL270" i="19"/>
  <c r="AM683" i="19"/>
  <c r="AL123" i="19"/>
  <c r="AL595" i="19"/>
  <c r="AC588" i="19"/>
  <c r="AD588" i="19" s="1"/>
  <c r="AL592" i="19" s="1"/>
  <c r="AL479" i="19"/>
  <c r="AD583" i="19"/>
  <c r="AG63" i="22"/>
  <c r="AK63" i="22" s="1"/>
  <c r="Y689" i="11"/>
  <c r="Y649" i="11"/>
  <c r="AG21" i="22"/>
  <c r="AK21" i="22" s="1"/>
  <c r="Y609" i="11"/>
  <c r="Y687" i="11"/>
  <c r="Y591" i="11"/>
  <c r="AL230" i="19"/>
  <c r="AD668" i="19"/>
  <c r="AL668" i="19" s="1"/>
  <c r="AL689" i="19"/>
  <c r="AL483" i="19"/>
  <c r="AL485" i="19"/>
  <c r="AL260" i="19"/>
  <c r="AL478" i="19"/>
  <c r="Y672" i="11"/>
  <c r="Y648" i="11"/>
  <c r="Y663" i="11"/>
  <c r="Y608" i="11"/>
  <c r="Y575" i="11"/>
  <c r="Y680" i="11"/>
  <c r="Y632" i="11"/>
  <c r="Y671" i="11"/>
  <c r="Y639" i="11"/>
  <c r="Y631" i="11"/>
  <c r="Y600" i="11"/>
  <c r="AL238" i="19"/>
  <c r="Y690" i="11"/>
  <c r="Y558" i="11"/>
  <c r="Y688" i="11"/>
  <c r="Y640" i="11"/>
  <c r="Y624" i="11"/>
  <c r="Y569" i="11"/>
  <c r="Y679" i="11"/>
  <c r="Y623" i="11"/>
  <c r="Y599" i="11"/>
  <c r="Y567" i="11"/>
  <c r="Y681" i="11"/>
  <c r="Y673" i="11"/>
  <c r="Y657" i="11"/>
  <c r="Y641" i="11"/>
  <c r="Y625" i="11"/>
  <c r="AH130" i="21"/>
  <c r="AL130" i="21" s="1"/>
  <c r="AH511" i="21"/>
  <c r="AL511" i="21" s="1"/>
  <c r="AH238" i="21"/>
  <c r="AL238" i="21" s="1"/>
  <c r="AL244" i="21"/>
  <c r="AH147" i="21"/>
  <c r="AL147" i="21" s="1"/>
  <c r="AH448" i="21"/>
  <c r="AL237" i="21"/>
  <c r="AL33" i="21"/>
  <c r="AH58" i="21"/>
  <c r="AH477" i="21"/>
  <c r="AL477" i="21" s="1"/>
  <c r="AL531" i="21"/>
  <c r="AH228" i="21"/>
  <c r="AL228" i="21" s="1"/>
  <c r="AH167" i="21"/>
  <c r="AL167" i="21" s="1"/>
  <c r="AH108" i="21"/>
  <c r="AL108" i="21" s="1"/>
  <c r="AH525" i="21"/>
  <c r="AL525" i="21" s="1"/>
  <c r="AL52" i="20"/>
  <c r="AL49" i="20"/>
  <c r="X546" i="20"/>
  <c r="Y546" i="20"/>
  <c r="AH194" i="20"/>
  <c r="AL194" i="20" s="1"/>
  <c r="AH40" i="20"/>
  <c r="AL40" i="20" s="1"/>
  <c r="AL186" i="20"/>
  <c r="AL530" i="20"/>
  <c r="AH193" i="20"/>
  <c r="AL193" i="20" s="1"/>
  <c r="AL148" i="20"/>
  <c r="AL457" i="20"/>
  <c r="AH122" i="20"/>
  <c r="AL122" i="20" s="1"/>
  <c r="AH291" i="20"/>
  <c r="AH120" i="20"/>
  <c r="AL120" i="20" s="1"/>
  <c r="AL229" i="20"/>
  <c r="AD545" i="20"/>
  <c r="AL545" i="20" s="1"/>
  <c r="AH38" i="20"/>
  <c r="AL38" i="20" s="1"/>
  <c r="AL86" i="20"/>
  <c r="AL166" i="21"/>
  <c r="AH219" i="21"/>
  <c r="AL219" i="21" s="1"/>
  <c r="AH174" i="21"/>
  <c r="AL174" i="21" s="1"/>
  <c r="AL205" i="21"/>
  <c r="AL230" i="21"/>
  <c r="Y547" i="21"/>
  <c r="AH59" i="21"/>
  <c r="AH71" i="21"/>
  <c r="AL71" i="21" s="1"/>
  <c r="AH187" i="21"/>
  <c r="AL187" i="21" s="1"/>
  <c r="AL213" i="21"/>
  <c r="AL498" i="21"/>
  <c r="AH532" i="21"/>
  <c r="AL532" i="21" s="1"/>
  <c r="AH221" i="21"/>
  <c r="AL221" i="21" s="1"/>
  <c r="AH31" i="21"/>
  <c r="AL31" i="21" s="1"/>
  <c r="AH195" i="21"/>
  <c r="AL195" i="21" s="1"/>
  <c r="AH461" i="21"/>
  <c r="AL461" i="21" s="1"/>
  <c r="AH239" i="21"/>
  <c r="AL239" i="21" s="1"/>
  <c r="AH96" i="21"/>
  <c r="AL39" i="21"/>
  <c r="AL51" i="21"/>
  <c r="AL317" i="21"/>
  <c r="AL491" i="21"/>
  <c r="AH196" i="21"/>
  <c r="AL196" i="21" s="1"/>
  <c r="AL309" i="21"/>
  <c r="AH32" i="21"/>
  <c r="AL32" i="21" s="1"/>
  <c r="AH459" i="21"/>
  <c r="AL459" i="21" s="1"/>
  <c r="AH310" i="21"/>
  <c r="AL310" i="21" s="1"/>
  <c r="AH316" i="21"/>
  <c r="AL316" i="21" s="1"/>
  <c r="N7" i="21"/>
  <c r="AL259" i="21"/>
  <c r="AL255" i="21"/>
  <c r="AL258" i="21"/>
  <c r="AL254" i="21"/>
  <c r="AL256" i="21"/>
  <c r="AL257" i="21"/>
  <c r="AL253" i="21"/>
  <c r="AL114" i="21"/>
  <c r="AL115" i="21"/>
  <c r="AL116" i="21"/>
  <c r="AL188" i="21"/>
  <c r="AL608" i="21"/>
  <c r="AL606" i="21"/>
  <c r="AL607" i="21"/>
  <c r="AL194" i="21"/>
  <c r="AL86" i="21"/>
  <c r="AL88" i="21"/>
  <c r="AL87" i="21"/>
  <c r="AL220" i="21"/>
  <c r="AL365" i="21"/>
  <c r="AL367" i="21"/>
  <c r="AL176" i="21"/>
  <c r="AL479" i="21"/>
  <c r="AL524" i="21"/>
  <c r="AL510" i="21"/>
  <c r="AL72" i="21"/>
  <c r="AL388" i="21"/>
  <c r="AL387" i="21"/>
  <c r="AL389" i="21"/>
  <c r="AL79" i="21"/>
  <c r="AC615" i="21"/>
  <c r="AD615" i="21" s="1"/>
  <c r="AL121" i="21"/>
  <c r="AH268" i="21"/>
  <c r="W547" i="21"/>
  <c r="AH315" i="21"/>
  <c r="AL315" i="21" s="1"/>
  <c r="AH214" i="21"/>
  <c r="AL214" i="21" s="1"/>
  <c r="AH109" i="21"/>
  <c r="AL109" i="21" s="1"/>
  <c r="AH40" i="21"/>
  <c r="AL40" i="21" s="1"/>
  <c r="AH19" i="21"/>
  <c r="AH496" i="21"/>
  <c r="AL496" i="21" s="1"/>
  <c r="AH497" i="21"/>
  <c r="AL497" i="21" s="1"/>
  <c r="AH512" i="21"/>
  <c r="AL512" i="21" s="1"/>
  <c r="AH533" i="21"/>
  <c r="AL533" i="21" s="1"/>
  <c r="AH41" i="21"/>
  <c r="AL41" i="21" s="1"/>
  <c r="AH175" i="21"/>
  <c r="AL175" i="21" s="1"/>
  <c r="AH73" i="21"/>
  <c r="AL73" i="21" s="1"/>
  <c r="AH20" i="21"/>
  <c r="AC610" i="21"/>
  <c r="AD610" i="21" s="1"/>
  <c r="AH81" i="21"/>
  <c r="AL81" i="21" s="1"/>
  <c r="AH526" i="21"/>
  <c r="AL526" i="21" s="1"/>
  <c r="AL386" i="20"/>
  <c r="AL387" i="20"/>
  <c r="AL388" i="20"/>
  <c r="AH284" i="20"/>
  <c r="AH302" i="20"/>
  <c r="AL308" i="20"/>
  <c r="Y545" i="20"/>
  <c r="AH529" i="20"/>
  <c r="AL529" i="20" s="1"/>
  <c r="AH219" i="20"/>
  <c r="AL219" i="20" s="1"/>
  <c r="AL174" i="20"/>
  <c r="AH313" i="20"/>
  <c r="AL313" i="20" s="1"/>
  <c r="AD380" i="20"/>
  <c r="AL380" i="20" s="1"/>
  <c r="AH320" i="20"/>
  <c r="AL320" i="20" s="1"/>
  <c r="AH459" i="20"/>
  <c r="AL459" i="20" s="1"/>
  <c r="AH303" i="20"/>
  <c r="W546" i="20"/>
  <c r="X545" i="20"/>
  <c r="AH93" i="20"/>
  <c r="AH447" i="20"/>
  <c r="AH70" i="20"/>
  <c r="AH218" i="20"/>
  <c r="AL218" i="20" s="1"/>
  <c r="AL187" i="20"/>
  <c r="AH475" i="20"/>
  <c r="AL475" i="20" s="1"/>
  <c r="AL314" i="20"/>
  <c r="AL39" i="20"/>
  <c r="AH297" i="20"/>
  <c r="AH296" i="20"/>
  <c r="AH295" i="20"/>
  <c r="AH165" i="20"/>
  <c r="AC608" i="20"/>
  <c r="AD608" i="20" s="1"/>
  <c r="AC613" i="20"/>
  <c r="AD613" i="20" s="1"/>
  <c r="AU8" i="7"/>
  <c r="AV3" i="7" s="1"/>
  <c r="AT34" i="7" s="1"/>
  <c r="AT16" i="7"/>
  <c r="AU16" i="7" s="1"/>
  <c r="AY17" i="7" s="1"/>
  <c r="AH108" i="20"/>
  <c r="AL108" i="20" s="1"/>
  <c r="AH106" i="20"/>
  <c r="AL106" i="20" s="1"/>
  <c r="AH107" i="20"/>
  <c r="AL107" i="20" s="1"/>
  <c r="AH508" i="20"/>
  <c r="AL212" i="20"/>
  <c r="S683" i="20"/>
  <c r="S493" i="20"/>
  <c r="AD493" i="20" s="1"/>
  <c r="S249" i="20"/>
  <c r="S248" i="20"/>
  <c r="S679" i="20"/>
  <c r="S486" i="20"/>
  <c r="AD486" i="20" s="1"/>
  <c r="S282" i="20"/>
  <c r="AD282" i="20" s="1"/>
  <c r="S444" i="20"/>
  <c r="AD444" i="20" s="1"/>
  <c r="S599" i="20"/>
  <c r="AD599" i="20" s="1"/>
  <c r="AL599" i="20" s="1"/>
  <c r="S294" i="20"/>
  <c r="AD294" i="20" s="1"/>
  <c r="AL299" i="20" s="1"/>
  <c r="S677" i="20"/>
  <c r="S247" i="20"/>
  <c r="S670" i="20"/>
  <c r="S288" i="20"/>
  <c r="AD288" i="20" s="1"/>
  <c r="AL293" i="20" s="1"/>
  <c r="S441" i="20"/>
  <c r="S514" i="20"/>
  <c r="AD514" i="20" s="1"/>
  <c r="AL115" i="20"/>
  <c r="AL114" i="20"/>
  <c r="AL605" i="20"/>
  <c r="AL604" i="20"/>
  <c r="AH309" i="20"/>
  <c r="AL309" i="20" s="1"/>
  <c r="AH307" i="20"/>
  <c r="AL307" i="20" s="1"/>
  <c r="AL252" i="20"/>
  <c r="AL256" i="20"/>
  <c r="AL253" i="20"/>
  <c r="AL255" i="20"/>
  <c r="AL254" i="20"/>
  <c r="AT10" i="7"/>
  <c r="AU10" i="7" s="1"/>
  <c r="AY10" i="7" s="1"/>
  <c r="AU7" i="7"/>
  <c r="AV2" i="7" s="1"/>
  <c r="AH522" i="20"/>
  <c r="AL522" i="20" s="1"/>
  <c r="AH524" i="20"/>
  <c r="AL524" i="20" s="1"/>
  <c r="AH523" i="20"/>
  <c r="AL523" i="20" s="1"/>
  <c r="AL476" i="20"/>
  <c r="AH227" i="20"/>
  <c r="AL227" i="20" s="1"/>
  <c r="AH228" i="20"/>
  <c r="AL228" i="20" s="1"/>
  <c r="AL211" i="20"/>
  <c r="AH166" i="20"/>
  <c r="AL113" i="20"/>
  <c r="AL251" i="20"/>
  <c r="S276" i="20"/>
  <c r="AD276" i="20" s="1"/>
  <c r="AL280" i="20" s="1"/>
  <c r="AH315" i="20"/>
  <c r="AL315" i="20" s="1"/>
  <c r="AH72" i="20"/>
  <c r="S179" i="20"/>
  <c r="AD179" i="20" s="1"/>
  <c r="AL50" i="20"/>
  <c r="AH321" i="20"/>
  <c r="AL321" i="20" s="1"/>
  <c r="AL27" i="19"/>
  <c r="AL170" i="19"/>
  <c r="AL221" i="19"/>
  <c r="AL469" i="19"/>
  <c r="AL219" i="19"/>
  <c r="AL481" i="19"/>
  <c r="AL264" i="19"/>
  <c r="AL244" i="19"/>
  <c r="AN684" i="19"/>
  <c r="AL688" i="19"/>
  <c r="AL387" i="19"/>
  <c r="AL573" i="19"/>
  <c r="AL480" i="19"/>
  <c r="AL687" i="19"/>
  <c r="AL482" i="19"/>
  <c r="AL121" i="19"/>
  <c r="AL615" i="19"/>
  <c r="S359" i="19"/>
  <c r="S360" i="19" s="1"/>
  <c r="S361" i="19" s="1"/>
  <c r="S362" i="19" s="1"/>
  <c r="S363" i="19" s="1"/>
  <c r="S364" i="19" s="1"/>
  <c r="S365" i="19" s="1"/>
  <c r="S366" i="19" s="1"/>
  <c r="S367" i="19" s="1"/>
  <c r="AL468" i="19"/>
  <c r="AL167" i="19"/>
  <c r="AL166" i="19"/>
  <c r="AL381" i="19"/>
  <c r="AD618" i="20"/>
  <c r="AC623" i="20"/>
  <c r="AD623" i="20" s="1"/>
  <c r="AC633" i="20"/>
  <c r="AD633" i="20" s="1"/>
  <c r="AC628" i="20"/>
  <c r="AD628" i="20" s="1"/>
  <c r="AL269" i="19"/>
  <c r="AL258" i="19"/>
  <c r="AL261" i="19"/>
  <c r="AL259" i="19"/>
  <c r="AL257" i="19"/>
  <c r="AL255" i="19"/>
  <c r="AL53" i="19"/>
  <c r="AL324" i="19"/>
  <c r="AL196" i="19"/>
  <c r="AL195" i="19"/>
  <c r="AL194" i="19"/>
  <c r="AL176" i="19"/>
  <c r="AL175" i="19"/>
  <c r="AL174" i="19"/>
  <c r="AL382" i="19"/>
  <c r="AL165" i="19"/>
  <c r="AC603" i="19"/>
  <c r="AD603" i="19" s="1"/>
  <c r="AL607" i="19" s="1"/>
  <c r="AD598" i="19"/>
  <c r="AL598" i="19" s="1"/>
  <c r="AF8" i="7"/>
  <c r="AG3" i="7" s="1"/>
  <c r="AE34" i="7" s="1"/>
  <c r="AE16" i="7"/>
  <c r="AL323" i="19"/>
  <c r="AL204" i="19"/>
  <c r="AC390" i="19"/>
  <c r="AD390" i="19" s="1"/>
  <c r="AL594" i="19"/>
  <c r="AD666" i="19"/>
  <c r="AL666" i="19" s="1"/>
  <c r="AL609" i="19"/>
  <c r="AL148" i="19"/>
  <c r="AL151" i="19"/>
  <c r="AL686" i="19"/>
  <c r="AL718" i="19"/>
  <c r="AL39" i="19"/>
  <c r="AL720" i="19"/>
  <c r="AL35" i="19"/>
  <c r="AL187" i="19"/>
  <c r="AL467" i="19"/>
  <c r="AL611" i="19"/>
  <c r="AL311" i="19"/>
  <c r="AL124" i="19"/>
  <c r="AL150" i="19"/>
  <c r="AL685" i="19"/>
  <c r="AL719" i="19"/>
  <c r="AL152" i="19"/>
  <c r="AL476" i="19"/>
  <c r="AL316" i="19"/>
  <c r="AL373" i="19"/>
  <c r="AL473" i="19"/>
  <c r="AL243" i="19"/>
  <c r="AL386" i="19"/>
  <c r="AL471" i="19"/>
  <c r="AL614" i="19"/>
  <c r="AL31" i="19"/>
  <c r="AL122" i="19"/>
  <c r="AL683" i="19"/>
  <c r="AL472" i="19"/>
  <c r="AL610" i="19"/>
  <c r="AL149" i="19"/>
  <c r="AL596" i="19"/>
  <c r="AL245" i="19"/>
  <c r="AL388" i="19"/>
  <c r="AL470" i="19"/>
  <c r="AL616" i="19"/>
  <c r="AL34" i="19"/>
  <c r="AL317" i="19"/>
  <c r="AL690" i="19"/>
  <c r="Y694" i="11"/>
  <c r="Y678" i="11"/>
  <c r="Y662" i="11"/>
  <c r="Y646" i="11"/>
  <c r="Y630" i="11"/>
  <c r="Y622" i="11"/>
  <c r="Y577" i="11"/>
  <c r="J12" i="4"/>
  <c r="L12" i="4" s="1"/>
  <c r="Y559" i="11"/>
  <c r="Y666" i="11"/>
  <c r="Y650" i="11"/>
  <c r="Y702" i="11"/>
  <c r="Y686" i="11"/>
  <c r="Y670" i="11"/>
  <c r="Y654" i="11"/>
  <c r="Y638" i="11"/>
  <c r="AL476" i="17"/>
  <c r="Y610" i="11"/>
  <c r="Y593" i="11"/>
  <c r="Y697" i="11"/>
  <c r="Y633" i="11"/>
  <c r="AB160" i="14"/>
  <c r="AB155" i="14"/>
  <c r="AC155" i="14" s="1"/>
  <c r="AB150" i="14"/>
  <c r="AC150" i="14" s="1"/>
  <c r="AB19" i="14"/>
  <c r="AC19" i="14" s="1"/>
  <c r="AH19" i="14" s="1"/>
  <c r="AG161" i="14"/>
  <c r="G9" i="14"/>
  <c r="S160" i="14" s="1"/>
  <c r="AB27" i="14"/>
  <c r="AB117" i="14"/>
  <c r="AC117" i="14" s="1"/>
  <c r="AH126" i="14" s="1"/>
  <c r="AB140" i="14"/>
  <c r="AG163" i="14"/>
  <c r="AH89" i="14"/>
  <c r="AH88" i="14"/>
  <c r="AH90" i="14"/>
  <c r="AL112" i="17"/>
  <c r="AL115" i="17"/>
  <c r="AL46" i="17"/>
  <c r="AL50" i="17"/>
  <c r="AL49" i="17"/>
  <c r="S636" i="17"/>
  <c r="AD507" i="17"/>
  <c r="AL507" i="17" s="1"/>
  <c r="AL39" i="17"/>
  <c r="S615" i="17"/>
  <c r="N5" i="17" s="1"/>
  <c r="S595" i="17"/>
  <c r="S596" i="17" s="1"/>
  <c r="AD592" i="17" s="1"/>
  <c r="AL592" i="17" s="1"/>
  <c r="AL591" i="17" s="1"/>
  <c r="AL397" i="17"/>
  <c r="AC565" i="17"/>
  <c r="AD565" i="17" s="1"/>
  <c r="AL565" i="17" s="1"/>
  <c r="AL413" i="17"/>
  <c r="AL377" i="17"/>
  <c r="AL152" i="17"/>
  <c r="S162" i="22"/>
  <c r="AL428" i="17"/>
  <c r="AL426" i="17"/>
  <c r="AL427" i="17"/>
  <c r="AL341" i="17"/>
  <c r="AL340" i="17"/>
  <c r="AL339" i="17"/>
  <c r="AL372" i="17"/>
  <c r="AL371" i="17"/>
  <c r="AL373" i="17"/>
  <c r="AL190" i="17"/>
  <c r="AL194" i="17"/>
  <c r="AL191" i="17"/>
  <c r="AL192" i="17"/>
  <c r="AL440" i="17"/>
  <c r="AL438" i="17"/>
  <c r="AL469" i="17"/>
  <c r="AL468" i="17"/>
  <c r="AL470" i="17"/>
  <c r="AL299" i="17"/>
  <c r="AL298" i="17"/>
  <c r="AL255" i="17"/>
  <c r="AL256" i="17"/>
  <c r="AL333" i="17"/>
  <c r="AL332" i="17"/>
  <c r="AL78" i="17"/>
  <c r="AL379" i="17"/>
  <c r="S612" i="17"/>
  <c r="N4" i="17" s="1"/>
  <c r="AL432" i="17"/>
  <c r="N5" i="22"/>
  <c r="AL366" i="17"/>
  <c r="AL433" i="17"/>
  <c r="AL457" i="17"/>
  <c r="AC142" i="22"/>
  <c r="AK142" i="22" s="1"/>
  <c r="AD563" i="17"/>
  <c r="AL563" i="17" s="1"/>
  <c r="AL576" i="17"/>
  <c r="AH143" i="17"/>
  <c r="AL367" i="17"/>
  <c r="AL113" i="17"/>
  <c r="AL151" i="17"/>
  <c r="AL244" i="17"/>
  <c r="AK84" i="22"/>
  <c r="AL121" i="17"/>
  <c r="AL450" i="17"/>
  <c r="AK106" i="22"/>
  <c r="AL415" i="17"/>
  <c r="AL47" i="17"/>
  <c r="AL148" i="17"/>
  <c r="AK113" i="22"/>
  <c r="AK101" i="22"/>
  <c r="AK60" i="22"/>
  <c r="AL118" i="17"/>
  <c r="S479" i="17"/>
  <c r="AD479" i="17" s="1"/>
  <c r="AL479" i="17" s="1"/>
  <c r="AL403" i="17"/>
  <c r="AL402" i="17"/>
  <c r="AL401" i="17"/>
  <c r="AL156" i="17"/>
  <c r="AL159" i="17"/>
  <c r="AL155" i="17"/>
  <c r="AL158" i="17"/>
  <c r="AL157" i="17"/>
  <c r="AL162" i="17"/>
  <c r="AL165" i="17"/>
  <c r="AL166" i="17"/>
  <c r="AL163" i="17"/>
  <c r="AL164" i="17"/>
  <c r="AL385" i="17"/>
  <c r="AL383" i="17"/>
  <c r="AL384" i="17"/>
  <c r="AL232" i="17"/>
  <c r="AL231" i="17"/>
  <c r="AL230" i="17"/>
  <c r="AL59" i="17"/>
  <c r="AL57" i="17"/>
  <c r="AL61" i="17"/>
  <c r="AL58" i="17"/>
  <c r="AL60" i="17"/>
  <c r="AL264" i="17"/>
  <c r="AL263" i="17"/>
  <c r="AL265" i="17"/>
  <c r="AL347" i="17"/>
  <c r="AL346" i="17"/>
  <c r="AL345" i="17"/>
  <c r="AL444" i="17"/>
  <c r="AL446" i="17"/>
  <c r="AL445" i="17"/>
  <c r="AL271" i="17"/>
  <c r="AL421" i="17"/>
  <c r="AL573" i="17"/>
  <c r="AL407" i="17"/>
  <c r="AL325" i="17"/>
  <c r="AL149" i="17"/>
  <c r="AL362" i="17"/>
  <c r="AK131" i="22"/>
  <c r="AK86" i="22"/>
  <c r="AK44" i="22"/>
  <c r="AK25" i="22"/>
  <c r="AK136" i="22"/>
  <c r="AL451" i="17"/>
  <c r="AL390" i="17"/>
  <c r="AL419" i="17"/>
  <c r="AK71" i="22"/>
  <c r="AL408" i="17"/>
  <c r="AL238" i="17"/>
  <c r="AL363" i="17"/>
  <c r="AL391" i="17"/>
  <c r="S481" i="17"/>
  <c r="AD481" i="17" s="1"/>
  <c r="AL481" i="17" s="1"/>
  <c r="AG162" i="14"/>
  <c r="AL575" i="17"/>
  <c r="AL601" i="17"/>
  <c r="AL326" i="17"/>
  <c r="AL486" i="17"/>
  <c r="AK38" i="22"/>
  <c r="AL239" i="17"/>
  <c r="AL114" i="17"/>
  <c r="AL463" i="17"/>
  <c r="AL574" i="17"/>
  <c r="AL475" i="17"/>
  <c r="AL193" i="17"/>
  <c r="AL41" i="17"/>
  <c r="AL111" i="17"/>
  <c r="AL257" i="17"/>
  <c r="AL458" i="17"/>
  <c r="AL245" i="17"/>
  <c r="AL464" i="17"/>
  <c r="AL300" i="17"/>
  <c r="AK56" i="22"/>
  <c r="AK140" i="22"/>
  <c r="AL439" i="17"/>
  <c r="S480" i="17"/>
  <c r="AD480" i="17" s="1"/>
  <c r="AL272" i="17"/>
  <c r="AL569" i="17"/>
  <c r="AL477" i="17"/>
  <c r="AK31" i="22"/>
  <c r="AL48" i="17"/>
  <c r="AL600" i="17"/>
  <c r="AL40" i="17"/>
  <c r="AL38" i="17"/>
  <c r="AK109" i="22"/>
  <c r="AK97" i="22"/>
  <c r="AK80" i="22"/>
  <c r="AK23" i="22"/>
  <c r="AL572" i="17"/>
  <c r="AL483" i="17"/>
  <c r="AL310" i="19"/>
  <c r="AG112" i="22"/>
  <c r="AK112" i="22" s="1"/>
  <c r="AG27" i="22"/>
  <c r="AK27" i="22" s="1"/>
  <c r="AH75" i="19"/>
  <c r="AL75" i="19" s="1"/>
  <c r="AE465" i="11"/>
  <c r="AM465" i="11" s="1"/>
  <c r="AM460" i="11" s="1"/>
  <c r="Q7" i="7"/>
  <c r="R2" i="7" s="1"/>
  <c r="O34" i="7" s="1"/>
  <c r="AH286" i="19"/>
  <c r="AH532" i="19"/>
  <c r="AM1064" i="11"/>
  <c r="C19" i="4"/>
  <c r="C20" i="4" s="1"/>
  <c r="AM1035" i="11"/>
  <c r="AG26" i="22"/>
  <c r="AK26" i="22" s="1"/>
  <c r="Y1316" i="11"/>
  <c r="M954" i="11"/>
  <c r="S954" i="11" s="1"/>
  <c r="AE954" i="11" s="1"/>
  <c r="AM954" i="11" s="1"/>
  <c r="Y578" i="11"/>
  <c r="AC1321" i="11"/>
  <c r="AG132" i="22"/>
  <c r="AK132" i="22" s="1"/>
  <c r="Y585" i="11"/>
  <c r="Y656" i="11"/>
  <c r="Y568" i="11"/>
  <c r="Y696" i="11"/>
  <c r="AG116" i="22"/>
  <c r="AK116" i="22" s="1"/>
  <c r="AE396" i="11"/>
  <c r="Y647" i="11"/>
  <c r="AM533" i="11"/>
  <c r="AM1158" i="11"/>
  <c r="AG87" i="22"/>
  <c r="AK87" i="22" s="1"/>
  <c r="Y586" i="11"/>
  <c r="AM410" i="11"/>
  <c r="S352" i="11"/>
  <c r="AE352" i="11" s="1"/>
  <c r="AM354" i="11" s="1"/>
  <c r="S18" i="11"/>
  <c r="AE18" i="11" s="1"/>
  <c r="AM337" i="11"/>
  <c r="Y616" i="11"/>
  <c r="Y617" i="11"/>
  <c r="AM488" i="11"/>
  <c r="AM164" i="11"/>
  <c r="AM982" i="11"/>
  <c r="AH534" i="19"/>
  <c r="AL534" i="19" s="1"/>
  <c r="AC1316" i="11"/>
  <c r="AM1174" i="11"/>
  <c r="Y564" i="11"/>
  <c r="AG105" i="22"/>
  <c r="AK105" i="22" s="1"/>
  <c r="AG130" i="22"/>
  <c r="AK130" i="22" s="1"/>
  <c r="L117" i="13"/>
  <c r="U117" i="13" s="1"/>
  <c r="Y626" i="11"/>
  <c r="M824" i="11"/>
  <c r="M842" i="11" s="1"/>
  <c r="S842" i="11" s="1"/>
  <c r="AE842" i="11" s="1"/>
  <c r="AM842" i="11" s="1"/>
  <c r="S68" i="11"/>
  <c r="S318" i="11"/>
  <c r="AE318" i="11" s="1"/>
  <c r="AM321" i="11" s="1"/>
  <c r="Y615" i="11"/>
  <c r="Y606" i="11"/>
  <c r="Y598" i="11"/>
  <c r="Y590" i="11"/>
  <c r="Y582" i="11"/>
  <c r="Y574" i="11"/>
  <c r="Y566" i="11"/>
  <c r="AM868" i="11"/>
  <c r="AE1109" i="11"/>
  <c r="AM1109" i="11" s="1"/>
  <c r="AH293" i="19"/>
  <c r="Y561" i="11"/>
  <c r="AG82" i="22"/>
  <c r="AK82" i="22" s="1"/>
  <c r="AG83" i="22"/>
  <c r="AK83" i="22" s="1"/>
  <c r="AH294" i="19"/>
  <c r="S1163" i="11"/>
  <c r="S1164" i="11" s="1"/>
  <c r="AE1160" i="11" s="1"/>
  <c r="AM412" i="11"/>
  <c r="AM416" i="11"/>
  <c r="AM417" i="11"/>
  <c r="D21" i="4"/>
  <c r="AM195" i="11"/>
  <c r="K28" i="4"/>
  <c r="AM418" i="11"/>
  <c r="AG96" i="22"/>
  <c r="AK96" i="22" s="1"/>
  <c r="AH212" i="19"/>
  <c r="AH237" i="19" s="1"/>
  <c r="AL237" i="19" s="1"/>
  <c r="AH79" i="19"/>
  <c r="Y637" i="11"/>
  <c r="AG43" i="22"/>
  <c r="AK43" i="22" s="1"/>
  <c r="AL50" i="19"/>
  <c r="AH86" i="19"/>
  <c r="AH114" i="19" s="1"/>
  <c r="AL114" i="19" s="1"/>
  <c r="AH501" i="19"/>
  <c r="AH515" i="19" s="1"/>
  <c r="AL536" i="19"/>
  <c r="Y563" i="11"/>
  <c r="AE1307" i="11"/>
  <c r="AF1307" i="11" s="1"/>
  <c r="Y1301" i="11"/>
  <c r="AC1301" i="11"/>
  <c r="AE1301" i="11" s="1"/>
  <c r="AF1301" i="11" s="1"/>
  <c r="K41" i="4"/>
  <c r="M41" i="4" s="1"/>
  <c r="D20" i="4"/>
  <c r="D17" i="4"/>
  <c r="K38" i="4"/>
  <c r="M38" i="4" s="1"/>
  <c r="D19" i="4"/>
  <c r="K36" i="4"/>
  <c r="M36" i="4" s="1"/>
  <c r="D16" i="4"/>
  <c r="C12" i="4"/>
  <c r="D18" i="4"/>
  <c r="K40" i="4"/>
  <c r="M40" i="4" s="1"/>
  <c r="K37" i="4"/>
  <c r="M37" i="4" s="1"/>
  <c r="Y1320" i="11"/>
  <c r="AC1320" i="11"/>
  <c r="AE1320" i="11"/>
  <c r="AF1320" i="11" s="1"/>
  <c r="AM959" i="11"/>
  <c r="AM960" i="11"/>
  <c r="Y677" i="11"/>
  <c r="AH500" i="19"/>
  <c r="AL535" i="19"/>
  <c r="AM42" i="11"/>
  <c r="AM43" i="11"/>
  <c r="M953" i="11"/>
  <c r="S953" i="11" s="1"/>
  <c r="AE953" i="11" s="1"/>
  <c r="AM953" i="11" s="1"/>
  <c r="M952" i="11"/>
  <c r="S950" i="11"/>
  <c r="AE950" i="11" s="1"/>
  <c r="AM950" i="11" s="1"/>
  <c r="AG276" i="11"/>
  <c r="AH264" i="11"/>
  <c r="K9" i="4" s="1"/>
  <c r="L9" i="4" s="1"/>
  <c r="AL189" i="19"/>
  <c r="AH214" i="19"/>
  <c r="AH239" i="19" s="1"/>
  <c r="AL239" i="19" s="1"/>
  <c r="AG128" i="22"/>
  <c r="AK128" i="22" s="1"/>
  <c r="AG127" i="22"/>
  <c r="AK127" i="22" s="1"/>
  <c r="AH633" i="19"/>
  <c r="AL633" i="19" s="1"/>
  <c r="AM1034" i="11"/>
  <c r="Y614" i="11"/>
  <c r="Y589" i="11"/>
  <c r="Y701" i="11"/>
  <c r="Y669" i="11"/>
  <c r="Y645" i="11"/>
  <c r="S219" i="11"/>
  <c r="AE219" i="11" s="1"/>
  <c r="Y565" i="11"/>
  <c r="Y1297" i="11"/>
  <c r="AC1308" i="11"/>
  <c r="AE1308" i="11" s="1"/>
  <c r="AF1308" i="11" s="1"/>
  <c r="Y1305" i="11"/>
  <c r="AG104" i="22"/>
  <c r="AK104" i="22" s="1"/>
  <c r="AG95" i="22"/>
  <c r="AK95" i="22" s="1"/>
  <c r="Y1313" i="11"/>
  <c r="AC1310" i="11"/>
  <c r="AE1310" i="11" s="1"/>
  <c r="AF1310" i="11" s="1"/>
  <c r="AC1294" i="11"/>
  <c r="AE1294" i="11" s="1"/>
  <c r="AF1294" i="11" s="1"/>
  <c r="AC1296" i="11"/>
  <c r="AE1296" i="11" s="1"/>
  <c r="AF1296" i="11" s="1"/>
  <c r="AG118" i="22"/>
  <c r="AK118" i="22" s="1"/>
  <c r="Y642" i="11"/>
  <c r="AM951" i="11"/>
  <c r="S264" i="11"/>
  <c r="AE264" i="11" s="1"/>
  <c r="AM308" i="11" s="1"/>
  <c r="AL474" i="17"/>
  <c r="AM184" i="11"/>
  <c r="AM969" i="11"/>
  <c r="AM1193" i="11"/>
  <c r="Y597" i="11"/>
  <c r="Y573" i="11"/>
  <c r="Y693" i="11"/>
  <c r="Y653" i="11"/>
  <c r="Y629" i="11"/>
  <c r="AL188" i="19"/>
  <c r="AL213" i="19"/>
  <c r="AE1305" i="11"/>
  <c r="AF1305" i="11" s="1"/>
  <c r="AG108" i="22"/>
  <c r="AK108" i="22" s="1"/>
  <c r="AC1313" i="11"/>
  <c r="AM189" i="11"/>
  <c r="AH527" i="19"/>
  <c r="AH492" i="19" s="1"/>
  <c r="AD1129" i="11"/>
  <c r="AE1129" i="11" s="1"/>
  <c r="AM1129" i="11" s="1"/>
  <c r="AH89" i="19"/>
  <c r="AL89" i="19" s="1"/>
  <c r="AH71" i="19"/>
  <c r="AL71" i="19" s="1"/>
  <c r="AH281" i="19"/>
  <c r="Y605" i="11"/>
  <c r="Y581" i="11"/>
  <c r="Y685" i="11"/>
  <c r="Y661" i="11"/>
  <c r="Y621" i="11"/>
  <c r="S331" i="11"/>
  <c r="AE331" i="11" s="1"/>
  <c r="AM333" i="11" s="1"/>
  <c r="Y613" i="11"/>
  <c r="S795" i="11"/>
  <c r="AG114" i="22"/>
  <c r="AK114" i="22" s="1"/>
  <c r="Y1319" i="11"/>
  <c r="M843" i="11"/>
  <c r="S843" i="11" s="1"/>
  <c r="AE843" i="11" s="1"/>
  <c r="AM961" i="11"/>
  <c r="AG55" i="22"/>
  <c r="AK55" i="22" s="1"/>
  <c r="O96" i="11"/>
  <c r="S96" i="11" s="1"/>
  <c r="AE96" i="11" s="1"/>
  <c r="AM96" i="11" s="1"/>
  <c r="AC1312" i="11"/>
  <c r="AG52" i="22"/>
  <c r="AE1312" i="11"/>
  <c r="AF1312" i="11" s="1"/>
  <c r="S276" i="11"/>
  <c r="AE276" i="11" s="1"/>
  <c r="AI500" i="11"/>
  <c r="AH383" i="19" s="1"/>
  <c r="AL383" i="19" s="1"/>
  <c r="AM1167" i="11"/>
  <c r="AM161" i="11"/>
  <c r="AM997" i="11"/>
  <c r="AM999" i="11"/>
  <c r="AM998" i="11"/>
  <c r="AG186" i="19"/>
  <c r="AG59" i="22"/>
  <c r="AK59" i="22" s="1"/>
  <c r="AG61" i="22"/>
  <c r="AK61" i="22" s="1"/>
  <c r="AG110" i="22"/>
  <c r="AK110" i="22" s="1"/>
  <c r="AG88" i="22"/>
  <c r="AK88" i="22" s="1"/>
  <c r="AG19" i="22"/>
  <c r="AL322" i="19"/>
  <c r="S1153" i="11"/>
  <c r="S1154" i="11" s="1"/>
  <c r="AE1150" i="11" s="1"/>
  <c r="AM1150" i="11" s="1"/>
  <c r="AG138" i="22"/>
  <c r="AK138" i="22" s="1"/>
  <c r="AG139" i="22"/>
  <c r="AK139" i="22" s="1"/>
  <c r="AE1104" i="11"/>
  <c r="AM1104" i="11" s="1"/>
  <c r="AD991" i="11"/>
  <c r="AE991" i="11" s="1"/>
  <c r="AG126" i="22"/>
  <c r="AK126" i="22" s="1"/>
  <c r="AE986" i="11"/>
  <c r="AM989" i="11" s="1"/>
  <c r="AM411" i="11"/>
  <c r="L14" i="4"/>
  <c r="Q9" i="4" s="1"/>
  <c r="O9" i="4" s="1"/>
  <c r="AS1133" i="11"/>
  <c r="AT1133" i="11"/>
  <c r="AG17" i="22"/>
  <c r="AH74" i="19"/>
  <c r="AL74" i="19" s="1"/>
  <c r="AG53" i="22"/>
  <c r="AM63" i="11"/>
  <c r="AL41" i="19"/>
  <c r="AM1025" i="11"/>
  <c r="AH624" i="19"/>
  <c r="AL624" i="19" s="1"/>
  <c r="AM361" i="11"/>
  <c r="AM360" i="11"/>
  <c r="AM359" i="11"/>
  <c r="AF236" i="19"/>
  <c r="AG236" i="19" s="1"/>
  <c r="AG211" i="19"/>
  <c r="Y604" i="11"/>
  <c r="Y596" i="11"/>
  <c r="Y587" i="11"/>
  <c r="Y588" i="11"/>
  <c r="Y580" i="11"/>
  <c r="Y572" i="11"/>
  <c r="Y700" i="11"/>
  <c r="Y692" i="11"/>
  <c r="Y684" i="11"/>
  <c r="Y676" i="11"/>
  <c r="Y668" i="11"/>
  <c r="Y667" i="11"/>
  <c r="Y660" i="11"/>
  <c r="Y652" i="11"/>
  <c r="Y651" i="11"/>
  <c r="Y644" i="11"/>
  <c r="Y636" i="11"/>
  <c r="Y628" i="11"/>
  <c r="Y620" i="11"/>
  <c r="AC1298" i="11"/>
  <c r="AE1298" i="11" s="1"/>
  <c r="AF1298" i="11" s="1"/>
  <c r="AC1300" i="11"/>
  <c r="AE1300" i="11" s="1"/>
  <c r="AF1300" i="11" s="1"/>
  <c r="Y1300" i="11"/>
  <c r="Y571" i="11"/>
  <c r="AG124" i="22"/>
  <c r="AK124" i="22" s="1"/>
  <c r="AG123" i="22"/>
  <c r="AK123" i="22" s="1"/>
  <c r="BY7" i="7"/>
  <c r="BZ2" i="7" s="1"/>
  <c r="BX9" i="7"/>
  <c r="CC10" i="7" s="1"/>
  <c r="AM1032" i="11"/>
  <c r="AH631" i="19"/>
  <c r="AL631" i="19" s="1"/>
  <c r="AC1309" i="11"/>
  <c r="AE1309" i="11" s="1"/>
  <c r="AF1309" i="11" s="1"/>
  <c r="Y1309" i="11"/>
  <c r="AE1315" i="11"/>
  <c r="AF1315" i="11" s="1"/>
  <c r="AC1315" i="11"/>
  <c r="Y1315" i="11"/>
  <c r="AM1016" i="11"/>
  <c r="AM1018" i="11"/>
  <c r="AM1017" i="11"/>
  <c r="AC1304" i="11"/>
  <c r="AE1304" i="11" s="1"/>
  <c r="AF1304" i="11" s="1"/>
  <c r="Y1304" i="11"/>
  <c r="AH232" i="11"/>
  <c r="AH533" i="19"/>
  <c r="AC1299" i="11"/>
  <c r="AE1299" i="11" s="1"/>
  <c r="AF1299" i="11" s="1"/>
  <c r="AL542" i="19"/>
  <c r="AH507" i="19"/>
  <c r="AH579" i="19"/>
  <c r="AL577" i="19"/>
  <c r="AH630" i="19"/>
  <c r="AL630" i="19" s="1"/>
  <c r="AM1031" i="11"/>
  <c r="AE1306" i="11"/>
  <c r="AF1306" i="11" s="1"/>
  <c r="AE1297" i="11"/>
  <c r="AF1297" i="11" s="1"/>
  <c r="Y1323" i="11"/>
  <c r="Y612" i="11"/>
  <c r="Y603" i="11"/>
  <c r="Y595" i="11"/>
  <c r="Y579" i="11"/>
  <c r="Y699" i="11"/>
  <c r="Y698" i="11"/>
  <c r="Y682" i="11"/>
  <c r="Y683" i="11"/>
  <c r="Y674" i="11"/>
  <c r="Y675" i="11"/>
  <c r="Y659" i="11"/>
  <c r="Y658" i="11"/>
  <c r="Y643" i="11"/>
  <c r="Y634" i="11"/>
  <c r="Y635" i="11"/>
  <c r="Y619" i="11"/>
  <c r="AM178" i="11"/>
  <c r="AM175" i="11"/>
  <c r="AM177" i="11"/>
  <c r="AM176" i="11"/>
  <c r="AM1059" i="11"/>
  <c r="AM1060" i="11"/>
  <c r="AH582" i="17"/>
  <c r="AL582" i="17" s="1"/>
  <c r="AH697" i="19"/>
  <c r="AL697" i="19" s="1"/>
  <c r="AG64" i="22"/>
  <c r="AK64" i="22" s="1"/>
  <c r="AG22" i="22"/>
  <c r="AK22" i="22" s="1"/>
  <c r="AG134" i="22"/>
  <c r="AK134" i="22" s="1"/>
  <c r="Y594" i="11"/>
  <c r="S97" i="11"/>
  <c r="AE97" i="11" s="1"/>
  <c r="AM103" i="11" s="1"/>
  <c r="Y601" i="11"/>
  <c r="Y602" i="11"/>
  <c r="Y570" i="11"/>
  <c r="AM186" i="11"/>
  <c r="AM183" i="11"/>
  <c r="AH504" i="19"/>
  <c r="AH518" i="19" s="1"/>
  <c r="AL539" i="19"/>
  <c r="AH304" i="19"/>
  <c r="AC1314" i="11"/>
  <c r="Y1314" i="11"/>
  <c r="AH80" i="19"/>
  <c r="AL40" i="19"/>
  <c r="AM864" i="11"/>
  <c r="AM862" i="11"/>
  <c r="AM865" i="11"/>
  <c r="AM450" i="11"/>
  <c r="AM447" i="11"/>
  <c r="AM449" i="11"/>
  <c r="AM446" i="11"/>
  <c r="AD507" i="11"/>
  <c r="AE507" i="11" s="1"/>
  <c r="AE497" i="11"/>
  <c r="AH491" i="19"/>
  <c r="AL526" i="19"/>
  <c r="AM1057" i="11"/>
  <c r="AH529" i="19"/>
  <c r="AC1311" i="11"/>
  <c r="AE1311" i="11" s="1"/>
  <c r="AF1311" i="11" s="1"/>
  <c r="Y1306" i="11"/>
  <c r="AG135" i="22"/>
  <c r="AK135" i="22" s="1"/>
  <c r="S932" i="11"/>
  <c r="O931" i="11"/>
  <c r="AM1058" i="11"/>
  <c r="AG39" i="22"/>
  <c r="AK39" i="22" s="1"/>
  <c r="AG40" i="22"/>
  <c r="AK40" i="22" s="1"/>
  <c r="AC1318" i="11"/>
  <c r="Y1318" i="11"/>
  <c r="Y1311" i="11"/>
  <c r="X465" i="11"/>
  <c r="Y691" i="11"/>
  <c r="Y618" i="11"/>
  <c r="AM915" i="11"/>
  <c r="C34" i="4"/>
  <c r="E34" i="4" s="1"/>
  <c r="AL33" i="19"/>
  <c r="AH73" i="19"/>
  <c r="AL73" i="19" s="1"/>
  <c r="AM885" i="11"/>
  <c r="AM968" i="11"/>
  <c r="AI978" i="11"/>
  <c r="AM978" i="11" s="1"/>
  <c r="AE1081" i="11"/>
  <c r="AM1081" i="11" s="1"/>
  <c r="AH629" i="19"/>
  <c r="AL629" i="19" s="1"/>
  <c r="AE1134" i="11"/>
  <c r="Q1140" i="11"/>
  <c r="AE1140" i="11" s="1"/>
  <c r="AM1140" i="11" s="1"/>
  <c r="Q1136" i="11"/>
  <c r="AE1136" i="11" s="1"/>
  <c r="AM1136" i="11" s="1"/>
  <c r="AH505" i="19"/>
  <c r="AL540" i="19"/>
  <c r="AF477" i="19"/>
  <c r="AG477" i="19" s="1"/>
  <c r="AG454" i="19"/>
  <c r="AH493" i="19"/>
  <c r="AL528" i="19"/>
  <c r="M39" i="4"/>
  <c r="L8" i="4"/>
  <c r="AG73" i="22"/>
  <c r="AK73" i="22" s="1"/>
  <c r="AG72" i="22"/>
  <c r="AK72" i="22" s="1"/>
  <c r="Q1138" i="11"/>
  <c r="AE1138" i="11" s="1"/>
  <c r="AM1138" i="11" s="1"/>
  <c r="Y562" i="11"/>
  <c r="L10" i="4"/>
  <c r="AM1192" i="11"/>
  <c r="AH543" i="19"/>
  <c r="S1250" i="11"/>
  <c r="S1260" i="11" s="1"/>
  <c r="S1261" i="11" s="1"/>
  <c r="S373" i="11" s="1"/>
  <c r="S1259" i="11"/>
  <c r="S1257" i="11"/>
  <c r="S1258" i="11"/>
  <c r="S1256" i="11"/>
  <c r="AM867" i="11"/>
  <c r="AM870" i="11"/>
  <c r="AM869" i="11"/>
  <c r="S251" i="21"/>
  <c r="AM171" i="11"/>
  <c r="AM170" i="11"/>
  <c r="AM168" i="11"/>
  <c r="AM172" i="11"/>
  <c r="AM169" i="11"/>
  <c r="AG47" i="22"/>
  <c r="AK47" i="22" s="1"/>
  <c r="AG49" i="22"/>
  <c r="AK49" i="22" s="1"/>
  <c r="AG48" i="22"/>
  <c r="AK48" i="22" s="1"/>
  <c r="AM1011" i="11"/>
  <c r="AM1013" i="11"/>
  <c r="AM1012" i="11"/>
  <c r="L11" i="4"/>
  <c r="AH87" i="19"/>
  <c r="AL51" i="19"/>
  <c r="BW37" i="7"/>
  <c r="CC37" i="7" s="1"/>
  <c r="BW35" i="7"/>
  <c r="CC35" i="7" s="1"/>
  <c r="BW38" i="7"/>
  <c r="CC38" i="7" s="1"/>
  <c r="BW36" i="7"/>
  <c r="CC36" i="7" s="1"/>
  <c r="J24" i="4"/>
  <c r="L24" i="4" s="1"/>
  <c r="AH82" i="19"/>
  <c r="AL42" i="19"/>
  <c r="AH288" i="19"/>
  <c r="AL318" i="19"/>
  <c r="BW39" i="7"/>
  <c r="CC39" i="7" s="1"/>
  <c r="AH429" i="19"/>
  <c r="AL54" i="19"/>
  <c r="AH90" i="19"/>
  <c r="AM62" i="11"/>
  <c r="AM60" i="11"/>
  <c r="AM64" i="11"/>
  <c r="AM884" i="11"/>
  <c r="AM883" i="11"/>
  <c r="AF279" i="19"/>
  <c r="AG279" i="19" s="1"/>
  <c r="AH109" i="19"/>
  <c r="AD446" i="21"/>
  <c r="AD601" i="21"/>
  <c r="AL601" i="21" s="1"/>
  <c r="AD296" i="21"/>
  <c r="S250" i="21"/>
  <c r="BJ7" i="7"/>
  <c r="BK2" i="7" s="1"/>
  <c r="AD302" i="21"/>
  <c r="BI10" i="7"/>
  <c r="BJ10" i="7" s="1"/>
  <c r="BN10" i="7" s="1"/>
  <c r="AD284" i="21"/>
  <c r="BW40" i="7"/>
  <c r="CC40" i="7" s="1"/>
  <c r="AG105" i="14"/>
  <c r="AG106" i="14"/>
  <c r="AH72" i="19"/>
  <c r="AL72" i="19" s="1"/>
  <c r="AL32" i="19"/>
  <c r="AL52" i="19"/>
  <c r="AH88" i="19"/>
  <c r="AG57" i="22"/>
  <c r="AK57" i="22" s="1"/>
  <c r="AM109" i="11"/>
  <c r="AM105" i="11"/>
  <c r="AM107" i="11"/>
  <c r="AM108" i="11"/>
  <c r="AM106" i="11"/>
  <c r="AG78" i="22"/>
  <c r="AK78" i="22" s="1"/>
  <c r="AG79" i="22"/>
  <c r="AK79" i="22" s="1"/>
  <c r="AM874" i="11"/>
  <c r="AM877" i="11"/>
  <c r="AM876" i="11"/>
  <c r="AG30" i="22"/>
  <c r="AK30" i="22" s="1"/>
  <c r="AG32" i="22"/>
  <c r="AK32" i="22" s="1"/>
  <c r="AM423" i="11"/>
  <c r="AM422" i="11"/>
  <c r="AM424" i="11"/>
  <c r="AM199" i="11"/>
  <c r="AM197" i="11"/>
  <c r="AM196" i="11"/>
  <c r="AM94" i="11"/>
  <c r="AM125" i="11"/>
  <c r="AM92" i="11"/>
  <c r="AM90" i="11"/>
  <c r="AM93" i="11"/>
  <c r="AM124" i="11"/>
  <c r="AM91" i="11"/>
  <c r="AM123" i="11"/>
  <c r="AM121" i="11"/>
  <c r="AE1001" i="11"/>
  <c r="AM1001" i="11" s="1"/>
  <c r="AD1005" i="11"/>
  <c r="AE1005" i="11" s="1"/>
  <c r="AM163" i="11"/>
  <c r="AM162" i="11"/>
  <c r="AM165" i="11"/>
  <c r="AM44" i="11"/>
  <c r="AM41" i="11"/>
  <c r="AM45" i="11"/>
  <c r="AM505" i="11"/>
  <c r="AM504" i="11"/>
  <c r="AM1133" i="11"/>
  <c r="AF291" i="19"/>
  <c r="AH282" i="19"/>
  <c r="AL312" i="19"/>
  <c r="AH287" i="19"/>
  <c r="AH83" i="19"/>
  <c r="AL43" i="19"/>
  <c r="AG100" i="22"/>
  <c r="AK100" i="22" s="1"/>
  <c r="AG99" i="22"/>
  <c r="AK99" i="22" s="1"/>
  <c r="AG42" i="22"/>
  <c r="AK42" i="22" s="1"/>
  <c r="AG122" i="22"/>
  <c r="AK122" i="22" s="1"/>
  <c r="AR1133" i="11"/>
  <c r="AQ1133" i="11"/>
  <c r="AU1133" i="11"/>
  <c r="AP1133" i="11"/>
  <c r="AV1133" i="11"/>
  <c r="AN1133" i="11"/>
  <c r="AE173" i="18"/>
  <c r="AE174" i="18"/>
  <c r="AE172" i="18"/>
  <c r="AE180" i="18"/>
  <c r="AE179" i="18"/>
  <c r="AE178" i="18"/>
  <c r="AK117" i="22"/>
  <c r="AE196" i="18"/>
  <c r="AE198" i="18"/>
  <c r="S427" i="11" l="1"/>
  <c r="J13" i="4" s="1"/>
  <c r="L13" i="4" s="1"/>
  <c r="Q8" i="4" s="1"/>
  <c r="S376" i="11"/>
  <c r="S374" i="11"/>
  <c r="S382" i="11"/>
  <c r="AH151" i="14"/>
  <c r="AH154" i="14"/>
  <c r="AH156" i="14"/>
  <c r="AH159" i="14"/>
  <c r="AH96" i="14"/>
  <c r="AH100" i="14"/>
  <c r="AH99" i="14"/>
  <c r="AH82" i="14"/>
  <c r="AH83" i="14"/>
  <c r="AH81" i="14"/>
  <c r="AH133" i="14"/>
  <c r="AH139" i="14"/>
  <c r="AH136" i="14"/>
  <c r="AH137" i="14"/>
  <c r="AH138" i="14"/>
  <c r="AH106" i="14"/>
  <c r="AH105" i="14"/>
  <c r="AH107" i="14"/>
  <c r="AH108" i="14"/>
  <c r="AH71" i="14"/>
  <c r="AH72" i="14"/>
  <c r="AH104" i="14"/>
  <c r="AL17" i="20"/>
  <c r="AL285" i="20"/>
  <c r="AL287" i="20"/>
  <c r="AL305" i="20"/>
  <c r="AL304" i="20"/>
  <c r="AL20" i="20"/>
  <c r="AL21" i="20"/>
  <c r="AL22" i="20"/>
  <c r="AL23" i="20"/>
  <c r="AL24" i="20"/>
  <c r="AL25" i="20"/>
  <c r="AL19" i="20"/>
  <c r="AL584" i="19"/>
  <c r="AL587" i="19"/>
  <c r="AL65" i="19"/>
  <c r="AL66" i="19"/>
  <c r="AL24" i="19"/>
  <c r="AL26" i="19"/>
  <c r="AL392" i="19"/>
  <c r="AL394" i="19"/>
  <c r="AL101" i="19"/>
  <c r="AL102" i="19"/>
  <c r="AO1134" i="11"/>
  <c r="AX1134" i="11"/>
  <c r="AG282" i="17"/>
  <c r="AH282" i="17" s="1"/>
  <c r="AG147" i="17"/>
  <c r="AH147" i="17" s="1"/>
  <c r="AG136" i="17"/>
  <c r="AH136" i="17" s="1"/>
  <c r="AG338" i="17"/>
  <c r="AH338" i="17" s="1"/>
  <c r="AF331" i="17"/>
  <c r="AG324" i="17"/>
  <c r="AH324" i="17" s="1"/>
  <c r="AG154" i="17"/>
  <c r="AH154" i="17" s="1"/>
  <c r="S348" i="21"/>
  <c r="AD348" i="21" s="1"/>
  <c r="S432" i="20"/>
  <c r="AD432" i="20" s="1"/>
  <c r="S430" i="20"/>
  <c r="S428" i="20"/>
  <c r="AD428" i="20" s="1"/>
  <c r="AL428" i="20" s="1"/>
  <c r="N4" i="20"/>
  <c r="S647" i="20"/>
  <c r="S645" i="20"/>
  <c r="S643" i="20"/>
  <c r="AD643" i="20" s="1"/>
  <c r="AL643" i="20" s="1"/>
  <c r="N5" i="20"/>
  <c r="S434" i="21"/>
  <c r="N4" i="21"/>
  <c r="S432" i="21"/>
  <c r="S430" i="21"/>
  <c r="AD430" i="21" s="1"/>
  <c r="AL430" i="21" s="1"/>
  <c r="S647" i="21"/>
  <c r="AD647" i="21" s="1"/>
  <c r="S649" i="21"/>
  <c r="AD649" i="21" s="1"/>
  <c r="AD645" i="21"/>
  <c r="AL645" i="21" s="1"/>
  <c r="N5" i="21"/>
  <c r="AH77" i="14"/>
  <c r="AH65" i="14"/>
  <c r="AH67" i="14"/>
  <c r="AH69" i="14"/>
  <c r="AL82" i="20"/>
  <c r="AL78" i="20"/>
  <c r="AL84" i="19"/>
  <c r="AL81" i="19"/>
  <c r="AL109" i="19"/>
  <c r="AL20" i="21"/>
  <c r="AL19" i="21"/>
  <c r="S1051" i="11"/>
  <c r="S369" i="11"/>
  <c r="Y7" i="19"/>
  <c r="S517" i="19"/>
  <c r="AD517" i="19" s="1"/>
  <c r="S285" i="19"/>
  <c r="AD285" i="19" s="1"/>
  <c r="S736" i="19"/>
  <c r="S738" i="19" s="1"/>
  <c r="V3" i="19" s="1"/>
  <c r="S334" i="19"/>
  <c r="AD334" i="19" s="1"/>
  <c r="S510" i="19"/>
  <c r="AD510" i="19" s="1"/>
  <c r="S279" i="19"/>
  <c r="AD279" i="19" s="1"/>
  <c r="S734" i="19"/>
  <c r="S303" i="19"/>
  <c r="AD303" i="19" s="1"/>
  <c r="S503" i="19"/>
  <c r="AD503" i="19" s="1"/>
  <c r="AL509" i="19" s="1"/>
  <c r="S272" i="19"/>
  <c r="S727" i="19"/>
  <c r="S730" i="19" s="1"/>
  <c r="S297" i="19"/>
  <c r="AD297" i="19" s="1"/>
  <c r="S496" i="19"/>
  <c r="AD496" i="19" s="1"/>
  <c r="AL502" i="19" s="1"/>
  <c r="S253" i="19"/>
  <c r="S251" i="19"/>
  <c r="S291" i="19"/>
  <c r="AD291" i="19" s="1"/>
  <c r="S489" i="19"/>
  <c r="AD489" i="19" s="1"/>
  <c r="S252" i="19"/>
  <c r="S464" i="19"/>
  <c r="AD464" i="19" s="1"/>
  <c r="S636" i="19"/>
  <c r="N7" i="19" s="1"/>
  <c r="S454" i="19"/>
  <c r="AD454" i="19" s="1"/>
  <c r="S742" i="19"/>
  <c r="S744" i="19" s="1"/>
  <c r="S579" i="19"/>
  <c r="AD579" i="19" s="1"/>
  <c r="AL579" i="19" s="1"/>
  <c r="AL572" i="19" s="1"/>
  <c r="S443" i="19"/>
  <c r="N6" i="19" s="1"/>
  <c r="S740" i="19"/>
  <c r="AE10" i="7"/>
  <c r="AJ14" i="7" s="1"/>
  <c r="AF7" i="7"/>
  <c r="AG2" i="7" s="1"/>
  <c r="AE42" i="7" s="1"/>
  <c r="AJ42" i="7" s="1"/>
  <c r="S452" i="11"/>
  <c r="AE452" i="11" s="1"/>
  <c r="S381" i="11"/>
  <c r="AM858" i="11"/>
  <c r="AM857" i="11"/>
  <c r="AM859" i="11"/>
  <c r="AM853" i="11"/>
  <c r="AM854" i="11"/>
  <c r="AM855" i="11"/>
  <c r="AM856" i="11"/>
  <c r="C6" i="4"/>
  <c r="AH66" i="14"/>
  <c r="AH64" i="14"/>
  <c r="AH68" i="14"/>
  <c r="AH70" i="14"/>
  <c r="AH78" i="14"/>
  <c r="AM1165" i="11"/>
  <c r="S559" i="21"/>
  <c r="O559" i="21" s="1"/>
  <c r="AD557" i="21"/>
  <c r="AD556" i="21"/>
  <c r="AD558" i="21"/>
  <c r="O557" i="21"/>
  <c r="O556" i="21"/>
  <c r="AL164" i="20"/>
  <c r="AL168" i="20"/>
  <c r="AL167" i="20"/>
  <c r="S557" i="19"/>
  <c r="S558" i="19" s="1"/>
  <c r="AD556" i="19"/>
  <c r="AL23" i="19"/>
  <c r="AL18" i="19"/>
  <c r="AL96" i="19"/>
  <c r="AL17" i="17"/>
  <c r="AL18" i="17"/>
  <c r="AL19" i="17"/>
  <c r="AL21" i="17"/>
  <c r="AL16" i="17"/>
  <c r="AL20" i="17"/>
  <c r="AL22" i="17"/>
  <c r="AK17" i="22"/>
  <c r="AL60" i="19"/>
  <c r="AL63" i="19"/>
  <c r="O35" i="7"/>
  <c r="U35" i="7" s="1"/>
  <c r="AM1191" i="11"/>
  <c r="AM75" i="11"/>
  <c r="AM79" i="11"/>
  <c r="AM23" i="11"/>
  <c r="AM31" i="11"/>
  <c r="AM30" i="11"/>
  <c r="AM878" i="11"/>
  <c r="AK19" i="22"/>
  <c r="AM316" i="11"/>
  <c r="AM315" i="11"/>
  <c r="AM309" i="11"/>
  <c r="AM310" i="11"/>
  <c r="AM336" i="11"/>
  <c r="AM335" i="11"/>
  <c r="AH276" i="11"/>
  <c r="AG288" i="11"/>
  <c r="AH288" i="11" s="1"/>
  <c r="AM322" i="11"/>
  <c r="AM323" i="11"/>
  <c r="AM293" i="11"/>
  <c r="AM292" i="11"/>
  <c r="AM281" i="11"/>
  <c r="AM280" i="11"/>
  <c r="AM312" i="11"/>
  <c r="AM289" i="11"/>
  <c r="AM290" i="11"/>
  <c r="AM291" i="11"/>
  <c r="AM269" i="11"/>
  <c r="AM268" i="11"/>
  <c r="AM248" i="11"/>
  <c r="AM247" i="11"/>
  <c r="AM244" i="11"/>
  <c r="AM246" i="11"/>
  <c r="AM245" i="11"/>
  <c r="AM220" i="11"/>
  <c r="AM237" i="11"/>
  <c r="AM236" i="11"/>
  <c r="AM223" i="11"/>
  <c r="AM224" i="11"/>
  <c r="AM234" i="11"/>
  <c r="AM235" i="11"/>
  <c r="AM233" i="11"/>
  <c r="AL691" i="19"/>
  <c r="AL19" i="19"/>
  <c r="AL59" i="21"/>
  <c r="AL58" i="21"/>
  <c r="AG91" i="22"/>
  <c r="AK91" i="22" s="1"/>
  <c r="AG34" i="22"/>
  <c r="AK34" i="22" s="1"/>
  <c r="AH75" i="14"/>
  <c r="AL22" i="19"/>
  <c r="AL96" i="21"/>
  <c r="AL25" i="19"/>
  <c r="AL94" i="21"/>
  <c r="AG36" i="22"/>
  <c r="AK36" i="22" s="1"/>
  <c r="AL21" i="19"/>
  <c r="AL20" i="19"/>
  <c r="S348" i="20"/>
  <c r="AD348" i="20" s="1"/>
  <c r="AG93" i="22"/>
  <c r="AK93" i="22" s="1"/>
  <c r="AL93" i="20"/>
  <c r="AL95" i="20"/>
  <c r="AL130" i="17"/>
  <c r="AL143" i="17"/>
  <c r="AL140" i="17"/>
  <c r="AL138" i="17"/>
  <c r="AL127" i="17"/>
  <c r="AL142" i="17"/>
  <c r="AL132" i="17"/>
  <c r="AL131" i="17"/>
  <c r="AL141" i="17"/>
  <c r="AL139" i="17"/>
  <c r="AL126" i="17"/>
  <c r="AL144" i="17"/>
  <c r="AL128" i="17"/>
  <c r="AL129" i="17"/>
  <c r="AK53" i="22"/>
  <c r="AK52" i="22"/>
  <c r="AL58" i="19"/>
  <c r="AC32" i="14"/>
  <c r="AG32" i="14" s="1"/>
  <c r="AL62" i="19"/>
  <c r="AM136" i="11"/>
  <c r="AH79" i="14"/>
  <c r="AL64" i="19"/>
  <c r="AL220" i="19"/>
  <c r="AL99" i="19"/>
  <c r="AK35" i="22"/>
  <c r="AH80" i="14"/>
  <c r="AH76" i="14"/>
  <c r="AL59" i="19"/>
  <c r="AL100" i="19"/>
  <c r="AL61" i="19"/>
  <c r="AD346" i="20"/>
  <c r="AM135" i="11"/>
  <c r="AL98" i="19"/>
  <c r="AL95" i="19"/>
  <c r="AL97" i="19"/>
  <c r="AL94" i="19"/>
  <c r="AL384" i="21"/>
  <c r="AL96" i="17"/>
  <c r="AL99" i="17"/>
  <c r="AL70" i="17"/>
  <c r="AL100" i="17"/>
  <c r="AL31" i="17"/>
  <c r="AL66" i="17"/>
  <c r="AL69" i="17"/>
  <c r="AL72" i="17"/>
  <c r="AL68" i="17"/>
  <c r="AL65" i="17"/>
  <c r="AL71" i="17"/>
  <c r="AL32" i="17"/>
  <c r="AM134" i="11"/>
  <c r="AM132" i="11"/>
  <c r="AM131" i="11"/>
  <c r="AM133" i="11"/>
  <c r="AM130" i="11"/>
  <c r="AM881" i="11"/>
  <c r="AI1008" i="11"/>
  <c r="AH606" i="19" s="1"/>
  <c r="AL606" i="19" s="1"/>
  <c r="AM882" i="11"/>
  <c r="AL577" i="17"/>
  <c r="AM73" i="11"/>
  <c r="AL98" i="17"/>
  <c r="AL97" i="17"/>
  <c r="AL30" i="17"/>
  <c r="AL27" i="17"/>
  <c r="AL28" i="17"/>
  <c r="AL33" i="17"/>
  <c r="AL29" i="17"/>
  <c r="AL382" i="21"/>
  <c r="AC391" i="21"/>
  <c r="AD391" i="21" s="1"/>
  <c r="AL392" i="21" s="1"/>
  <c r="AL638" i="21"/>
  <c r="AL636" i="21"/>
  <c r="AC625" i="21"/>
  <c r="AD625" i="21" s="1"/>
  <c r="AL626" i="21" s="1"/>
  <c r="AD620" i="21"/>
  <c r="AC630" i="21"/>
  <c r="AD630" i="21" s="1"/>
  <c r="AL632" i="21" s="1"/>
  <c r="AL705" i="19"/>
  <c r="AL368" i="19"/>
  <c r="Q8" i="7"/>
  <c r="R3" i="7" s="1"/>
  <c r="P34" i="7" s="1"/>
  <c r="AH490" i="19"/>
  <c r="S887" i="11"/>
  <c r="C21" i="4" s="1"/>
  <c r="F21" i="4" s="1"/>
  <c r="AM51" i="11"/>
  <c r="AM156" i="11"/>
  <c r="Y8" i="11"/>
  <c r="S1214" i="11"/>
  <c r="S785" i="11" s="1"/>
  <c r="AE785" i="11" s="1"/>
  <c r="AM785" i="11" s="1"/>
  <c r="S894" i="11"/>
  <c r="AE894" i="11" s="1"/>
  <c r="AM900" i="11" s="1"/>
  <c r="S433" i="11"/>
  <c r="AE433" i="11" s="1"/>
  <c r="AM437" i="11" s="1"/>
  <c r="S439" i="11"/>
  <c r="AE439" i="11" s="1"/>
  <c r="S926" i="11"/>
  <c r="S1222" i="11"/>
  <c r="S1029" i="11" s="1"/>
  <c r="AE1029" i="11" s="1"/>
  <c r="AM1029" i="11" s="1"/>
  <c r="S371" i="11"/>
  <c r="S901" i="11"/>
  <c r="AE901" i="11" s="1"/>
  <c r="AM907" i="11" s="1"/>
  <c r="O16" i="7"/>
  <c r="P17" i="7" s="1"/>
  <c r="U21" i="7" s="1"/>
  <c r="S796" i="11"/>
  <c r="B794" i="11" s="1"/>
  <c r="S802" i="11"/>
  <c r="C18" i="4" s="1"/>
  <c r="F18" i="4" s="1"/>
  <c r="S1218" i="11"/>
  <c r="I1185" i="11" s="1"/>
  <c r="BY8" i="7"/>
  <c r="BZ3" i="7" s="1"/>
  <c r="BX34" i="7" s="1"/>
  <c r="CC41" i="7" s="1"/>
  <c r="BW16" i="7"/>
  <c r="BX17" i="7" s="1"/>
  <c r="CC17" i="7" s="1"/>
  <c r="C5" i="4"/>
  <c r="S1038" i="11"/>
  <c r="J25" i="4" s="1"/>
  <c r="L25" i="4" s="1"/>
  <c r="L26" i="4" s="1"/>
  <c r="U10" i="4" s="1"/>
  <c r="S1226" i="11"/>
  <c r="Q1186" i="11" s="1"/>
  <c r="S1207" i="11"/>
  <c r="S1209" i="11" s="1"/>
  <c r="S823" i="11"/>
  <c r="S375" i="11"/>
  <c r="S821" i="11"/>
  <c r="AE821" i="11" s="1"/>
  <c r="S822" i="11"/>
  <c r="S1045" i="11"/>
  <c r="B1043" i="11" s="1"/>
  <c r="S820" i="11"/>
  <c r="AE820" i="11" s="1"/>
  <c r="U13" i="7"/>
  <c r="AM116" i="11"/>
  <c r="U11" i="7"/>
  <c r="AM72" i="11"/>
  <c r="U14" i="7"/>
  <c r="AM74" i="11"/>
  <c r="AM69" i="11"/>
  <c r="AM49" i="11"/>
  <c r="AM53" i="11"/>
  <c r="AM70" i="11"/>
  <c r="U15" i="7"/>
  <c r="AM486" i="11"/>
  <c r="AM157" i="11"/>
  <c r="AM114" i="11"/>
  <c r="AM52" i="11"/>
  <c r="AL695" i="19"/>
  <c r="AM113" i="11"/>
  <c r="AM68" i="11"/>
  <c r="AL581" i="17"/>
  <c r="U12" i="7"/>
  <c r="AM71" i="11"/>
  <c r="AM115" i="11"/>
  <c r="AM50" i="11"/>
  <c r="AH131" i="14"/>
  <c r="AL58" i="20"/>
  <c r="AM158" i="11"/>
  <c r="AM117" i="11"/>
  <c r="AL541" i="19"/>
  <c r="AH135" i="14"/>
  <c r="AD576" i="21"/>
  <c r="S577" i="21"/>
  <c r="O576" i="21"/>
  <c r="AM159" i="11"/>
  <c r="AM112" i="11"/>
  <c r="AL59" i="20"/>
  <c r="AH224" i="19"/>
  <c r="AH208" i="19"/>
  <c r="AL208" i="19" s="1"/>
  <c r="AL604" i="19"/>
  <c r="AL591" i="19"/>
  <c r="AM994" i="11"/>
  <c r="AE59" i="18"/>
  <c r="AL72" i="20"/>
  <c r="AL70" i="20"/>
  <c r="AD574" i="20"/>
  <c r="S575" i="20"/>
  <c r="O574" i="20"/>
  <c r="S555" i="20"/>
  <c r="AD554" i="20"/>
  <c r="O554" i="20"/>
  <c r="N7" i="20"/>
  <c r="S687" i="20"/>
  <c r="V4" i="20" s="1"/>
  <c r="AL509" i="20"/>
  <c r="AL508" i="20"/>
  <c r="AL327" i="17"/>
  <c r="AM25" i="11"/>
  <c r="AF297" i="19"/>
  <c r="AG297" i="19" s="1"/>
  <c r="AL86" i="19"/>
  <c r="AM402" i="11"/>
  <c r="AM404" i="11"/>
  <c r="AM22" i="11"/>
  <c r="AM20" i="11"/>
  <c r="AM24" i="11"/>
  <c r="AL166" i="20"/>
  <c r="AL279" i="20"/>
  <c r="AL202" i="20"/>
  <c r="AL203" i="20"/>
  <c r="AL290" i="20"/>
  <c r="AL447" i="20"/>
  <c r="AL165" i="20"/>
  <c r="AL589" i="19"/>
  <c r="AL590" i="19"/>
  <c r="AL585" i="19"/>
  <c r="AH97" i="14"/>
  <c r="AH134" i="14"/>
  <c r="AH132" i="14"/>
  <c r="AH98" i="14"/>
  <c r="AH119" i="14"/>
  <c r="AH125" i="14"/>
  <c r="G10" i="14"/>
  <c r="AL291" i="20"/>
  <c r="AL586" i="19"/>
  <c r="S34" i="14"/>
  <c r="AC34" i="14" s="1"/>
  <c r="AG34" i="14" s="1"/>
  <c r="S140" i="14"/>
  <c r="AC140" i="14" s="1"/>
  <c r="AC160" i="14"/>
  <c r="AL478" i="17"/>
  <c r="AL599" i="17"/>
  <c r="AL391" i="19"/>
  <c r="AL717" i="19"/>
  <c r="AL283" i="20"/>
  <c r="AL303" i="20"/>
  <c r="AL612" i="21"/>
  <c r="AL613" i="21"/>
  <c r="AL611" i="21"/>
  <c r="AL616" i="21"/>
  <c r="AL618" i="21"/>
  <c r="AL617" i="21"/>
  <c r="AL284" i="20"/>
  <c r="AL446" i="20"/>
  <c r="C675" i="20"/>
  <c r="S681" i="20"/>
  <c r="AL616" i="20"/>
  <c r="AL615" i="20"/>
  <c r="AL614" i="20"/>
  <c r="AL296" i="20"/>
  <c r="AL301" i="20"/>
  <c r="B440" i="20"/>
  <c r="N6" i="20"/>
  <c r="AL289" i="20"/>
  <c r="AL611" i="20"/>
  <c r="AL609" i="20"/>
  <c r="AL610" i="20"/>
  <c r="AL297" i="20"/>
  <c r="AS34" i="7"/>
  <c r="AT42" i="7"/>
  <c r="AY42" i="7" s="1"/>
  <c r="AL277" i="20"/>
  <c r="AL278" i="20"/>
  <c r="AL302" i="20"/>
  <c r="AL295" i="20"/>
  <c r="S672" i="20"/>
  <c r="V5" i="20" s="1"/>
  <c r="S673" i="20"/>
  <c r="AL487" i="20"/>
  <c r="AL445" i="20"/>
  <c r="AL605" i="19"/>
  <c r="AL641" i="19"/>
  <c r="AL682" i="19"/>
  <c r="AJ19" i="7"/>
  <c r="AJ18" i="7"/>
  <c r="AJ17" i="7"/>
  <c r="AJ20" i="7"/>
  <c r="AJ21" i="7"/>
  <c r="AL630" i="20"/>
  <c r="AL631" i="20"/>
  <c r="AL629" i="20"/>
  <c r="X347" i="19"/>
  <c r="AL626" i="20"/>
  <c r="AL624" i="20"/>
  <c r="AL625" i="20"/>
  <c r="AL393" i="19"/>
  <c r="AL634" i="20"/>
  <c r="AL636" i="20"/>
  <c r="AL635" i="20"/>
  <c r="AM1160" i="11"/>
  <c r="AM1155" i="11" s="1"/>
  <c r="AM1141" i="11" s="1"/>
  <c r="AM397" i="11"/>
  <c r="F19" i="4"/>
  <c r="AH306" i="19"/>
  <c r="AL489" i="17"/>
  <c r="AH153" i="14"/>
  <c r="AH152" i="14"/>
  <c r="AH157" i="14"/>
  <c r="AH158" i="14"/>
  <c r="AH120" i="14"/>
  <c r="AH118" i="14"/>
  <c r="AH124" i="14"/>
  <c r="AH123" i="14"/>
  <c r="AH121" i="14"/>
  <c r="AH122" i="14"/>
  <c r="AL424" i="17"/>
  <c r="AL359" i="17"/>
  <c r="AL568" i="17"/>
  <c r="AL375" i="17"/>
  <c r="AL473" i="17"/>
  <c r="AH499" i="19"/>
  <c r="AH513" i="19" s="1"/>
  <c r="F20" i="4"/>
  <c r="AM19" i="11"/>
  <c r="AM21" i="11"/>
  <c r="AM334" i="11"/>
  <c r="AM401" i="11"/>
  <c r="AM400" i="11"/>
  <c r="AM320" i="11"/>
  <c r="AM399" i="11"/>
  <c r="AM319" i="11"/>
  <c r="AH298" i="19"/>
  <c r="AM353" i="11"/>
  <c r="AM355" i="11"/>
  <c r="AM398" i="11"/>
  <c r="AM403" i="11"/>
  <c r="AH514" i="19"/>
  <c r="AL212" i="19"/>
  <c r="AM332" i="11"/>
  <c r="AL527" i="19"/>
  <c r="S824" i="11"/>
  <c r="AE824" i="11" s="1"/>
  <c r="AH305" i="19"/>
  <c r="AL532" i="19"/>
  <c r="AH497" i="19"/>
  <c r="AH107" i="19"/>
  <c r="AL107" i="19" s="1"/>
  <c r="AL79" i="19"/>
  <c r="AM313" i="11"/>
  <c r="AM993" i="11"/>
  <c r="AM992" i="11"/>
  <c r="AH117" i="19"/>
  <c r="AL117" i="19" s="1"/>
  <c r="AM266" i="11"/>
  <c r="AM265" i="11"/>
  <c r="AM307" i="11"/>
  <c r="AM278" i="11"/>
  <c r="C16" i="4"/>
  <c r="F16" i="4" s="1"/>
  <c r="AM306" i="11"/>
  <c r="AL214" i="19"/>
  <c r="AM267" i="11"/>
  <c r="AM277" i="11"/>
  <c r="AM314" i="11"/>
  <c r="AM222" i="11"/>
  <c r="S952" i="11"/>
  <c r="AE952" i="11" s="1"/>
  <c r="AM952" i="11" s="1"/>
  <c r="M955" i="11"/>
  <c r="S955" i="11" s="1"/>
  <c r="AE955" i="11" s="1"/>
  <c r="AM955" i="11" s="1"/>
  <c r="AM279" i="11"/>
  <c r="AM221" i="11"/>
  <c r="AM987" i="11"/>
  <c r="AM988" i="11"/>
  <c r="AH108" i="19"/>
  <c r="AL108" i="19" s="1"/>
  <c r="AL80" i="19"/>
  <c r="AL529" i="19"/>
  <c r="AH494" i="19"/>
  <c r="AW1134" i="11"/>
  <c r="AV1134" i="11"/>
  <c r="AP1134" i="11"/>
  <c r="AU1134" i="11"/>
  <c r="AQ1134" i="11"/>
  <c r="AT1134" i="11"/>
  <c r="AR1134" i="11"/>
  <c r="AN1134" i="11"/>
  <c r="AM1134" i="11"/>
  <c r="AM1132" i="11" s="1"/>
  <c r="AS1134" i="11"/>
  <c r="AM875" i="11"/>
  <c r="AH519" i="19"/>
  <c r="O932" i="11"/>
  <c r="S933" i="11"/>
  <c r="AE932" i="11"/>
  <c r="AH521" i="19"/>
  <c r="AH508" i="19"/>
  <c r="AL543" i="19"/>
  <c r="AM537" i="11"/>
  <c r="AM536" i="11"/>
  <c r="AM498" i="11"/>
  <c r="AM499" i="11"/>
  <c r="AM500" i="11"/>
  <c r="AM496" i="11"/>
  <c r="AM495" i="11"/>
  <c r="AM535" i="11"/>
  <c r="AH520" i="19"/>
  <c r="AM508" i="11"/>
  <c r="AM510" i="11"/>
  <c r="AM509" i="11"/>
  <c r="AM102" i="11"/>
  <c r="AM100" i="11"/>
  <c r="AM101" i="11"/>
  <c r="AM99" i="11"/>
  <c r="AM98" i="11"/>
  <c r="AL533" i="19"/>
  <c r="AH498" i="19"/>
  <c r="BI42" i="7"/>
  <c r="BN42" i="7" s="1"/>
  <c r="BH34" i="7"/>
  <c r="C674" i="21"/>
  <c r="S680" i="21"/>
  <c r="V3" i="21" s="1"/>
  <c r="AL88" i="19"/>
  <c r="AH116" i="19"/>
  <c r="AL116" i="19" s="1"/>
  <c r="AH300" i="19"/>
  <c r="AF303" i="19"/>
  <c r="AG303" i="19" s="1"/>
  <c r="AG291" i="19"/>
  <c r="AL449" i="21"/>
  <c r="AL448" i="21"/>
  <c r="AL447" i="21"/>
  <c r="AH110" i="19"/>
  <c r="AL110" i="19" s="1"/>
  <c r="AL82" i="19"/>
  <c r="N6" i="21"/>
  <c r="B442" i="21"/>
  <c r="S672" i="21"/>
  <c r="S671" i="21"/>
  <c r="V5" i="21" s="1"/>
  <c r="AL299" i="21"/>
  <c r="AL297" i="21"/>
  <c r="AL298" i="21"/>
  <c r="AH115" i="19"/>
  <c r="AL115" i="19" s="1"/>
  <c r="AL87" i="19"/>
  <c r="AM1007" i="11"/>
  <c r="AM1006" i="11"/>
  <c r="AL285" i="21"/>
  <c r="AL287" i="21"/>
  <c r="AL286" i="21"/>
  <c r="AL281" i="21"/>
  <c r="AL280" i="21"/>
  <c r="AL279" i="21"/>
  <c r="AH111" i="19"/>
  <c r="AL111" i="19" s="1"/>
  <c r="AL83" i="19"/>
  <c r="S686" i="21"/>
  <c r="C681" i="21"/>
  <c r="AH118" i="19"/>
  <c r="AL118" i="19" s="1"/>
  <c r="AL90" i="19"/>
  <c r="AH299" i="19"/>
  <c r="AH163" i="14" l="1"/>
  <c r="AH164" i="14"/>
  <c r="AH148" i="14"/>
  <c r="AH149" i="14"/>
  <c r="AM443" i="11"/>
  <c r="AM444" i="11"/>
  <c r="AL308" i="19"/>
  <c r="AL296" i="19"/>
  <c r="AL280" i="19"/>
  <c r="AL283" i="19"/>
  <c r="AL290" i="19"/>
  <c r="AL463" i="19"/>
  <c r="AL462" i="19"/>
  <c r="AL301" i="19"/>
  <c r="AL302" i="19"/>
  <c r="S729" i="19"/>
  <c r="V5" i="19" s="1"/>
  <c r="AD34" i="7"/>
  <c r="AD40" i="7" s="1"/>
  <c r="AJ40" i="7" s="1"/>
  <c r="C732" i="19"/>
  <c r="AG331" i="17"/>
  <c r="AH331" i="17" s="1"/>
  <c r="S349" i="21"/>
  <c r="N5" i="19"/>
  <c r="S626" i="19"/>
  <c r="AD626" i="19" s="1"/>
  <c r="AL626" i="19" s="1"/>
  <c r="S625" i="19"/>
  <c r="AD625" i="19" s="1"/>
  <c r="AL625" i="19" s="1"/>
  <c r="S623" i="19"/>
  <c r="AD623" i="19" s="1"/>
  <c r="AL623" i="19" s="1"/>
  <c r="S627" i="19"/>
  <c r="AD627" i="19" s="1"/>
  <c r="AL627" i="19" s="1"/>
  <c r="AJ13" i="7"/>
  <c r="AJ11" i="7"/>
  <c r="AJ10" i="7"/>
  <c r="AJ12" i="7"/>
  <c r="S429" i="19"/>
  <c r="AD429" i="19" s="1"/>
  <c r="AL429" i="19" s="1"/>
  <c r="N4" i="19"/>
  <c r="AL281" i="19"/>
  <c r="S431" i="19"/>
  <c r="AD431" i="19" s="1"/>
  <c r="AL431" i="19" s="1"/>
  <c r="AL282" i="19"/>
  <c r="C739" i="19"/>
  <c r="AD430" i="20"/>
  <c r="AL430" i="20" s="1"/>
  <c r="S433" i="19"/>
  <c r="AD433" i="19" s="1"/>
  <c r="AL289" i="19"/>
  <c r="AL288" i="19"/>
  <c r="AL505" i="19"/>
  <c r="AL516" i="19"/>
  <c r="AL515" i="19"/>
  <c r="AL523" i="19"/>
  <c r="AL518" i="19"/>
  <c r="AL514" i="19"/>
  <c r="AL513" i="19"/>
  <c r="AL519" i="19"/>
  <c r="AL520" i="19"/>
  <c r="AL521" i="19"/>
  <c r="AL495" i="19"/>
  <c r="AL493" i="19"/>
  <c r="AL491" i="19"/>
  <c r="AL492" i="19"/>
  <c r="AL490" i="19"/>
  <c r="AL494" i="19"/>
  <c r="AL284" i="19"/>
  <c r="AL292" i="19"/>
  <c r="AL295" i="19"/>
  <c r="AL294" i="19"/>
  <c r="AL293" i="19"/>
  <c r="AL307" i="19"/>
  <c r="AL304" i="19"/>
  <c r="AL299" i="19"/>
  <c r="B635" i="19"/>
  <c r="AL287" i="19"/>
  <c r="AL460" i="19"/>
  <c r="AL286" i="19"/>
  <c r="AL305" i="19"/>
  <c r="B442" i="19"/>
  <c r="AL306" i="19"/>
  <c r="AL461" i="19"/>
  <c r="AL457" i="19"/>
  <c r="AL455" i="19"/>
  <c r="AL298" i="19"/>
  <c r="AL458" i="19"/>
  <c r="AL507" i="19"/>
  <c r="AL506" i="19"/>
  <c r="AL500" i="19"/>
  <c r="AL300" i="19"/>
  <c r="AL456" i="19"/>
  <c r="AL504" i="19"/>
  <c r="AL459" i="19"/>
  <c r="AL501" i="19"/>
  <c r="O557" i="19"/>
  <c r="AD557" i="19"/>
  <c r="AE1050" i="11"/>
  <c r="AM1053" i="11" s="1"/>
  <c r="AM839" i="11"/>
  <c r="AM836" i="11"/>
  <c r="AM838" i="11"/>
  <c r="AM840" i="11"/>
  <c r="AM834" i="11"/>
  <c r="AM835" i="11"/>
  <c r="AM837" i="11"/>
  <c r="AE926" i="11"/>
  <c r="C33" i="4" s="1"/>
  <c r="S1223" i="11"/>
  <c r="S1027" i="11"/>
  <c r="AE1027" i="11" s="1"/>
  <c r="AM1027" i="11" s="1"/>
  <c r="S1026" i="11"/>
  <c r="AE1026" i="11" s="1"/>
  <c r="AM1026" i="11" s="1"/>
  <c r="S1028" i="11"/>
  <c r="AE1028" i="11" s="1"/>
  <c r="AM1028" i="11" s="1"/>
  <c r="D50" i="4"/>
  <c r="W551" i="11"/>
  <c r="S550" i="11"/>
  <c r="N4" i="11"/>
  <c r="S783" i="11"/>
  <c r="AE783" i="11" s="1"/>
  <c r="AM783" i="11" s="1"/>
  <c r="S782" i="11"/>
  <c r="AE782" i="11" s="1"/>
  <c r="AM782" i="11" s="1"/>
  <c r="S780" i="11"/>
  <c r="AE780" i="11" s="1"/>
  <c r="AM780" i="11" s="1"/>
  <c r="S1024" i="11"/>
  <c r="AE1024" i="11" s="1"/>
  <c r="AM1024" i="11" s="1"/>
  <c r="AL393" i="21"/>
  <c r="AD559" i="21"/>
  <c r="AL627" i="21"/>
  <c r="S560" i="21"/>
  <c r="S561" i="21" s="1"/>
  <c r="AL628" i="21"/>
  <c r="S349" i="20"/>
  <c r="AD349" i="20" s="1"/>
  <c r="O37" i="7"/>
  <c r="U37" i="7" s="1"/>
  <c r="O38" i="7"/>
  <c r="U38" i="7" s="1"/>
  <c r="O40" i="7"/>
  <c r="U40" i="7" s="1"/>
  <c r="O36" i="7"/>
  <c r="U36" i="7" s="1"/>
  <c r="O41" i="7"/>
  <c r="U41" i="7" s="1"/>
  <c r="O39" i="7"/>
  <c r="U39" i="7" s="1"/>
  <c r="AM217" i="11"/>
  <c r="AK74" i="22"/>
  <c r="AK13" i="22" s="1"/>
  <c r="AM1008" i="11"/>
  <c r="AM956" i="11" s="1"/>
  <c r="AM434" i="11"/>
  <c r="AE887" i="11"/>
  <c r="AM893" i="11" s="1"/>
  <c r="AE802" i="11"/>
  <c r="AE427" i="11"/>
  <c r="U19" i="7"/>
  <c r="P42" i="7"/>
  <c r="U42" i="7" s="1"/>
  <c r="AL13" i="17"/>
  <c r="AL631" i="21"/>
  <c r="AL633" i="21"/>
  <c r="Q1185" i="11"/>
  <c r="Q1187" i="11" s="1"/>
  <c r="AD1189" i="11" s="1"/>
  <c r="AM436" i="11"/>
  <c r="AM896" i="11"/>
  <c r="S1219" i="11"/>
  <c r="W5" i="11" s="1"/>
  <c r="U18" i="7"/>
  <c r="G12" i="14"/>
  <c r="S127" i="14" s="1"/>
  <c r="C1211" i="11"/>
  <c r="AM905" i="11"/>
  <c r="AM904" i="11"/>
  <c r="AM906" i="11"/>
  <c r="S1186" i="11"/>
  <c r="AE1186" i="11" s="1"/>
  <c r="AM441" i="11"/>
  <c r="U17" i="7"/>
  <c r="I1186" i="11"/>
  <c r="U20" i="7"/>
  <c r="N6" i="11"/>
  <c r="C7" i="4"/>
  <c r="N5" i="11"/>
  <c r="AM898" i="11"/>
  <c r="AM895" i="11"/>
  <c r="AM440" i="11"/>
  <c r="C39" i="4"/>
  <c r="AM897" i="11"/>
  <c r="AM899" i="11"/>
  <c r="N7" i="11"/>
  <c r="AM442" i="11"/>
  <c r="B1036" i="11"/>
  <c r="C1220" i="11"/>
  <c r="S1216" i="11"/>
  <c r="AM903" i="11"/>
  <c r="AM435" i="11"/>
  <c r="L18" i="4"/>
  <c r="Q7" i="4" s="1"/>
  <c r="S1215" i="11"/>
  <c r="N8" i="11"/>
  <c r="C10" i="4"/>
  <c r="S784" i="11"/>
  <c r="AE784" i="11" s="1"/>
  <c r="AM784" i="11" s="1"/>
  <c r="S1185" i="11"/>
  <c r="AE1185" i="11" s="1"/>
  <c r="S1227" i="11"/>
  <c r="W6" i="11" s="1"/>
  <c r="BX42" i="7"/>
  <c r="CC42" i="7" s="1"/>
  <c r="CC48" i="7" s="1"/>
  <c r="S1224" i="11"/>
  <c r="AM902" i="11"/>
  <c r="S786" i="11"/>
  <c r="AE786" i="11" s="1"/>
  <c r="AM786" i="11" s="1"/>
  <c r="S1208" i="11"/>
  <c r="W7" i="11" s="1"/>
  <c r="AL681" i="19"/>
  <c r="AL204" i="17"/>
  <c r="O577" i="21"/>
  <c r="S578" i="21"/>
  <c r="AD577" i="21"/>
  <c r="AH233" i="19"/>
  <c r="AL233" i="19" s="1"/>
  <c r="AL224" i="19"/>
  <c r="AD558" i="19"/>
  <c r="O558" i="19"/>
  <c r="S559" i="19"/>
  <c r="AH142" i="14"/>
  <c r="AH147" i="14"/>
  <c r="AD555" i="20"/>
  <c r="S556" i="20"/>
  <c r="O555" i="20"/>
  <c r="AD575" i="20"/>
  <c r="S576" i="20"/>
  <c r="O575" i="20"/>
  <c r="AD349" i="21"/>
  <c r="S350" i="21"/>
  <c r="S689" i="20"/>
  <c r="AL375" i="19"/>
  <c r="AH161" i="14"/>
  <c r="AH162" i="14"/>
  <c r="AH141" i="14"/>
  <c r="AH143" i="14"/>
  <c r="AH144" i="14"/>
  <c r="AH146" i="14"/>
  <c r="S35" i="14"/>
  <c r="AC35" i="14" s="1"/>
  <c r="AG35" i="14" s="1"/>
  <c r="AH145" i="14"/>
  <c r="V3" i="20"/>
  <c r="AL567" i="17"/>
  <c r="AL581" i="19"/>
  <c r="S746" i="19"/>
  <c r="AL440" i="20"/>
  <c r="AS39" i="7"/>
  <c r="AY39" i="7" s="1"/>
  <c r="AS40" i="7"/>
  <c r="AY40" i="7" s="1"/>
  <c r="AS38" i="7"/>
  <c r="AY38" i="7" s="1"/>
  <c r="AS37" i="7"/>
  <c r="AY37" i="7" s="1"/>
  <c r="AS35" i="7"/>
  <c r="AY35" i="7" s="1"/>
  <c r="AS36" i="7"/>
  <c r="AY36" i="7" s="1"/>
  <c r="AS41" i="7"/>
  <c r="AY41" i="7" s="1"/>
  <c r="V4" i="19"/>
  <c r="AL499" i="19"/>
  <c r="AL357" i="17"/>
  <c r="AH511" i="19"/>
  <c r="AL511" i="19" s="1"/>
  <c r="AL497" i="19"/>
  <c r="C17" i="4"/>
  <c r="F17" i="4" s="1"/>
  <c r="C25" i="4" s="1"/>
  <c r="AL15" i="19"/>
  <c r="AM949" i="11"/>
  <c r="AL442" i="21"/>
  <c r="AM492" i="11"/>
  <c r="AM16" i="11"/>
  <c r="S688" i="21"/>
  <c r="AH522" i="19"/>
  <c r="AL522" i="19" s="1"/>
  <c r="AL508" i="19"/>
  <c r="AL498" i="19"/>
  <c r="AH512" i="19"/>
  <c r="AL512" i="19" s="1"/>
  <c r="S934" i="11"/>
  <c r="AE933" i="11"/>
  <c r="O933" i="11"/>
  <c r="D25" i="4"/>
  <c r="V4" i="21"/>
  <c r="BH37" i="7"/>
  <c r="BN37" i="7" s="1"/>
  <c r="BH40" i="7"/>
  <c r="BN40" i="7" s="1"/>
  <c r="BH35" i="7"/>
  <c r="BN35" i="7" s="1"/>
  <c r="BH41" i="7"/>
  <c r="BN41" i="7" s="1"/>
  <c r="BH38" i="7"/>
  <c r="BN38" i="7" s="1"/>
  <c r="BH39" i="7"/>
  <c r="BN39" i="7" s="1"/>
  <c r="BH36" i="7"/>
  <c r="BN36" i="7" s="1"/>
  <c r="L16" i="4"/>
  <c r="AM432" i="11" l="1"/>
  <c r="AM431" i="11"/>
  <c r="AD39" i="7"/>
  <c r="AJ39" i="7" s="1"/>
  <c r="AD41" i="7"/>
  <c r="AJ41" i="7" s="1"/>
  <c r="AD38" i="7"/>
  <c r="AJ38" i="7" s="1"/>
  <c r="AD35" i="7"/>
  <c r="AJ35" i="7" s="1"/>
  <c r="AD37" i="7"/>
  <c r="AJ37" i="7" s="1"/>
  <c r="AD36" i="7"/>
  <c r="AJ36" i="7" s="1"/>
  <c r="S350" i="20"/>
  <c r="S351" i="20" s="1"/>
  <c r="AL622" i="19"/>
  <c r="AL428" i="19"/>
  <c r="U52" i="7"/>
  <c r="AM1040" i="11" s="1"/>
  <c r="U51" i="7"/>
  <c r="AM1041" i="11" s="1"/>
  <c r="U53" i="7"/>
  <c r="AM1042" i="11" s="1"/>
  <c r="U48" i="7"/>
  <c r="AM1037" i="11" s="1"/>
  <c r="AL249" i="19"/>
  <c r="AM1051" i="11"/>
  <c r="AM1052" i="11"/>
  <c r="AM815" i="11"/>
  <c r="AM813" i="11"/>
  <c r="AM814" i="11"/>
  <c r="AM812" i="11"/>
  <c r="AM816" i="11"/>
  <c r="AM818" i="11"/>
  <c r="AM817" i="11"/>
  <c r="AD560" i="21"/>
  <c r="O560" i="21"/>
  <c r="AL162" i="19"/>
  <c r="U50" i="7"/>
  <c r="AM1039" i="11" s="1"/>
  <c r="U49" i="7"/>
  <c r="AM1038" i="11" s="1"/>
  <c r="AE1187" i="11"/>
  <c r="AE1189" i="11" s="1"/>
  <c r="AM1189" i="11" s="1"/>
  <c r="AM1190" i="11" s="1"/>
  <c r="S7" i="4"/>
  <c r="O7" i="4" s="1"/>
  <c r="C26" i="4"/>
  <c r="AM891" i="11"/>
  <c r="AM889" i="11"/>
  <c r="AM890" i="11"/>
  <c r="AM888" i="11"/>
  <c r="AM428" i="11"/>
  <c r="AM430" i="11"/>
  <c r="AM429" i="11"/>
  <c r="S120" i="14"/>
  <c r="AM1023" i="11"/>
  <c r="F22" i="4"/>
  <c r="S8" i="4" s="1"/>
  <c r="O8" i="4" s="1"/>
  <c r="AM779" i="11"/>
  <c r="S1229" i="11"/>
  <c r="L20" i="4"/>
  <c r="O578" i="21"/>
  <c r="AD578" i="21"/>
  <c r="S579" i="21"/>
  <c r="O561" i="21"/>
  <c r="S562" i="21"/>
  <c r="AD561" i="21"/>
  <c r="S560" i="19"/>
  <c r="O559" i="19"/>
  <c r="AD559" i="19"/>
  <c r="S577" i="20"/>
  <c r="AD576" i="20"/>
  <c r="O576" i="20"/>
  <c r="AD556" i="20"/>
  <c r="O556" i="20"/>
  <c r="S557" i="20"/>
  <c r="S351" i="21"/>
  <c r="AD350" i="21"/>
  <c r="AL12" i="17"/>
  <c r="S36" i="14"/>
  <c r="S37" i="14" s="1"/>
  <c r="AY48" i="7"/>
  <c r="AL445" i="19"/>
  <c r="AE934" i="11"/>
  <c r="S935" i="11"/>
  <c r="O934" i="11"/>
  <c r="AD1187" i="11"/>
  <c r="D26" i="4"/>
  <c r="F28" i="4"/>
  <c r="F45" i="4"/>
  <c r="BN48" i="7"/>
  <c r="AD350" i="20" l="1"/>
  <c r="AJ51" i="7"/>
  <c r="AL640" i="19" s="1"/>
  <c r="AJ48" i="7"/>
  <c r="AL636" i="19" s="1"/>
  <c r="AJ49" i="7"/>
  <c r="AL637" i="19" s="1"/>
  <c r="AJ50" i="7"/>
  <c r="AL638" i="19" s="1"/>
  <c r="AJ52" i="7"/>
  <c r="AL639" i="19" s="1"/>
  <c r="AL248" i="19"/>
  <c r="AM1046" i="11"/>
  <c r="AM1036" i="11"/>
  <c r="AM1187" i="11"/>
  <c r="C28" i="4"/>
  <c r="D45" i="4" s="1"/>
  <c r="AM797" i="11"/>
  <c r="AM365" i="11"/>
  <c r="S580" i="21"/>
  <c r="O579" i="21"/>
  <c r="AD579" i="21"/>
  <c r="S563" i="21"/>
  <c r="O562" i="21"/>
  <c r="AD562" i="21"/>
  <c r="O560" i="19"/>
  <c r="S561" i="19"/>
  <c r="AD560" i="19"/>
  <c r="S578" i="20"/>
  <c r="AD577" i="20"/>
  <c r="O577" i="20"/>
  <c r="AD557" i="20"/>
  <c r="O557" i="20"/>
  <c r="S558" i="20"/>
  <c r="S352" i="21"/>
  <c r="AD351" i="21"/>
  <c r="AC36" i="14"/>
  <c r="AG36" i="14" s="1"/>
  <c r="S352" i="20"/>
  <c r="AD351" i="20"/>
  <c r="AC37" i="14"/>
  <c r="AG37" i="14" s="1"/>
  <c r="S38" i="14"/>
  <c r="S936" i="11"/>
  <c r="AE935" i="11"/>
  <c r="O935" i="11"/>
  <c r="AL635" i="19" l="1"/>
  <c r="AM1188" i="11"/>
  <c r="C29" i="4"/>
  <c r="O580" i="21"/>
  <c r="S581" i="21"/>
  <c r="AD580" i="21"/>
  <c r="S564" i="21"/>
  <c r="AD563" i="21"/>
  <c r="O563" i="21"/>
  <c r="S562" i="19"/>
  <c r="O561" i="19"/>
  <c r="AD561" i="19"/>
  <c r="O578" i="20"/>
  <c r="S579" i="20"/>
  <c r="AD578" i="20"/>
  <c r="O558" i="20"/>
  <c r="AD558" i="20"/>
  <c r="S559" i="20"/>
  <c r="AD352" i="21"/>
  <c r="S353" i="21"/>
  <c r="S353" i="20"/>
  <c r="AD352" i="20"/>
  <c r="AC38" i="14"/>
  <c r="AG38" i="14" s="1"/>
  <c r="S39" i="14"/>
  <c r="AE936" i="11"/>
  <c r="S937" i="11"/>
  <c r="O936" i="11"/>
  <c r="AM1183" i="11" l="1"/>
  <c r="AM1131" i="11" s="1"/>
  <c r="S582" i="21"/>
  <c r="O581" i="21"/>
  <c r="AD581" i="21"/>
  <c r="AD564" i="21"/>
  <c r="O564" i="21"/>
  <c r="S565" i="21"/>
  <c r="AD562" i="19"/>
  <c r="O562" i="19"/>
  <c r="S563" i="19"/>
  <c r="S580" i="20"/>
  <c r="AD579" i="20"/>
  <c r="O579" i="20"/>
  <c r="AD559" i="20"/>
  <c r="O559" i="20"/>
  <c r="S560" i="20"/>
  <c r="AD353" i="21"/>
  <c r="S354" i="21"/>
  <c r="S354" i="20"/>
  <c r="AD353" i="20"/>
  <c r="S40" i="14"/>
  <c r="AC39" i="14"/>
  <c r="AG39" i="14" s="1"/>
  <c r="S938" i="11"/>
  <c r="AE937" i="11"/>
  <c r="O937" i="11"/>
  <c r="O582" i="21" l="1"/>
  <c r="AD582" i="21"/>
  <c r="S583" i="21"/>
  <c r="O565" i="21"/>
  <c r="S566" i="21"/>
  <c r="AD565" i="21"/>
  <c r="AD563" i="19"/>
  <c r="O563" i="19"/>
  <c r="S564" i="19"/>
  <c r="O580" i="20"/>
  <c r="S581" i="20"/>
  <c r="AD580" i="20"/>
  <c r="O560" i="20"/>
  <c r="S561" i="20"/>
  <c r="AD560" i="20"/>
  <c r="S355" i="21"/>
  <c r="AD354" i="21"/>
  <c r="S355" i="20"/>
  <c r="AD354" i="20"/>
  <c r="S41" i="14"/>
  <c r="AC40" i="14"/>
  <c r="AE938" i="11"/>
  <c r="O938" i="11"/>
  <c r="S939" i="11"/>
  <c r="AI913" i="11" l="1"/>
  <c r="AI926" i="11"/>
  <c r="AM926" i="11" s="1"/>
  <c r="AD583" i="21"/>
  <c r="O583" i="21"/>
  <c r="S584" i="21"/>
  <c r="AD566" i="21"/>
  <c r="O566" i="21"/>
  <c r="S567" i="21"/>
  <c r="AD564" i="19"/>
  <c r="S565" i="19"/>
  <c r="O564" i="19"/>
  <c r="O561" i="20"/>
  <c r="S562" i="20"/>
  <c r="AD561" i="20"/>
  <c r="AD581" i="20"/>
  <c r="S582" i="20"/>
  <c r="O581" i="20"/>
  <c r="AD355" i="21"/>
  <c r="S356" i="21"/>
  <c r="S356" i="20"/>
  <c r="AD355" i="20"/>
  <c r="AC41" i="14"/>
  <c r="AG41" i="14" s="1"/>
  <c r="S42" i="14"/>
  <c r="AE939" i="11"/>
  <c r="O939" i="11"/>
  <c r="S940" i="11"/>
  <c r="Y913" i="11"/>
  <c r="AE913" i="11"/>
  <c r="C32" i="4" s="1"/>
  <c r="W913" i="11"/>
  <c r="X913" i="11"/>
  <c r="X926" i="11"/>
  <c r="Y926" i="11"/>
  <c r="W926" i="11"/>
  <c r="E33" i="4" s="1"/>
  <c r="AM913" i="11" l="1"/>
  <c r="AM908" i="11" s="1"/>
  <c r="AM794" i="11" s="1"/>
  <c r="S585" i="21"/>
  <c r="O584" i="21"/>
  <c r="AD584" i="21"/>
  <c r="S568" i="21"/>
  <c r="O567" i="21"/>
  <c r="AD567" i="21"/>
  <c r="AD565" i="19"/>
  <c r="O565" i="19"/>
  <c r="S566" i="19"/>
  <c r="O562" i="20"/>
  <c r="AD562" i="20"/>
  <c r="S563" i="20"/>
  <c r="AD582" i="20"/>
  <c r="S583" i="20"/>
  <c r="O582" i="20"/>
  <c r="S357" i="21"/>
  <c r="AD356" i="21"/>
  <c r="S357" i="20"/>
  <c r="AD356" i="20"/>
  <c r="S43" i="14"/>
  <c r="AC42" i="14"/>
  <c r="E32" i="4"/>
  <c r="S547" i="11"/>
  <c r="S548" i="11" s="1"/>
  <c r="T549" i="11" s="1"/>
  <c r="AE940" i="11"/>
  <c r="O940" i="11"/>
  <c r="S941" i="11"/>
  <c r="S586" i="21" l="1"/>
  <c r="O585" i="21"/>
  <c r="AD585" i="21"/>
  <c r="AD568" i="21"/>
  <c r="O568" i="21"/>
  <c r="S569" i="21"/>
  <c r="AD566" i="19"/>
  <c r="S567" i="19"/>
  <c r="O566" i="19"/>
  <c r="S584" i="20"/>
  <c r="O583" i="20"/>
  <c r="AD583" i="20"/>
  <c r="O563" i="20"/>
  <c r="S564" i="20"/>
  <c r="AD563" i="20"/>
  <c r="AD357" i="21"/>
  <c r="S358" i="21"/>
  <c r="S358" i="20"/>
  <c r="AD357" i="20"/>
  <c r="S44" i="14"/>
  <c r="AC43" i="14"/>
  <c r="S552" i="11"/>
  <c r="S10" i="4"/>
  <c r="O10" i="4" s="1"/>
  <c r="O11" i="4" s="1"/>
  <c r="O13" i="4" s="1"/>
  <c r="D46" i="4"/>
  <c r="D47" i="4"/>
  <c r="O941" i="11"/>
  <c r="AE941" i="11"/>
  <c r="S942" i="11"/>
  <c r="V764" i="11" l="1"/>
  <c r="V763" i="11"/>
  <c r="S587" i="21"/>
  <c r="O586" i="21"/>
  <c r="AD586" i="21"/>
  <c r="S570" i="21"/>
  <c r="AD569" i="21"/>
  <c r="O569" i="21"/>
  <c r="O567" i="19"/>
  <c r="AD567" i="19"/>
  <c r="S568" i="19"/>
  <c r="AD584" i="20"/>
  <c r="S585" i="20"/>
  <c r="O584" i="20"/>
  <c r="O564" i="20"/>
  <c r="S565" i="20"/>
  <c r="AD564" i="20"/>
  <c r="S359" i="21"/>
  <c r="AD358" i="21"/>
  <c r="S359" i="20"/>
  <c r="AD358" i="20"/>
  <c r="S341" i="20"/>
  <c r="AC44" i="14"/>
  <c r="S45" i="14"/>
  <c r="S27" i="14"/>
  <c r="V721" i="11"/>
  <c r="V733" i="11"/>
  <c r="V736" i="11"/>
  <c r="V720" i="11"/>
  <c r="V729" i="11"/>
  <c r="V718" i="11"/>
  <c r="V717" i="11"/>
  <c r="V725" i="11"/>
  <c r="V726" i="11"/>
  <c r="V742" i="11"/>
  <c r="V732" i="11"/>
  <c r="V722" i="11"/>
  <c r="V765" i="11"/>
  <c r="V715" i="11"/>
  <c r="V719" i="11"/>
  <c r="V724" i="11"/>
  <c r="V730" i="11"/>
  <c r="V738" i="11"/>
  <c r="V712" i="11"/>
  <c r="V762" i="11"/>
  <c r="V723" i="11"/>
  <c r="V741" i="11"/>
  <c r="V740" i="11"/>
  <c r="V735" i="11"/>
  <c r="V743" i="11"/>
  <c r="V714" i="11"/>
  <c r="V713" i="11"/>
  <c r="V716" i="11"/>
  <c r="V737" i="11"/>
  <c r="V739" i="11"/>
  <c r="V731" i="11"/>
  <c r="V728" i="11"/>
  <c r="V734" i="11"/>
  <c r="V727" i="11"/>
  <c r="V587" i="11"/>
  <c r="V692" i="11"/>
  <c r="V608" i="11"/>
  <c r="V580" i="11"/>
  <c r="V612" i="11"/>
  <c r="V687" i="11"/>
  <c r="V591" i="11"/>
  <c r="V596" i="11"/>
  <c r="V697" i="11"/>
  <c r="V571" i="11"/>
  <c r="V662" i="11"/>
  <c r="V628" i="11"/>
  <c r="V652" i="11"/>
  <c r="V575" i="11"/>
  <c r="V664" i="11"/>
  <c r="V577" i="11"/>
  <c r="V681" i="11"/>
  <c r="V663" i="11"/>
  <c r="V672" i="11"/>
  <c r="V563" i="11"/>
  <c r="V607" i="11"/>
  <c r="V578" i="11"/>
  <c r="V638" i="11"/>
  <c r="V600" i="11"/>
  <c r="V693" i="11"/>
  <c r="V685" i="11"/>
  <c r="V622" i="11"/>
  <c r="V700" i="11"/>
  <c r="V636" i="11"/>
  <c r="V592" i="11"/>
  <c r="V653" i="11"/>
  <c r="V615" i="11"/>
  <c r="V595" i="11"/>
  <c r="V644" i="11"/>
  <c r="V635" i="11"/>
  <c r="V676" i="11"/>
  <c r="V603" i="11"/>
  <c r="V597" i="11"/>
  <c r="V658" i="11"/>
  <c r="V599" i="11"/>
  <c r="V682" i="11"/>
  <c r="V649" i="11"/>
  <c r="V621" i="11"/>
  <c r="V640" i="11"/>
  <c r="V617" i="11"/>
  <c r="V605" i="11"/>
  <c r="V701" i="11"/>
  <c r="V626" i="11"/>
  <c r="V613" i="11"/>
  <c r="V686" i="11"/>
  <c r="V590" i="11"/>
  <c r="V659" i="11"/>
  <c r="V689" i="11"/>
  <c r="V561" i="11"/>
  <c r="V564" i="11"/>
  <c r="V690" i="11"/>
  <c r="V660" i="11"/>
  <c r="V568" i="11"/>
  <c r="V570" i="11"/>
  <c r="V694" i="11"/>
  <c r="V581" i="11"/>
  <c r="V668" i="11"/>
  <c r="V678" i="11"/>
  <c r="V594" i="11"/>
  <c r="V589" i="11"/>
  <c r="V655" i="11"/>
  <c r="V642" i="11"/>
  <c r="V669" i="11"/>
  <c r="V632" i="11"/>
  <c r="V582" i="11"/>
  <c r="V569" i="11"/>
  <c r="V572" i="11"/>
  <c r="V677" i="11"/>
  <c r="V639" i="11"/>
  <c r="V619" i="11"/>
  <c r="V566" i="11"/>
  <c r="V674" i="11"/>
  <c r="V647" i="11"/>
  <c r="V620" i="11"/>
  <c r="V666" i="11"/>
  <c r="V673" i="11"/>
  <c r="V695" i="11"/>
  <c r="V598" i="11"/>
  <c r="V691" i="11"/>
  <c r="V680" i="11"/>
  <c r="V646" i="11"/>
  <c r="V601" i="11"/>
  <c r="V585" i="11"/>
  <c r="V606" i="11"/>
  <c r="V559" i="11"/>
  <c r="V627" i="11"/>
  <c r="V614" i="11"/>
  <c r="V609" i="11"/>
  <c r="V562" i="11"/>
  <c r="V650" i="11"/>
  <c r="V703" i="11"/>
  <c r="V684" i="11"/>
  <c r="V576" i="11"/>
  <c r="V602" i="11"/>
  <c r="V671" i="11"/>
  <c r="V645" i="11"/>
  <c r="V665" i="11"/>
  <c r="V567" i="11"/>
  <c r="V588" i="11"/>
  <c r="V654" i="11"/>
  <c r="V675" i="11"/>
  <c r="V623" i="11"/>
  <c r="V643" i="11"/>
  <c r="V630" i="11"/>
  <c r="V611" i="11"/>
  <c r="V593" i="11"/>
  <c r="V683" i="11"/>
  <c r="V698" i="11"/>
  <c r="V624" i="11"/>
  <c r="V610" i="11"/>
  <c r="V579" i="11"/>
  <c r="V616" i="11"/>
  <c r="V560" i="11"/>
  <c r="V688" i="11"/>
  <c r="V670" i="11"/>
  <c r="V667" i="11"/>
  <c r="V679" i="11"/>
  <c r="V696" i="11"/>
  <c r="V629" i="11"/>
  <c r="V573" i="11"/>
  <c r="V583" i="11"/>
  <c r="V634" i="11"/>
  <c r="V641" i="11"/>
  <c r="V625" i="11"/>
  <c r="V651" i="11"/>
  <c r="V558" i="11"/>
  <c r="V702" i="11"/>
  <c r="V657" i="11"/>
  <c r="V633" i="11"/>
  <c r="V574" i="11"/>
  <c r="V618" i="11"/>
  <c r="V656" i="11"/>
  <c r="V604" i="11"/>
  <c r="V637" i="11"/>
  <c r="V648" i="11"/>
  <c r="V565" i="11"/>
  <c r="V586" i="11"/>
  <c r="V631" i="11"/>
  <c r="V699" i="11"/>
  <c r="V584" i="11"/>
  <c r="V661" i="11"/>
  <c r="O942" i="11"/>
  <c r="S943" i="11"/>
  <c r="AE942" i="11"/>
  <c r="D57" i="4"/>
  <c r="L22" i="4"/>
  <c r="L28" i="4" s="1"/>
  <c r="D55" i="4"/>
  <c r="W550" i="19" l="1"/>
  <c r="Y550" i="19"/>
  <c r="Y760" i="11"/>
  <c r="AI760" i="11" s="1"/>
  <c r="AM760" i="11" s="1"/>
  <c r="Z760" i="11"/>
  <c r="Y708" i="11"/>
  <c r="AH550" i="19"/>
  <c r="AL550" i="19" s="1"/>
  <c r="AL545" i="19" s="1"/>
  <c r="AL442" i="19" s="1"/>
  <c r="AL14" i="19" s="1"/>
  <c r="X550" i="19"/>
  <c r="S588" i="21"/>
  <c r="AD587" i="21"/>
  <c r="O587" i="21"/>
  <c r="S571" i="21"/>
  <c r="O570" i="21"/>
  <c r="AD570" i="21"/>
  <c r="AD568" i="19"/>
  <c r="S569" i="19"/>
  <c r="O568" i="19"/>
  <c r="S566" i="20"/>
  <c r="O565" i="20"/>
  <c r="AD565" i="20"/>
  <c r="AD585" i="20"/>
  <c r="S586" i="20"/>
  <c r="O585" i="20"/>
  <c r="S360" i="21"/>
  <c r="S343" i="21"/>
  <c r="AD359" i="21"/>
  <c r="Q341" i="20"/>
  <c r="AD341" i="20"/>
  <c r="AL341" i="20" s="1"/>
  <c r="AL161" i="20" s="1"/>
  <c r="AL14" i="20" s="1"/>
  <c r="S360" i="20"/>
  <c r="AD359" i="20"/>
  <c r="Q27" i="14"/>
  <c r="Y27" i="14"/>
  <c r="AC27" i="14"/>
  <c r="AG27" i="14"/>
  <c r="AH27" i="14" s="1"/>
  <c r="AC45" i="14"/>
  <c r="S46" i="14"/>
  <c r="V554" i="11"/>
  <c r="AE943" i="11"/>
  <c r="O943" i="11"/>
  <c r="S944" i="11"/>
  <c r="V708" i="11" l="1"/>
  <c r="AI708" i="11"/>
  <c r="AM708" i="11" s="1"/>
  <c r="AD588" i="21"/>
  <c r="O588" i="21"/>
  <c r="S589" i="21"/>
  <c r="AD571" i="21"/>
  <c r="S572" i="21"/>
  <c r="O571" i="21"/>
  <c r="S570" i="19"/>
  <c r="AD569" i="19"/>
  <c r="O569" i="19"/>
  <c r="S587" i="20"/>
  <c r="AD586" i="20"/>
  <c r="O586" i="20"/>
  <c r="AD566" i="20"/>
  <c r="S567" i="20"/>
  <c r="O566" i="20"/>
  <c r="Q343" i="21"/>
  <c r="AD343" i="21"/>
  <c r="AL343" i="21" s="1"/>
  <c r="AL161" i="21" s="1"/>
  <c r="AD360" i="21"/>
  <c r="S361" i="21"/>
  <c r="AD360" i="20"/>
  <c r="S361" i="20"/>
  <c r="AC46" i="14"/>
  <c r="AG46" i="14" s="1"/>
  <c r="S47" i="14"/>
  <c r="AE944" i="11"/>
  <c r="S945" i="11"/>
  <c r="O944" i="11"/>
  <c r="W4" i="11"/>
  <c r="AI554" i="11"/>
  <c r="AM554" i="11" s="1"/>
  <c r="Y554" i="11"/>
  <c r="W3" i="11" s="1"/>
  <c r="AD589" i="21" l="1"/>
  <c r="S590" i="21"/>
  <c r="O589" i="21"/>
  <c r="O572" i="21"/>
  <c r="AD572" i="21"/>
  <c r="S571" i="19"/>
  <c r="O570" i="19"/>
  <c r="AD570" i="19"/>
  <c r="S568" i="20"/>
  <c r="AD567" i="20"/>
  <c r="O567" i="20"/>
  <c r="AD587" i="20"/>
  <c r="O587" i="20"/>
  <c r="S588" i="20"/>
  <c r="S362" i="21"/>
  <c r="AD361" i="21"/>
  <c r="AM544" i="11"/>
  <c r="AM364" i="11" s="1"/>
  <c r="AM15" i="11" s="1"/>
  <c r="S362" i="20"/>
  <c r="AD362" i="20" s="1"/>
  <c r="AD361" i="20"/>
  <c r="AC47" i="14"/>
  <c r="S48" i="14"/>
  <c r="S946" i="11"/>
  <c r="O945" i="11"/>
  <c r="AE945" i="11"/>
  <c r="S591" i="21" l="1"/>
  <c r="AD590" i="21"/>
  <c r="O590" i="21"/>
  <c r="AD571" i="19"/>
  <c r="O571" i="19"/>
  <c r="AD568" i="20"/>
  <c r="O568" i="20"/>
  <c r="S569" i="20"/>
  <c r="S589" i="20"/>
  <c r="AD588" i="20"/>
  <c r="O588" i="20"/>
  <c r="AD362" i="21"/>
  <c r="S363" i="21"/>
  <c r="AD363" i="21" s="1"/>
  <c r="S49" i="14"/>
  <c r="AC48" i="14"/>
  <c r="O946" i="11"/>
  <c r="S947" i="11"/>
  <c r="AE946" i="11"/>
  <c r="S592" i="21" l="1"/>
  <c r="AD591" i="21"/>
  <c r="O591" i="21"/>
  <c r="S570" i="20"/>
  <c r="AD569" i="20"/>
  <c r="O569" i="20"/>
  <c r="O589" i="20"/>
  <c r="AD589" i="20"/>
  <c r="S590" i="20"/>
  <c r="S50" i="14"/>
  <c r="AC49" i="14"/>
  <c r="AG49" i="14" s="1"/>
  <c r="O947" i="11"/>
  <c r="S948" i="11"/>
  <c r="AE947" i="11"/>
  <c r="S593" i="21" l="1"/>
  <c r="AD592" i="21"/>
  <c r="O592" i="21"/>
  <c r="O570" i="20"/>
  <c r="AD570" i="20"/>
  <c r="O590" i="20"/>
  <c r="S591" i="20"/>
  <c r="AD590" i="20"/>
  <c r="S51" i="14"/>
  <c r="AC50" i="14"/>
  <c r="AG50" i="14" s="1"/>
  <c r="O948" i="11"/>
  <c r="AE948" i="11"/>
  <c r="O593" i="21" l="1"/>
  <c r="AD593" i="21"/>
  <c r="AD591" i="20"/>
  <c r="O591" i="20"/>
  <c r="AC51" i="14"/>
  <c r="AG51" i="14" s="1"/>
  <c r="S52" i="14"/>
  <c r="AC52" i="14" l="1"/>
  <c r="AG52" i="14" s="1"/>
  <c r="S53" i="14"/>
  <c r="S54" i="14" l="1"/>
  <c r="AC53" i="14"/>
  <c r="AG53" i="14" s="1"/>
  <c r="S55" i="14" l="1"/>
  <c r="AC54" i="14"/>
  <c r="AG54" i="14" s="1"/>
  <c r="AC55" i="14" l="1"/>
  <c r="AG55" i="14" s="1"/>
  <c r="S56" i="14"/>
  <c r="AC56" i="14" s="1"/>
  <c r="AG56"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Gibbs, Sy</author>
  </authors>
  <commentList>
    <comment ref="F511" authorId="0" shapeId="0" xr:uid="{00000000-0006-0000-0000-000001000000}">
      <text>
        <r>
          <rPr>
            <b/>
            <sz val="9"/>
            <color indexed="81"/>
            <rFont val="Tahoma"/>
            <family val="2"/>
          </rPr>
          <t>Gibbs, Sy:</t>
        </r>
        <r>
          <rPr>
            <sz val="9"/>
            <color indexed="81"/>
            <rFont val="Tahoma"/>
            <family val="2"/>
          </rPr>
          <t xml:space="preserve">
EC was cancelled after sending for approval.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ccampbell</author>
    <author>Strachan, Steve</author>
    <author>Steve Strachan</author>
    <author>Gibbs, Sy</author>
    <author>CCampbell</author>
    <author>Ronald Hall</author>
    <author>sy gibbs</author>
    <author>Sy Gibbs</author>
  </authors>
  <commentList>
    <comment ref="AR2" authorId="0" shapeId="0" xr:uid="{00000000-0006-0000-0100-000001000000}">
      <text>
        <r>
          <rPr>
            <sz val="10"/>
            <color indexed="81"/>
            <rFont val="Tahoma"/>
            <family val="2"/>
          </rPr>
          <t>SHConfigOpt</t>
        </r>
      </text>
    </comment>
    <comment ref="E3" authorId="0" shapeId="0" xr:uid="{00000000-0006-0000-0100-000002000000}">
      <text>
        <r>
          <rPr>
            <sz val="9"/>
            <color indexed="81"/>
            <rFont val="Tahoma"/>
            <family val="2"/>
          </rPr>
          <t>SHSelectedConfig</t>
        </r>
      </text>
    </comment>
    <comment ref="E5" authorId="0" shapeId="0" xr:uid="{00000000-0006-0000-0100-000003000000}">
      <text>
        <r>
          <rPr>
            <sz val="9"/>
            <color indexed="81"/>
            <rFont val="Tahoma"/>
            <family val="2"/>
          </rPr>
          <t>Min = 15.500" Max = 53.000"</t>
        </r>
      </text>
    </comment>
    <comment ref="G5" authorId="0" shapeId="0" xr:uid="{00000000-0006-0000-0100-000004000000}">
      <text>
        <r>
          <rPr>
            <sz val="9"/>
            <color indexed="81"/>
            <rFont val="Tahoma"/>
            <family val="2"/>
          </rPr>
          <t>Min = 23.500" Max = 96.000"
If W &gt; 48", max H = 77.125"</t>
        </r>
      </text>
    </comment>
    <comment ref="Y8" authorId="1" shapeId="0" xr:uid="{DB9C17E1-ACF8-473D-9F9A-F71EE6201855}">
      <text>
        <r>
          <rPr>
            <sz val="9"/>
            <color indexed="81"/>
            <rFont val="Tahoma"/>
            <family val="2"/>
          </rPr>
          <t>SHCORnd</t>
        </r>
      </text>
    </comment>
    <comment ref="AH12" authorId="1" shapeId="0" xr:uid="{4FF41325-06CB-44B6-9681-D7F4109D6390}">
      <text>
        <r>
          <rPr>
            <sz val="9"/>
            <color indexed="81"/>
            <rFont val="Tahoma"/>
            <family val="2"/>
          </rPr>
          <t>AtolbperftSH</t>
        </r>
      </text>
    </comment>
    <comment ref="AI12" authorId="2" shapeId="0" xr:uid="{00000000-0006-0000-0100-000005000000}">
      <text>
        <r>
          <rPr>
            <sz val="8"/>
            <color indexed="81"/>
            <rFont val="Tahoma"/>
            <family val="2"/>
          </rPr>
          <t>= lb/ft * $/lb</t>
        </r>
      </text>
    </comment>
    <comment ref="AN12" authorId="3" shapeId="0" xr:uid="{00000000-0006-0000-0100-000006000000}">
      <text>
        <r>
          <rPr>
            <sz val="8"/>
            <color indexed="81"/>
            <rFont val="Tahoma"/>
            <family val="2"/>
          </rPr>
          <t>BM = BrickMould with nailfin
B&amp;T = Block &amp; Tackle Balance
White
Adhesive tape glazed top glass</t>
        </r>
      </text>
    </comment>
    <comment ref="AO12" authorId="3" shapeId="0" xr:uid="{A1B51749-53C4-48CB-A791-6BBD8AE7CD96}">
      <text>
        <r>
          <rPr>
            <sz val="8"/>
            <color indexed="81"/>
            <rFont val="Tahoma"/>
            <family val="2"/>
          </rPr>
          <t>BM = BrickMould with nailfin
B&amp;T = Block &amp; Tackle Balance
White
Adhesive tape glazed top glass
R-Core in sash &amp; Kpr Rail</t>
        </r>
      </text>
    </comment>
    <comment ref="AP12" authorId="3" shapeId="0" xr:uid="{00000000-0006-0000-0100-000007000000}">
      <text>
        <r>
          <rPr>
            <sz val="8"/>
            <color indexed="81"/>
            <rFont val="Tahoma"/>
            <family val="2"/>
          </rPr>
          <t>BM = BrickMould with nailfin
B&amp;T = Block &amp; Tackle Balance
White
Compression Tape top glass</t>
        </r>
      </text>
    </comment>
    <comment ref="AQ12" authorId="3" shapeId="0" xr:uid="{00000000-0006-0000-0100-000008000000}">
      <text>
        <r>
          <rPr>
            <sz val="8"/>
            <color indexed="81"/>
            <rFont val="Tahoma"/>
            <family val="2"/>
          </rPr>
          <t>BM = BrickMould with nailfin
B&amp;T = Block &amp; Tackle Balance
White
Adhesive tape glazed top glass
4 9/16" Jamb Ext. Primed</t>
        </r>
      </text>
    </comment>
    <comment ref="AR12" authorId="3" shapeId="0" xr:uid="{00000000-0006-0000-0100-000009000000}">
      <text>
        <r>
          <rPr>
            <sz val="8"/>
            <color indexed="81"/>
            <rFont val="Tahoma"/>
            <family val="2"/>
          </rPr>
          <t>BEV = Beveled, nailfin with J-leg
B&amp;T = Block &amp; Tackle Balance
White
Compression Tape top glass</t>
        </r>
      </text>
    </comment>
    <comment ref="AS12" authorId="3" shapeId="0" xr:uid="{00000000-0006-0000-0100-00000A000000}">
      <text>
        <r>
          <rPr>
            <sz val="8"/>
            <color indexed="81"/>
            <rFont val="Tahoma"/>
            <family val="2"/>
          </rPr>
          <t>BEV = Beveled nailfin NO J-leg
B&amp;T = Block &amp; Tackle balance
White
Compression Tape top glass
4 9/16" Jamb Ext. Primed</t>
        </r>
      </text>
    </comment>
    <comment ref="AT12" authorId="3" shapeId="0" xr:uid="{00000000-0006-0000-0100-00000B000000}">
      <text>
        <r>
          <rPr>
            <sz val="8"/>
            <color indexed="81"/>
            <rFont val="Tahoma"/>
            <family val="2"/>
          </rPr>
          <t>BM = BrickMould with nailfin
B&amp;T = Block &amp; Tackle Balance
Bronze/White
Adhesive tape glazed top glass</t>
        </r>
      </text>
    </comment>
    <comment ref="AV12" authorId="4" shapeId="0" xr:uid="{00000000-0006-0000-0100-00000C000000}">
      <text>
        <r>
          <rPr>
            <sz val="9"/>
            <color indexed="81"/>
            <rFont val="Tahoma"/>
            <family val="2"/>
          </rPr>
          <t>This unit is Clay (not CL / WH)</t>
        </r>
      </text>
    </comment>
    <comment ref="AW12" authorId="3" shapeId="0" xr:uid="{85883BF7-2FD5-4D93-938E-C52E7782704F}">
      <text>
        <r>
          <rPr>
            <sz val="8"/>
            <color indexed="81"/>
            <rFont val="Tahoma"/>
            <family val="2"/>
          </rPr>
          <t>BEV = Beveled, nailfin with J-leg
Impact, Coil Balance, White</t>
        </r>
      </text>
    </comment>
    <comment ref="AX12" authorId="3" shapeId="0" xr:uid="{4CBFE34F-9283-4012-BD13-4CFD9B059C5F}">
      <text>
        <r>
          <rPr>
            <sz val="8"/>
            <color indexed="81"/>
            <rFont val="Tahoma"/>
            <family val="2"/>
          </rPr>
          <t>BM = BrickMould with nailfin
B&amp;T = Block &amp; Tackle Balance
Black Ext / Black Int Capstock
Adhesive tape glazed top glass</t>
        </r>
      </text>
    </comment>
    <comment ref="V13" authorId="5" shapeId="0" xr:uid="{83094FF1-B6B1-4F95-9495-868C671E9AB8}">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3" authorId="5" shapeId="0" xr:uid="{E89695B9-BA5B-4F6E-814B-660786C51B74}">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M16" authorId="0" shapeId="0" xr:uid="{00000000-0006-0000-0100-00000D000000}">
      <text>
        <r>
          <rPr>
            <sz val="9"/>
            <color indexed="81"/>
            <rFont val="Tahoma"/>
            <family val="2"/>
          </rPr>
          <t>109 in Subtotal syntax = sum to ignore hidden values</t>
        </r>
      </text>
    </comment>
    <comment ref="M18" authorId="2" shapeId="0" xr:uid="{00000000-0006-0000-0100-00000E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t>
        </r>
      </text>
    </comment>
    <comment ref="O40" authorId="3" shapeId="0" xr:uid="{00000000-0006-0000-0100-00000F000000}">
      <text>
        <r>
          <rPr>
            <b/>
            <sz val="8"/>
            <color indexed="81"/>
            <rFont val="Tahoma"/>
            <family val="2"/>
          </rPr>
          <t>ccampbell:</t>
        </r>
        <r>
          <rPr>
            <sz val="8"/>
            <color indexed="81"/>
            <rFont val="Tahoma"/>
            <family val="2"/>
          </rPr>
          <t xml:space="preserve">
Only welded on one end.</t>
        </r>
      </text>
    </comment>
    <comment ref="M59" authorId="2" shapeId="0" xr:uid="{00000000-0006-0000-0100-000010000000}">
      <text>
        <r>
          <rPr>
            <b/>
            <sz val="8"/>
            <color indexed="81"/>
            <rFont val="Tahoma"/>
            <family val="2"/>
          </rPr>
          <t>Colin Campbell:</t>
        </r>
        <r>
          <rPr>
            <sz val="8"/>
            <color indexed="81"/>
            <rFont val="Tahoma"/>
            <family val="2"/>
          </rPr>
          <t xml:space="preserve">
Updated 1/11/13 to match jamb raw length.</t>
        </r>
      </text>
    </comment>
    <comment ref="M104" authorId="2" shapeId="0" xr:uid="{00000000-0006-0000-0100-000011000000}">
      <text>
        <r>
          <rPr>
            <b/>
            <sz val="8"/>
            <color indexed="81"/>
            <rFont val="Tahoma"/>
            <family val="2"/>
          </rPr>
          <t>Colin Campbell:</t>
        </r>
        <r>
          <rPr>
            <sz val="8"/>
            <color indexed="81"/>
            <rFont val="Tahoma"/>
            <family val="2"/>
          </rPr>
          <t xml:space="preserve">
Updated 1/11/13 to match jamb raw length.</t>
        </r>
      </text>
    </comment>
    <comment ref="M129" authorId="6" shapeId="0" xr:uid="{00000000-0006-0000-0100-000012000000}">
      <text>
        <r>
          <rPr>
            <b/>
            <sz val="9"/>
            <color indexed="81"/>
            <rFont val="Tahoma"/>
            <family val="2"/>
          </rPr>
          <t>Gibbs, Sy:11/2/17</t>
        </r>
        <r>
          <rPr>
            <sz val="9"/>
            <color indexed="81"/>
            <rFont val="Tahoma"/>
            <family val="2"/>
          </rPr>
          <t xml:space="preserve">
Modified due to initial error in offset. </t>
        </r>
        <r>
          <rPr>
            <b/>
            <sz val="9"/>
            <color indexed="81"/>
            <rFont val="Tahoma"/>
            <family val="2"/>
          </rPr>
          <t>NOTE:</t>
        </r>
        <r>
          <rPr>
            <sz val="9"/>
            <color indexed="81"/>
            <rFont val="Tahoma"/>
            <family val="2"/>
          </rPr>
          <t xml:space="preserve"> this is not currently being used by BS, but is need for lineal optimization implementation.
Value was "3.5+1.375*2" (6.25).  Changed to "1.5*2" (3.000).  Confirmed by Ivon Darnell.</t>
        </r>
      </text>
    </comment>
    <comment ref="AI139" authorId="1" shapeId="0" xr:uid="{7F1B989D-AA7C-4564-9424-F8605A5418C6}">
      <text>
        <r>
          <rPr>
            <sz val="9"/>
            <color indexed="81"/>
            <rFont val="Tahoma"/>
            <family val="2"/>
          </rPr>
          <t>at LT</t>
        </r>
      </text>
    </comment>
    <comment ref="AI150" authorId="1" shapeId="0" xr:uid="{1F086BE8-BE83-4D68-A326-66D0886A158C}">
      <text>
        <r>
          <rPr>
            <sz val="9"/>
            <color indexed="81"/>
            <rFont val="Tahoma"/>
            <family val="2"/>
          </rPr>
          <t>at LT</t>
        </r>
      </text>
    </comment>
    <comment ref="M160" authorId="2" shapeId="0" xr:uid="{00000000-0006-0000-0100-000013000000}">
      <text>
        <r>
          <rPr>
            <b/>
            <sz val="8"/>
            <color indexed="81"/>
            <rFont val="Tahoma"/>
            <family val="2"/>
          </rPr>
          <t>Colin Campbell:</t>
        </r>
        <r>
          <rPr>
            <sz val="8"/>
            <color indexed="81"/>
            <rFont val="Tahoma"/>
            <family val="2"/>
          </rPr>
          <t xml:space="preserve">
Updated 1/11/13 to match jamb raw length.</t>
        </r>
      </text>
    </comment>
    <comment ref="M167" authorId="3" shapeId="0" xr:uid="{00000000-0006-0000-0100-000014000000}">
      <text>
        <r>
          <rPr>
            <b/>
            <sz val="8"/>
            <color indexed="81"/>
            <rFont val="Tahoma"/>
            <family val="2"/>
          </rPr>
          <t>ccampbell:</t>
        </r>
        <r>
          <rPr>
            <sz val="8"/>
            <color indexed="81"/>
            <rFont val="Tahoma"/>
            <family val="2"/>
          </rPr>
          <t xml:space="preserve">
Confirmed 1/11/13
Updated to match Classic on 1/16/13</t>
        </r>
      </text>
    </comment>
    <comment ref="M201" authorId="2" shapeId="0" xr:uid="{6D16FCB0-DEB5-494B-9559-967C912C16A7}">
      <text>
        <r>
          <rPr>
            <b/>
            <sz val="8"/>
            <color indexed="81"/>
            <rFont val="Tahoma"/>
            <family val="2"/>
          </rPr>
          <t>Colin Campbell:</t>
        </r>
        <r>
          <rPr>
            <sz val="8"/>
            <color indexed="81"/>
            <rFont val="Tahoma"/>
            <family val="2"/>
          </rPr>
          <t xml:space="preserve">
Updated 1/11/13 to match jamb raw length.</t>
        </r>
      </text>
    </comment>
    <comment ref="M207" authorId="2" shapeId="0" xr:uid="{69440B89-A38D-49A9-95FF-1738E2627714}">
      <text>
        <r>
          <rPr>
            <b/>
            <sz val="8"/>
            <color indexed="81"/>
            <rFont val="Tahoma"/>
            <family val="2"/>
          </rPr>
          <t>Colin Campbell:</t>
        </r>
        <r>
          <rPr>
            <sz val="8"/>
            <color indexed="81"/>
            <rFont val="Tahoma"/>
            <family val="2"/>
          </rPr>
          <t xml:space="preserve">
Updated 1/11/13 to match jamb raw length.</t>
        </r>
      </text>
    </comment>
    <comment ref="AM217" authorId="0" shapeId="0" xr:uid="{00000000-0006-0000-0100-000015000000}">
      <text>
        <r>
          <rPr>
            <sz val="9"/>
            <color indexed="81"/>
            <rFont val="Tahoma"/>
            <family val="2"/>
          </rPr>
          <t>109 in Subtotal syntax = sum to ignore hidden values</t>
        </r>
      </text>
    </comment>
    <comment ref="M219" authorId="2" shapeId="0" xr:uid="{00000000-0006-0000-0100-000016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M232" authorId="2" shapeId="0" xr:uid="{00000000-0006-0000-0100-000017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M243" authorId="2" shapeId="0" xr:uid="{00000000-0006-0000-0100-000018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AM364" authorId="0" shapeId="0" xr:uid="{00000000-0006-0000-0100-000019000000}">
      <text>
        <r>
          <rPr>
            <sz val="9"/>
            <color indexed="81"/>
            <rFont val="Tahoma"/>
            <family val="2"/>
          </rPr>
          <t>109 in Subtotal syntax = sum to ignore hidden values</t>
        </r>
      </text>
    </comment>
    <comment ref="AM365" authorId="0" shapeId="0" xr:uid="{00000000-0006-0000-0100-00001A000000}">
      <text>
        <r>
          <rPr>
            <sz val="9"/>
            <color indexed="81"/>
            <rFont val="Tahoma"/>
            <family val="2"/>
          </rPr>
          <t>109 in Subtotal syntax = sum to ignore hidden values</t>
        </r>
      </text>
    </comment>
    <comment ref="S369" authorId="3" shapeId="0" xr:uid="{00000000-0006-0000-0100-00001B000000}">
      <text>
        <r>
          <rPr>
            <b/>
            <sz val="8"/>
            <color indexed="81"/>
            <rFont val="Tahoma"/>
            <family val="2"/>
          </rPr>
          <t>ccampbell:</t>
        </r>
        <r>
          <rPr>
            <sz val="8"/>
            <color indexed="81"/>
            <rFont val="Tahoma"/>
            <family val="2"/>
          </rPr>
          <t xml:space="preserve">
Measure from Head end. Gets larger for Oriels, because punch moves down.</t>
        </r>
      </text>
    </comment>
    <comment ref="A371" authorId="3" shapeId="0" xr:uid="{00000000-0006-0000-0100-00001C000000}">
      <text>
        <r>
          <rPr>
            <b/>
            <sz val="8"/>
            <color indexed="81"/>
            <rFont val="Tahoma"/>
            <family val="2"/>
          </rPr>
          <t>ccampbell:</t>
        </r>
        <r>
          <rPr>
            <sz val="8"/>
            <color indexed="81"/>
            <rFont val="Tahoma"/>
            <family val="2"/>
          </rPr>
          <t xml:space="preserve">
May not be needed if the MR Anchor punch includes this tooling.</t>
        </r>
      </text>
    </comment>
    <comment ref="C375" authorId="7" shapeId="0" xr:uid="{00000000-0006-0000-0100-000021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S382" authorId="8" shapeId="0" xr:uid="{00000000-0006-0000-0100-000025000000}">
      <text>
        <r>
          <rPr>
            <b/>
            <sz val="9"/>
            <color indexed="81"/>
            <rFont val="Tahoma"/>
            <family val="2"/>
          </rPr>
          <t>Ronald Hall:</t>
        </r>
        <r>
          <rPr>
            <sz val="9"/>
            <color indexed="81"/>
            <rFont val="Tahoma"/>
            <family val="2"/>
          </rPr>
          <t xml:space="preserve">
7-8-13 Measured from sill end
</t>
        </r>
      </text>
    </comment>
    <comment ref="L384" authorId="4" shapeId="0" xr:uid="{00000000-0006-0000-0100-000026000000}">
      <text>
        <r>
          <rPr>
            <b/>
            <sz val="9"/>
            <color indexed="81"/>
            <rFont val="Tahoma"/>
            <family val="2"/>
          </rPr>
          <t>Strachan, Steve:</t>
        </r>
        <r>
          <rPr>
            <sz val="9"/>
            <color indexed="81"/>
            <rFont val="Tahoma"/>
            <family val="2"/>
          </rPr>
          <t xml:space="preserve">
Rev I Corrected formula typo for single and double lock units</t>
        </r>
      </text>
    </comment>
    <comment ref="S385" authorId="4" shapeId="0" xr:uid="{00000000-0006-0000-0100-000027000000}">
      <text>
        <r>
          <rPr>
            <b/>
            <sz val="9"/>
            <color indexed="81"/>
            <rFont val="Tahoma"/>
            <family val="2"/>
          </rPr>
          <t>Strachan, Steve:</t>
        </r>
        <r>
          <rPr>
            <sz val="9"/>
            <color indexed="81"/>
            <rFont val="Tahoma"/>
            <family val="2"/>
          </rPr>
          <t xml:space="preserve">
Rev I
 Shortened .093" for new keeper rail fab, and an additional .010" for ease of measurement.</t>
        </r>
      </text>
    </comment>
    <comment ref="M387" authorId="4" shapeId="0" xr:uid="{00000000-0006-0000-0100-000028000000}">
      <text>
        <r>
          <rPr>
            <b/>
            <sz val="9"/>
            <color indexed="81"/>
            <rFont val="Tahoma"/>
            <family val="2"/>
          </rPr>
          <t>Strachan, Steve:</t>
        </r>
        <r>
          <rPr>
            <sz val="9"/>
            <color indexed="81"/>
            <rFont val="Tahoma"/>
            <family val="2"/>
          </rPr>
          <t xml:space="preserve">
Rev I
Adjusted .093" for new keeper rail fab</t>
        </r>
      </text>
    </comment>
    <comment ref="M396" authorId="4" shapeId="0" xr:uid="{00000000-0006-0000-0100-000029000000}">
      <text>
        <r>
          <rPr>
            <b/>
            <sz val="9"/>
            <color indexed="81"/>
            <rFont val="Tahoma"/>
            <family val="2"/>
          </rPr>
          <t>Strachan, Steve:</t>
        </r>
        <r>
          <rPr>
            <sz val="9"/>
            <color indexed="81"/>
            <rFont val="Tahoma"/>
            <family val="2"/>
          </rPr>
          <t xml:space="preserve">
Rev I
Shortened .093" x2 for new keeper rail fab </t>
        </r>
      </text>
    </comment>
    <comment ref="AV399" authorId="1" shapeId="0" xr:uid="{E393AEDC-6770-4959-B1A5-6CCDBA1C980E}">
      <text>
        <r>
          <rPr>
            <sz val="9"/>
            <color indexed="81"/>
            <rFont val="Tahoma"/>
            <family val="2"/>
          </rPr>
          <t>Clay</t>
        </r>
      </text>
    </comment>
    <comment ref="AT400" authorId="1" shapeId="0" xr:uid="{9AC4D7B4-C261-4F71-BD72-10871CC02779}">
      <text>
        <r>
          <rPr>
            <sz val="9"/>
            <color indexed="81"/>
            <rFont val="Tahoma"/>
            <family val="2"/>
          </rPr>
          <t>Bronze</t>
        </r>
      </text>
    </comment>
    <comment ref="M409" authorId="3" shapeId="0" xr:uid="{00000000-0006-0000-0100-00002B000000}">
      <text>
        <r>
          <rPr>
            <b/>
            <sz val="8"/>
            <color indexed="81"/>
            <rFont val="Tahoma"/>
            <family val="2"/>
          </rPr>
          <t>ccampbell:</t>
        </r>
        <r>
          <rPr>
            <sz val="8"/>
            <color indexed="81"/>
            <rFont val="Tahoma"/>
            <family val="2"/>
          </rPr>
          <t xml:space="preserve">
updated 3/16
R. Hall Updated per The floors request to match build 2-21-14</t>
        </r>
      </text>
    </comment>
    <comment ref="AV412" authorId="1" shapeId="0" xr:uid="{F513F9B3-CB10-4EA9-9121-F20A94BE9F8B}">
      <text>
        <r>
          <rPr>
            <sz val="9"/>
            <color indexed="81"/>
            <rFont val="Tahoma"/>
            <family val="2"/>
          </rPr>
          <t>Clay</t>
        </r>
      </text>
    </comment>
    <comment ref="M427" authorId="3" shapeId="0" xr:uid="{00000000-0006-0000-0100-00002A000000}">
      <text>
        <r>
          <rPr>
            <b/>
            <sz val="8"/>
            <color indexed="81"/>
            <rFont val="Tahoma"/>
            <family val="2"/>
          </rPr>
          <t>ccampbell:</t>
        </r>
        <r>
          <rPr>
            <sz val="8"/>
            <color indexed="81"/>
            <rFont val="Tahoma"/>
            <family val="2"/>
          </rPr>
          <t xml:space="preserve">
updated 3/16
R Hall Updated on 12-13
R. Hall Updated per The floors request to match build 2-21-14</t>
        </r>
      </text>
    </comment>
    <comment ref="AV430" authorId="1" shapeId="0" xr:uid="{AAD97AD9-3B0A-47E0-BEF9-5E1CF514B1B2}">
      <text>
        <r>
          <rPr>
            <sz val="9"/>
            <color indexed="81"/>
            <rFont val="Tahoma"/>
            <family val="2"/>
          </rPr>
          <t>Clay</t>
        </r>
      </text>
    </comment>
    <comment ref="AV448" authorId="1" shapeId="0" xr:uid="{1A2B5448-DA04-41FE-AF5B-9FB2C8735AE8}">
      <text>
        <r>
          <rPr>
            <sz val="9"/>
            <color indexed="81"/>
            <rFont val="Tahoma"/>
            <family val="2"/>
          </rPr>
          <t>Clay</t>
        </r>
      </text>
    </comment>
    <comment ref="AT449" authorId="1" shapeId="0" xr:uid="{7EC54A7E-4835-4227-A746-FE606CD24DB2}">
      <text>
        <r>
          <rPr>
            <sz val="9"/>
            <color indexed="81"/>
            <rFont val="Tahoma"/>
            <family val="2"/>
          </rPr>
          <t>Bronze</t>
        </r>
      </text>
    </comment>
    <comment ref="AM460" authorId="0" shapeId="0" xr:uid="{00000000-0006-0000-0100-00002C000000}">
      <text>
        <r>
          <rPr>
            <sz val="9"/>
            <color indexed="81"/>
            <rFont val="Tahoma"/>
            <family val="2"/>
          </rPr>
          <t>109 in Subtotal syntax = sum to ignore hidden values</t>
        </r>
      </text>
    </comment>
    <comment ref="Q466" authorId="3" shapeId="0" xr:uid="{00000000-0006-0000-0100-00002D000000}">
      <text>
        <r>
          <rPr>
            <b/>
            <sz val="8"/>
            <color indexed="81"/>
            <rFont val="Tahoma"/>
            <family val="2"/>
          </rPr>
          <t>ccampbell:</t>
        </r>
        <r>
          <rPr>
            <sz val="8"/>
            <color indexed="81"/>
            <rFont val="Tahoma"/>
            <family val="2"/>
          </rPr>
          <t xml:space="preserve">
For manufacturing to have a simpler schedule printout.</t>
        </r>
      </text>
    </comment>
    <comment ref="AM486" authorId="0" shapeId="0" xr:uid="{00000000-0006-0000-0100-00002E000000}">
      <text>
        <r>
          <rPr>
            <sz val="9"/>
            <color indexed="81"/>
            <rFont val="Tahoma"/>
            <family val="2"/>
          </rPr>
          <t>109 in Subtotal syntax = sum to ignore hidden values</t>
        </r>
      </text>
    </comment>
    <comment ref="M487" authorId="3" shapeId="0" xr:uid="{00000000-0006-0000-0100-00002F000000}">
      <text>
        <r>
          <rPr>
            <b/>
            <sz val="8"/>
            <color indexed="81"/>
            <rFont val="Tahoma"/>
            <family val="2"/>
          </rPr>
          <t>ccampbell:</t>
        </r>
        <r>
          <rPr>
            <sz val="8"/>
            <color indexed="81"/>
            <rFont val="Tahoma"/>
            <family val="2"/>
          </rPr>
          <t xml:space="preserve">
Approximations needed for costing only.</t>
        </r>
      </text>
    </comment>
    <comment ref="AM492" authorId="0" shapeId="0" xr:uid="{00000000-0006-0000-0100-000030000000}">
      <text>
        <r>
          <rPr>
            <sz val="9"/>
            <color indexed="81"/>
            <rFont val="Tahoma"/>
            <family val="2"/>
          </rPr>
          <t>109 in Subtotal syntax = sum to ignore hidden values</t>
        </r>
      </text>
    </comment>
    <comment ref="Y523" authorId="1" shapeId="0" xr:uid="{C493CB01-D459-483C-9D45-994872EE935A}">
      <text>
        <r>
          <rPr>
            <sz val="9"/>
            <color indexed="81"/>
            <rFont val="Tahoma"/>
            <family val="2"/>
          </rPr>
          <t>was set to 006 White instead of 003</t>
        </r>
      </text>
    </comment>
    <comment ref="Y524" authorId="1" shapeId="0" xr:uid="{9F14C303-B7F6-4DB8-B55D-545D34A3A93D}">
      <text>
        <r>
          <rPr>
            <sz val="9"/>
            <color indexed="81"/>
            <rFont val="Tahoma"/>
            <family val="2"/>
          </rPr>
          <t>42 0034 031 is Obsolete</t>
        </r>
      </text>
    </comment>
    <comment ref="Y525" authorId="1" shapeId="0" xr:uid="{53888091-D683-43F1-A367-9C7594F4901A}">
      <text>
        <r>
          <rPr>
            <sz val="9"/>
            <color indexed="81"/>
            <rFont val="Tahoma"/>
            <family val="2"/>
          </rPr>
          <t xml:space="preserve">034 color is not to be used anymore. This should be 033 clay. Need to work with vendor and inventory to make this change. </t>
        </r>
      </text>
    </comment>
    <comment ref="Y536" authorId="1" shapeId="0" xr:uid="{A1A3FD48-9DBA-4AE8-92E9-5B9933AA7471}">
      <text>
        <r>
          <rPr>
            <sz val="9"/>
            <color indexed="81"/>
            <rFont val="Tahoma"/>
            <family val="2"/>
          </rPr>
          <t>031 is used in PTC</t>
        </r>
      </text>
    </comment>
    <comment ref="AM544" authorId="0" shapeId="0" xr:uid="{00000000-0006-0000-0100-000031000000}">
      <text>
        <r>
          <rPr>
            <sz val="9"/>
            <color indexed="81"/>
            <rFont val="Tahoma"/>
            <family val="2"/>
          </rPr>
          <t>109 in Subtotal syntax = sum to ignore hidden values</t>
        </r>
      </text>
    </comment>
    <comment ref="S547" authorId="1" shapeId="0" xr:uid="{524C6600-5E2D-4585-BF10-5348FDEFE8A7}">
      <text>
        <r>
          <rPr>
            <sz val="9"/>
            <color indexed="81"/>
            <rFont val="Tahoma"/>
            <family val="2"/>
          </rPr>
          <t>add steel lbs for Lock Rail and Stiles</t>
        </r>
      </text>
    </comment>
    <comment ref="S548" authorId="1" shapeId="0" xr:uid="{25099A9D-20C8-4991-87C5-1C0A9ABBD710}">
      <text>
        <r>
          <rPr>
            <sz val="9"/>
            <color indexed="81"/>
            <rFont val="Tahoma"/>
            <family val="2"/>
          </rPr>
          <t>SHSashWeight</t>
        </r>
      </text>
    </comment>
    <comment ref="T549" authorId="1" shapeId="0" xr:uid="{75C714AD-33B1-499A-85CC-8976D3FB2A1F}">
      <text>
        <r>
          <rPr>
            <sz val="9"/>
            <color indexed="81"/>
            <rFont val="Tahoma"/>
            <family val="2"/>
          </rPr>
          <t>SHBTAdjSashWeight - used to calculate B&amp;T balance needed</t>
        </r>
      </text>
    </comment>
    <comment ref="S552" authorId="1" shapeId="0" xr:uid="{FB969924-60EE-4691-A661-9F9B621834F0}">
      <text>
        <r>
          <rPr>
            <sz val="9"/>
            <color indexed="81"/>
            <rFont val="Tahoma"/>
            <family val="2"/>
          </rPr>
          <t>SHCoilAdjSashWeight - used to calculate Coil balance needed.</t>
        </r>
      </text>
    </comment>
    <comment ref="S558" authorId="7" shapeId="0" xr:uid="{00000000-0006-0000-0100-000032000000}">
      <text>
        <r>
          <rPr>
            <b/>
            <sz val="9"/>
            <color indexed="81"/>
            <rFont val="Tahoma"/>
            <family val="2"/>
          </rPr>
          <t>CCampbell:</t>
        </r>
        <r>
          <rPr>
            <sz val="9"/>
            <color indexed="81"/>
            <rFont val="Tahoma"/>
            <family val="2"/>
          </rPr>
          <t xml:space="preserve">
Updated all ##A balances in the table to start at 0.0 so that light sashes would still list ##A balances on the schedule, rather than forcing the use of coils.</t>
        </r>
      </text>
    </comment>
    <comment ref="AM779" authorId="0" shapeId="0" xr:uid="{00000000-0006-0000-0100-000033000000}">
      <text>
        <r>
          <rPr>
            <sz val="9"/>
            <color indexed="81"/>
            <rFont val="Tahoma"/>
            <family val="2"/>
          </rPr>
          <t>109 in Subtotal syntax = sum to ignore hidden values</t>
        </r>
      </text>
    </comment>
    <comment ref="Y781" authorId="0" shapeId="0" xr:uid="{F41E4A39-3C50-41B1-9C48-FEFC1EC18F1F}">
      <text>
        <r>
          <rPr>
            <sz val="9"/>
            <color indexed="81"/>
            <rFont val="Tahoma"/>
            <family val="2"/>
          </rPr>
          <t xml:space="preserve">Dow Corning 1199
</t>
        </r>
        <r>
          <rPr>
            <u/>
            <sz val="9"/>
            <color indexed="81"/>
            <rFont val="Tahoma"/>
            <family val="2"/>
          </rPr>
          <t>OR</t>
        </r>
        <r>
          <rPr>
            <sz val="9"/>
            <color indexed="81"/>
            <rFont val="Tahoma"/>
            <family val="2"/>
          </rPr>
          <t xml:space="preserve"> Pecora 896
</t>
        </r>
        <r>
          <rPr>
            <u/>
            <sz val="9"/>
            <color indexed="81"/>
            <rFont val="Tahoma"/>
            <family val="2"/>
          </rPr>
          <t>OR</t>
        </r>
        <r>
          <rPr>
            <sz val="9"/>
            <color indexed="81"/>
            <rFont val="Tahoma"/>
            <family val="2"/>
          </rPr>
          <t xml:space="preserve"> Schnee-Morehead 5731</t>
        </r>
      </text>
    </comment>
    <comment ref="G784" authorId="0" shapeId="0" xr:uid="{00000000-0006-0000-0100-000035000000}">
      <text>
        <r>
          <rPr>
            <sz val="9"/>
            <color indexed="81"/>
            <rFont val="Tahoma"/>
            <family val="2"/>
          </rPr>
          <t>EJAGVN103 Impact 1/4" dia. Bead = 392 ft / gallon</t>
        </r>
      </text>
    </comment>
    <comment ref="Y784" authorId="0" shapeId="0" xr:uid="{00000000-0006-0000-0100-000036000000}">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E786" authorId="0" shapeId="0" xr:uid="{00000000-0006-0000-0100-000037000000}">
      <text>
        <r>
          <rPr>
            <sz val="9"/>
            <color indexed="81"/>
            <rFont val="Tahoma"/>
            <family val="2"/>
          </rPr>
          <t>1 tube/10.3 oz x 128 oz/1 gallon</t>
        </r>
      </text>
    </comment>
    <comment ref="S795" authorId="1" shapeId="0" xr:uid="{45C8D223-17AE-4003-9333-1025D0251B46}">
      <text>
        <r>
          <rPr>
            <sz val="9"/>
            <color indexed="81"/>
            <rFont val="Tahoma"/>
            <family val="2"/>
          </rPr>
          <t>SHSashW</t>
        </r>
      </text>
    </comment>
    <comment ref="P796" authorId="1" shapeId="0" xr:uid="{3AD16F6E-42A3-4B50-BFE6-2BDDB082934C}">
      <text>
        <r>
          <rPr>
            <sz val="9"/>
            <color indexed="81"/>
            <rFont val="Tahoma"/>
            <family val="2"/>
          </rPr>
          <t>SH Cottage/Oriel Offset</t>
        </r>
      </text>
    </comment>
    <comment ref="S796" authorId="1" shapeId="0" xr:uid="{5A34D86F-7552-4E27-8E40-FA2198CC363B}">
      <text>
        <r>
          <rPr>
            <sz val="9"/>
            <color indexed="81"/>
            <rFont val="Tahoma"/>
            <family val="2"/>
          </rPr>
          <t>SHSashH</t>
        </r>
      </text>
    </comment>
    <comment ref="AM797" authorId="0" shapeId="0" xr:uid="{00000000-0006-0000-0100-00003B000000}">
      <text>
        <r>
          <rPr>
            <sz val="9"/>
            <color indexed="81"/>
            <rFont val="Tahoma"/>
            <family val="2"/>
          </rPr>
          <t>109 in Subtotal syntax = sum to ignore hidden values</t>
        </r>
      </text>
    </comment>
    <comment ref="AV814" authorId="1" shapeId="0" xr:uid="{8CC61103-8C8E-4A86-9A35-3FCA8E686752}">
      <text>
        <r>
          <rPr>
            <sz val="9"/>
            <color indexed="81"/>
            <rFont val="Tahoma"/>
            <family val="2"/>
          </rPr>
          <t>Clay</t>
        </r>
      </text>
    </comment>
    <comment ref="AT815" authorId="1" shapeId="0" xr:uid="{474769E1-692F-47C0-A67F-1156C66D862F}">
      <text>
        <r>
          <rPr>
            <sz val="9"/>
            <color indexed="81"/>
            <rFont val="Tahoma"/>
            <family val="2"/>
          </rPr>
          <t>Bronze</t>
        </r>
      </text>
    </comment>
    <comment ref="AV836" authorId="1" shapeId="0" xr:uid="{AE945D28-9929-4016-89CB-13839021EB97}">
      <text>
        <r>
          <rPr>
            <sz val="9"/>
            <color indexed="81"/>
            <rFont val="Tahoma"/>
            <family val="2"/>
          </rPr>
          <t>Clay</t>
        </r>
      </text>
    </comment>
    <comment ref="AT837" authorId="1" shapeId="0" xr:uid="{CF0EB867-380A-4F65-A48A-3B409898BB4A}">
      <text>
        <r>
          <rPr>
            <sz val="9"/>
            <color indexed="81"/>
            <rFont val="Tahoma"/>
            <family val="2"/>
          </rPr>
          <t>Bronze</t>
        </r>
      </text>
    </comment>
    <comment ref="M843" authorId="2" shapeId="0" xr:uid="{00000000-0006-0000-0100-00003C000000}">
      <text>
        <r>
          <rPr>
            <b/>
            <sz val="8"/>
            <color indexed="81"/>
            <rFont val="Tahoma"/>
            <family val="2"/>
          </rPr>
          <t>C Campbell:</t>
        </r>
        <r>
          <rPr>
            <sz val="8"/>
            <color indexed="81"/>
            <rFont val="Tahoma"/>
            <family val="2"/>
          </rPr>
          <t xml:space="preserve">
Confirmed 7/23/12
Updated 8/23/12 - corrected error where weld was counted twice.</t>
        </r>
      </text>
    </comment>
    <comment ref="AV855" authorId="1" shapeId="0" xr:uid="{F95AB911-1168-40CF-BC4F-A4B1CB6B8013}">
      <text>
        <r>
          <rPr>
            <sz val="9"/>
            <color indexed="81"/>
            <rFont val="Tahoma"/>
            <family val="2"/>
          </rPr>
          <t>Clay</t>
        </r>
      </text>
    </comment>
    <comment ref="AT856" authorId="1" shapeId="0" xr:uid="{2B102F93-51F1-4A44-AEA4-DA835B6185D6}">
      <text>
        <r>
          <rPr>
            <sz val="9"/>
            <color indexed="81"/>
            <rFont val="Tahoma"/>
            <family val="2"/>
          </rPr>
          <t>Bronze</t>
        </r>
      </text>
    </comment>
    <comment ref="AV864" authorId="1" shapeId="0" xr:uid="{2060385A-E1F6-4C18-BC22-AB4AD263641A}">
      <text>
        <r>
          <rPr>
            <sz val="9"/>
            <color indexed="81"/>
            <rFont val="Tahoma"/>
            <family val="2"/>
          </rPr>
          <t>Clay</t>
        </r>
      </text>
    </comment>
    <comment ref="AT865" authorId="1" shapeId="0" xr:uid="{CBE58628-FDC6-44CD-916E-C4D089E4749F}">
      <text>
        <r>
          <rPr>
            <sz val="9"/>
            <color indexed="81"/>
            <rFont val="Tahoma"/>
            <family val="2"/>
          </rPr>
          <t>Bronze</t>
        </r>
      </text>
    </comment>
    <comment ref="M866" authorId="8" shapeId="0" xr:uid="{00000000-0006-0000-0100-00003E000000}">
      <text>
        <r>
          <rPr>
            <sz val="9"/>
            <color indexed="81"/>
            <rFont val="Tahoma"/>
            <family val="2"/>
          </rPr>
          <t>R. Hall updated per Mfg request to match build 2-21-14</t>
        </r>
      </text>
    </comment>
    <comment ref="AV869" authorId="1" shapeId="0" xr:uid="{4D6CBC25-E5F2-4604-972D-E0D81957621E}">
      <text>
        <r>
          <rPr>
            <sz val="9"/>
            <color indexed="81"/>
            <rFont val="Tahoma"/>
            <family val="2"/>
          </rPr>
          <t>Clay</t>
        </r>
      </text>
    </comment>
    <comment ref="AT870" authorId="1" shapeId="0" xr:uid="{E9F06657-6A9D-4339-8329-16FBBA79A0BE}">
      <text>
        <r>
          <rPr>
            <sz val="9"/>
            <color indexed="81"/>
            <rFont val="Tahoma"/>
            <family val="2"/>
          </rPr>
          <t>Bronze</t>
        </r>
      </text>
    </comment>
    <comment ref="M887" authorId="8" shapeId="0" xr:uid="{00000000-0006-0000-0100-00003D000000}">
      <text>
        <r>
          <rPr>
            <b/>
            <sz val="9"/>
            <color indexed="81"/>
            <rFont val="Tahoma"/>
            <family val="2"/>
          </rPr>
          <t>Ronald Hall:</t>
        </r>
        <r>
          <rPr>
            <sz val="9"/>
            <color indexed="81"/>
            <rFont val="Tahoma"/>
            <family val="2"/>
          </rPr>
          <t xml:space="preserve">
R. Hall Updated per The floors request to match build 2-21-14 </t>
        </r>
      </text>
    </comment>
    <comment ref="AV890" authorId="1" shapeId="0" xr:uid="{5521A807-9C39-44C1-8CBE-A50D3F10553D}">
      <text>
        <r>
          <rPr>
            <sz val="9"/>
            <color indexed="81"/>
            <rFont val="Tahoma"/>
            <family val="2"/>
          </rPr>
          <t>Clay</t>
        </r>
      </text>
    </comment>
    <comment ref="AT891" authorId="1" shapeId="0" xr:uid="{A605A984-A3D4-4D32-AB9F-D4A5FD52E32D}">
      <text>
        <r>
          <rPr>
            <sz val="9"/>
            <color indexed="81"/>
            <rFont val="Tahoma"/>
            <family val="2"/>
          </rPr>
          <t>Bronze</t>
        </r>
      </text>
    </comment>
    <comment ref="AM908" authorId="0" shapeId="0" xr:uid="{00000000-0006-0000-0100-00003F000000}">
      <text>
        <r>
          <rPr>
            <sz val="9"/>
            <color indexed="81"/>
            <rFont val="Tahoma"/>
            <family val="2"/>
          </rPr>
          <t>109 in Subtotal syntax = sum to ignore hidden values</t>
        </r>
      </text>
    </comment>
    <comment ref="W913" authorId="3" shapeId="0" xr:uid="{00000000-0006-0000-0100-000040000000}">
      <text>
        <r>
          <rPr>
            <sz val="8"/>
            <color indexed="10"/>
            <rFont val="Tahoma"/>
            <family val="2"/>
          </rPr>
          <t>DO NOT DELETE</t>
        </r>
        <r>
          <rPr>
            <sz val="8"/>
            <color indexed="81"/>
            <rFont val="Tahoma"/>
            <family val="2"/>
          </rPr>
          <t xml:space="preserve"> - used by Balance Calculator = weight of part in lbs</t>
        </r>
      </text>
    </comment>
    <comment ref="W926" authorId="3" shapeId="0" xr:uid="{00000000-0006-0000-0100-000041000000}">
      <text>
        <r>
          <rPr>
            <sz val="8"/>
            <color indexed="10"/>
            <rFont val="Tahoma"/>
            <family val="2"/>
          </rPr>
          <t>DO NOT DELETE</t>
        </r>
        <r>
          <rPr>
            <sz val="8"/>
            <color indexed="81"/>
            <rFont val="Tahoma"/>
            <family val="2"/>
          </rPr>
          <t xml:space="preserve"> - used by Balance Calculator = weight of two parts in lbs</t>
        </r>
      </text>
    </comment>
    <comment ref="AM949" authorId="0" shapeId="0" xr:uid="{00000000-0006-0000-0100-000042000000}">
      <text>
        <r>
          <rPr>
            <sz val="9"/>
            <color indexed="81"/>
            <rFont val="Tahoma"/>
            <family val="2"/>
          </rPr>
          <t>109 in Subtotal syntax = sum to ignore hidden values</t>
        </r>
      </text>
    </comment>
    <comment ref="M950" authorId="3" shapeId="0" xr:uid="{00000000-0006-0000-0100-000043000000}">
      <text>
        <r>
          <rPr>
            <b/>
            <sz val="8"/>
            <color indexed="81"/>
            <rFont val="Tahoma"/>
            <family val="2"/>
          </rPr>
          <t>ccampbell:</t>
        </r>
        <r>
          <rPr>
            <sz val="8"/>
            <color indexed="81"/>
            <rFont val="Tahoma"/>
            <family val="2"/>
          </rPr>
          <t xml:space="preserve">
Approximations.  Only needed for costing.</t>
        </r>
      </text>
    </comment>
    <comment ref="AM956" authorId="0" shapeId="0" xr:uid="{00000000-0006-0000-0100-000044000000}">
      <text>
        <r>
          <rPr>
            <sz val="9"/>
            <color indexed="81"/>
            <rFont val="Tahoma"/>
            <family val="2"/>
          </rPr>
          <t>109 in Subtotal syntax = sum to ignore hidden values</t>
        </r>
      </text>
    </comment>
    <comment ref="B974" authorId="7" shapeId="0" xr:uid="{00000000-0006-0000-0100-000045000000}">
      <text>
        <r>
          <rPr>
            <sz val="9"/>
            <color indexed="81"/>
            <rFont val="Tahoma"/>
            <family val="2"/>
          </rPr>
          <t>Same as C2K's 420109, but 003 colors are not the same.</t>
        </r>
      </text>
    </comment>
    <comment ref="AV978" authorId="1" shapeId="0" xr:uid="{62799C90-55D3-43AF-B64D-DE689B61F964}">
      <text>
        <r>
          <rPr>
            <sz val="9"/>
            <color indexed="81"/>
            <rFont val="Tahoma"/>
            <family val="2"/>
          </rPr>
          <t>Clay</t>
        </r>
      </text>
    </comment>
    <comment ref="C980" authorId="9" shapeId="0" xr:uid="{00000000-0006-0000-0100-000046000000}">
      <text>
        <r>
          <rPr>
            <sz val="9"/>
            <color indexed="81"/>
            <rFont val="Tahoma"/>
            <family val="2"/>
          </rPr>
          <t>Same as C2K's 440018, but 003 colors are not the same.</t>
        </r>
        <r>
          <rPr>
            <sz val="8"/>
            <color indexed="81"/>
            <rFont val="Tahoma"/>
            <family val="2"/>
          </rPr>
          <t xml:space="preserve">
</t>
        </r>
      </text>
    </comment>
    <comment ref="AV983" authorId="1" shapeId="0" xr:uid="{E0FA8640-4E4D-4974-A783-CEA89A103A1E}">
      <text>
        <r>
          <rPr>
            <sz val="9"/>
            <color indexed="81"/>
            <rFont val="Tahoma"/>
            <family val="2"/>
          </rPr>
          <t>Clay</t>
        </r>
      </text>
    </comment>
    <comment ref="AV989" authorId="1" shapeId="0" xr:uid="{2F18CB18-D1C6-4D7C-8131-5652191C6D8E}">
      <text>
        <r>
          <rPr>
            <sz val="9"/>
            <color indexed="81"/>
            <rFont val="Tahoma"/>
            <family val="2"/>
          </rPr>
          <t>Clay</t>
        </r>
      </text>
    </comment>
    <comment ref="AV999" authorId="1" shapeId="0" xr:uid="{9820305A-CE68-4B48-BD30-AE2A3BC8FBE2}">
      <text>
        <r>
          <rPr>
            <sz val="9"/>
            <color indexed="81"/>
            <rFont val="Tahoma"/>
            <family val="2"/>
          </rPr>
          <t>Clay</t>
        </r>
      </text>
    </comment>
    <comment ref="AM1023" authorId="0" shapeId="0" xr:uid="{00000000-0006-0000-0100-000047000000}">
      <text>
        <r>
          <rPr>
            <sz val="9"/>
            <color indexed="81"/>
            <rFont val="Tahoma"/>
            <family val="2"/>
          </rPr>
          <t>109 in Subtotal syntax = sum to ignore hidden values</t>
        </r>
      </text>
    </comment>
    <comment ref="G1024" authorId="0" shapeId="0" xr:uid="{00000000-0006-0000-0100-000048000000}">
      <text>
        <r>
          <rPr>
            <sz val="9"/>
            <color indexed="81"/>
            <rFont val="Tahoma"/>
            <family val="2"/>
          </rPr>
          <t>5/32" dia. Bead = 1,010 ft / gallon</t>
        </r>
      </text>
    </comment>
    <comment ref="Y1024" authorId="0" shapeId="0" xr:uid="{00000000-0006-0000-0100-000049000000}">
      <text>
        <r>
          <rPr>
            <sz val="9"/>
            <color indexed="81"/>
            <rFont val="Tahoma"/>
            <family val="2"/>
          </rPr>
          <t>Dow Corning 1199
OR Pecora 896
OR Schnee-Morehead 5731</t>
        </r>
      </text>
    </comment>
    <comment ref="Y1025" authorId="0" shapeId="0" xr:uid="{00000000-0006-0000-0100-00004A000000}">
      <text>
        <r>
          <rPr>
            <sz val="9"/>
            <color indexed="81"/>
            <rFont val="Tahoma"/>
            <family val="2"/>
          </rPr>
          <t>Dow Corning 1199
OR Pecora 896
OR Schnee-Morehead 5731</t>
        </r>
      </text>
    </comment>
    <comment ref="G1026" authorId="0" shapeId="0" xr:uid="{00000000-0006-0000-0100-00004B000000}">
      <text>
        <r>
          <rPr>
            <sz val="9"/>
            <color indexed="81"/>
            <rFont val="Tahoma"/>
            <family val="2"/>
          </rPr>
          <t>EJAGVN103 Impact 1/4" dia. Bead = 392 ft / gallon</t>
        </r>
      </text>
    </comment>
    <comment ref="Y1026" authorId="0" shapeId="0" xr:uid="{00000000-0006-0000-0100-00004C000000}">
      <text>
        <r>
          <rPr>
            <sz val="9"/>
            <color indexed="81"/>
            <rFont val="Tahoma"/>
            <family val="2"/>
          </rPr>
          <t>Henkel 1219461
OR Nat'l Starch 91-351A</t>
        </r>
      </text>
    </comment>
    <comment ref="AE1028" authorId="0" shapeId="0" xr:uid="{00000000-0006-0000-0100-00004D000000}">
      <text>
        <r>
          <rPr>
            <sz val="9"/>
            <color indexed="81"/>
            <rFont val="Tahoma"/>
            <family val="2"/>
          </rPr>
          <t>1 tube/10.3 oz x 128 oz/1 gallon</t>
        </r>
      </text>
    </comment>
    <comment ref="AE1033" authorId="0" shapeId="0" xr:uid="{00000000-0006-0000-0100-00004F000000}">
      <text>
        <r>
          <rPr>
            <sz val="9"/>
            <color indexed="81"/>
            <rFont val="Tahoma"/>
            <family val="2"/>
          </rPr>
          <t>Always 1 per stile</t>
        </r>
      </text>
    </comment>
    <comment ref="AE1035" authorId="0" shapeId="0" xr:uid="{00000000-0006-0000-0100-000050000000}">
      <text>
        <r>
          <rPr>
            <sz val="9"/>
            <color indexed="81"/>
            <rFont val="Tahoma"/>
            <family val="2"/>
          </rPr>
          <t>Always 2 per Lift Rail</t>
        </r>
      </text>
    </comment>
    <comment ref="AV1039" authorId="1" shapeId="0" xr:uid="{6CA93512-975F-4103-89B6-E08A086239D1}">
      <text>
        <r>
          <rPr>
            <sz val="9"/>
            <color indexed="81"/>
            <rFont val="Tahoma"/>
            <family val="2"/>
          </rPr>
          <t>Clay</t>
        </r>
      </text>
    </comment>
    <comment ref="AT1040" authorId="1" shapeId="0" xr:uid="{657037A3-09BC-42BA-8D24-454B30E98034}">
      <text>
        <r>
          <rPr>
            <sz val="9"/>
            <color indexed="81"/>
            <rFont val="Tahoma"/>
            <family val="2"/>
          </rPr>
          <t>Bronze</t>
        </r>
      </text>
    </comment>
    <comment ref="AQ1068" authorId="1" shapeId="0" xr:uid="{BBD129A8-EA65-49C7-919B-278B54E15B07}">
      <text>
        <r>
          <rPr>
            <sz val="9"/>
            <color indexed="81"/>
            <rFont val="Tahoma"/>
            <family val="2"/>
          </rPr>
          <t>BM JE Primed 4-9/16"</t>
        </r>
      </text>
    </comment>
    <comment ref="AS1104" authorId="1" shapeId="0" xr:uid="{46F52BD6-FD32-4E70-B7C8-FBCC450A9AF2}">
      <text>
        <r>
          <rPr>
            <sz val="9"/>
            <color indexed="81"/>
            <rFont val="Tahoma"/>
            <family val="2"/>
          </rPr>
          <t>Bev JE Primed 4-9/16"</t>
        </r>
      </text>
    </comment>
    <comment ref="AM1132" authorId="0" shapeId="0" xr:uid="{00000000-0006-0000-0100-000051000000}">
      <text>
        <r>
          <rPr>
            <sz val="9"/>
            <color indexed="81"/>
            <rFont val="Tahoma"/>
            <family val="2"/>
          </rPr>
          <t>109 in Subtotal syntax = sum to ignore hidden values</t>
        </r>
      </text>
    </comment>
    <comment ref="AM1141" authorId="0" shapeId="0" xr:uid="{00000000-0006-0000-0100-000052000000}">
      <text>
        <r>
          <rPr>
            <sz val="9"/>
            <color indexed="81"/>
            <rFont val="Tahoma"/>
            <family val="2"/>
          </rPr>
          <t>109 in Subtotal syntax = sum to ignore hidden values</t>
        </r>
      </text>
    </comment>
    <comment ref="AD1144" authorId="0" shapeId="0" xr:uid="{00000000-0006-0000-0100-000053000000}">
      <text>
        <r>
          <rPr>
            <sz val="9"/>
            <color indexed="81"/>
            <rFont val="Tahoma"/>
            <family val="2"/>
          </rPr>
          <t>Strip has 12 blocks, each boot uses 2 blocks, so 2 boots = 4 blocks</t>
        </r>
      </text>
    </comment>
    <comment ref="AE1144" authorId="0" shapeId="0" xr:uid="{00000000-0006-0000-0100-000054000000}">
      <text>
        <r>
          <rPr>
            <sz val="9"/>
            <color indexed="81"/>
            <rFont val="Tahoma"/>
            <family val="2"/>
          </rPr>
          <t>.333 = 4/12</t>
        </r>
      </text>
    </comment>
    <comment ref="O1148" authorId="0" shapeId="0" xr:uid="{63DBB6AC-1F4A-431B-B358-4DD1CA215EEB}">
      <text>
        <r>
          <rPr>
            <sz val="9"/>
            <color indexed="81"/>
            <rFont val="Tahoma"/>
            <family val="2"/>
          </rPr>
          <t>Always 3 revs at head and 3 revs at sill</t>
        </r>
      </text>
    </comment>
    <comment ref="O1153" authorId="0" shapeId="0" xr:uid="{00000000-0006-0000-0100-000059000000}">
      <text>
        <r>
          <rPr>
            <sz val="9"/>
            <color indexed="81"/>
            <rFont val="Tahoma"/>
            <family val="2"/>
          </rPr>
          <t>Always 2 revs at head and 2 revs at sill</t>
        </r>
      </text>
    </comment>
    <comment ref="O1163" authorId="0" shapeId="0" xr:uid="{00000000-0006-0000-0100-000055000000}">
      <text>
        <r>
          <rPr>
            <sz val="9"/>
            <color indexed="81"/>
            <rFont val="Tahoma"/>
            <family val="2"/>
          </rPr>
          <t>Always 2 revs at head, 2 revs at center to hold foam blocks in place</t>
        </r>
      </text>
    </comment>
    <comment ref="AM1165" authorId="0" shapeId="0" xr:uid="{00000000-0006-0000-0100-000056000000}">
      <text>
        <r>
          <rPr>
            <sz val="9"/>
            <color indexed="81"/>
            <rFont val="Tahoma"/>
            <family val="2"/>
          </rPr>
          <t>109 in Subtotal syntax = sum to ignore hidden values</t>
        </r>
      </text>
    </comment>
    <comment ref="AM1175" authorId="0" shapeId="0" xr:uid="{00000000-0006-0000-0100-000057000000}">
      <text>
        <r>
          <rPr>
            <sz val="9"/>
            <color indexed="81"/>
            <rFont val="Tahoma"/>
            <family val="2"/>
          </rPr>
          <t>109 in Subtotal syntax = sum to ignore hidden values</t>
        </r>
      </text>
    </comment>
    <comment ref="AM1183" authorId="0" shapeId="0" xr:uid="{C86A7136-2028-48AC-ABB8-04B50D925BD8}">
      <text>
        <r>
          <rPr>
            <sz val="9"/>
            <color indexed="81"/>
            <rFont val="Tahoma"/>
            <family val="2"/>
          </rPr>
          <t>109 in Subtotal syntax = sum to ignore hidden values</t>
        </r>
      </text>
    </comment>
    <comment ref="AM1191" authorId="0" shapeId="0" xr:uid="{00000000-0006-0000-0100-00005A000000}">
      <text>
        <r>
          <rPr>
            <sz val="9"/>
            <color indexed="81"/>
            <rFont val="Tahoma"/>
            <family val="2"/>
          </rPr>
          <t>109 in Subtotal syntax = sum to ignore hidden values</t>
        </r>
      </text>
    </comment>
    <comment ref="S1213" authorId="0" shapeId="0" xr:uid="{00000000-0006-0000-0100-00005B000000}">
      <text>
        <r>
          <rPr>
            <sz val="9"/>
            <color indexed="81"/>
            <rFont val="Tahoma"/>
            <family val="2"/>
          </rPr>
          <t>SHTGW</t>
        </r>
      </text>
    </comment>
    <comment ref="M1214" authorId="10" shapeId="0" xr:uid="{00000000-0006-0000-0100-00005C000000}">
      <text>
        <r>
          <rPr>
            <b/>
            <sz val="9"/>
            <color indexed="81"/>
            <rFont val="Tahoma"/>
            <family val="2"/>
          </rPr>
          <t>Sy Gibbs:</t>
        </r>
        <r>
          <rPr>
            <sz val="9"/>
            <color indexed="81"/>
            <rFont val="Tahoma"/>
            <family val="2"/>
          </rPr>
          <t xml:space="preserve">
was -2.313" changed via EC 14-065 10/30/14</t>
        </r>
      </text>
    </comment>
    <comment ref="S1214" authorId="0" shapeId="0" xr:uid="{00000000-0006-0000-0100-00005D000000}">
      <text>
        <r>
          <rPr>
            <sz val="9"/>
            <color indexed="81"/>
            <rFont val="Tahoma"/>
            <family val="2"/>
          </rPr>
          <t>SHTGH</t>
        </r>
      </text>
    </comment>
    <comment ref="S1217" authorId="0" shapeId="0" xr:uid="{00000000-0006-0000-0100-00005E000000}">
      <text>
        <r>
          <rPr>
            <sz val="9"/>
            <color indexed="81"/>
            <rFont val="Tahoma"/>
            <family val="2"/>
          </rPr>
          <t>SHTGdaywidth</t>
        </r>
      </text>
    </comment>
    <comment ref="S1218" authorId="0" shapeId="0" xr:uid="{00000000-0006-0000-0100-00005F000000}">
      <text>
        <r>
          <rPr>
            <sz val="9"/>
            <color indexed="81"/>
            <rFont val="Tahoma"/>
            <family val="2"/>
          </rPr>
          <t>SHTGdayheight</t>
        </r>
      </text>
    </comment>
    <comment ref="S1221" authorId="0" shapeId="0" xr:uid="{00000000-0006-0000-0100-000060000000}">
      <text>
        <r>
          <rPr>
            <sz val="9"/>
            <color indexed="81"/>
            <rFont val="Tahoma"/>
            <family val="2"/>
          </rPr>
          <t>SHSashGW</t>
        </r>
      </text>
    </comment>
    <comment ref="S1222" authorId="0" shapeId="0" xr:uid="{00000000-0006-0000-0100-000061000000}">
      <text>
        <r>
          <rPr>
            <sz val="9"/>
            <color indexed="81"/>
            <rFont val="Tahoma"/>
            <family val="2"/>
          </rPr>
          <t>SHSashGH</t>
        </r>
      </text>
    </comment>
    <comment ref="S1225" authorId="0" shapeId="0" xr:uid="{00000000-0006-0000-0100-000062000000}">
      <text>
        <r>
          <rPr>
            <sz val="9"/>
            <color indexed="81"/>
            <rFont val="Tahoma"/>
            <family val="2"/>
          </rPr>
          <t>SHBGdaywidth</t>
        </r>
      </text>
    </comment>
    <comment ref="S1226" authorId="0" shapeId="0" xr:uid="{00000000-0006-0000-0100-000063000000}">
      <text>
        <r>
          <rPr>
            <sz val="9"/>
            <color indexed="81"/>
            <rFont val="Tahoma"/>
            <family val="2"/>
          </rPr>
          <t>SHBGdayheight</t>
        </r>
      </text>
    </comment>
    <comment ref="Q1248" authorId="2" shapeId="0" xr:uid="{00000000-0006-0000-0100-00006F000000}">
      <text>
        <r>
          <rPr>
            <b/>
            <sz val="8"/>
            <color indexed="81"/>
            <rFont val="Tahoma"/>
            <family val="2"/>
          </rPr>
          <t>Colin Campbell:</t>
        </r>
        <r>
          <rPr>
            <sz val="8"/>
            <color indexed="81"/>
            <rFont val="Tahoma"/>
            <family val="2"/>
          </rPr>
          <t xml:space="preserve">
Corrected in Rev 18 on 8/16
Was -1.063
9/11/12 - Updated with sash size change.</t>
        </r>
      </text>
    </comment>
    <comment ref="S1248" authorId="0" shapeId="0" xr:uid="{00000000-0006-0000-0100-000070000000}">
      <text>
        <r>
          <rPr>
            <sz val="9"/>
            <color indexed="81"/>
            <rFont val="Tahoma"/>
            <family val="2"/>
          </rPr>
          <t>SHRSashH = SH Regular Sash Height</t>
        </r>
      </text>
    </comment>
    <comment ref="S1260" authorId="0" shapeId="0" xr:uid="{00000000-0006-0000-0100-000071000000}">
      <text>
        <r>
          <rPr>
            <sz val="9"/>
            <color indexed="81"/>
            <rFont val="Tahoma"/>
            <family val="2"/>
          </rPr>
          <t>SHCO</t>
        </r>
      </text>
    </comment>
    <comment ref="S1261" authorId="0" shapeId="0" xr:uid="{00000000-0006-0000-0100-000072000000}">
      <text>
        <r>
          <rPr>
            <sz val="9"/>
            <color indexed="81"/>
            <rFont val="Tahoma"/>
            <family val="2"/>
          </rPr>
          <t>SHCORnd</t>
        </r>
      </text>
    </comment>
    <comment ref="A1293" authorId="3" shapeId="0" xr:uid="{00000000-0006-0000-0100-000073000000}">
      <text>
        <r>
          <rPr>
            <b/>
            <sz val="8"/>
            <color indexed="81"/>
            <rFont val="Tahoma"/>
            <family val="2"/>
          </rPr>
          <t>ccampbell:</t>
        </r>
        <r>
          <rPr>
            <sz val="8"/>
            <color indexed="81"/>
            <rFont val="Tahoma"/>
            <family val="2"/>
          </rPr>
          <t xml:space="preserve">
This way we can tell if something has changed.</t>
        </r>
      </text>
    </comment>
    <comment ref="D1294" authorId="0" shapeId="0" xr:uid="{00000000-0006-0000-0100-000074000000}">
      <text>
        <r>
          <rPr>
            <sz val="9"/>
            <color indexed="81"/>
            <rFont val="Tahoma"/>
            <family val="2"/>
          </rPr>
          <t>from EC 13-142 Product Performance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Greg DeBoer</author>
    <author>Colin Campbell</author>
    <author>ccampbell</author>
    <author>Steve Strachan</author>
    <author>Greg De Boer</author>
  </authors>
  <commentList>
    <comment ref="AP2" authorId="0" shapeId="0" xr:uid="{00000000-0006-0000-0200-000001000000}">
      <text>
        <r>
          <rPr>
            <sz val="10"/>
            <color indexed="81"/>
            <rFont val="Tahoma"/>
            <family val="2"/>
          </rPr>
          <t>FWConfigOpt</t>
        </r>
      </text>
    </comment>
    <comment ref="E3" authorId="0" shapeId="0" xr:uid="{00000000-0006-0000-0200-000002000000}">
      <text>
        <r>
          <rPr>
            <sz val="9"/>
            <color indexed="81"/>
            <rFont val="Tahoma"/>
            <family val="2"/>
          </rPr>
          <t>FWSelectedConfig</t>
        </r>
      </text>
    </comment>
    <comment ref="AH3" authorId="0" shapeId="0" xr:uid="{00000000-0006-0000-0200-000003000000}">
      <text>
        <r>
          <rPr>
            <sz val="9"/>
            <color indexed="81"/>
            <rFont val="Tahoma"/>
            <family val="2"/>
          </rPr>
          <t>Twinscrew $/lb</t>
        </r>
      </text>
    </comment>
    <comment ref="AH4" authorId="0" shapeId="0" xr:uid="{00000000-0006-0000-0200-000004000000}">
      <text>
        <r>
          <rPr>
            <sz val="9"/>
            <color indexed="81"/>
            <rFont val="Tahoma"/>
            <family val="2"/>
          </rPr>
          <t>Singlescrew $/lb</t>
        </r>
      </text>
    </comment>
    <comment ref="E5" authorId="0" shapeId="0" xr:uid="{00000000-0006-0000-0200-000005000000}">
      <text>
        <r>
          <rPr>
            <sz val="9"/>
            <color indexed="81"/>
            <rFont val="Tahoma"/>
            <family val="2"/>
          </rPr>
          <t>Min = 9.750" Max = 120.000"</t>
        </r>
      </text>
    </comment>
    <comment ref="G5" authorId="0" shapeId="0" xr:uid="{00000000-0006-0000-0200-000006000000}">
      <text>
        <r>
          <rPr>
            <sz val="9"/>
            <color indexed="81"/>
            <rFont val="Tahoma"/>
            <family val="2"/>
          </rPr>
          <t>Min = 9.750" Max = 120.000"</t>
        </r>
      </text>
    </comment>
    <comment ref="AG6" authorId="0" shapeId="0" xr:uid="{00000000-0006-0000-0200-000007000000}">
      <text>
        <r>
          <rPr>
            <sz val="9"/>
            <color indexed="81"/>
            <rFont val="Tahoma"/>
            <family val="2"/>
          </rPr>
          <t>AtolbperftFixed
pvc lbs/ft</t>
        </r>
      </text>
    </comment>
    <comment ref="AH9" authorId="1" shapeId="0" xr:uid="{00000000-0006-0000-0200-000008000000}">
      <text>
        <r>
          <rPr>
            <sz val="8"/>
            <color indexed="81"/>
            <rFont val="Tahoma"/>
            <family val="2"/>
          </rPr>
          <t>= lb/ft * $/lb</t>
        </r>
      </text>
    </comment>
    <comment ref="AM9" authorId="2" shapeId="0" xr:uid="{00000000-0006-0000-0200-000009000000}">
      <text>
        <r>
          <rPr>
            <sz val="8"/>
            <color indexed="81"/>
            <rFont val="Tahoma"/>
            <family val="2"/>
          </rPr>
          <t>BM = BrickMould with nailfin
White
Silicone glazed</t>
        </r>
      </text>
    </comment>
    <comment ref="AN9" authorId="2" shapeId="0" xr:uid="{00000000-0006-0000-0200-00000A000000}">
      <text>
        <r>
          <rPr>
            <sz val="8"/>
            <color indexed="81"/>
            <rFont val="Tahoma"/>
            <family val="2"/>
          </rPr>
          <t>BEV = Beveled, nailfin with J-leg
White
Silicone glazed</t>
        </r>
      </text>
    </comment>
    <comment ref="AO9" authorId="2" shapeId="0" xr:uid="{00000000-0006-0000-0200-00000B000000}">
      <text>
        <r>
          <rPr>
            <sz val="8"/>
            <color indexed="81"/>
            <rFont val="Tahoma"/>
            <family val="2"/>
          </rPr>
          <t>BM = BrickMould with nailfin
White, Silicone glazed
Primed wood 4-9/16" Jamb Ext.</t>
        </r>
      </text>
    </comment>
    <comment ref="AP9" authorId="2" shapeId="0" xr:uid="{00000000-0006-0000-0200-00000C000000}">
      <text>
        <r>
          <rPr>
            <sz val="8"/>
            <color indexed="81"/>
            <rFont val="Tahoma"/>
            <family val="2"/>
          </rPr>
          <t>BM = BrickMould with nailfin
White, Silicone glazed
Cellular pvc Jamb Ext.</t>
        </r>
      </text>
    </comment>
    <comment ref="V10" authorId="3" shapeId="0" xr:uid="{05232D5A-8675-43F2-B32C-7F0733263F68}">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0" authorId="3" shapeId="0" xr:uid="{0B098830-6278-40E7-A6D5-6CB0DD37784E}">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L13" authorId="0" shapeId="0" xr:uid="{00000000-0006-0000-0200-00000F000000}">
      <text>
        <r>
          <rPr>
            <sz val="9"/>
            <color indexed="81"/>
            <rFont val="Tahoma"/>
            <family val="2"/>
          </rPr>
          <t>109 = sum to ignore hidden values</t>
        </r>
      </text>
    </comment>
    <comment ref="O37" authorId="2" shapeId="0" xr:uid="{00000000-0006-0000-0200-000010000000}">
      <text>
        <r>
          <rPr>
            <b/>
            <sz val="8"/>
            <color indexed="81"/>
            <rFont val="Tahoma"/>
            <family val="2"/>
          </rPr>
          <t>ccampbell:</t>
        </r>
        <r>
          <rPr>
            <sz val="8"/>
            <color indexed="81"/>
            <rFont val="Tahoma"/>
            <family val="2"/>
          </rPr>
          <t xml:space="preserve">
Only welded on one end.</t>
        </r>
      </text>
    </comment>
    <comment ref="M56" authorId="1" shapeId="0" xr:uid="{00000000-0006-0000-0200-000011000000}">
      <text>
        <r>
          <rPr>
            <b/>
            <sz val="8"/>
            <color indexed="81"/>
            <rFont val="Tahoma"/>
            <family val="2"/>
          </rPr>
          <t>Colin Campbell:</t>
        </r>
        <r>
          <rPr>
            <sz val="8"/>
            <color indexed="81"/>
            <rFont val="Tahoma"/>
            <family val="2"/>
          </rPr>
          <t xml:space="preserve">
Updated 1/11/13 to match jamb raw length.</t>
        </r>
      </text>
    </comment>
    <comment ref="M117" authorId="1" shapeId="0" xr:uid="{00000000-0006-0000-0200-000012000000}">
      <text>
        <r>
          <rPr>
            <b/>
            <sz val="8"/>
            <color indexed="81"/>
            <rFont val="Tahoma"/>
            <family val="2"/>
          </rPr>
          <t>Colin Campbell:</t>
        </r>
        <r>
          <rPr>
            <sz val="8"/>
            <color indexed="81"/>
            <rFont val="Tahoma"/>
            <family val="2"/>
          </rPr>
          <t xml:space="preserve">
Updated 1/11/13 to match jamb raw length.</t>
        </r>
      </text>
    </comment>
    <comment ref="M154" authorId="1" shapeId="0" xr:uid="{00000000-0006-0000-0200-000013000000}">
      <text>
        <r>
          <rPr>
            <b/>
            <sz val="8"/>
            <color indexed="81"/>
            <rFont val="Tahoma"/>
            <family val="2"/>
          </rPr>
          <t>Colin Campbell:</t>
        </r>
        <r>
          <rPr>
            <sz val="8"/>
            <color indexed="81"/>
            <rFont val="Tahoma"/>
            <family val="2"/>
          </rPr>
          <t xml:space="preserve">
Updated 1/11/13 to match jamb raw length.</t>
        </r>
      </text>
    </comment>
    <comment ref="M161" authorId="2" shapeId="0" xr:uid="{00000000-0006-0000-0200-000014000000}">
      <text>
        <r>
          <rPr>
            <b/>
            <sz val="8"/>
            <color indexed="81"/>
            <rFont val="Tahoma"/>
            <family val="2"/>
          </rPr>
          <t>ccampbell:</t>
        </r>
        <r>
          <rPr>
            <sz val="8"/>
            <color indexed="81"/>
            <rFont val="Tahoma"/>
            <family val="2"/>
          </rPr>
          <t xml:space="preserve">
Confirmed 1/11/13
Updated to match Classic on 1/16/13</t>
        </r>
      </text>
    </comment>
    <comment ref="AL204" authorId="0" shapeId="0" xr:uid="{00000000-0006-0000-0200-000015000000}">
      <text>
        <r>
          <rPr>
            <sz val="9"/>
            <color indexed="81"/>
            <rFont val="Tahoma"/>
            <family val="2"/>
          </rPr>
          <t>109 = sum to ignore hidden values</t>
        </r>
      </text>
    </comment>
    <comment ref="AL357" authorId="0" shapeId="0" xr:uid="{00000000-0006-0000-0200-000016000000}">
      <text>
        <r>
          <rPr>
            <sz val="9"/>
            <color indexed="81"/>
            <rFont val="Tahoma"/>
            <family val="2"/>
          </rPr>
          <t>109 = sum to ignore hidden values</t>
        </r>
      </text>
    </comment>
    <comment ref="AL359" authorId="0" shapeId="0" xr:uid="{00000000-0006-0000-0200-000017000000}">
      <text>
        <r>
          <rPr>
            <sz val="9"/>
            <color indexed="81"/>
            <rFont val="Tahoma"/>
            <family val="2"/>
          </rPr>
          <t>109 = sum to ignore hidden values</t>
        </r>
      </text>
    </comment>
    <comment ref="AL375" authorId="0" shapeId="0" xr:uid="{00000000-0006-0000-0200-000018000000}">
      <text>
        <r>
          <rPr>
            <sz val="9"/>
            <color indexed="81"/>
            <rFont val="Tahoma"/>
            <family val="2"/>
          </rPr>
          <t>109 = sum to ignore hidden values</t>
        </r>
      </text>
    </comment>
    <comment ref="AL424" authorId="0" shapeId="0" xr:uid="{00000000-0006-0000-0200-000019000000}">
      <text>
        <r>
          <rPr>
            <sz val="9"/>
            <color indexed="81"/>
            <rFont val="Tahoma"/>
            <family val="2"/>
          </rPr>
          <t>109 = sum to ignore hidden values</t>
        </r>
      </text>
    </comment>
    <comment ref="AL473" authorId="0" shapeId="0" xr:uid="{00000000-0006-0000-0200-00001A000000}">
      <text>
        <r>
          <rPr>
            <sz val="9"/>
            <color indexed="81"/>
            <rFont val="Tahoma"/>
            <family val="2"/>
          </rPr>
          <t>109 = sum to ignore hidden values</t>
        </r>
      </text>
    </comment>
    <comment ref="AL478" authorId="0" shapeId="0" xr:uid="{00000000-0006-0000-0200-00001B000000}">
      <text>
        <r>
          <rPr>
            <sz val="9"/>
            <color indexed="81"/>
            <rFont val="Tahoma"/>
            <family val="2"/>
          </rPr>
          <t>109 = sum to ignore hidden values</t>
        </r>
      </text>
    </comment>
    <comment ref="G479" authorId="0" shapeId="0" xr:uid="{00000000-0006-0000-0200-00001C000000}">
      <text>
        <r>
          <rPr>
            <sz val="9"/>
            <color indexed="81"/>
            <rFont val="Tahoma"/>
            <family val="2"/>
          </rPr>
          <t>1/8" dia. Bead = 1,565 ft / gallon</t>
        </r>
      </text>
    </comment>
    <comment ref="G481" authorId="0" shapeId="0" xr:uid="{00000000-0006-0000-0200-00001D000000}">
      <text>
        <r>
          <rPr>
            <sz val="9"/>
            <color indexed="81"/>
            <rFont val="Tahoma"/>
            <family val="2"/>
          </rPr>
          <t>1/4" dia. Bead = 392 ft / gallon</t>
        </r>
      </text>
    </comment>
    <comment ref="AD481" authorId="0" shapeId="0" xr:uid="{00000000-0006-0000-0200-00001E000000}">
      <text>
        <r>
          <rPr>
            <sz val="9"/>
            <color indexed="81"/>
            <rFont val="Tahoma"/>
            <family val="2"/>
          </rPr>
          <t>1 tube/10.3 oz x 128 oz/1 gallon</t>
        </r>
      </text>
    </comment>
    <comment ref="AL568" authorId="0" shapeId="0" xr:uid="{00000000-0006-0000-0200-00001F000000}">
      <text>
        <r>
          <rPr>
            <sz val="9"/>
            <color indexed="81"/>
            <rFont val="Tahoma"/>
            <family val="2"/>
          </rPr>
          <t>109 = sum to ignore hidden values</t>
        </r>
      </text>
    </comment>
    <comment ref="AL577" authorId="0" shapeId="0" xr:uid="{00000000-0006-0000-0200-000020000000}">
      <text>
        <r>
          <rPr>
            <sz val="9"/>
            <color indexed="81"/>
            <rFont val="Tahoma"/>
            <family val="2"/>
          </rPr>
          <t>109 = sum to ignore hidden values</t>
        </r>
      </text>
    </comment>
    <comment ref="AL581" authorId="0" shapeId="0" xr:uid="{00000000-0006-0000-0200-000021000000}">
      <text>
        <r>
          <rPr>
            <sz val="9"/>
            <color indexed="81"/>
            <rFont val="Tahoma"/>
            <family val="2"/>
          </rPr>
          <t>109 = sum to ignore hidden values</t>
        </r>
      </text>
    </comment>
    <comment ref="AL589" authorId="0" shapeId="0" xr:uid="{00000000-0006-0000-0200-000022000000}">
      <text>
        <r>
          <rPr>
            <sz val="9"/>
            <color indexed="81"/>
            <rFont val="Tahoma"/>
            <family val="2"/>
          </rPr>
          <t>109 = sum to ignore hidden values</t>
        </r>
      </text>
    </comment>
    <comment ref="AL591" authorId="0" shapeId="0" xr:uid="{00000000-0006-0000-0200-000023000000}">
      <text>
        <r>
          <rPr>
            <sz val="9"/>
            <color indexed="81"/>
            <rFont val="Tahoma"/>
            <family val="2"/>
          </rPr>
          <t>109 = sum to ignore hidden values</t>
        </r>
      </text>
    </comment>
    <comment ref="O595" authorId="0" shapeId="0" xr:uid="{00000000-0006-0000-0200-000024000000}">
      <text>
        <r>
          <rPr>
            <sz val="9"/>
            <color indexed="81"/>
            <rFont val="Tahoma"/>
            <family val="2"/>
          </rPr>
          <t>Always 2 revs at head, 2 revs at center to hold foam blocks in place</t>
        </r>
      </text>
    </comment>
    <comment ref="AL599" authorId="0" shapeId="0" xr:uid="{00000000-0006-0000-0200-000025000000}">
      <text>
        <r>
          <rPr>
            <sz val="9"/>
            <color indexed="81"/>
            <rFont val="Tahoma"/>
            <family val="2"/>
          </rPr>
          <t>109 = sum to ignore hidden values</t>
        </r>
      </text>
    </comment>
    <comment ref="S610" authorId="0" shapeId="0" xr:uid="{00000000-0006-0000-0200-000026000000}">
      <text>
        <r>
          <rPr>
            <sz val="9"/>
            <color indexed="81"/>
            <rFont val="Tahoma"/>
            <family val="2"/>
          </rPr>
          <t>FWGlassWidth</t>
        </r>
      </text>
    </comment>
    <comment ref="S611" authorId="0" shapeId="0" xr:uid="{00000000-0006-0000-0200-000027000000}">
      <text>
        <r>
          <rPr>
            <sz val="9"/>
            <color indexed="81"/>
            <rFont val="Tahoma"/>
            <family val="2"/>
          </rPr>
          <t>FWGlassHeight</t>
        </r>
      </text>
    </comment>
    <comment ref="S612" authorId="4" shapeId="0" xr:uid="{7F7234BE-3D5B-4C6C-9544-E0D3A36C892C}">
      <text>
        <r>
          <rPr>
            <sz val="9"/>
            <color indexed="81"/>
            <rFont val="Tahoma"/>
            <family val="2"/>
          </rPr>
          <t>FWGlassArea</t>
        </r>
      </text>
    </comment>
    <comment ref="S613" authorId="4" shapeId="0" xr:uid="{EDBB838B-2013-4BAF-89D8-CFC8DDB43522}">
      <text>
        <r>
          <rPr>
            <sz val="9"/>
            <color indexed="81"/>
            <rFont val="Tahoma"/>
            <family val="2"/>
          </rPr>
          <t>FWDayWidth</t>
        </r>
      </text>
    </comment>
    <comment ref="S614" authorId="4" shapeId="0" xr:uid="{215A89BA-3979-4C27-ADBA-8A839A61C185}">
      <text>
        <r>
          <rPr>
            <sz val="9"/>
            <color indexed="81"/>
            <rFont val="Tahoma"/>
            <family val="2"/>
          </rPr>
          <t>FWDayHeight</t>
        </r>
      </text>
    </comment>
    <comment ref="M632" authorId="1" shapeId="0" xr:uid="{00000000-0006-0000-0200-00002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3" authorId="1" shapeId="0" xr:uid="{00000000-0006-0000-0200-00002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4" authorId="1" shapeId="0" xr:uid="{00000000-0006-0000-0200-00002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5" authorId="1" shapeId="0" xr:uid="{00000000-0006-0000-0200-00002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ccampbell</author>
    <author>Steve Strachan</author>
    <author>CCampbell</author>
    <author>Strachan, Steve</author>
  </authors>
  <commentList>
    <comment ref="AP2" authorId="0" shapeId="0" xr:uid="{00000000-0006-0000-0300-000001000000}">
      <text>
        <r>
          <rPr>
            <sz val="10"/>
            <color indexed="81"/>
            <rFont val="Tahoma"/>
            <family val="2"/>
          </rPr>
          <t>SLConfigOpt</t>
        </r>
      </text>
    </comment>
    <comment ref="E3" authorId="0" shapeId="0" xr:uid="{00000000-0006-0000-0300-000002000000}">
      <text>
        <r>
          <rPr>
            <sz val="9"/>
            <color indexed="81"/>
            <rFont val="Tahoma"/>
            <family val="2"/>
          </rPr>
          <t>SL2SelectedConfig</t>
        </r>
      </text>
    </comment>
    <comment ref="E5" authorId="0" shapeId="0" xr:uid="{00000000-0006-0000-0300-000003000000}">
      <text>
        <r>
          <rPr>
            <sz val="9"/>
            <color indexed="81"/>
            <rFont val="Tahoma"/>
            <family val="2"/>
          </rPr>
          <t>Min = 23.500" Max = 71.500"</t>
        </r>
      </text>
    </comment>
    <comment ref="G5" authorId="0" shapeId="0" xr:uid="{00000000-0006-0000-0300-000004000000}">
      <text>
        <r>
          <rPr>
            <sz val="9"/>
            <color indexed="81"/>
            <rFont val="Tahoma"/>
            <family val="2"/>
          </rPr>
          <t>Min = 11.500" Max = 71.500"</t>
        </r>
      </text>
    </comment>
    <comment ref="Y7" authorId="0" shapeId="0" xr:uid="{00000000-0006-0000-0300-000005000000}">
      <text>
        <r>
          <rPr>
            <b/>
            <sz val="9"/>
            <color indexed="81"/>
            <rFont val="Tahoma"/>
            <family val="2"/>
          </rPr>
          <t>=SL2SORnd</t>
        </r>
      </text>
    </comment>
    <comment ref="AG11" authorId="1" shapeId="0" xr:uid="{A002561D-93B6-43B0-90BE-C09327A94A78}">
      <text>
        <r>
          <rPr>
            <sz val="9"/>
            <color indexed="81"/>
            <rFont val="Tahoma"/>
            <family val="2"/>
          </rPr>
          <t>AtolbperftSL2</t>
        </r>
      </text>
    </comment>
    <comment ref="AH11" authorId="2" shapeId="0" xr:uid="{00000000-0006-0000-0300-000006000000}">
      <text>
        <r>
          <rPr>
            <sz val="8"/>
            <color indexed="81"/>
            <rFont val="Tahoma"/>
            <family val="2"/>
          </rPr>
          <t>= lb/ft * $/lb</t>
        </r>
      </text>
    </comment>
    <comment ref="AM11" authorId="3" shapeId="0" xr:uid="{00000000-0006-0000-0300-000007000000}">
      <text>
        <r>
          <rPr>
            <sz val="8"/>
            <color indexed="81"/>
            <rFont val="Tahoma"/>
            <family val="2"/>
          </rPr>
          <t>BM = BrickMould with nailfin
White
Silicone glazed</t>
        </r>
      </text>
    </comment>
    <comment ref="AN11" authorId="3" shapeId="0" xr:uid="{00000000-0006-0000-0300-000008000000}">
      <text>
        <r>
          <rPr>
            <sz val="8"/>
            <color indexed="81"/>
            <rFont val="Tahoma"/>
            <family val="2"/>
          </rPr>
          <t>BM = BrickMould with nailfin
White
Silicone glazed
ADA autolock option</t>
        </r>
      </text>
    </comment>
    <comment ref="AO11" authorId="3" shapeId="0" xr:uid="{00000000-0006-0000-0300-000009000000}">
      <text>
        <r>
          <rPr>
            <sz val="8"/>
            <color indexed="81"/>
            <rFont val="Tahoma"/>
            <family val="2"/>
          </rPr>
          <t xml:space="preserve">BM = BrickMould with1/2" Flange
Bronze/White
Impact glazed
</t>
        </r>
      </text>
    </comment>
    <comment ref="V12" authorId="4" shapeId="0" xr:uid="{A07F1C7C-062D-4B50-8768-0ECFAAA8D0BC}">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4" shapeId="0" xr:uid="{3B11BADC-8AB9-4195-9748-1D3D86382A3D}">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L15" authorId="0" shapeId="0" xr:uid="{00000000-0006-0000-0300-00000C000000}">
      <text>
        <r>
          <rPr>
            <sz val="9"/>
            <color indexed="81"/>
            <rFont val="Tahoma"/>
            <family val="2"/>
          </rPr>
          <t>109 = sum to ignore hidden values</t>
        </r>
      </text>
    </comment>
    <comment ref="M85" authorId="2" shapeId="0" xr:uid="{00000000-0006-0000-0300-00000D000000}">
      <text>
        <r>
          <rPr>
            <b/>
            <sz val="8"/>
            <color indexed="81"/>
            <rFont val="Tahoma"/>
            <family val="2"/>
          </rPr>
          <t>Colin Campbell:</t>
        </r>
        <r>
          <rPr>
            <sz val="8"/>
            <color indexed="81"/>
            <rFont val="Tahoma"/>
            <family val="2"/>
          </rPr>
          <t xml:space="preserve">
Updated 1/11/13 to match jamb raw length.</t>
        </r>
      </text>
    </comment>
    <comment ref="AF93" authorId="3" shapeId="0" xr:uid="{00000000-0006-0000-0300-00000E000000}">
      <text>
        <r>
          <rPr>
            <b/>
            <sz val="8"/>
            <color indexed="81"/>
            <rFont val="Tahoma"/>
            <family val="2"/>
          </rPr>
          <t>ccampbell:</t>
        </r>
        <r>
          <rPr>
            <sz val="8"/>
            <color indexed="81"/>
            <rFont val="Tahoma"/>
            <family val="2"/>
          </rPr>
          <t xml:space="preserve">
updated 4/6</t>
        </r>
      </text>
    </comment>
    <comment ref="M113" authorId="2" shapeId="0" xr:uid="{00000000-0006-0000-0300-00000F000000}">
      <text>
        <r>
          <rPr>
            <b/>
            <sz val="8"/>
            <color indexed="81"/>
            <rFont val="Tahoma"/>
            <family val="2"/>
          </rPr>
          <t>Colin Campbell:</t>
        </r>
        <r>
          <rPr>
            <sz val="8"/>
            <color indexed="81"/>
            <rFont val="Tahoma"/>
            <family val="2"/>
          </rPr>
          <t xml:space="preserve">
Updated 1/11/13 to match jamb raw length.</t>
        </r>
      </text>
    </comment>
    <comment ref="M120" authorId="3" shapeId="0" xr:uid="{00000000-0006-0000-0300-000010000000}">
      <text>
        <r>
          <rPr>
            <b/>
            <sz val="8"/>
            <color indexed="81"/>
            <rFont val="Tahoma"/>
            <family val="2"/>
          </rPr>
          <t>ccampbell:</t>
        </r>
        <r>
          <rPr>
            <sz val="8"/>
            <color indexed="81"/>
            <rFont val="Tahoma"/>
            <family val="2"/>
          </rPr>
          <t xml:space="preserve">
Confirmed 1/11/13
Updated to match Classic on 1/16/13</t>
        </r>
      </text>
    </comment>
    <comment ref="AL162" authorId="0" shapeId="0" xr:uid="{00000000-0006-0000-0300-000011000000}">
      <text>
        <r>
          <rPr>
            <sz val="9"/>
            <color indexed="81"/>
            <rFont val="Tahoma"/>
            <family val="2"/>
          </rPr>
          <t>109 = sum to ignore hidden values</t>
        </r>
      </text>
    </comment>
    <comment ref="M194" authorId="3" shapeId="0" xr:uid="{00000000-0006-0000-0300-000012000000}">
      <text>
        <r>
          <rPr>
            <b/>
            <sz val="8"/>
            <color indexed="81"/>
            <rFont val="Tahoma"/>
            <family val="2"/>
          </rPr>
          <t>ccampbell:</t>
        </r>
        <r>
          <rPr>
            <sz val="8"/>
            <color indexed="81"/>
            <rFont val="Tahoma"/>
            <family val="2"/>
          </rPr>
          <t xml:space="preserve">
updated 3/16.  Full length material</t>
        </r>
      </text>
    </comment>
    <comment ref="M203" authorId="3" shapeId="0" xr:uid="{00000000-0006-0000-0300-000013000000}">
      <text>
        <r>
          <rPr>
            <b/>
            <sz val="8"/>
            <color indexed="81"/>
            <rFont val="Tahoma"/>
            <family val="2"/>
          </rPr>
          <t>ccampbell:</t>
        </r>
        <r>
          <rPr>
            <sz val="8"/>
            <color indexed="81"/>
            <rFont val="Tahoma"/>
            <family val="2"/>
          </rPr>
          <t xml:space="preserve">
updated 3/16.  Full length material</t>
        </r>
      </text>
    </comment>
    <comment ref="M211" authorId="2" shapeId="0" xr:uid="{00000000-0006-0000-0300-000014000000}">
      <text>
        <r>
          <rPr>
            <b/>
            <sz val="8"/>
            <color indexed="81"/>
            <rFont val="Tahoma"/>
            <family val="2"/>
          </rPr>
          <t>Colin Campbell:</t>
        </r>
        <r>
          <rPr>
            <sz val="8"/>
            <color indexed="81"/>
            <rFont val="Tahoma"/>
            <family val="2"/>
          </rPr>
          <t xml:space="preserve">
Confirmed 7/23/12</t>
        </r>
      </text>
    </comment>
    <comment ref="M219" authorId="3" shapeId="0" xr:uid="{00000000-0006-0000-0300-000015000000}">
      <text>
        <r>
          <rPr>
            <b/>
            <sz val="8"/>
            <color indexed="81"/>
            <rFont val="Tahoma"/>
            <family val="2"/>
          </rPr>
          <t>ccampbell:</t>
        </r>
        <r>
          <rPr>
            <sz val="8"/>
            <color indexed="81"/>
            <rFont val="Tahoma"/>
            <family val="2"/>
          </rPr>
          <t xml:space="preserve">
updated 3/16.  Full length material</t>
        </r>
      </text>
    </comment>
    <comment ref="M228" authorId="3" shapeId="0" xr:uid="{00000000-0006-0000-0300-000016000000}">
      <text>
        <r>
          <rPr>
            <b/>
            <sz val="8"/>
            <color indexed="81"/>
            <rFont val="Tahoma"/>
            <family val="2"/>
          </rPr>
          <t>ccampbell:</t>
        </r>
        <r>
          <rPr>
            <sz val="8"/>
            <color indexed="81"/>
            <rFont val="Tahoma"/>
            <family val="2"/>
          </rPr>
          <t xml:space="preserve">
updated 3/16.  Full length material</t>
        </r>
      </text>
    </comment>
    <comment ref="AL248" authorId="0" shapeId="0" xr:uid="{00000000-0006-0000-0300-000017000000}">
      <text>
        <r>
          <rPr>
            <sz val="9"/>
            <color indexed="81"/>
            <rFont val="Tahoma"/>
            <family val="2"/>
          </rPr>
          <t>109 = sum to ignore hidden values</t>
        </r>
      </text>
    </comment>
    <comment ref="AL249" authorId="0" shapeId="0" xr:uid="{00000000-0006-0000-0300-000018000000}">
      <text>
        <r>
          <rPr>
            <sz val="9"/>
            <color indexed="81"/>
            <rFont val="Tahoma"/>
            <family val="2"/>
          </rPr>
          <t>109 = sum to ignore hidden values</t>
        </r>
      </text>
    </comment>
    <comment ref="S251" authorId="3" shapeId="0" xr:uid="{00000000-0006-0000-0300-000019000000}">
      <text>
        <r>
          <rPr>
            <b/>
            <sz val="8"/>
            <color indexed="81"/>
            <rFont val="Tahoma"/>
            <family val="2"/>
          </rPr>
          <t>ccampbell:</t>
        </r>
        <r>
          <rPr>
            <sz val="8"/>
            <color indexed="81"/>
            <rFont val="Tahoma"/>
            <family val="2"/>
          </rPr>
          <t xml:space="preserve">
Measured from Head</t>
        </r>
      </text>
    </comment>
    <comment ref="S252" authorId="3" shapeId="0" xr:uid="{00000000-0006-0000-0300-00001A000000}">
      <text>
        <r>
          <rPr>
            <b/>
            <sz val="8"/>
            <color indexed="81"/>
            <rFont val="Tahoma"/>
            <family val="2"/>
          </rPr>
          <t>ccampbell:</t>
        </r>
        <r>
          <rPr>
            <sz val="8"/>
            <color indexed="81"/>
            <rFont val="Tahoma"/>
            <family val="2"/>
          </rPr>
          <t xml:space="preserve">
Measured from Head</t>
        </r>
      </text>
    </comment>
    <comment ref="D253" authorId="5" shapeId="0" xr:uid="{00000000-0006-0000-0300-00001B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4" authorId="6" shapeId="0" xr:uid="{00000000-0006-0000-0300-00001C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74" authorId="6" shapeId="0" xr:uid="{00000000-0006-0000-0300-00001D000000}">
      <text>
        <r>
          <rPr>
            <b/>
            <sz val="9"/>
            <color indexed="81"/>
            <rFont val="Tahoma"/>
            <family val="2"/>
          </rPr>
          <t>Strachan, Steve:</t>
        </r>
        <r>
          <rPr>
            <sz val="9"/>
            <color indexed="81"/>
            <rFont val="Tahoma"/>
            <family val="2"/>
          </rPr>
          <t xml:space="preserve">
Rev I
Adjusted .093" for new keeper rail fab</t>
        </r>
      </text>
    </comment>
    <comment ref="M276" authorId="6" shapeId="0" xr:uid="{00000000-0006-0000-0300-00001E000000}">
      <text>
        <r>
          <rPr>
            <b/>
            <sz val="9"/>
            <color indexed="81"/>
            <rFont val="Tahoma"/>
            <family val="2"/>
          </rPr>
          <t>Strachan, Steve:</t>
        </r>
        <r>
          <rPr>
            <sz val="9"/>
            <color indexed="81"/>
            <rFont val="Tahoma"/>
            <family val="2"/>
          </rPr>
          <t xml:space="preserve">
Rev I
Shorteded .093" for new keeper rail fab</t>
        </r>
      </text>
    </comment>
    <comment ref="AL342" authorId="0" shapeId="0" xr:uid="{00000000-0006-0000-0300-00001F000000}">
      <text>
        <r>
          <rPr>
            <sz val="9"/>
            <color indexed="81"/>
            <rFont val="Tahoma"/>
            <family val="2"/>
          </rPr>
          <t>109 = sum to ignore hidden values</t>
        </r>
      </text>
    </comment>
    <comment ref="Q348" authorId="3" shapeId="0" xr:uid="{00000000-0006-0000-0300-000020000000}">
      <text>
        <r>
          <rPr>
            <b/>
            <sz val="8"/>
            <color indexed="81"/>
            <rFont val="Tahoma"/>
            <family val="2"/>
          </rPr>
          <t>ccampbell:</t>
        </r>
        <r>
          <rPr>
            <sz val="8"/>
            <color indexed="81"/>
            <rFont val="Tahoma"/>
            <family val="2"/>
          </rPr>
          <t xml:space="preserve">
For manufacturing to have a simpler schedule printout.</t>
        </r>
      </text>
    </comment>
    <comment ref="A368" authorId="3" shapeId="0" xr:uid="{00000000-0006-0000-0300-000021000000}">
      <text>
        <r>
          <rPr>
            <b/>
            <sz val="8"/>
            <color indexed="81"/>
            <rFont val="Tahoma"/>
            <family val="2"/>
          </rPr>
          <t>ccampbell:</t>
        </r>
        <r>
          <rPr>
            <sz val="8"/>
            <color indexed="81"/>
            <rFont val="Tahoma"/>
            <family val="2"/>
          </rPr>
          <t xml:space="preserve">
Yes
No</t>
        </r>
      </text>
    </comment>
    <comment ref="AL368" authorId="0" shapeId="0" xr:uid="{00000000-0006-0000-0300-000022000000}">
      <text>
        <r>
          <rPr>
            <sz val="9"/>
            <color indexed="81"/>
            <rFont val="Tahoma"/>
            <family val="2"/>
          </rPr>
          <t>109 = sum to ignore hidden values</t>
        </r>
      </text>
    </comment>
    <comment ref="AL375" authorId="0" shapeId="0" xr:uid="{00000000-0006-0000-0300-000023000000}">
      <text>
        <r>
          <rPr>
            <sz val="9"/>
            <color indexed="81"/>
            <rFont val="Tahoma"/>
            <family val="2"/>
          </rPr>
          <t>109 = sum to ignore hidden values</t>
        </r>
      </text>
    </comment>
    <comment ref="Y405" authorId="1" shapeId="0" xr:uid="{6C586CDD-419E-41A4-A54A-C4BB5A4898E4}">
      <text>
        <r>
          <rPr>
            <sz val="9"/>
            <color indexed="81"/>
            <rFont val="Tahoma"/>
            <family val="2"/>
          </rPr>
          <t>was set to 006 White instead of 003</t>
        </r>
      </text>
    </comment>
    <comment ref="Y406" authorId="1" shapeId="0" xr:uid="{B51F7728-ADCE-464E-A70D-FCAA5FE619C5}">
      <text>
        <r>
          <rPr>
            <sz val="9"/>
            <color indexed="81"/>
            <rFont val="Tahoma"/>
            <family val="2"/>
          </rPr>
          <t>42 0034 031 is Obsolete</t>
        </r>
      </text>
    </comment>
    <comment ref="Y407" authorId="1" shapeId="0" xr:uid="{53A2949A-BD62-4C91-AF76-3594CDBF4D54}">
      <text>
        <r>
          <rPr>
            <sz val="9"/>
            <color indexed="81"/>
            <rFont val="Tahoma"/>
            <family val="2"/>
          </rPr>
          <t xml:space="preserve">034 color is not to be used anymore. This should be 033 clay. Need to work with vendor and inventory to make this change. </t>
        </r>
      </text>
    </comment>
    <comment ref="Y417" authorId="1" shapeId="0" xr:uid="{7603C95A-84BB-4BEE-8F05-ED19CECDEC7D}">
      <text>
        <r>
          <rPr>
            <sz val="9"/>
            <color indexed="81"/>
            <rFont val="Tahoma"/>
            <family val="2"/>
          </rPr>
          <t>031 is used in PTC</t>
        </r>
      </text>
    </comment>
    <comment ref="AL428" authorId="0" shapeId="0" xr:uid="{00000000-0006-0000-0300-000024000000}">
      <text>
        <r>
          <rPr>
            <sz val="9"/>
            <color indexed="81"/>
            <rFont val="Tahoma"/>
            <family val="2"/>
          </rPr>
          <t>109 = sum to ignore hidden values</t>
        </r>
      </text>
    </comment>
    <comment ref="G429" authorId="0" shapeId="0" xr:uid="{00000000-0006-0000-0300-000025000000}">
      <text>
        <r>
          <rPr>
            <sz val="9"/>
            <color indexed="81"/>
            <rFont val="Tahoma"/>
            <family val="2"/>
          </rPr>
          <t>1/8" dia. Bead = 1,565 ft / gallon</t>
        </r>
      </text>
    </comment>
    <comment ref="Y429" authorId="0" shapeId="0" xr:uid="{64B2688A-96E2-4089-B882-4AFDF1E9A0D8}">
      <text>
        <r>
          <rPr>
            <sz val="9"/>
            <color indexed="81"/>
            <rFont val="Tahoma"/>
            <family val="2"/>
          </rPr>
          <t>Dow Corning 1199
OR Pecora 896
OR Schnee-Morehead 5731</t>
        </r>
      </text>
    </comment>
    <comment ref="Y430" authorId="0" shapeId="0" xr:uid="{F9443EF4-2CC5-43E6-9E2F-5EB23DD5F72C}">
      <text>
        <r>
          <rPr>
            <sz val="9"/>
            <color indexed="81"/>
            <rFont val="Tahoma"/>
            <family val="2"/>
          </rPr>
          <t>Dow Corning 1199
OR Pecora 896
OR Schnee-Morehead 5731</t>
        </r>
      </text>
    </comment>
    <comment ref="G431" authorId="0" shapeId="0" xr:uid="{00000000-0006-0000-0300-000028000000}">
      <text>
        <r>
          <rPr>
            <sz val="9"/>
            <color indexed="81"/>
            <rFont val="Tahoma"/>
            <family val="2"/>
          </rPr>
          <t>EJAGVN103 Impact 1/4" dia. Bead = 392 ft / gallon</t>
        </r>
      </text>
    </comment>
    <comment ref="Y431" authorId="0" shapeId="0" xr:uid="{AB6AB8F8-4406-4793-AC29-568953133837}">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433" authorId="0" shapeId="0" xr:uid="{00000000-0006-0000-0300-00002A000000}">
      <text>
        <r>
          <rPr>
            <sz val="9"/>
            <color indexed="81"/>
            <rFont val="Tahoma"/>
            <family val="2"/>
          </rPr>
          <t>1 tube/10.3 oz x 128 oz/1 gallon</t>
        </r>
      </text>
    </comment>
    <comment ref="AD435" authorId="0" shapeId="0" xr:uid="{00000000-0006-0000-0300-00002B000000}">
      <text>
        <r>
          <rPr>
            <sz val="9"/>
            <color indexed="81"/>
            <rFont val="Tahoma"/>
            <family val="2"/>
          </rPr>
          <t>Always 3 in head</t>
        </r>
      </text>
    </comment>
    <comment ref="AD438" authorId="0" shapeId="0" xr:uid="{00000000-0006-0000-0300-00002C000000}">
      <text>
        <r>
          <rPr>
            <sz val="9"/>
            <color indexed="81"/>
            <rFont val="Tahoma"/>
            <family val="2"/>
          </rPr>
          <t>3 if one Keeper, 4 if 2 Keepers
Always 3 in jamb</t>
        </r>
      </text>
    </comment>
    <comment ref="AD440" authorId="0" shapeId="0" xr:uid="{00000000-0006-0000-0300-00002D000000}">
      <text>
        <r>
          <rPr>
            <sz val="9"/>
            <color indexed="81"/>
            <rFont val="Tahoma"/>
            <family val="2"/>
          </rPr>
          <t>Always 3 in sill</t>
        </r>
      </text>
    </comment>
    <comment ref="S443" authorId="0" shapeId="0" xr:uid="{FA09618C-01BE-46DC-8113-64EF380338D9}">
      <text>
        <r>
          <rPr>
            <sz val="9"/>
            <color indexed="81"/>
            <rFont val="Tahoma"/>
            <family val="2"/>
          </rPr>
          <t>SL2SW</t>
        </r>
      </text>
    </comment>
    <comment ref="S444" authorId="0" shapeId="0" xr:uid="{00000000-0006-0000-0300-00002F000000}">
      <text>
        <r>
          <rPr>
            <sz val="9"/>
            <color indexed="81"/>
            <rFont val="Tahoma"/>
            <family val="2"/>
          </rPr>
          <t>SL2SH</t>
        </r>
      </text>
    </comment>
    <comment ref="AL445" authorId="0" shapeId="0" xr:uid="{00000000-0006-0000-0300-000030000000}">
      <text>
        <r>
          <rPr>
            <sz val="9"/>
            <color indexed="81"/>
            <rFont val="Tahoma"/>
            <family val="2"/>
          </rPr>
          <t>109 = sum to ignore hidden values</t>
        </r>
      </text>
    </comment>
    <comment ref="M454" authorId="2" shapeId="0" xr:uid="{00000000-0006-0000-0300-000031000000}">
      <text>
        <r>
          <rPr>
            <b/>
            <sz val="8"/>
            <color indexed="81"/>
            <rFont val="Tahoma"/>
            <family val="2"/>
          </rPr>
          <t>C Campbell:</t>
        </r>
        <r>
          <rPr>
            <sz val="8"/>
            <color indexed="81"/>
            <rFont val="Tahoma"/>
            <family val="2"/>
          </rPr>
          <t xml:space="preserve">
Updated 8/23/12 - corrected error where weld was counted twice.</t>
        </r>
      </text>
    </comment>
    <comment ref="M466" authorId="2" shapeId="0" xr:uid="{00000000-0006-0000-0300-000032000000}">
      <text>
        <r>
          <rPr>
            <b/>
            <sz val="8"/>
            <color indexed="81"/>
            <rFont val="Tahoma"/>
            <family val="2"/>
          </rPr>
          <t>C Campbell:</t>
        </r>
        <r>
          <rPr>
            <sz val="8"/>
            <color indexed="81"/>
            <rFont val="Tahoma"/>
            <family val="2"/>
          </rPr>
          <t xml:space="preserve">
Updated 7/23/12
Updated 8/23/12 - corrected error where weld was counted twice.</t>
        </r>
      </text>
    </comment>
    <comment ref="M477" authorId="2" shapeId="0" xr:uid="{00000000-0006-0000-0300-000033000000}">
      <text>
        <r>
          <rPr>
            <b/>
            <sz val="8"/>
            <color indexed="81"/>
            <rFont val="Tahoma"/>
            <family val="2"/>
          </rPr>
          <t>C Campbell:</t>
        </r>
        <r>
          <rPr>
            <sz val="8"/>
            <color indexed="81"/>
            <rFont val="Tahoma"/>
            <family val="2"/>
          </rPr>
          <t xml:space="preserve">
Confirmed 7/23/12
Updated 8/23/12 - corrected error where weld was counted twice.</t>
        </r>
      </text>
    </comment>
    <comment ref="AL545" authorId="0" shapeId="0" xr:uid="{00000000-0006-0000-0300-000034000000}">
      <text>
        <r>
          <rPr>
            <sz val="9"/>
            <color indexed="81"/>
            <rFont val="Tahoma"/>
            <family val="2"/>
          </rPr>
          <t>109 = sum to ignore hidden values</t>
        </r>
      </text>
    </comment>
    <comment ref="A547" authorId="2" shapeId="0" xr:uid="{00000000-0006-0000-0300-000035000000}">
      <text>
        <r>
          <rPr>
            <b/>
            <sz val="8"/>
            <color indexed="81"/>
            <rFont val="Tahoma"/>
            <family val="2"/>
          </rPr>
          <t>Options:</t>
        </r>
        <r>
          <rPr>
            <sz val="8"/>
            <color indexed="81"/>
            <rFont val="Tahoma"/>
            <family val="2"/>
          </rPr>
          <t xml:space="preserve">
None
Std
HP</t>
        </r>
      </text>
    </comment>
    <comment ref="Q552" authorId="3" shapeId="0" xr:uid="{00000000-0006-0000-0300-000036000000}">
      <text>
        <r>
          <rPr>
            <b/>
            <sz val="8"/>
            <color indexed="81"/>
            <rFont val="Tahoma"/>
            <family val="2"/>
          </rPr>
          <t>ccampbell:</t>
        </r>
        <r>
          <rPr>
            <sz val="8"/>
            <color indexed="81"/>
            <rFont val="Tahoma"/>
            <family val="2"/>
          </rPr>
          <t xml:space="preserve">
For manufacturing to have a simpler schedule printout.</t>
        </r>
      </text>
    </comment>
    <comment ref="AL572" authorId="0" shapeId="0" xr:uid="{00000000-0006-0000-0300-000037000000}">
      <text>
        <r>
          <rPr>
            <sz val="9"/>
            <color indexed="81"/>
            <rFont val="Tahoma"/>
            <family val="2"/>
          </rPr>
          <t>109 = sum to ignore hidden values</t>
        </r>
      </text>
    </comment>
    <comment ref="M573" authorId="3" shapeId="0" xr:uid="{00000000-0006-0000-0300-000038000000}">
      <text>
        <r>
          <rPr>
            <b/>
            <sz val="8"/>
            <color indexed="81"/>
            <rFont val="Tahoma"/>
            <family val="2"/>
          </rPr>
          <t>ccampbell:</t>
        </r>
        <r>
          <rPr>
            <sz val="8"/>
            <color indexed="81"/>
            <rFont val="Tahoma"/>
            <family val="2"/>
          </rPr>
          <t xml:space="preserve">
Approximations.  Only needed for costing.</t>
        </r>
      </text>
    </comment>
    <comment ref="AL581" authorId="0" shapeId="0" xr:uid="{00000000-0006-0000-0300-000039000000}">
      <text>
        <r>
          <rPr>
            <sz val="9"/>
            <color indexed="81"/>
            <rFont val="Tahoma"/>
            <family val="2"/>
          </rPr>
          <t>109 = sum to ignore hidden values</t>
        </r>
      </text>
    </comment>
    <comment ref="A583" authorId="3" shapeId="0" xr:uid="{00000000-0006-0000-0300-00003A000000}">
      <text>
        <r>
          <rPr>
            <b/>
            <sz val="8"/>
            <color indexed="81"/>
            <rFont val="Tahoma"/>
            <family val="2"/>
          </rPr>
          <t>ccampbell: refer to Att sheets</t>
        </r>
        <r>
          <rPr>
            <sz val="8"/>
            <color indexed="81"/>
            <rFont val="Tahoma"/>
            <family val="2"/>
          </rPr>
          <t xml:space="preserve">
Standard
Auto
ADA</t>
        </r>
      </text>
    </comment>
    <comment ref="AL622" authorId="0" shapeId="0" xr:uid="{00000000-0006-0000-0300-00003B000000}">
      <text>
        <r>
          <rPr>
            <sz val="9"/>
            <color indexed="81"/>
            <rFont val="Tahoma"/>
            <family val="2"/>
          </rPr>
          <t>109 = sum to ignore hidden values</t>
        </r>
      </text>
    </comment>
    <comment ref="G623" authorId="0" shapeId="0" xr:uid="{00000000-0006-0000-0300-00003C000000}">
      <text>
        <r>
          <rPr>
            <sz val="9"/>
            <color indexed="81"/>
            <rFont val="Tahoma"/>
            <family val="2"/>
          </rPr>
          <t>5/32" dia. Bead = 1,010 ft / gallon</t>
        </r>
      </text>
    </comment>
    <comment ref="Y623" authorId="0" shapeId="0" xr:uid="{FFBFF7B5-FBDC-455F-802D-CC71C5D6BADB}">
      <text>
        <r>
          <rPr>
            <sz val="9"/>
            <color indexed="81"/>
            <rFont val="Tahoma"/>
            <family val="2"/>
          </rPr>
          <t>Dow Corning 1199
OR Pecora 896
OR Schnee-Morehead 5731</t>
        </r>
      </text>
    </comment>
    <comment ref="Y624" authorId="0" shapeId="0" xr:uid="{465FDD12-7626-4FFE-A75A-02D5E8F2EA78}">
      <text>
        <r>
          <rPr>
            <sz val="9"/>
            <color indexed="81"/>
            <rFont val="Tahoma"/>
            <family val="2"/>
          </rPr>
          <t>Dow Corning 1199
OR Pecora 896
OR Schnee-Morehead 5731</t>
        </r>
      </text>
    </comment>
    <comment ref="G625" authorId="0" shapeId="0" xr:uid="{00000000-0006-0000-0300-00003F000000}">
      <text>
        <r>
          <rPr>
            <sz val="9"/>
            <color indexed="81"/>
            <rFont val="Tahoma"/>
            <family val="2"/>
          </rPr>
          <t>EJAGVN103 Impact 1/4" dia. Bead = 392 ft / gallon</t>
        </r>
      </text>
    </comment>
    <comment ref="Y625" authorId="0" shapeId="0" xr:uid="{B3231F58-B38F-424A-9DF8-B0BC3EBBA492}">
      <text>
        <r>
          <rPr>
            <sz val="9"/>
            <color indexed="81"/>
            <rFont val="Tahoma"/>
            <family val="2"/>
          </rPr>
          <t>Henkel 1219461
OR Nat'l Starch 91-351A</t>
        </r>
      </text>
    </comment>
    <comment ref="Y626" authorId="0" shapeId="0" xr:uid="{E2CDEC11-9E58-432E-A184-D43400234EBF}">
      <text>
        <r>
          <rPr>
            <sz val="9"/>
            <color indexed="81"/>
            <rFont val="Tahoma"/>
            <family val="2"/>
          </rPr>
          <t>Henkel 1219461
OR Nat'l Starch 91-351A</t>
        </r>
      </text>
    </comment>
    <comment ref="AD627" authorId="0" shapeId="0" xr:uid="{00000000-0006-0000-0300-000041000000}">
      <text>
        <r>
          <rPr>
            <sz val="9"/>
            <color indexed="81"/>
            <rFont val="Tahoma"/>
            <family val="2"/>
          </rPr>
          <t>1 tube/10.3 oz x 128 oz/1 gallon</t>
        </r>
      </text>
    </comment>
    <comment ref="AD629" authorId="0" shapeId="0" xr:uid="{00000000-0006-0000-0300-000042000000}">
      <text>
        <r>
          <rPr>
            <sz val="9"/>
            <color indexed="81"/>
            <rFont val="Tahoma"/>
            <family val="2"/>
          </rPr>
          <t>Always 3 per top rail</t>
        </r>
      </text>
    </comment>
    <comment ref="AD632" authorId="0" shapeId="0" xr:uid="{00000000-0006-0000-0300-000043000000}">
      <text>
        <r>
          <rPr>
            <sz val="9"/>
            <color indexed="81"/>
            <rFont val="Tahoma"/>
            <family val="2"/>
          </rPr>
          <t>3 if one Lock, 4 if 2 Locks
Always 3 in Handle stile</t>
        </r>
      </text>
    </comment>
    <comment ref="AD634" authorId="0" shapeId="0" xr:uid="{00000000-0006-0000-0300-000044000000}">
      <text>
        <r>
          <rPr>
            <sz val="9"/>
            <color indexed="81"/>
            <rFont val="Tahoma"/>
            <family val="2"/>
          </rPr>
          <t>Always 3 per bottom rail</t>
        </r>
      </text>
    </comment>
    <comment ref="S636" authorId="1" shapeId="0" xr:uid="{0613E3F2-97C5-40B6-AF3A-6146794DEB34}">
      <text>
        <r>
          <rPr>
            <sz val="9"/>
            <color indexed="81"/>
            <rFont val="Tahoma"/>
            <family val="2"/>
          </rPr>
          <t>SL2HSWidth</t>
        </r>
      </text>
    </comment>
    <comment ref="S637" authorId="1" shapeId="0" xr:uid="{32EDB4F0-2CB3-4137-BD45-F41C9AE71C2E}">
      <text>
        <r>
          <rPr>
            <sz val="9"/>
            <color indexed="81"/>
            <rFont val="Tahoma"/>
            <family val="2"/>
          </rPr>
          <t>SL2HSHeight</t>
        </r>
      </text>
    </comment>
    <comment ref="AL682" authorId="0" shapeId="0" xr:uid="{00000000-0006-0000-0300-000045000000}">
      <text>
        <r>
          <rPr>
            <sz val="9"/>
            <color indexed="81"/>
            <rFont val="Tahoma"/>
            <family val="2"/>
          </rPr>
          <t>109 = sum to ignore hidden values</t>
        </r>
      </text>
    </comment>
    <comment ref="AL691" authorId="0" shapeId="0" xr:uid="{00000000-0006-0000-0300-000046000000}">
      <text>
        <r>
          <rPr>
            <sz val="9"/>
            <color indexed="81"/>
            <rFont val="Tahoma"/>
            <family val="2"/>
          </rPr>
          <t>109 = sum to ignore hidden values</t>
        </r>
      </text>
    </comment>
    <comment ref="AL695" authorId="0" shapeId="0" xr:uid="{00000000-0006-0000-0300-000047000000}">
      <text>
        <r>
          <rPr>
            <sz val="9"/>
            <color indexed="81"/>
            <rFont val="Tahoma"/>
            <family val="2"/>
          </rPr>
          <t>109 = sum to ignore hidden values</t>
        </r>
      </text>
    </comment>
    <comment ref="AL705" authorId="0" shapeId="0" xr:uid="{00000000-0006-0000-0300-000048000000}">
      <text>
        <r>
          <rPr>
            <sz val="9"/>
            <color indexed="81"/>
            <rFont val="Tahoma"/>
            <family val="2"/>
          </rPr>
          <t>109 = sum to ignore hidden values</t>
        </r>
      </text>
    </comment>
    <comment ref="AL709" authorId="0" shapeId="0" xr:uid="{00000000-0006-0000-0300-000049000000}">
      <text>
        <r>
          <rPr>
            <sz val="9"/>
            <color indexed="81"/>
            <rFont val="Tahoma"/>
            <family val="2"/>
          </rPr>
          <t>109 = sum to ignore hidden values</t>
        </r>
      </text>
    </comment>
    <comment ref="O713" authorId="0" shapeId="0" xr:uid="{00000000-0006-0000-0300-00004A000000}">
      <text>
        <r>
          <rPr>
            <sz val="9"/>
            <color indexed="81"/>
            <rFont val="Tahoma"/>
            <family val="2"/>
          </rPr>
          <t>Always 2 revs at head, 2 revs at center to hold foam blocks in place</t>
        </r>
      </text>
    </comment>
    <comment ref="AL717" authorId="0" shapeId="0" xr:uid="{00000000-0006-0000-0300-00004B000000}">
      <text>
        <r>
          <rPr>
            <sz val="9"/>
            <color indexed="81"/>
            <rFont val="Tahoma"/>
            <family val="2"/>
          </rPr>
          <t>109 = sum to ignore hidden values</t>
        </r>
      </text>
    </comment>
    <comment ref="M734" authorId="2" shapeId="0" xr:uid="{00000000-0006-0000-0300-00004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34" authorId="0" shapeId="0" xr:uid="{00000000-0006-0000-0300-00004D000000}">
      <text>
        <r>
          <rPr>
            <sz val="9"/>
            <color indexed="81"/>
            <rFont val="Tahoma"/>
            <family val="2"/>
          </rPr>
          <t>SL2FGW</t>
        </r>
      </text>
    </comment>
    <comment ref="M735" authorId="2" shapeId="0" xr:uid="{00000000-0006-0000-0300-00004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35" authorId="0" shapeId="0" xr:uid="{00000000-0006-0000-0300-00004F000000}">
      <text>
        <r>
          <rPr>
            <sz val="9"/>
            <color indexed="81"/>
            <rFont val="Tahoma"/>
            <family val="2"/>
          </rPr>
          <t>SL2FGH</t>
        </r>
      </text>
    </comment>
    <comment ref="M736" authorId="2" shapeId="0" xr:uid="{00000000-0006-0000-0300-00005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37" authorId="2" shapeId="0" xr:uid="{00000000-0006-0000-0300-00005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40" authorId="2" shapeId="0" xr:uid="{00000000-0006-0000-0300-00005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40" authorId="0" shapeId="0" xr:uid="{00000000-0006-0000-0300-000053000000}">
      <text>
        <r>
          <rPr>
            <sz val="9"/>
            <color indexed="81"/>
            <rFont val="Tahoma"/>
            <family val="2"/>
          </rPr>
          <t>SL2SGW</t>
        </r>
      </text>
    </comment>
    <comment ref="M741" authorId="2" shapeId="0" xr:uid="{00000000-0006-0000-0300-00005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41" authorId="0" shapeId="0" xr:uid="{00000000-0006-0000-0300-000055000000}">
      <text>
        <r>
          <rPr>
            <sz val="9"/>
            <color indexed="81"/>
            <rFont val="Tahoma"/>
            <family val="2"/>
          </rPr>
          <t>SL2SGH</t>
        </r>
      </text>
    </comment>
    <comment ref="M742" authorId="2" shapeId="0" xr:uid="{00000000-0006-0000-0300-00005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43" authorId="2" shapeId="0" xr:uid="{00000000-0006-0000-0300-00005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49" authorId="2" shapeId="0" xr:uid="{00000000-0006-0000-0300-00005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0" authorId="2" shapeId="0" xr:uid="{00000000-0006-0000-0300-00005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1" authorId="2" shapeId="0" xr:uid="{00000000-0006-0000-0300-00005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2" authorId="2" shapeId="0" xr:uid="{00000000-0006-0000-0300-00005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3" authorId="2" shapeId="0" xr:uid="{00000000-0006-0000-0300-00005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7" authorId="2" shapeId="0" xr:uid="{00000000-0006-0000-0300-00005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8" authorId="2" shapeId="0" xr:uid="{00000000-0006-0000-0300-00005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9" authorId="2" shapeId="0" xr:uid="{00000000-0006-0000-0300-00005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0" authorId="2" shapeId="0" xr:uid="{00000000-0006-0000-0300-00006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1" authorId="2" shapeId="0" xr:uid="{00000000-0006-0000-0300-00006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2" authorId="2" shapeId="0" xr:uid="{00000000-0006-0000-0300-00006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Q767" authorId="2" shapeId="0" xr:uid="{00000000-0006-0000-0300-000063000000}">
      <text>
        <r>
          <rPr>
            <b/>
            <sz val="8"/>
            <color indexed="81"/>
            <rFont val="Tahoma"/>
            <family val="2"/>
          </rPr>
          <t>Colin Campbell:</t>
        </r>
        <r>
          <rPr>
            <sz val="8"/>
            <color indexed="81"/>
            <rFont val="Tahoma"/>
            <family val="2"/>
          </rPr>
          <t xml:space="preserve">
Corrected in Rev 18 on 8/16
Was -1.063</t>
        </r>
      </text>
    </comment>
    <comment ref="S767" authorId="1" shapeId="0" xr:uid="{099BC3D9-D453-4CBF-B596-13FFCB993B86}">
      <text>
        <r>
          <rPr>
            <sz val="9"/>
            <color indexed="81"/>
            <rFont val="Tahoma"/>
            <family val="2"/>
          </rPr>
          <t>SL2RSashW</t>
        </r>
      </text>
    </comment>
    <comment ref="S770" authorId="1" shapeId="0" xr:uid="{9864D728-4E8B-483C-815C-E67014416587}">
      <text>
        <r>
          <rPr>
            <sz val="9"/>
            <color indexed="81"/>
            <rFont val="Tahoma"/>
            <family val="2"/>
          </rPr>
          <t>SL2SO</t>
        </r>
      </text>
    </comment>
    <comment ref="S771" authorId="0" shapeId="0" xr:uid="{00000000-0006-0000-0300-000064000000}">
      <text>
        <r>
          <rPr>
            <sz val="9"/>
            <color indexed="81"/>
            <rFont val="Tahoma"/>
            <family val="2"/>
          </rPr>
          <t>SL2SORnd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Greg De Boer</author>
    <author>Colin Campbell</author>
    <author>sy gibbs</author>
    <author>Steve Strachan</author>
    <author>ccampbell</author>
    <author>CCampbell</author>
    <author>Strachan, Steve</author>
    <author>Greg DeBoer</author>
  </authors>
  <commentList>
    <comment ref="W8" authorId="0" shapeId="0" xr:uid="{870D04DC-689E-459C-A26B-86941B2512D2}">
      <text>
        <r>
          <rPr>
            <sz val="9"/>
            <color indexed="81"/>
            <rFont val="Tahoma"/>
            <family val="2"/>
          </rPr>
          <t>= SLEQSORnd</t>
        </r>
      </text>
    </comment>
    <comment ref="AG11" authorId="0" shapeId="0" xr:uid="{82AC26F0-5D88-4A9C-9CCA-CD8AA534FA52}">
      <text>
        <r>
          <rPr>
            <sz val="9"/>
            <color indexed="81"/>
            <rFont val="Tahoma"/>
            <family val="2"/>
          </rPr>
          <t>AtolbperftEQ</t>
        </r>
      </text>
    </comment>
    <comment ref="AH11" authorId="1" shapeId="0" xr:uid="{00000000-0006-0000-0400-000001000000}">
      <text>
        <r>
          <rPr>
            <sz val="8"/>
            <color indexed="81"/>
            <rFont val="Tahoma"/>
            <family val="2"/>
          </rPr>
          <t>= lb/ft * $/lb</t>
        </r>
      </text>
    </comment>
    <comment ref="C12" authorId="2" shapeId="0" xr:uid="{00000000-0006-0000-04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2" authorId="2" shapeId="0" xr:uid="{00000000-0006-0000-04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V12" authorId="3" shapeId="0" xr:uid="{43931FB3-1C4A-4033-8A1C-AAD93F668605}">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3" shapeId="0" xr:uid="{44DF16E3-43E5-4DB5-B1A3-AAFF921241B7}">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6" authorId="1" shapeId="0" xr:uid="{00000000-0006-0000-0400-000004000000}">
      <text>
        <r>
          <rPr>
            <b/>
            <sz val="8"/>
            <color indexed="81"/>
            <rFont val="Tahoma"/>
            <family val="2"/>
          </rPr>
          <t>Colin Campbell:</t>
        </r>
        <r>
          <rPr>
            <sz val="8"/>
            <color indexed="81"/>
            <rFont val="Tahoma"/>
            <family val="2"/>
          </rPr>
          <t xml:space="preserve">
Confirmed 7/23/12</t>
        </r>
      </text>
    </comment>
    <comment ref="AF16" authorId="4" shapeId="0" xr:uid="{00000000-0006-0000-0400-000005000000}">
      <text>
        <r>
          <rPr>
            <b/>
            <sz val="8"/>
            <color indexed="81"/>
            <rFont val="Tahoma"/>
            <family val="2"/>
          </rPr>
          <t>ccampbell:</t>
        </r>
        <r>
          <rPr>
            <sz val="8"/>
            <color indexed="81"/>
            <rFont val="Tahoma"/>
            <family val="2"/>
          </rPr>
          <t xml:space="preserve">
updated 4/6</t>
        </r>
      </text>
    </comment>
    <comment ref="M17" authorId="4" shapeId="0" xr:uid="{00000000-0006-0000-0400-000006000000}">
      <text>
        <r>
          <rPr>
            <b/>
            <sz val="8"/>
            <color indexed="81"/>
            <rFont val="Tahoma"/>
            <family val="2"/>
          </rPr>
          <t>ccampbell:</t>
        </r>
        <r>
          <rPr>
            <sz val="8"/>
            <color indexed="81"/>
            <rFont val="Tahoma"/>
            <family val="2"/>
          </rPr>
          <t xml:space="preserve">
updated 7/23/12.</t>
        </r>
      </text>
    </comment>
    <comment ref="M29" authorId="4" shapeId="0" xr:uid="{00000000-0006-0000-0400-000008000000}">
      <text>
        <r>
          <rPr>
            <b/>
            <sz val="8"/>
            <color indexed="81"/>
            <rFont val="Tahoma"/>
            <family val="2"/>
          </rPr>
          <t xml:space="preserve">Rhall: 
Confirmed 1-21-13
</t>
        </r>
      </text>
    </comment>
    <comment ref="O29" authorId="4" shapeId="0" xr:uid="{00000000-0006-0000-0400-000009000000}">
      <text>
        <r>
          <rPr>
            <b/>
            <sz val="8"/>
            <color indexed="81"/>
            <rFont val="Tahoma"/>
            <family val="2"/>
          </rPr>
          <t>ccampbell:</t>
        </r>
        <r>
          <rPr>
            <sz val="8"/>
            <color indexed="81"/>
            <rFont val="Tahoma"/>
            <family val="2"/>
          </rPr>
          <t xml:space="preserve">
Only welded on one end.</t>
        </r>
      </text>
    </comment>
    <comment ref="M30" authorId="4" shapeId="0" xr:uid="{00000000-0006-0000-0400-00000A000000}">
      <text>
        <r>
          <rPr>
            <b/>
            <sz val="8"/>
            <color indexed="81"/>
            <rFont val="Tahoma"/>
            <family val="2"/>
          </rPr>
          <t>ccampbell:</t>
        </r>
        <r>
          <rPr>
            <sz val="8"/>
            <color indexed="81"/>
            <rFont val="Tahoma"/>
            <family val="2"/>
          </rPr>
          <t xml:space="preserve">
Confirmed 1/11/13</t>
        </r>
      </text>
    </comment>
    <comment ref="M31" authorId="4" shapeId="0" xr:uid="{00000000-0006-0000-0400-00000B000000}">
      <text>
        <r>
          <rPr>
            <b/>
            <sz val="8"/>
            <color indexed="81"/>
            <rFont val="Tahoma"/>
            <family val="2"/>
          </rPr>
          <t>ccampbell:</t>
        </r>
        <r>
          <rPr>
            <sz val="8"/>
            <color indexed="81"/>
            <rFont val="Tahoma"/>
            <family val="2"/>
          </rPr>
          <t xml:space="preserve">
Confirmed 1/11/13</t>
        </r>
      </text>
    </comment>
    <comment ref="M37" authorId="1" shapeId="0" xr:uid="{00000000-0006-0000-0400-00000C000000}">
      <text>
        <r>
          <rPr>
            <b/>
            <sz val="8"/>
            <color indexed="81"/>
            <rFont val="Tahoma"/>
            <family val="2"/>
          </rPr>
          <t>Colin Campbell:</t>
        </r>
        <r>
          <rPr>
            <sz val="8"/>
            <color indexed="81"/>
            <rFont val="Tahoma"/>
            <family val="2"/>
          </rPr>
          <t xml:space="preserve">
Confirmed 7/23/12</t>
        </r>
      </text>
    </comment>
    <comment ref="M38" authorId="4" shapeId="0" xr:uid="{00000000-0006-0000-0400-00000D000000}">
      <text>
        <r>
          <rPr>
            <b/>
            <sz val="8"/>
            <color indexed="81"/>
            <rFont val="Tahoma"/>
            <family val="2"/>
          </rPr>
          <t>ccampbell:</t>
        </r>
        <r>
          <rPr>
            <sz val="8"/>
            <color indexed="81"/>
            <rFont val="Tahoma"/>
            <family val="2"/>
          </rPr>
          <t xml:space="preserve">
updated 3/16.  Full length material</t>
        </r>
      </text>
    </comment>
    <comment ref="M48" authorId="1" shapeId="0" xr:uid="{00000000-0006-0000-0400-00000E000000}">
      <text>
        <r>
          <rPr>
            <b/>
            <sz val="8"/>
            <color indexed="81"/>
            <rFont val="Tahoma"/>
            <family val="2"/>
          </rPr>
          <t>Colin Campbell:</t>
        </r>
        <r>
          <rPr>
            <sz val="8"/>
            <color indexed="81"/>
            <rFont val="Tahoma"/>
            <family val="2"/>
          </rPr>
          <t xml:space="preserve">
Updated 1/11/13 to match jamb raw length.</t>
        </r>
      </text>
    </comment>
    <comment ref="M56" authorId="1" shapeId="0" xr:uid="{00000000-0006-0000-0400-00000F000000}">
      <text>
        <r>
          <rPr>
            <b/>
            <sz val="8"/>
            <color indexed="81"/>
            <rFont val="Tahoma"/>
            <family val="2"/>
          </rPr>
          <t>Colin Campbell:</t>
        </r>
        <r>
          <rPr>
            <sz val="8"/>
            <color indexed="81"/>
            <rFont val="Tahoma"/>
            <family val="2"/>
          </rPr>
          <t xml:space="preserve">
Confirmed 7/23/12</t>
        </r>
      </text>
    </comment>
    <comment ref="AF56" authorId="4" shapeId="0" xr:uid="{00000000-0006-0000-0400-000010000000}">
      <text>
        <r>
          <rPr>
            <b/>
            <sz val="8"/>
            <color indexed="81"/>
            <rFont val="Tahoma"/>
            <family val="2"/>
          </rPr>
          <t>ccampbell:</t>
        </r>
        <r>
          <rPr>
            <sz val="8"/>
            <color indexed="81"/>
            <rFont val="Tahoma"/>
            <family val="2"/>
          </rPr>
          <t xml:space="preserve">
updated 4/6</t>
        </r>
      </text>
    </comment>
    <comment ref="M69" authorId="4" shapeId="0" xr:uid="{00000000-0006-0000-0400-000012000000}">
      <text>
        <r>
          <rPr>
            <b/>
            <sz val="8"/>
            <color indexed="81"/>
            <rFont val="Tahoma"/>
            <family val="2"/>
          </rPr>
          <t>ccampbell:</t>
        </r>
        <r>
          <rPr>
            <sz val="8"/>
            <color indexed="81"/>
            <rFont val="Tahoma"/>
            <family val="2"/>
          </rPr>
          <t xml:space="preserve">
Confirmed 1/11/13</t>
        </r>
      </text>
    </comment>
    <comment ref="M70" authorId="4" shapeId="0" xr:uid="{00000000-0006-0000-0400-000013000000}">
      <text>
        <r>
          <rPr>
            <b/>
            <sz val="8"/>
            <color indexed="81"/>
            <rFont val="Tahoma"/>
            <family val="2"/>
          </rPr>
          <t xml:space="preserve">ccampbell:
</t>
        </r>
        <r>
          <rPr>
            <sz val="8"/>
            <color indexed="81"/>
            <rFont val="Tahoma"/>
            <family val="2"/>
          </rPr>
          <t>Added &amp; confirmed 1/11/13</t>
        </r>
      </text>
    </comment>
    <comment ref="M77" authorId="1" shapeId="0" xr:uid="{00000000-0006-0000-0400-000014000000}">
      <text>
        <r>
          <rPr>
            <b/>
            <sz val="8"/>
            <color indexed="81"/>
            <rFont val="Tahoma"/>
            <family val="2"/>
          </rPr>
          <t>Colin Campbell:</t>
        </r>
        <r>
          <rPr>
            <sz val="8"/>
            <color indexed="81"/>
            <rFont val="Tahoma"/>
            <family val="2"/>
          </rPr>
          <t xml:space="preserve">
Confirmed 7/23/12</t>
        </r>
      </text>
    </comment>
    <comment ref="M84" authorId="1" shapeId="0" xr:uid="{00000000-0006-0000-0400-000015000000}">
      <text>
        <r>
          <rPr>
            <b/>
            <sz val="8"/>
            <color indexed="81"/>
            <rFont val="Tahoma"/>
            <family val="2"/>
          </rPr>
          <t>Colin Campbell:</t>
        </r>
        <r>
          <rPr>
            <sz val="8"/>
            <color indexed="81"/>
            <rFont val="Tahoma"/>
            <family val="2"/>
          </rPr>
          <t xml:space="preserve">
Updated 1/11/13 to match jamb raw length.</t>
        </r>
      </text>
    </comment>
    <comment ref="M92" authorId="1" shapeId="0" xr:uid="{00000000-0006-0000-0400-000016000000}">
      <text>
        <r>
          <rPr>
            <b/>
            <sz val="8"/>
            <color indexed="81"/>
            <rFont val="Tahoma"/>
            <family val="2"/>
          </rPr>
          <t>Colin Campbell:</t>
        </r>
        <r>
          <rPr>
            <sz val="8"/>
            <color indexed="81"/>
            <rFont val="Tahoma"/>
            <family val="2"/>
          </rPr>
          <t xml:space="preserve">
Confirmed 7/23/12</t>
        </r>
      </text>
    </comment>
    <comment ref="AF92" authorId="4" shapeId="0" xr:uid="{00000000-0006-0000-0400-000017000000}">
      <text>
        <r>
          <rPr>
            <b/>
            <sz val="8"/>
            <color indexed="81"/>
            <rFont val="Tahoma"/>
            <family val="2"/>
          </rPr>
          <t>ccampbell:</t>
        </r>
        <r>
          <rPr>
            <sz val="8"/>
            <color indexed="81"/>
            <rFont val="Tahoma"/>
            <family val="2"/>
          </rPr>
          <t xml:space="preserve">
updated 4/6</t>
        </r>
      </text>
    </comment>
    <comment ref="M105" authorId="1" shapeId="0" xr:uid="{00000000-0006-0000-0400-000019000000}">
      <text>
        <r>
          <rPr>
            <b/>
            <sz val="8"/>
            <color indexed="81"/>
            <rFont val="Tahoma"/>
            <family val="2"/>
          </rPr>
          <t>Colin Campbell:</t>
        </r>
        <r>
          <rPr>
            <sz val="8"/>
            <color indexed="81"/>
            <rFont val="Tahoma"/>
            <family val="2"/>
          </rPr>
          <t xml:space="preserve">
Confirmed 7/23/12</t>
        </r>
      </text>
    </comment>
    <comment ref="M112" authorId="1" shapeId="0" xr:uid="{00000000-0006-0000-0400-00001A000000}">
      <text>
        <r>
          <rPr>
            <b/>
            <sz val="8"/>
            <color indexed="81"/>
            <rFont val="Tahoma"/>
            <family val="2"/>
          </rPr>
          <t>Colin Campbell:</t>
        </r>
        <r>
          <rPr>
            <sz val="8"/>
            <color indexed="81"/>
            <rFont val="Tahoma"/>
            <family val="2"/>
          </rPr>
          <t xml:space="preserve">
Updated 1/11/13 to match jamb raw length.</t>
        </r>
      </text>
    </comment>
    <comment ref="M119" authorId="4" shapeId="0" xr:uid="{00000000-0006-0000-0400-00001B000000}">
      <text>
        <r>
          <rPr>
            <b/>
            <sz val="8"/>
            <color indexed="81"/>
            <rFont val="Tahoma"/>
            <family val="2"/>
          </rPr>
          <t>ccampbell:</t>
        </r>
        <r>
          <rPr>
            <sz val="8"/>
            <color indexed="81"/>
            <rFont val="Tahoma"/>
            <family val="2"/>
          </rPr>
          <t xml:space="preserve">
Confirmed 1/11/13
Updated to match Classic on 1/16/13</t>
        </r>
      </text>
    </comment>
    <comment ref="M146" authorId="1" shapeId="0" xr:uid="{00000000-0006-0000-0400-00001C000000}">
      <text>
        <r>
          <rPr>
            <b/>
            <sz val="8"/>
            <color indexed="81"/>
            <rFont val="Tahoma"/>
            <family val="2"/>
          </rPr>
          <t>Colin Campbell:</t>
        </r>
        <r>
          <rPr>
            <sz val="8"/>
            <color indexed="81"/>
            <rFont val="Tahoma"/>
            <family val="2"/>
          </rPr>
          <t xml:space="preserve">
Confirmed 7/23/12</t>
        </r>
      </text>
    </comment>
    <comment ref="M163" authorId="1" shapeId="0" xr:uid="{00000000-0006-0000-0400-00001D000000}">
      <text>
        <r>
          <rPr>
            <b/>
            <sz val="8"/>
            <color indexed="81"/>
            <rFont val="Tahoma"/>
            <family val="2"/>
          </rPr>
          <t>Colin Campbell:</t>
        </r>
        <r>
          <rPr>
            <sz val="8"/>
            <color indexed="81"/>
            <rFont val="Tahoma"/>
            <family val="2"/>
          </rPr>
          <t xml:space="preserve">
Confirmed 7/23/12</t>
        </r>
      </text>
    </comment>
    <comment ref="AF163" authorId="4" shapeId="0" xr:uid="{00000000-0006-0000-0400-00001E000000}">
      <text>
        <r>
          <rPr>
            <b/>
            <sz val="8"/>
            <color indexed="81"/>
            <rFont val="Tahoma"/>
            <family val="2"/>
          </rPr>
          <t>ccampbell:</t>
        </r>
        <r>
          <rPr>
            <sz val="8"/>
            <color indexed="81"/>
            <rFont val="Tahoma"/>
            <family val="2"/>
          </rPr>
          <t xml:space="preserve">
updated 4/6</t>
        </r>
      </text>
    </comment>
    <comment ref="M164" authorId="1" shapeId="0" xr:uid="{00000000-0006-0000-0400-00001F000000}">
      <text>
        <r>
          <rPr>
            <b/>
            <sz val="8"/>
            <color indexed="81"/>
            <rFont val="Tahoma"/>
            <family val="2"/>
          </rPr>
          <t>Colin Campbell:</t>
        </r>
        <r>
          <rPr>
            <sz val="8"/>
            <color indexed="81"/>
            <rFont val="Tahoma"/>
            <family val="2"/>
          </rPr>
          <t xml:space="preserve">
Confirmed 7/23/12</t>
        </r>
      </text>
    </comment>
    <comment ref="M172" authorId="1" shapeId="0" xr:uid="{00000000-0006-0000-0400-000021000000}">
      <text>
        <r>
          <rPr>
            <b/>
            <sz val="8"/>
            <color indexed="81"/>
            <rFont val="Tahoma"/>
            <family val="2"/>
          </rPr>
          <t>Colin Campbell:</t>
        </r>
        <r>
          <rPr>
            <sz val="8"/>
            <color indexed="81"/>
            <rFont val="Tahoma"/>
            <family val="2"/>
          </rPr>
          <t xml:space="preserve">
Confirmed 7/23/12</t>
        </r>
      </text>
    </comment>
    <comment ref="AF172" authorId="4" shapeId="0" xr:uid="{00000000-0006-0000-0400-000022000000}">
      <text>
        <r>
          <rPr>
            <b/>
            <sz val="8"/>
            <color indexed="81"/>
            <rFont val="Tahoma"/>
            <family val="2"/>
          </rPr>
          <t>ccampbell:</t>
        </r>
        <r>
          <rPr>
            <sz val="8"/>
            <color indexed="81"/>
            <rFont val="Tahoma"/>
            <family val="2"/>
          </rPr>
          <t xml:space="preserve">
updated 4/6</t>
        </r>
      </text>
    </comment>
    <comment ref="M173" authorId="1" shapeId="0" xr:uid="{00000000-0006-0000-0400-000023000000}">
      <text>
        <r>
          <rPr>
            <b/>
            <sz val="8"/>
            <color indexed="81"/>
            <rFont val="Tahoma"/>
            <family val="2"/>
          </rPr>
          <t>Colin Campbell:</t>
        </r>
        <r>
          <rPr>
            <sz val="8"/>
            <color indexed="81"/>
            <rFont val="Tahoma"/>
            <family val="2"/>
          </rPr>
          <t xml:space="preserve">
Confirmed 7/23/12</t>
        </r>
      </text>
    </comment>
    <comment ref="M185" authorId="1" shapeId="0" xr:uid="{00000000-0006-0000-0400-000025000000}">
      <text>
        <r>
          <rPr>
            <b/>
            <sz val="8"/>
            <color indexed="81"/>
            <rFont val="Tahoma"/>
            <family val="2"/>
          </rPr>
          <t>Colin Campbell:</t>
        </r>
        <r>
          <rPr>
            <sz val="8"/>
            <color indexed="81"/>
            <rFont val="Tahoma"/>
            <family val="2"/>
          </rPr>
          <t xml:space="preserve">
Confirmed 7/23/12</t>
        </r>
      </text>
    </comment>
    <comment ref="M192" authorId="1" shapeId="0" xr:uid="{00000000-0006-0000-0400-000026000000}">
      <text>
        <r>
          <rPr>
            <b/>
            <sz val="8"/>
            <color indexed="81"/>
            <rFont val="Tahoma"/>
            <family val="2"/>
          </rPr>
          <t>Colin Campbell:</t>
        </r>
        <r>
          <rPr>
            <sz val="8"/>
            <color indexed="81"/>
            <rFont val="Tahoma"/>
            <family val="2"/>
          </rPr>
          <t xml:space="preserve">
Confirmed 7/23/12</t>
        </r>
      </text>
    </comment>
    <comment ref="AF192" authorId="4" shapeId="0" xr:uid="{00000000-0006-0000-0400-000027000000}">
      <text>
        <r>
          <rPr>
            <b/>
            <sz val="8"/>
            <color indexed="81"/>
            <rFont val="Tahoma"/>
            <family val="2"/>
          </rPr>
          <t>ccampbell:</t>
        </r>
        <r>
          <rPr>
            <sz val="8"/>
            <color indexed="81"/>
            <rFont val="Tahoma"/>
            <family val="2"/>
          </rPr>
          <t xml:space="preserve">
updated 4/6</t>
        </r>
      </text>
    </comment>
    <comment ref="M193" authorId="4" shapeId="0" xr:uid="{00000000-0006-0000-0400-000028000000}">
      <text>
        <r>
          <rPr>
            <b/>
            <sz val="8"/>
            <color indexed="81"/>
            <rFont val="Tahoma"/>
            <family val="2"/>
          </rPr>
          <t>ccampbell:</t>
        </r>
        <r>
          <rPr>
            <sz val="8"/>
            <color indexed="81"/>
            <rFont val="Tahoma"/>
            <family val="2"/>
          </rPr>
          <t xml:space="preserve">
updated 3/16.  Full length material</t>
        </r>
      </text>
    </comment>
    <comment ref="M201" authorId="1" shapeId="0" xr:uid="{00000000-0006-0000-0400-00002A000000}">
      <text>
        <r>
          <rPr>
            <b/>
            <sz val="8"/>
            <color indexed="81"/>
            <rFont val="Tahoma"/>
            <family val="2"/>
          </rPr>
          <t>Colin Campbell:</t>
        </r>
        <r>
          <rPr>
            <sz val="8"/>
            <color indexed="81"/>
            <rFont val="Tahoma"/>
            <family val="2"/>
          </rPr>
          <t xml:space="preserve">
Confirmed 7/23/12</t>
        </r>
      </text>
    </comment>
    <comment ref="AF201" authorId="4" shapeId="0" xr:uid="{00000000-0006-0000-0400-00002B000000}">
      <text>
        <r>
          <rPr>
            <b/>
            <sz val="8"/>
            <color indexed="81"/>
            <rFont val="Tahoma"/>
            <family val="2"/>
          </rPr>
          <t>ccampbell:</t>
        </r>
        <r>
          <rPr>
            <sz val="8"/>
            <color indexed="81"/>
            <rFont val="Tahoma"/>
            <family val="2"/>
          </rPr>
          <t xml:space="preserve">
updated 4/6</t>
        </r>
      </text>
    </comment>
    <comment ref="M202" authorId="4" shapeId="0" xr:uid="{00000000-0006-0000-0400-00002C000000}">
      <text>
        <r>
          <rPr>
            <b/>
            <sz val="8"/>
            <color indexed="81"/>
            <rFont val="Tahoma"/>
            <family val="2"/>
          </rPr>
          <t>ccampbell:</t>
        </r>
        <r>
          <rPr>
            <sz val="8"/>
            <color indexed="81"/>
            <rFont val="Tahoma"/>
            <family val="2"/>
          </rPr>
          <t xml:space="preserve">
updated 3/16.  Full length material</t>
        </r>
      </text>
    </comment>
    <comment ref="M210" authorId="1" shapeId="0" xr:uid="{00000000-0006-0000-0400-00002E000000}">
      <text>
        <r>
          <rPr>
            <b/>
            <sz val="8"/>
            <color indexed="81"/>
            <rFont val="Tahoma"/>
            <family val="2"/>
          </rPr>
          <t>Colin Campbell:</t>
        </r>
        <r>
          <rPr>
            <sz val="8"/>
            <color indexed="81"/>
            <rFont val="Tahoma"/>
            <family val="2"/>
          </rPr>
          <t xml:space="preserve">
Confirmed 7/23/12</t>
        </r>
      </text>
    </comment>
    <comment ref="M217" authorId="1" shapeId="0" xr:uid="{00000000-0006-0000-0400-00002F000000}">
      <text>
        <r>
          <rPr>
            <b/>
            <sz val="8"/>
            <color indexed="81"/>
            <rFont val="Tahoma"/>
            <family val="2"/>
          </rPr>
          <t>Colin Campbell:</t>
        </r>
        <r>
          <rPr>
            <sz val="8"/>
            <color indexed="81"/>
            <rFont val="Tahoma"/>
            <family val="2"/>
          </rPr>
          <t xml:space="preserve">
Confirmed 7/23/12</t>
        </r>
      </text>
    </comment>
    <comment ref="AF217" authorId="4" shapeId="0" xr:uid="{00000000-0006-0000-0400-000030000000}">
      <text>
        <r>
          <rPr>
            <b/>
            <sz val="8"/>
            <color indexed="81"/>
            <rFont val="Tahoma"/>
            <family val="2"/>
          </rPr>
          <t>ccampbell:</t>
        </r>
        <r>
          <rPr>
            <sz val="8"/>
            <color indexed="81"/>
            <rFont val="Tahoma"/>
            <family val="2"/>
          </rPr>
          <t xml:space="preserve">
updated 4/6</t>
        </r>
      </text>
    </comment>
    <comment ref="M218" authorId="4" shapeId="0" xr:uid="{00000000-0006-0000-0400-000031000000}">
      <text>
        <r>
          <rPr>
            <b/>
            <sz val="8"/>
            <color indexed="81"/>
            <rFont val="Tahoma"/>
            <family val="2"/>
          </rPr>
          <t>ccampbell:</t>
        </r>
        <r>
          <rPr>
            <sz val="8"/>
            <color indexed="81"/>
            <rFont val="Tahoma"/>
            <family val="2"/>
          </rPr>
          <t xml:space="preserve">
updated 3/16.  Full length material</t>
        </r>
      </text>
    </comment>
    <comment ref="M226" authorId="1" shapeId="0" xr:uid="{00000000-0006-0000-0400-000033000000}">
      <text>
        <r>
          <rPr>
            <b/>
            <sz val="8"/>
            <color indexed="81"/>
            <rFont val="Tahoma"/>
            <family val="2"/>
          </rPr>
          <t>Colin Campbell:</t>
        </r>
        <r>
          <rPr>
            <sz val="8"/>
            <color indexed="81"/>
            <rFont val="Tahoma"/>
            <family val="2"/>
          </rPr>
          <t xml:space="preserve">
Confirmed 7/23/12</t>
        </r>
      </text>
    </comment>
    <comment ref="AF226" authorId="4" shapeId="0" xr:uid="{00000000-0006-0000-0400-000034000000}">
      <text>
        <r>
          <rPr>
            <b/>
            <sz val="8"/>
            <color indexed="81"/>
            <rFont val="Tahoma"/>
            <family val="2"/>
          </rPr>
          <t>ccampbell:</t>
        </r>
        <r>
          <rPr>
            <sz val="8"/>
            <color indexed="81"/>
            <rFont val="Tahoma"/>
            <family val="2"/>
          </rPr>
          <t xml:space="preserve">
updated 4/6</t>
        </r>
      </text>
    </comment>
    <comment ref="M227" authorId="4" shapeId="0" xr:uid="{00000000-0006-0000-0400-000035000000}">
      <text>
        <r>
          <rPr>
            <b/>
            <sz val="8"/>
            <color indexed="81"/>
            <rFont val="Tahoma"/>
            <family val="2"/>
          </rPr>
          <t>ccampbell:</t>
        </r>
        <r>
          <rPr>
            <sz val="8"/>
            <color indexed="81"/>
            <rFont val="Tahoma"/>
            <family val="2"/>
          </rPr>
          <t xml:space="preserve">
updated 3/16.  Full length material</t>
        </r>
      </text>
    </comment>
    <comment ref="M235" authorId="1" shapeId="0" xr:uid="{00000000-0006-0000-0400-000037000000}">
      <text>
        <r>
          <rPr>
            <b/>
            <sz val="8"/>
            <color indexed="81"/>
            <rFont val="Tahoma"/>
            <family val="2"/>
          </rPr>
          <t>Colin Campbell:</t>
        </r>
        <r>
          <rPr>
            <sz val="8"/>
            <color indexed="81"/>
            <rFont val="Tahoma"/>
            <family val="2"/>
          </rPr>
          <t xml:space="preserve">
Confirmed 7/23/12</t>
        </r>
      </text>
    </comment>
    <comment ref="M241" authorId="1" shapeId="0" xr:uid="{00000000-0006-0000-0400-000038000000}">
      <text>
        <r>
          <rPr>
            <b/>
            <sz val="8"/>
            <color indexed="81"/>
            <rFont val="Tahoma"/>
            <family val="2"/>
          </rPr>
          <t>Colin Campbell:</t>
        </r>
        <r>
          <rPr>
            <sz val="8"/>
            <color indexed="81"/>
            <rFont val="Tahoma"/>
            <family val="2"/>
          </rPr>
          <t xml:space="preserve">
Confirmed 7/23/12</t>
        </r>
      </text>
    </comment>
    <comment ref="S247" authorId="4" shapeId="0" xr:uid="{00000000-0006-0000-0400-000039000000}">
      <text>
        <r>
          <rPr>
            <b/>
            <sz val="8"/>
            <color indexed="81"/>
            <rFont val="Tahoma"/>
            <family val="2"/>
          </rPr>
          <t>ccampbell:</t>
        </r>
        <r>
          <rPr>
            <sz val="8"/>
            <color indexed="81"/>
            <rFont val="Tahoma"/>
            <family val="2"/>
          </rPr>
          <t xml:space="preserve">
Measured from Head</t>
        </r>
      </text>
    </comment>
    <comment ref="S248" authorId="4" shapeId="0" xr:uid="{00000000-0006-0000-0400-00003A000000}">
      <text>
        <r>
          <rPr>
            <b/>
            <sz val="8"/>
            <color indexed="81"/>
            <rFont val="Tahoma"/>
            <family val="2"/>
          </rPr>
          <t>ccampbell:</t>
        </r>
        <r>
          <rPr>
            <sz val="8"/>
            <color indexed="81"/>
            <rFont val="Tahoma"/>
            <family val="2"/>
          </rPr>
          <t xml:space="preserve">
Measured from Head</t>
        </r>
      </text>
    </comment>
    <comment ref="D249" authorId="5" shapeId="0" xr:uid="{00000000-0006-0000-0400-00003B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0" authorId="6" shapeId="0" xr:uid="{00000000-0006-0000-0400-00003C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61" authorId="1" shapeId="0" xr:uid="{00000000-0006-0000-0400-00003E000000}">
      <text>
        <r>
          <rPr>
            <b/>
            <sz val="8"/>
            <color indexed="81"/>
            <rFont val="Tahoma"/>
            <family val="2"/>
          </rPr>
          <t xml:space="preserve">RLH. </t>
        </r>
        <r>
          <rPr>
            <sz val="8"/>
            <color indexed="81"/>
            <rFont val="Tahoma"/>
            <family val="2"/>
          </rPr>
          <t>Confirmed 10-11-12</t>
        </r>
      </text>
    </comment>
    <comment ref="M270" authorId="6" shapeId="0" xr:uid="{00000000-0006-0000-0400-00003F000000}">
      <text>
        <r>
          <rPr>
            <b/>
            <sz val="9"/>
            <color indexed="81"/>
            <rFont val="Tahoma"/>
            <family val="2"/>
          </rPr>
          <t>Strachan, Steve:</t>
        </r>
        <r>
          <rPr>
            <sz val="9"/>
            <color indexed="81"/>
            <rFont val="Tahoma"/>
            <family val="2"/>
          </rPr>
          <t xml:space="preserve">
Rev I
Adjusted .093" for new keeper rail fab</t>
        </r>
      </text>
    </comment>
    <comment ref="M272" authorId="6" shapeId="0" xr:uid="{00000000-0006-0000-0400-000040000000}">
      <text>
        <r>
          <rPr>
            <b/>
            <sz val="9"/>
            <color indexed="81"/>
            <rFont val="Tahoma"/>
            <family val="2"/>
          </rPr>
          <t>Strachan, Steve:</t>
        </r>
        <r>
          <rPr>
            <sz val="9"/>
            <color indexed="81"/>
            <rFont val="Tahoma"/>
            <family val="2"/>
          </rPr>
          <t xml:space="preserve">
Rev I
Shorteded .093" for new keeper rail fab</t>
        </r>
      </text>
    </comment>
    <comment ref="Q343" authorId="4" shapeId="0" xr:uid="{00000000-0006-0000-0400-000041000000}">
      <text>
        <r>
          <rPr>
            <b/>
            <sz val="8"/>
            <color indexed="81"/>
            <rFont val="Tahoma"/>
            <family val="2"/>
          </rPr>
          <t>ccampbell:</t>
        </r>
        <r>
          <rPr>
            <sz val="8"/>
            <color indexed="81"/>
            <rFont val="Tahoma"/>
            <family val="2"/>
          </rPr>
          <t xml:space="preserve">
For manufacturing to have a simpler schedule printout.</t>
        </r>
      </text>
    </comment>
    <comment ref="G346" authorId="4" shapeId="0" xr:uid="{00000000-0006-0000-0400-000042000000}">
      <text>
        <r>
          <rPr>
            <b/>
            <sz val="8"/>
            <color indexed="81"/>
            <rFont val="Tahoma"/>
            <family val="2"/>
          </rPr>
          <t>ccampbell:</t>
        </r>
        <r>
          <rPr>
            <sz val="8"/>
            <color indexed="81"/>
            <rFont val="Tahoma"/>
            <family val="2"/>
          </rPr>
          <t xml:space="preserve">
Unknown until testing takes place.</t>
        </r>
      </text>
    </comment>
    <comment ref="A363" authorId="4" shapeId="0" xr:uid="{00000000-0006-0000-0400-000043000000}">
      <text>
        <r>
          <rPr>
            <b/>
            <sz val="8"/>
            <color indexed="81"/>
            <rFont val="Tahoma"/>
            <family val="2"/>
          </rPr>
          <t>ccampbell:</t>
        </r>
        <r>
          <rPr>
            <sz val="8"/>
            <color indexed="81"/>
            <rFont val="Tahoma"/>
            <family val="2"/>
          </rPr>
          <t xml:space="preserve">
Yes
No</t>
        </r>
      </text>
    </comment>
    <comment ref="Y404" authorId="0" shapeId="0" xr:uid="{4AF23307-EF70-4113-8620-2171EE895F4D}">
      <text>
        <r>
          <rPr>
            <sz val="9"/>
            <color indexed="81"/>
            <rFont val="Tahoma"/>
            <family val="2"/>
          </rPr>
          <t>was set to 006 White instead of 003</t>
        </r>
      </text>
    </comment>
    <comment ref="Y405" authorId="0" shapeId="0" xr:uid="{CDA9E4CD-2EE2-438B-A349-4B473E6DC395}">
      <text>
        <r>
          <rPr>
            <sz val="9"/>
            <color indexed="81"/>
            <rFont val="Tahoma"/>
            <family val="2"/>
          </rPr>
          <t>42 0034 031 is Obsolete</t>
        </r>
      </text>
    </comment>
    <comment ref="Y406" authorId="0" shapeId="0" xr:uid="{3C306777-303E-410A-866E-07080992C693}">
      <text>
        <r>
          <rPr>
            <sz val="9"/>
            <color indexed="81"/>
            <rFont val="Tahoma"/>
            <family val="2"/>
          </rPr>
          <t xml:space="preserve">034 color is not to be used anymore. This should be 033 clay. Need to work with vendor and inventory to make this change. </t>
        </r>
      </text>
    </comment>
    <comment ref="G428" authorId="7" shapeId="0" xr:uid="{00000000-0006-0000-0400-000045000000}">
      <text>
        <r>
          <rPr>
            <sz val="9"/>
            <color indexed="81"/>
            <rFont val="Tahoma"/>
            <family val="2"/>
          </rPr>
          <t>1/8" dia. Bead = 1,565 ft / gallon</t>
        </r>
      </text>
    </comment>
    <comment ref="Y428" authorId="7" shapeId="0" xr:uid="{F5C1F7D9-BC50-4665-809A-A31F0D1360F4}">
      <text>
        <r>
          <rPr>
            <sz val="9"/>
            <color indexed="81"/>
            <rFont val="Tahoma"/>
            <family val="2"/>
          </rPr>
          <t>Dow Corning 1199
OR Pecora 896
OR Schnee-Morehead 5731</t>
        </r>
      </text>
    </comment>
    <comment ref="Y429" authorId="7" shapeId="0" xr:uid="{B013D0DA-4112-43A7-9E04-8C0710673327}">
      <text>
        <r>
          <rPr>
            <sz val="9"/>
            <color indexed="81"/>
            <rFont val="Tahoma"/>
            <family val="2"/>
          </rPr>
          <t>Dow Corning 1199
OR Pecora 896
OR Schnee-Morehead 5731</t>
        </r>
      </text>
    </comment>
    <comment ref="G430" authorId="7" shapeId="0" xr:uid="{00000000-0006-0000-0400-000048000000}">
      <text>
        <r>
          <rPr>
            <sz val="9"/>
            <color indexed="81"/>
            <rFont val="Tahoma"/>
            <family val="2"/>
          </rPr>
          <t>3/16" dia. Bead = 695 ft / gallon</t>
        </r>
      </text>
    </comment>
    <comment ref="Y430" authorId="7" shapeId="0" xr:uid="{97AEFB67-B4A5-4756-A5EA-633029F87D98}">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437" authorId="7" shapeId="0" xr:uid="{00000000-0006-0000-0400-00004A000000}">
      <text>
        <r>
          <rPr>
            <sz val="9"/>
            <color indexed="81"/>
            <rFont val="Tahoma"/>
            <family val="2"/>
          </rPr>
          <t>3 per jamb</t>
        </r>
      </text>
    </comment>
    <comment ref="M441" authorId="1" shapeId="0" xr:uid="{00000000-0006-0000-0400-00004B000000}">
      <text>
        <r>
          <rPr>
            <b/>
            <sz val="8"/>
            <color indexed="81"/>
            <rFont val="Tahoma"/>
            <family val="2"/>
          </rPr>
          <t>C Campbell:</t>
        </r>
        <r>
          <rPr>
            <sz val="8"/>
            <color indexed="81"/>
            <rFont val="Tahoma"/>
            <family val="2"/>
          </rPr>
          <t xml:space="preserve">
Updated 7/23/12</t>
        </r>
      </text>
    </comment>
    <comment ref="S441" authorId="7" shapeId="0" xr:uid="{00000000-0006-0000-0400-00004C000000}">
      <text>
        <r>
          <rPr>
            <sz val="9"/>
            <color indexed="81"/>
            <rFont val="Tahoma"/>
            <family val="2"/>
          </rPr>
          <t>SLEQSW</t>
        </r>
      </text>
    </comment>
    <comment ref="M442" authorId="1" shapeId="0" xr:uid="{00000000-0006-0000-0400-00004D000000}">
      <text>
        <r>
          <rPr>
            <b/>
            <sz val="8"/>
            <color indexed="81"/>
            <rFont val="Tahoma"/>
            <family val="2"/>
          </rPr>
          <t>C Campbell:</t>
        </r>
        <r>
          <rPr>
            <sz val="8"/>
            <color indexed="81"/>
            <rFont val="Tahoma"/>
            <family val="2"/>
          </rPr>
          <t xml:space="preserve">
Updated 7/23/12</t>
        </r>
      </text>
    </comment>
    <comment ref="S442" authorId="7" shapeId="0" xr:uid="{00000000-0006-0000-0400-00004E000000}">
      <text>
        <r>
          <rPr>
            <sz val="9"/>
            <color indexed="81"/>
            <rFont val="Tahoma"/>
            <family val="2"/>
          </rPr>
          <t>SLEQSH</t>
        </r>
      </text>
    </comment>
    <comment ref="M444" authorId="1" shapeId="0" xr:uid="{00000000-0006-0000-0400-00004F000000}">
      <text>
        <r>
          <rPr>
            <b/>
            <sz val="8"/>
            <color indexed="81"/>
            <rFont val="Tahoma"/>
            <family val="2"/>
          </rPr>
          <t>C Campbell:</t>
        </r>
        <r>
          <rPr>
            <sz val="8"/>
            <color indexed="81"/>
            <rFont val="Tahoma"/>
            <family val="2"/>
          </rPr>
          <t xml:space="preserve">
Updated 8/23/12 - corrected error where weld was counted twice.
OPIE updated 1-7-13
</t>
        </r>
      </text>
    </comment>
    <comment ref="AF444" authorId="4" shapeId="0" xr:uid="{00000000-0006-0000-0400-000050000000}">
      <text>
        <r>
          <rPr>
            <b/>
            <sz val="8"/>
            <color indexed="81"/>
            <rFont val="Tahoma"/>
            <family val="2"/>
          </rPr>
          <t>ccampbell:</t>
        </r>
        <r>
          <rPr>
            <sz val="8"/>
            <color indexed="81"/>
            <rFont val="Tahoma"/>
            <family val="2"/>
          </rPr>
          <t xml:space="preserve">
Updated 4/6</t>
        </r>
      </text>
    </comment>
    <comment ref="M456" authorId="1" shapeId="0" xr:uid="{00000000-0006-0000-0400-000051000000}">
      <text>
        <r>
          <rPr>
            <b/>
            <sz val="8"/>
            <color indexed="81"/>
            <rFont val="Tahoma"/>
            <family val="2"/>
          </rPr>
          <t>C Campbell:</t>
        </r>
        <r>
          <rPr>
            <sz val="8"/>
            <color indexed="81"/>
            <rFont val="Tahoma"/>
            <family val="2"/>
          </rPr>
          <t xml:space="preserve">
Updated 7/23/12
Updated 8/23/12 - corrected error where weld was counted twice.</t>
        </r>
      </text>
    </comment>
    <comment ref="AF456" authorId="4" shapeId="0" xr:uid="{00000000-0006-0000-0400-000052000000}">
      <text>
        <r>
          <rPr>
            <b/>
            <sz val="8"/>
            <color indexed="81"/>
            <rFont val="Tahoma"/>
            <family val="2"/>
          </rPr>
          <t>ccampbell:</t>
        </r>
        <r>
          <rPr>
            <sz val="8"/>
            <color indexed="81"/>
            <rFont val="Tahoma"/>
            <family val="2"/>
          </rPr>
          <t xml:space="preserve">
Updated 4/6</t>
        </r>
      </text>
    </comment>
    <comment ref="M474" authorId="1" shapeId="0" xr:uid="{00000000-0006-0000-0400-000054000000}">
      <text>
        <r>
          <rPr>
            <b/>
            <sz val="8"/>
            <color indexed="81"/>
            <rFont val="Tahoma"/>
            <family val="2"/>
          </rPr>
          <t>C Campbell:</t>
        </r>
        <r>
          <rPr>
            <sz val="8"/>
            <color indexed="81"/>
            <rFont val="Tahoma"/>
            <family val="2"/>
          </rPr>
          <t xml:space="preserve">
Confirmed 7/23/12
Updated 8/23/12 - corrected error where weld was counted twice.</t>
        </r>
      </text>
    </comment>
    <comment ref="AF474" authorId="4" shapeId="0" xr:uid="{00000000-0006-0000-0400-000055000000}">
      <text>
        <r>
          <rPr>
            <b/>
            <sz val="8"/>
            <color indexed="81"/>
            <rFont val="Tahoma"/>
            <family val="2"/>
          </rPr>
          <t>ccampbell:</t>
        </r>
        <r>
          <rPr>
            <sz val="8"/>
            <color indexed="81"/>
            <rFont val="Tahoma"/>
            <family val="2"/>
          </rPr>
          <t xml:space="preserve">
Updated 4/6</t>
        </r>
      </text>
    </comment>
    <comment ref="A544" authorId="1" shapeId="0" xr:uid="{00000000-0006-0000-0400-000056000000}">
      <text>
        <r>
          <rPr>
            <b/>
            <sz val="8"/>
            <color indexed="81"/>
            <rFont val="Tahoma"/>
            <family val="2"/>
          </rPr>
          <t>Options:</t>
        </r>
        <r>
          <rPr>
            <sz val="8"/>
            <color indexed="81"/>
            <rFont val="Tahoma"/>
            <family val="2"/>
          </rPr>
          <t xml:space="preserve">
None
Std
HP</t>
        </r>
      </text>
    </comment>
    <comment ref="AH545" authorId="4" shapeId="0" xr:uid="{00000000-0006-0000-0400-000057000000}">
      <text>
        <r>
          <rPr>
            <b/>
            <sz val="8"/>
            <color indexed="81"/>
            <rFont val="Tahoma"/>
            <family val="2"/>
          </rPr>
          <t>ccampbell:</t>
        </r>
        <r>
          <rPr>
            <sz val="8"/>
            <color indexed="81"/>
            <rFont val="Tahoma"/>
            <family val="2"/>
          </rPr>
          <t xml:space="preserve">
Hygrade, Rev B Reinforcement
Updated 7/20</t>
        </r>
      </text>
    </comment>
    <comment ref="G546" authorId="4" shapeId="0" xr:uid="{00000000-0006-0000-0400-000058000000}">
      <text>
        <r>
          <rPr>
            <b/>
            <sz val="8"/>
            <color indexed="81"/>
            <rFont val="Tahoma"/>
            <family val="2"/>
          </rPr>
          <t>ccampbell:</t>
        </r>
        <r>
          <rPr>
            <sz val="8"/>
            <color indexed="81"/>
            <rFont val="Tahoma"/>
            <family val="2"/>
          </rPr>
          <t xml:space="preserve">
Unknown until testing takes place.</t>
        </r>
      </text>
    </comment>
    <comment ref="AH546" authorId="4" shapeId="0" xr:uid="{00000000-0006-0000-0400-000059000000}">
      <text>
        <r>
          <rPr>
            <b/>
            <sz val="8"/>
            <color indexed="81"/>
            <rFont val="Tahoma"/>
            <family val="2"/>
          </rPr>
          <t>ccampbell:</t>
        </r>
        <r>
          <rPr>
            <sz val="8"/>
            <color indexed="81"/>
            <rFont val="Tahoma"/>
            <family val="2"/>
          </rPr>
          <t xml:space="preserve">
Hygrade, Rev B Reinforcement
Updated 7/20</t>
        </r>
      </text>
    </comment>
    <comment ref="Q551" authorId="4" shapeId="0" xr:uid="{00000000-0006-0000-0400-00005A000000}">
      <text>
        <r>
          <rPr>
            <b/>
            <sz val="8"/>
            <color indexed="81"/>
            <rFont val="Tahoma"/>
            <family val="2"/>
          </rPr>
          <t>ccampbell:</t>
        </r>
        <r>
          <rPr>
            <sz val="8"/>
            <color indexed="81"/>
            <rFont val="Tahoma"/>
            <family val="2"/>
          </rPr>
          <t xml:space="preserve">
For manufacturing to have a simpler schedule printout.</t>
        </r>
      </text>
    </comment>
    <comment ref="Q572" authorId="4" shapeId="0" xr:uid="{00000000-0006-0000-0400-00005B000000}">
      <text>
        <r>
          <rPr>
            <b/>
            <sz val="8"/>
            <color indexed="81"/>
            <rFont val="Tahoma"/>
            <family val="2"/>
          </rPr>
          <t>ccampbell:</t>
        </r>
        <r>
          <rPr>
            <sz val="8"/>
            <color indexed="81"/>
            <rFont val="Tahoma"/>
            <family val="2"/>
          </rPr>
          <t xml:space="preserve">
For manufacturing to have a simpler schedule printout.</t>
        </r>
      </text>
    </comment>
    <comment ref="A592" authorId="4" shapeId="0" xr:uid="{00000000-0006-0000-0400-00005C000000}">
      <text>
        <r>
          <rPr>
            <b/>
            <sz val="8"/>
            <color indexed="81"/>
            <rFont val="Tahoma"/>
            <family val="2"/>
          </rPr>
          <t>ccampbell:</t>
        </r>
        <r>
          <rPr>
            <sz val="8"/>
            <color indexed="81"/>
            <rFont val="Tahoma"/>
            <family val="2"/>
          </rPr>
          <t xml:space="preserve">
Yes
No</t>
        </r>
      </text>
    </comment>
    <comment ref="M593" authorId="4" shapeId="0" xr:uid="{00000000-0006-0000-0400-00005D000000}">
      <text>
        <r>
          <rPr>
            <b/>
            <sz val="8"/>
            <color indexed="81"/>
            <rFont val="Tahoma"/>
            <family val="2"/>
          </rPr>
          <t>ccampbell:</t>
        </r>
        <r>
          <rPr>
            <sz val="8"/>
            <color indexed="81"/>
            <rFont val="Tahoma"/>
            <family val="2"/>
          </rPr>
          <t xml:space="preserve">
Approximations.  Only needed for costing.</t>
        </r>
      </text>
    </comment>
    <comment ref="A603" authorId="4" shapeId="0" xr:uid="{00000000-0006-0000-0400-00005E000000}">
      <text>
        <r>
          <rPr>
            <b/>
            <sz val="8"/>
            <color indexed="81"/>
            <rFont val="Tahoma"/>
            <family val="2"/>
          </rPr>
          <t>ccampbell: refer to Att sheets</t>
        </r>
        <r>
          <rPr>
            <sz val="8"/>
            <color indexed="81"/>
            <rFont val="Tahoma"/>
            <family val="2"/>
          </rPr>
          <t xml:space="preserve">
Standard
Auto
ADA</t>
        </r>
      </text>
    </comment>
    <comment ref="C623" authorId="2" shapeId="0" xr:uid="{00000000-0006-0000-0400-00005F000000}">
      <text>
        <r>
          <rPr>
            <b/>
            <sz val="8"/>
            <color indexed="81"/>
            <rFont val="Tahoma"/>
            <family val="2"/>
          </rPr>
          <t>CCampbell:</t>
        </r>
        <r>
          <rPr>
            <sz val="8"/>
            <color indexed="81"/>
            <rFont val="Tahoma"/>
            <family val="2"/>
          </rPr>
          <t xml:space="preserve"> 4 per lock, rather than 2 per lock because of the added vertical impact to close.</t>
        </r>
        <r>
          <rPr>
            <sz val="8"/>
            <color indexed="81"/>
            <rFont val="Tahoma"/>
            <family val="2"/>
          </rPr>
          <t xml:space="preserve">
</t>
        </r>
      </text>
    </comment>
    <comment ref="A643" authorId="4" shapeId="0" xr:uid="{00000000-0006-0000-0400-000060000000}">
      <text>
        <r>
          <rPr>
            <b/>
            <sz val="8"/>
            <color indexed="81"/>
            <rFont val="Tahoma"/>
            <family val="2"/>
          </rPr>
          <t>ccampbell:</t>
        </r>
        <r>
          <rPr>
            <sz val="8"/>
            <color indexed="81"/>
            <rFont val="Tahoma"/>
            <family val="2"/>
          </rPr>
          <t xml:space="preserve">
Tape Double-sided
Tape Single-sided
Wet</t>
        </r>
      </text>
    </comment>
    <comment ref="Y643" authorId="7" shapeId="0" xr:uid="{4FD6A9F9-ED55-4125-99E6-8B4E495CE7AE}">
      <text>
        <r>
          <rPr>
            <sz val="9"/>
            <color indexed="81"/>
            <rFont val="Tahoma"/>
            <family val="2"/>
          </rPr>
          <t>Dow Corning 1199
OR Pecora 896
OR Schnee-Morehead 5731</t>
        </r>
      </text>
    </comment>
    <comment ref="Y644" authorId="7" shapeId="0" xr:uid="{FDD0084C-4FA1-4237-A6CC-53EF363E70D2}">
      <text>
        <r>
          <rPr>
            <sz val="9"/>
            <color indexed="81"/>
            <rFont val="Tahoma"/>
            <family val="2"/>
          </rPr>
          <t>Dow Corning 1199
OR Pecora 896
OR Schnee-Morehead 5731</t>
        </r>
      </text>
    </comment>
    <comment ref="Y645" authorId="7" shapeId="0" xr:uid="{FA565319-1929-4E54-A6FD-4A62B2190658}">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655" authorId="4" shapeId="0" xr:uid="{00000000-0006-0000-0400-000062000000}">
      <text>
        <r>
          <rPr>
            <b/>
            <sz val="8"/>
            <color indexed="81"/>
            <rFont val="Tahoma"/>
            <family val="2"/>
          </rPr>
          <t>ccampbell:</t>
        </r>
        <r>
          <rPr>
            <sz val="8"/>
            <color indexed="81"/>
            <rFont val="Tahoma"/>
            <family val="2"/>
          </rPr>
          <t xml:space="preserve">
Use current screen codes to include full/half, mesh type, etc.</t>
        </r>
      </text>
    </comment>
    <comment ref="M670" authorId="1" shapeId="0" xr:uid="{00000000-0006-0000-0400-000063000000}">
      <text>
        <r>
          <rPr>
            <b/>
            <sz val="8"/>
            <color indexed="81"/>
            <rFont val="Tahoma"/>
            <family val="2"/>
          </rPr>
          <t>Colin Campbell:</t>
        </r>
        <r>
          <rPr>
            <sz val="8"/>
            <color indexed="81"/>
            <rFont val="Tahoma"/>
            <family val="2"/>
          </rPr>
          <t xml:space="preserve">
Updated 4/17/12</t>
        </r>
      </text>
    </comment>
    <comment ref="M671" authorId="1" shapeId="0" xr:uid="{00000000-0006-0000-0400-000064000000}">
      <text>
        <r>
          <rPr>
            <b/>
            <sz val="8"/>
            <color indexed="81"/>
            <rFont val="Tahoma"/>
            <family val="2"/>
          </rPr>
          <t>Colin Campbell:</t>
        </r>
        <r>
          <rPr>
            <sz val="8"/>
            <color indexed="81"/>
            <rFont val="Tahoma"/>
            <family val="2"/>
          </rPr>
          <t xml:space="preserve">
Updated 6/6/12</t>
        </r>
      </text>
    </comment>
    <comment ref="M677" authorId="1" shapeId="0" xr:uid="{00000000-0006-0000-0400-00006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7" authorId="0" shapeId="0" xr:uid="{FB793D34-6245-460C-A3AF-27BE83B421B6}">
      <text>
        <r>
          <rPr>
            <sz val="9"/>
            <color indexed="81"/>
            <rFont val="Tahoma"/>
            <family val="2"/>
          </rPr>
          <t>SLEQFGW</t>
        </r>
      </text>
    </comment>
    <comment ref="M678" authorId="1" shapeId="0" xr:uid="{00000000-0006-0000-0400-00006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8" authorId="0" shapeId="0" xr:uid="{77DB9B58-C831-410C-A36C-36CD12954547}">
      <text>
        <r>
          <rPr>
            <sz val="9"/>
            <color indexed="81"/>
            <rFont val="Tahoma"/>
            <family val="2"/>
          </rPr>
          <t>SLEQFGH</t>
        </r>
      </text>
    </comment>
    <comment ref="M679" authorId="1" shapeId="0" xr:uid="{00000000-0006-0000-0400-00006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0" authorId="1" shapeId="0" xr:uid="{00000000-0006-0000-0400-00006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3" authorId="1" shapeId="0" xr:uid="{00000000-0006-0000-0400-00006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3" authorId="0" shapeId="0" xr:uid="{13BA72CD-AFA3-455F-92B8-C083EE8059B0}">
      <text>
        <r>
          <rPr>
            <sz val="9"/>
            <color indexed="81"/>
            <rFont val="Tahoma"/>
            <family val="2"/>
          </rPr>
          <t>SLEQSGW</t>
        </r>
      </text>
    </comment>
    <comment ref="M684" authorId="1" shapeId="0" xr:uid="{00000000-0006-0000-0400-00006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4" authorId="0" shapeId="0" xr:uid="{FDAC69B6-CF5B-47E7-BCDF-EBADD49F5709}">
      <text>
        <r>
          <rPr>
            <sz val="9"/>
            <color indexed="81"/>
            <rFont val="Tahoma"/>
            <family val="2"/>
          </rPr>
          <t>SLEQSGH</t>
        </r>
      </text>
    </comment>
    <comment ref="M685" authorId="1" shapeId="0" xr:uid="{00000000-0006-0000-0400-00006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6" authorId="1" shapeId="0" xr:uid="{00000000-0006-0000-0400-00006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2" authorId="1" shapeId="0" xr:uid="{00000000-0006-0000-0400-00006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3" authorId="1" shapeId="0" xr:uid="{00000000-0006-0000-0400-00006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4" authorId="1" shapeId="0" xr:uid="{00000000-0006-0000-0400-00006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5" authorId="1" shapeId="0" xr:uid="{00000000-0006-0000-0400-00007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9" authorId="1" shapeId="0" xr:uid="{00000000-0006-0000-0400-00007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3" authorId="1" shapeId="0" xr:uid="{00000000-0006-0000-0400-00007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4" authorId="1" shapeId="0" xr:uid="{00000000-0006-0000-0400-00007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5" authorId="1" shapeId="0" xr:uid="{00000000-0006-0000-0400-00007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0" authorId="1" shapeId="0" xr:uid="{00000000-0006-0000-0400-00007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1" authorId="1" shapeId="0" xr:uid="{00000000-0006-0000-0400-00007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2" authorId="1" shapeId="0" xr:uid="{00000000-0006-0000-0400-00007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17" authorId="0" shapeId="0" xr:uid="{E1E30006-0DC0-40B4-B82B-9B0B0C64FE70}">
      <text>
        <r>
          <rPr>
            <sz val="9"/>
            <color indexed="81"/>
            <rFont val="Tahoma"/>
            <family val="2"/>
          </rPr>
          <t>SLEQRSashW</t>
        </r>
      </text>
    </comment>
    <comment ref="S720" authorId="0" shapeId="0" xr:uid="{E2F012AC-1483-4A58-BA7D-B87FFEC9AAFF}">
      <text>
        <r>
          <rPr>
            <sz val="9"/>
            <color indexed="81"/>
            <rFont val="Tahoma"/>
            <family val="2"/>
          </rPr>
          <t>SLEQSO</t>
        </r>
      </text>
    </comment>
    <comment ref="S721" authorId="0" shapeId="0" xr:uid="{141B1DA8-10EF-45BB-AD7C-E6C6B0658799}">
      <text>
        <r>
          <rPr>
            <sz val="9"/>
            <color indexed="81"/>
            <rFont val="Tahoma"/>
            <family val="2"/>
          </rPr>
          <t>SLEQSORnd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Colin Campbell</author>
    <author>Greg De Boer</author>
    <author>sy gibbs</author>
    <author>Steve Strachan</author>
    <author>ccampbell</author>
    <author>CCampbell</author>
    <author>Strachan, Steve</author>
    <author>RHall</author>
    <author>Greg DeBoer</author>
  </authors>
  <commentList>
    <comment ref="E5" authorId="0" shapeId="0" xr:uid="{00000000-0006-0000-0500-000001000000}">
      <text>
        <r>
          <rPr>
            <sz val="12"/>
            <color indexed="81"/>
            <rFont val="Tahoma"/>
            <family val="2"/>
          </rPr>
          <t>(from Line #, Order #)</t>
        </r>
      </text>
    </comment>
    <comment ref="E8" authorId="0" shapeId="0" xr:uid="{00000000-0006-0000-0500-000002000000}">
      <text>
        <r>
          <rPr>
            <b/>
            <sz val="8"/>
            <color indexed="81"/>
            <rFont val="Tahoma"/>
            <family val="2"/>
          </rPr>
          <t>Colin Campbell:</t>
        </r>
        <r>
          <rPr>
            <sz val="8"/>
            <color indexed="81"/>
            <rFont val="Tahoma"/>
            <family val="2"/>
          </rPr>
          <t xml:space="preserve">
NOTE: Only Options 1 and 7 are dimensionally verified as of 7/25</t>
        </r>
      </text>
    </comment>
    <comment ref="AG11" authorId="1" shapeId="0" xr:uid="{0919F81E-ED6B-4E51-9490-11FA6351F779}">
      <text>
        <r>
          <rPr>
            <sz val="9"/>
            <color indexed="81"/>
            <rFont val="Tahoma"/>
            <family val="2"/>
          </rPr>
          <t>AtolbperftQHQ</t>
        </r>
      </text>
    </comment>
    <comment ref="AH11" authorId="0" shapeId="0" xr:uid="{00000000-0006-0000-0500-000003000000}">
      <text>
        <r>
          <rPr>
            <sz val="8"/>
            <color indexed="81"/>
            <rFont val="Tahoma"/>
            <family val="2"/>
          </rPr>
          <t>= lb/ft * $/lb</t>
        </r>
      </text>
    </comment>
    <comment ref="C12" authorId="2" shapeId="0" xr:uid="{00000000-0006-0000-0500-000004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2" authorId="2" shapeId="0" xr:uid="{00000000-0006-0000-0500-000005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V12" authorId="3" shapeId="0" xr:uid="{A314A71E-E9B8-47AA-B00B-97A34D51D64D}">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3" shapeId="0" xr:uid="{A2173DB4-FA6B-424C-BE79-7E8997CDB60B}">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7" authorId="0" shapeId="0" xr:uid="{00000000-0006-0000-0500-000006000000}">
      <text>
        <r>
          <rPr>
            <b/>
            <sz val="8"/>
            <color indexed="81"/>
            <rFont val="Tahoma"/>
            <family val="2"/>
          </rPr>
          <t>Colin Campbell:</t>
        </r>
        <r>
          <rPr>
            <sz val="8"/>
            <color indexed="81"/>
            <rFont val="Tahoma"/>
            <family val="2"/>
          </rPr>
          <t xml:space="preserve">
Confirmed 7/23/12</t>
        </r>
      </text>
    </comment>
    <comment ref="AF17" authorId="4" shapeId="0" xr:uid="{00000000-0006-0000-0500-000007000000}">
      <text>
        <r>
          <rPr>
            <b/>
            <sz val="8"/>
            <color indexed="81"/>
            <rFont val="Tahoma"/>
            <family val="2"/>
          </rPr>
          <t>ccampbell:</t>
        </r>
        <r>
          <rPr>
            <sz val="8"/>
            <color indexed="81"/>
            <rFont val="Tahoma"/>
            <family val="2"/>
          </rPr>
          <t xml:space="preserve">
updated 4/6</t>
        </r>
      </text>
    </comment>
    <comment ref="M18" authorId="4" shapeId="0" xr:uid="{00000000-0006-0000-0500-000008000000}">
      <text>
        <r>
          <rPr>
            <b/>
            <sz val="8"/>
            <color indexed="81"/>
            <rFont val="Tahoma"/>
            <family val="2"/>
          </rPr>
          <t>ccampbell:</t>
        </r>
        <r>
          <rPr>
            <sz val="8"/>
            <color indexed="81"/>
            <rFont val="Tahoma"/>
            <family val="2"/>
          </rPr>
          <t xml:space="preserve">
updated 7/23/12.</t>
        </r>
      </text>
    </comment>
    <comment ref="M30" authorId="4" shapeId="0" xr:uid="{00000000-0006-0000-0500-00000A000000}">
      <text>
        <r>
          <rPr>
            <b/>
            <sz val="8"/>
            <color indexed="81"/>
            <rFont val="Tahoma"/>
            <family val="2"/>
          </rPr>
          <t xml:space="preserve">Rhall: 
Confirmed 1-21-13
</t>
        </r>
      </text>
    </comment>
    <comment ref="O30" authorId="4" shapeId="0" xr:uid="{00000000-0006-0000-0500-00000B000000}">
      <text>
        <r>
          <rPr>
            <b/>
            <sz val="8"/>
            <color indexed="81"/>
            <rFont val="Tahoma"/>
            <family val="2"/>
          </rPr>
          <t>ccampbell:</t>
        </r>
        <r>
          <rPr>
            <sz val="8"/>
            <color indexed="81"/>
            <rFont val="Tahoma"/>
            <family val="2"/>
          </rPr>
          <t xml:space="preserve">
Only welded on one end.</t>
        </r>
      </text>
    </comment>
    <comment ref="M31" authorId="4" shapeId="0" xr:uid="{00000000-0006-0000-0500-00000C000000}">
      <text>
        <r>
          <rPr>
            <b/>
            <sz val="8"/>
            <color indexed="81"/>
            <rFont val="Tahoma"/>
            <family val="2"/>
          </rPr>
          <t>ccampbell:</t>
        </r>
        <r>
          <rPr>
            <sz val="8"/>
            <color indexed="81"/>
            <rFont val="Tahoma"/>
            <family val="2"/>
          </rPr>
          <t xml:space="preserve">
Confirmed 1/11/13</t>
        </r>
      </text>
    </comment>
    <comment ref="M32" authorId="4" shapeId="0" xr:uid="{00000000-0006-0000-0500-00000D000000}">
      <text>
        <r>
          <rPr>
            <b/>
            <sz val="8"/>
            <color indexed="81"/>
            <rFont val="Tahoma"/>
            <family val="2"/>
          </rPr>
          <t>ccampbell:</t>
        </r>
        <r>
          <rPr>
            <sz val="8"/>
            <color indexed="81"/>
            <rFont val="Tahoma"/>
            <family val="2"/>
          </rPr>
          <t xml:space="preserve">
Confirmed 1/11/13</t>
        </r>
      </text>
    </comment>
    <comment ref="M38" authorId="0" shapeId="0" xr:uid="{00000000-0006-0000-0500-00000E000000}">
      <text>
        <r>
          <rPr>
            <b/>
            <sz val="8"/>
            <color indexed="81"/>
            <rFont val="Tahoma"/>
            <family val="2"/>
          </rPr>
          <t>Colin Campbell:</t>
        </r>
        <r>
          <rPr>
            <sz val="8"/>
            <color indexed="81"/>
            <rFont val="Tahoma"/>
            <family val="2"/>
          </rPr>
          <t xml:space="preserve">
Confirmed 7/23/12</t>
        </r>
      </text>
    </comment>
    <comment ref="M39" authorId="4" shapeId="0" xr:uid="{00000000-0006-0000-0500-00000F000000}">
      <text>
        <r>
          <rPr>
            <b/>
            <sz val="8"/>
            <color indexed="81"/>
            <rFont val="Tahoma"/>
            <family val="2"/>
          </rPr>
          <t>ccampbell:</t>
        </r>
        <r>
          <rPr>
            <sz val="8"/>
            <color indexed="81"/>
            <rFont val="Tahoma"/>
            <family val="2"/>
          </rPr>
          <t xml:space="preserve">
updated 3/16.  Full length material</t>
        </r>
      </text>
    </comment>
    <comment ref="M49" authorId="0" shapeId="0" xr:uid="{00000000-0006-0000-0500-000010000000}">
      <text>
        <r>
          <rPr>
            <b/>
            <sz val="8"/>
            <color indexed="81"/>
            <rFont val="Tahoma"/>
            <family val="2"/>
          </rPr>
          <t>Colin Campbell:</t>
        </r>
        <r>
          <rPr>
            <sz val="8"/>
            <color indexed="81"/>
            <rFont val="Tahoma"/>
            <family val="2"/>
          </rPr>
          <t xml:space="preserve">
Updated 1/11/13 to match jamb raw length.</t>
        </r>
      </text>
    </comment>
    <comment ref="M57" authorId="0" shapeId="0" xr:uid="{00000000-0006-0000-0500-000011000000}">
      <text>
        <r>
          <rPr>
            <b/>
            <sz val="8"/>
            <color indexed="81"/>
            <rFont val="Tahoma"/>
            <family val="2"/>
          </rPr>
          <t>Colin Campbell:</t>
        </r>
        <r>
          <rPr>
            <sz val="8"/>
            <color indexed="81"/>
            <rFont val="Tahoma"/>
            <family val="2"/>
          </rPr>
          <t xml:space="preserve">
Confirmed 7/23/12</t>
        </r>
      </text>
    </comment>
    <comment ref="AF57" authorId="4" shapeId="0" xr:uid="{00000000-0006-0000-0500-000012000000}">
      <text>
        <r>
          <rPr>
            <b/>
            <sz val="8"/>
            <color indexed="81"/>
            <rFont val="Tahoma"/>
            <family val="2"/>
          </rPr>
          <t>ccampbell:</t>
        </r>
        <r>
          <rPr>
            <sz val="8"/>
            <color indexed="81"/>
            <rFont val="Tahoma"/>
            <family val="2"/>
          </rPr>
          <t xml:space="preserve">
updated 4/6</t>
        </r>
      </text>
    </comment>
    <comment ref="M70" authorId="4" shapeId="0" xr:uid="{00000000-0006-0000-0500-000014000000}">
      <text>
        <r>
          <rPr>
            <b/>
            <sz val="8"/>
            <color indexed="81"/>
            <rFont val="Tahoma"/>
            <family val="2"/>
          </rPr>
          <t>ccampbell:</t>
        </r>
        <r>
          <rPr>
            <sz val="8"/>
            <color indexed="81"/>
            <rFont val="Tahoma"/>
            <family val="2"/>
          </rPr>
          <t xml:space="preserve">
Confirmed 1/11/13</t>
        </r>
      </text>
    </comment>
    <comment ref="M71" authorId="4" shapeId="0" xr:uid="{00000000-0006-0000-0500-000015000000}">
      <text>
        <r>
          <rPr>
            <b/>
            <sz val="8"/>
            <color indexed="81"/>
            <rFont val="Tahoma"/>
            <family val="2"/>
          </rPr>
          <t xml:space="preserve">ccampbell:
</t>
        </r>
        <r>
          <rPr>
            <sz val="8"/>
            <color indexed="81"/>
            <rFont val="Tahoma"/>
            <family val="2"/>
          </rPr>
          <t>Added &amp; confirmed 1/11/13</t>
        </r>
      </text>
    </comment>
    <comment ref="M78" authorId="0" shapeId="0" xr:uid="{00000000-0006-0000-0500-000016000000}">
      <text>
        <r>
          <rPr>
            <b/>
            <sz val="8"/>
            <color indexed="81"/>
            <rFont val="Tahoma"/>
            <family val="2"/>
          </rPr>
          <t>Colin Campbell:</t>
        </r>
        <r>
          <rPr>
            <sz val="8"/>
            <color indexed="81"/>
            <rFont val="Tahoma"/>
            <family val="2"/>
          </rPr>
          <t xml:space="preserve">
Confirmed 7/23/12</t>
        </r>
      </text>
    </comment>
    <comment ref="M85" authorId="0" shapeId="0" xr:uid="{00000000-0006-0000-0500-000017000000}">
      <text>
        <r>
          <rPr>
            <b/>
            <sz val="8"/>
            <color indexed="81"/>
            <rFont val="Tahoma"/>
            <family val="2"/>
          </rPr>
          <t>Colin Campbell:</t>
        </r>
        <r>
          <rPr>
            <sz val="8"/>
            <color indexed="81"/>
            <rFont val="Tahoma"/>
            <family val="2"/>
          </rPr>
          <t xml:space="preserve">
Updated 1/11/13 to match jamb raw length.</t>
        </r>
      </text>
    </comment>
    <comment ref="M93" authorId="0" shapeId="0" xr:uid="{00000000-0006-0000-0500-000018000000}">
      <text>
        <r>
          <rPr>
            <b/>
            <sz val="8"/>
            <color indexed="81"/>
            <rFont val="Tahoma"/>
            <family val="2"/>
          </rPr>
          <t>Colin Campbell:</t>
        </r>
        <r>
          <rPr>
            <sz val="8"/>
            <color indexed="81"/>
            <rFont val="Tahoma"/>
            <family val="2"/>
          </rPr>
          <t xml:space="preserve">
Confirmed 7/23/12</t>
        </r>
      </text>
    </comment>
    <comment ref="AF93" authorId="4" shapeId="0" xr:uid="{00000000-0006-0000-0500-000019000000}">
      <text>
        <r>
          <rPr>
            <b/>
            <sz val="8"/>
            <color indexed="81"/>
            <rFont val="Tahoma"/>
            <family val="2"/>
          </rPr>
          <t>ccampbell:</t>
        </r>
        <r>
          <rPr>
            <sz val="8"/>
            <color indexed="81"/>
            <rFont val="Tahoma"/>
            <family val="2"/>
          </rPr>
          <t xml:space="preserve">
updated 4/6</t>
        </r>
      </text>
    </comment>
    <comment ref="M106" authorId="0" shapeId="0" xr:uid="{00000000-0006-0000-0500-00001B000000}">
      <text>
        <r>
          <rPr>
            <b/>
            <sz val="8"/>
            <color indexed="81"/>
            <rFont val="Tahoma"/>
            <family val="2"/>
          </rPr>
          <t>Colin Campbell:</t>
        </r>
        <r>
          <rPr>
            <sz val="8"/>
            <color indexed="81"/>
            <rFont val="Tahoma"/>
            <family val="2"/>
          </rPr>
          <t xml:space="preserve">
Confirmed 7/23/12</t>
        </r>
      </text>
    </comment>
    <comment ref="M113" authorId="0" shapeId="0" xr:uid="{00000000-0006-0000-0500-00001C000000}">
      <text>
        <r>
          <rPr>
            <b/>
            <sz val="8"/>
            <color indexed="81"/>
            <rFont val="Tahoma"/>
            <family val="2"/>
          </rPr>
          <t>Colin Campbell:</t>
        </r>
        <r>
          <rPr>
            <sz val="8"/>
            <color indexed="81"/>
            <rFont val="Tahoma"/>
            <family val="2"/>
          </rPr>
          <t xml:space="preserve">
Updated 1/11/13 to match jamb raw length.</t>
        </r>
      </text>
    </comment>
    <comment ref="M120" authorId="4" shapeId="0" xr:uid="{00000000-0006-0000-0500-00001D000000}">
      <text>
        <r>
          <rPr>
            <b/>
            <sz val="8"/>
            <color indexed="81"/>
            <rFont val="Tahoma"/>
            <family val="2"/>
          </rPr>
          <t>ccampbell:</t>
        </r>
        <r>
          <rPr>
            <sz val="8"/>
            <color indexed="81"/>
            <rFont val="Tahoma"/>
            <family val="2"/>
          </rPr>
          <t xml:space="preserve">
Confirmed 1/11/13
Updated to match Classic on 1/16/13</t>
        </r>
      </text>
    </comment>
    <comment ref="M146" authorId="0" shapeId="0" xr:uid="{00000000-0006-0000-0500-00001E000000}">
      <text>
        <r>
          <rPr>
            <b/>
            <sz val="8"/>
            <color indexed="81"/>
            <rFont val="Tahoma"/>
            <family val="2"/>
          </rPr>
          <t>Colin Campbell:</t>
        </r>
        <r>
          <rPr>
            <sz val="8"/>
            <color indexed="81"/>
            <rFont val="Tahoma"/>
            <family val="2"/>
          </rPr>
          <t xml:space="preserve">
Confirmed 7/23/12</t>
        </r>
      </text>
    </comment>
    <comment ref="M164" authorId="0" shapeId="0" xr:uid="{00000000-0006-0000-0500-00001F000000}">
      <text>
        <r>
          <rPr>
            <b/>
            <sz val="8"/>
            <color indexed="81"/>
            <rFont val="Tahoma"/>
            <family val="2"/>
          </rPr>
          <t>Colin Campbell:</t>
        </r>
        <r>
          <rPr>
            <sz val="8"/>
            <color indexed="81"/>
            <rFont val="Tahoma"/>
            <family val="2"/>
          </rPr>
          <t xml:space="preserve">
Confirmed 7/23/12</t>
        </r>
      </text>
    </comment>
    <comment ref="AF164" authorId="4" shapeId="0" xr:uid="{00000000-0006-0000-0500-000020000000}">
      <text>
        <r>
          <rPr>
            <b/>
            <sz val="8"/>
            <color indexed="81"/>
            <rFont val="Tahoma"/>
            <family val="2"/>
          </rPr>
          <t>ccampbell:</t>
        </r>
        <r>
          <rPr>
            <sz val="8"/>
            <color indexed="81"/>
            <rFont val="Tahoma"/>
            <family val="2"/>
          </rPr>
          <t xml:space="preserve">
updated 4/6</t>
        </r>
      </text>
    </comment>
    <comment ref="M165" authorId="0" shapeId="0" xr:uid="{00000000-0006-0000-0500-000021000000}">
      <text>
        <r>
          <rPr>
            <b/>
            <sz val="8"/>
            <color indexed="81"/>
            <rFont val="Tahoma"/>
            <family val="2"/>
          </rPr>
          <t>Colin Campbell:</t>
        </r>
        <r>
          <rPr>
            <sz val="8"/>
            <color indexed="81"/>
            <rFont val="Tahoma"/>
            <family val="2"/>
          </rPr>
          <t xml:space="preserve">
Confirmed 7/23/12</t>
        </r>
      </text>
    </comment>
    <comment ref="M173" authorId="0" shapeId="0" xr:uid="{00000000-0006-0000-0500-000023000000}">
      <text>
        <r>
          <rPr>
            <b/>
            <sz val="8"/>
            <color indexed="81"/>
            <rFont val="Tahoma"/>
            <family val="2"/>
          </rPr>
          <t>Colin Campbell:</t>
        </r>
        <r>
          <rPr>
            <sz val="8"/>
            <color indexed="81"/>
            <rFont val="Tahoma"/>
            <family val="2"/>
          </rPr>
          <t xml:space="preserve">
Confirmed 7/23/12</t>
        </r>
      </text>
    </comment>
    <comment ref="AF173" authorId="4" shapeId="0" xr:uid="{00000000-0006-0000-0500-000024000000}">
      <text>
        <r>
          <rPr>
            <b/>
            <sz val="8"/>
            <color indexed="81"/>
            <rFont val="Tahoma"/>
            <family val="2"/>
          </rPr>
          <t>ccampbell:</t>
        </r>
        <r>
          <rPr>
            <sz val="8"/>
            <color indexed="81"/>
            <rFont val="Tahoma"/>
            <family val="2"/>
          </rPr>
          <t xml:space="preserve">
updated 4/6</t>
        </r>
      </text>
    </comment>
    <comment ref="M174" authorId="0" shapeId="0" xr:uid="{00000000-0006-0000-0500-000025000000}">
      <text>
        <r>
          <rPr>
            <b/>
            <sz val="8"/>
            <color indexed="81"/>
            <rFont val="Tahoma"/>
            <family val="2"/>
          </rPr>
          <t>Colin Campbell:</t>
        </r>
        <r>
          <rPr>
            <sz val="8"/>
            <color indexed="81"/>
            <rFont val="Tahoma"/>
            <family val="2"/>
          </rPr>
          <t xml:space="preserve">
Confirmed 7/23/12</t>
        </r>
      </text>
    </comment>
    <comment ref="M186" authorId="0" shapeId="0" xr:uid="{00000000-0006-0000-0500-000027000000}">
      <text>
        <r>
          <rPr>
            <b/>
            <sz val="8"/>
            <color indexed="81"/>
            <rFont val="Tahoma"/>
            <family val="2"/>
          </rPr>
          <t>Colin Campbell:</t>
        </r>
        <r>
          <rPr>
            <sz val="8"/>
            <color indexed="81"/>
            <rFont val="Tahoma"/>
            <family val="2"/>
          </rPr>
          <t xml:space="preserve">
Confirmed 7/23/12</t>
        </r>
      </text>
    </comment>
    <comment ref="M193" authorId="0" shapeId="0" xr:uid="{00000000-0006-0000-0500-000028000000}">
      <text>
        <r>
          <rPr>
            <b/>
            <sz val="8"/>
            <color indexed="81"/>
            <rFont val="Tahoma"/>
            <family val="2"/>
          </rPr>
          <t>Colin Campbell:</t>
        </r>
        <r>
          <rPr>
            <sz val="8"/>
            <color indexed="81"/>
            <rFont val="Tahoma"/>
            <family val="2"/>
          </rPr>
          <t xml:space="preserve">
Confirmed 7/23/12</t>
        </r>
      </text>
    </comment>
    <comment ref="AF193" authorId="4" shapeId="0" xr:uid="{00000000-0006-0000-0500-000029000000}">
      <text>
        <r>
          <rPr>
            <b/>
            <sz val="8"/>
            <color indexed="81"/>
            <rFont val="Tahoma"/>
            <family val="2"/>
          </rPr>
          <t>ccampbell:</t>
        </r>
        <r>
          <rPr>
            <sz val="8"/>
            <color indexed="81"/>
            <rFont val="Tahoma"/>
            <family val="2"/>
          </rPr>
          <t xml:space="preserve">
updated 4/6</t>
        </r>
      </text>
    </comment>
    <comment ref="M194" authorId="4" shapeId="0" xr:uid="{00000000-0006-0000-0500-00002A000000}">
      <text>
        <r>
          <rPr>
            <b/>
            <sz val="8"/>
            <color indexed="81"/>
            <rFont val="Tahoma"/>
            <family val="2"/>
          </rPr>
          <t>ccampbell:</t>
        </r>
        <r>
          <rPr>
            <sz val="8"/>
            <color indexed="81"/>
            <rFont val="Tahoma"/>
            <family val="2"/>
          </rPr>
          <t xml:space="preserve">
updated 3/16.  Full length material</t>
        </r>
      </text>
    </comment>
    <comment ref="M202" authorId="0" shapeId="0" xr:uid="{00000000-0006-0000-0500-00002C000000}">
      <text>
        <r>
          <rPr>
            <b/>
            <sz val="8"/>
            <color indexed="81"/>
            <rFont val="Tahoma"/>
            <family val="2"/>
          </rPr>
          <t>Colin Campbell:</t>
        </r>
        <r>
          <rPr>
            <sz val="8"/>
            <color indexed="81"/>
            <rFont val="Tahoma"/>
            <family val="2"/>
          </rPr>
          <t xml:space="preserve">
Confirmed 7/23/12</t>
        </r>
      </text>
    </comment>
    <comment ref="AF202" authorId="4" shapeId="0" xr:uid="{00000000-0006-0000-0500-00002D000000}">
      <text>
        <r>
          <rPr>
            <b/>
            <sz val="8"/>
            <color indexed="81"/>
            <rFont val="Tahoma"/>
            <family val="2"/>
          </rPr>
          <t>ccampbell:</t>
        </r>
        <r>
          <rPr>
            <sz val="8"/>
            <color indexed="81"/>
            <rFont val="Tahoma"/>
            <family val="2"/>
          </rPr>
          <t xml:space="preserve">
updated 4/6</t>
        </r>
      </text>
    </comment>
    <comment ref="M203" authorId="4" shapeId="0" xr:uid="{00000000-0006-0000-0500-00002E000000}">
      <text>
        <r>
          <rPr>
            <b/>
            <sz val="8"/>
            <color indexed="81"/>
            <rFont val="Tahoma"/>
            <family val="2"/>
          </rPr>
          <t>ccampbell:</t>
        </r>
        <r>
          <rPr>
            <sz val="8"/>
            <color indexed="81"/>
            <rFont val="Tahoma"/>
            <family val="2"/>
          </rPr>
          <t xml:space="preserve">
updated 3/16.  Full length material</t>
        </r>
      </text>
    </comment>
    <comment ref="M211" authorId="0" shapeId="0" xr:uid="{00000000-0006-0000-0500-000030000000}">
      <text>
        <r>
          <rPr>
            <b/>
            <sz val="8"/>
            <color indexed="81"/>
            <rFont val="Tahoma"/>
            <family val="2"/>
          </rPr>
          <t>Colin Campbell:</t>
        </r>
        <r>
          <rPr>
            <sz val="8"/>
            <color indexed="81"/>
            <rFont val="Tahoma"/>
            <family val="2"/>
          </rPr>
          <t xml:space="preserve">
Confirmed 7/23/12</t>
        </r>
      </text>
    </comment>
    <comment ref="M218" authorId="0" shapeId="0" xr:uid="{00000000-0006-0000-0500-000031000000}">
      <text>
        <r>
          <rPr>
            <b/>
            <sz val="8"/>
            <color indexed="81"/>
            <rFont val="Tahoma"/>
            <family val="2"/>
          </rPr>
          <t>Colin Campbell:</t>
        </r>
        <r>
          <rPr>
            <sz val="8"/>
            <color indexed="81"/>
            <rFont val="Tahoma"/>
            <family val="2"/>
          </rPr>
          <t xml:space="preserve">
Confirmed 7/23/12</t>
        </r>
      </text>
    </comment>
    <comment ref="AF218" authorId="4" shapeId="0" xr:uid="{00000000-0006-0000-0500-000032000000}">
      <text>
        <r>
          <rPr>
            <b/>
            <sz val="8"/>
            <color indexed="81"/>
            <rFont val="Tahoma"/>
            <family val="2"/>
          </rPr>
          <t>ccampbell:</t>
        </r>
        <r>
          <rPr>
            <sz val="8"/>
            <color indexed="81"/>
            <rFont val="Tahoma"/>
            <family val="2"/>
          </rPr>
          <t xml:space="preserve">
updated 4/6</t>
        </r>
      </text>
    </comment>
    <comment ref="M219" authorId="4" shapeId="0" xr:uid="{00000000-0006-0000-0500-000033000000}">
      <text>
        <r>
          <rPr>
            <b/>
            <sz val="8"/>
            <color indexed="81"/>
            <rFont val="Tahoma"/>
            <family val="2"/>
          </rPr>
          <t>ccampbell:</t>
        </r>
        <r>
          <rPr>
            <sz val="8"/>
            <color indexed="81"/>
            <rFont val="Tahoma"/>
            <family val="2"/>
          </rPr>
          <t xml:space="preserve">
updated 3/16.  Full length material</t>
        </r>
      </text>
    </comment>
    <comment ref="M227" authorId="0" shapeId="0" xr:uid="{00000000-0006-0000-0500-000035000000}">
      <text>
        <r>
          <rPr>
            <b/>
            <sz val="8"/>
            <color indexed="81"/>
            <rFont val="Tahoma"/>
            <family val="2"/>
          </rPr>
          <t>Colin Campbell:</t>
        </r>
        <r>
          <rPr>
            <sz val="8"/>
            <color indexed="81"/>
            <rFont val="Tahoma"/>
            <family val="2"/>
          </rPr>
          <t xml:space="preserve">
Confirmed 7/23/12</t>
        </r>
      </text>
    </comment>
    <comment ref="AF227" authorId="4" shapeId="0" xr:uid="{00000000-0006-0000-0500-000036000000}">
      <text>
        <r>
          <rPr>
            <b/>
            <sz val="8"/>
            <color indexed="81"/>
            <rFont val="Tahoma"/>
            <family val="2"/>
          </rPr>
          <t>ccampbell:</t>
        </r>
        <r>
          <rPr>
            <sz val="8"/>
            <color indexed="81"/>
            <rFont val="Tahoma"/>
            <family val="2"/>
          </rPr>
          <t xml:space="preserve">
updated 4/6</t>
        </r>
      </text>
    </comment>
    <comment ref="M228" authorId="4" shapeId="0" xr:uid="{00000000-0006-0000-0500-000037000000}">
      <text>
        <r>
          <rPr>
            <b/>
            <sz val="8"/>
            <color indexed="81"/>
            <rFont val="Tahoma"/>
            <family val="2"/>
          </rPr>
          <t>ccampbell:</t>
        </r>
        <r>
          <rPr>
            <sz val="8"/>
            <color indexed="81"/>
            <rFont val="Tahoma"/>
            <family val="2"/>
          </rPr>
          <t xml:space="preserve">
updated 3/16.  Full length material</t>
        </r>
      </text>
    </comment>
    <comment ref="M236" authorId="0" shapeId="0" xr:uid="{00000000-0006-0000-0500-000039000000}">
      <text>
        <r>
          <rPr>
            <b/>
            <sz val="8"/>
            <color indexed="81"/>
            <rFont val="Tahoma"/>
            <family val="2"/>
          </rPr>
          <t>Colin Campbell:</t>
        </r>
        <r>
          <rPr>
            <sz val="8"/>
            <color indexed="81"/>
            <rFont val="Tahoma"/>
            <family val="2"/>
          </rPr>
          <t xml:space="preserve">
Confirmed 7/23/12</t>
        </r>
      </text>
    </comment>
    <comment ref="M242" authorId="0" shapeId="0" xr:uid="{00000000-0006-0000-0500-00003A000000}">
      <text>
        <r>
          <rPr>
            <b/>
            <sz val="8"/>
            <color indexed="81"/>
            <rFont val="Tahoma"/>
            <family val="2"/>
          </rPr>
          <t>Colin Campbell:</t>
        </r>
        <r>
          <rPr>
            <sz val="8"/>
            <color indexed="81"/>
            <rFont val="Tahoma"/>
            <family val="2"/>
          </rPr>
          <t xml:space="preserve">
Confirmed 7/23/12</t>
        </r>
      </text>
    </comment>
    <comment ref="S249" authorId="4" shapeId="0" xr:uid="{00000000-0006-0000-0500-00003B000000}">
      <text>
        <r>
          <rPr>
            <b/>
            <sz val="8"/>
            <color indexed="81"/>
            <rFont val="Tahoma"/>
            <family val="2"/>
          </rPr>
          <t>ccampbell:</t>
        </r>
        <r>
          <rPr>
            <sz val="8"/>
            <color indexed="81"/>
            <rFont val="Tahoma"/>
            <family val="2"/>
          </rPr>
          <t xml:space="preserve">
Measured from Head</t>
        </r>
      </text>
    </comment>
    <comment ref="S250" authorId="4" shapeId="0" xr:uid="{00000000-0006-0000-0500-00003C000000}">
      <text>
        <r>
          <rPr>
            <b/>
            <sz val="8"/>
            <color indexed="81"/>
            <rFont val="Tahoma"/>
            <family val="2"/>
          </rPr>
          <t>ccampbell:</t>
        </r>
        <r>
          <rPr>
            <sz val="8"/>
            <color indexed="81"/>
            <rFont val="Tahoma"/>
            <family val="2"/>
          </rPr>
          <t xml:space="preserve">
Measured from Head</t>
        </r>
      </text>
    </comment>
    <comment ref="D251" authorId="5" shapeId="0" xr:uid="{00000000-0006-0000-0500-00003D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2" authorId="6" shapeId="0" xr:uid="{00000000-0006-0000-0500-00003E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63" authorId="0" shapeId="0" xr:uid="{00000000-0006-0000-0500-000040000000}">
      <text>
        <r>
          <rPr>
            <b/>
            <sz val="8"/>
            <color indexed="81"/>
            <rFont val="Tahoma"/>
            <family val="2"/>
          </rPr>
          <t xml:space="preserve">RLH. </t>
        </r>
        <r>
          <rPr>
            <sz val="8"/>
            <color indexed="81"/>
            <rFont val="Tahoma"/>
            <family val="2"/>
          </rPr>
          <t>Confirmed 10-11-12</t>
        </r>
      </text>
    </comment>
    <comment ref="M272" authorId="6" shapeId="0" xr:uid="{00000000-0006-0000-0500-000041000000}">
      <text>
        <r>
          <rPr>
            <b/>
            <sz val="9"/>
            <color indexed="81"/>
            <rFont val="Tahoma"/>
            <family val="2"/>
          </rPr>
          <t>Strachan, Steve:</t>
        </r>
        <r>
          <rPr>
            <sz val="9"/>
            <color indexed="81"/>
            <rFont val="Tahoma"/>
            <family val="2"/>
          </rPr>
          <t xml:space="preserve">
Rev I
Adjusted .093" for new keeper rail fab</t>
        </r>
      </text>
    </comment>
    <comment ref="M274" authorId="6" shapeId="0" xr:uid="{00000000-0006-0000-0500-000042000000}">
      <text>
        <r>
          <rPr>
            <b/>
            <sz val="9"/>
            <color indexed="81"/>
            <rFont val="Tahoma"/>
            <family val="2"/>
          </rPr>
          <t>Strachan, Steve:</t>
        </r>
        <r>
          <rPr>
            <sz val="9"/>
            <color indexed="81"/>
            <rFont val="Tahoma"/>
            <family val="2"/>
          </rPr>
          <t xml:space="preserve">
Rev I
Shorteded .093" for new keeper rail fab</t>
        </r>
      </text>
    </comment>
    <comment ref="M278" authorId="4" shapeId="0" xr:uid="{00000000-0006-0000-0500-000046000000}">
      <text>
        <r>
          <rPr>
            <b/>
            <sz val="8"/>
            <color indexed="81"/>
            <rFont val="Tahoma"/>
            <family val="2"/>
          </rPr>
          <t>ccampbell:</t>
        </r>
        <r>
          <rPr>
            <sz val="8"/>
            <color indexed="81"/>
            <rFont val="Tahoma"/>
            <family val="2"/>
          </rPr>
          <t xml:space="preserve">
updated 3/16
R Hall Updated 12-13</t>
        </r>
      </text>
    </comment>
    <comment ref="M284" authorId="4" shapeId="0" xr:uid="{00000000-0006-0000-0500-000047000000}">
      <text>
        <r>
          <rPr>
            <b/>
            <sz val="8"/>
            <color indexed="81"/>
            <rFont val="Tahoma"/>
            <family val="2"/>
          </rPr>
          <t>ccampbell:</t>
        </r>
        <r>
          <rPr>
            <sz val="8"/>
            <color indexed="81"/>
            <rFont val="Tahoma"/>
            <family val="2"/>
          </rPr>
          <t xml:space="preserve">
updated 3/16
R Hall Updated 12-13</t>
        </r>
      </text>
    </comment>
    <comment ref="M290" authorId="4" shapeId="0" xr:uid="{00000000-0006-0000-0500-000048000000}">
      <text>
        <r>
          <rPr>
            <b/>
            <sz val="8"/>
            <color indexed="81"/>
            <rFont val="Tahoma"/>
            <family val="2"/>
          </rPr>
          <t>ccampbell:</t>
        </r>
        <r>
          <rPr>
            <sz val="8"/>
            <color indexed="81"/>
            <rFont val="Tahoma"/>
            <family val="2"/>
          </rPr>
          <t xml:space="preserve">
updated 3/16
R Hall Updated 12-13</t>
        </r>
      </text>
    </comment>
    <comment ref="M296" authorId="4" shapeId="0" xr:uid="{00000000-0006-0000-0500-000049000000}">
      <text>
        <r>
          <rPr>
            <b/>
            <sz val="8"/>
            <color indexed="81"/>
            <rFont val="Tahoma"/>
            <family val="2"/>
          </rPr>
          <t>ccampbell:</t>
        </r>
        <r>
          <rPr>
            <sz val="8"/>
            <color indexed="81"/>
            <rFont val="Tahoma"/>
            <family val="2"/>
          </rPr>
          <t xml:space="preserve">
updated 3/16
R Hall Updated 12-13</t>
        </r>
      </text>
    </comment>
    <comment ref="M302" authorId="4" shapeId="0" xr:uid="{00000000-0006-0000-0500-00004A000000}">
      <text>
        <r>
          <rPr>
            <b/>
            <sz val="8"/>
            <color indexed="81"/>
            <rFont val="Tahoma"/>
            <family val="2"/>
          </rPr>
          <t>ccampbell:</t>
        </r>
        <r>
          <rPr>
            <sz val="8"/>
            <color indexed="81"/>
            <rFont val="Tahoma"/>
            <family val="2"/>
          </rPr>
          <t xml:space="preserve">
updated 3/16
R Hall Updated 12-13</t>
        </r>
      </text>
    </comment>
    <comment ref="M308" authorId="4" shapeId="0" xr:uid="{00000000-0006-0000-0500-000043000000}">
      <text>
        <r>
          <rPr>
            <b/>
            <sz val="8"/>
            <color indexed="81"/>
            <rFont val="Tahoma"/>
            <family val="2"/>
          </rPr>
          <t>ccampbell:</t>
        </r>
        <r>
          <rPr>
            <sz val="8"/>
            <color indexed="81"/>
            <rFont val="Tahoma"/>
            <family val="2"/>
          </rPr>
          <t xml:space="preserve">
updated 3/16
R Hall Updated 12-13</t>
        </r>
      </text>
    </comment>
    <comment ref="M314" authorId="4" shapeId="0" xr:uid="{00000000-0006-0000-0500-000044000000}">
      <text>
        <r>
          <rPr>
            <b/>
            <sz val="8"/>
            <color indexed="81"/>
            <rFont val="Tahoma"/>
            <family val="2"/>
          </rPr>
          <t>ccampbell:</t>
        </r>
        <r>
          <rPr>
            <sz val="8"/>
            <color indexed="81"/>
            <rFont val="Tahoma"/>
            <family val="2"/>
          </rPr>
          <t xml:space="preserve">
updated 3/16
R Hall Updated 12-13</t>
        </r>
      </text>
    </comment>
    <comment ref="M320" authorId="4" shapeId="0" xr:uid="{00000000-0006-0000-0500-000045000000}">
      <text>
        <r>
          <rPr>
            <b/>
            <sz val="8"/>
            <color indexed="81"/>
            <rFont val="Tahoma"/>
            <family val="2"/>
          </rPr>
          <t>ccampbell:</t>
        </r>
        <r>
          <rPr>
            <sz val="8"/>
            <color indexed="81"/>
            <rFont val="Tahoma"/>
            <family val="2"/>
          </rPr>
          <t xml:space="preserve">
updated 3/16
R Hall Updated 12-13</t>
        </r>
      </text>
    </comment>
    <comment ref="Q342" authorId="4" shapeId="0" xr:uid="{00000000-0006-0000-0500-00004B000000}">
      <text>
        <r>
          <rPr>
            <b/>
            <sz val="8"/>
            <color indexed="81"/>
            <rFont val="Tahoma"/>
            <family val="2"/>
          </rPr>
          <t>ccampbell:</t>
        </r>
        <r>
          <rPr>
            <sz val="8"/>
            <color indexed="81"/>
            <rFont val="Tahoma"/>
            <family val="2"/>
          </rPr>
          <t xml:space="preserve">
For manufacturing to have a simpler schedule printout.</t>
        </r>
      </text>
    </comment>
    <comment ref="G347" authorId="4" shapeId="0" xr:uid="{00000000-0006-0000-0500-00004C000000}">
      <text>
        <r>
          <rPr>
            <b/>
            <sz val="8"/>
            <color indexed="81"/>
            <rFont val="Tahoma"/>
            <family val="2"/>
          </rPr>
          <t>ccampbell:</t>
        </r>
        <r>
          <rPr>
            <sz val="8"/>
            <color indexed="81"/>
            <rFont val="Tahoma"/>
            <family val="2"/>
          </rPr>
          <t xml:space="preserve">
Unknown until testing takes place.</t>
        </r>
      </text>
    </comment>
    <comment ref="A364" authorId="4" shapeId="0" xr:uid="{00000000-0006-0000-0500-00004D000000}">
      <text>
        <r>
          <rPr>
            <b/>
            <sz val="8"/>
            <color indexed="81"/>
            <rFont val="Tahoma"/>
            <family val="2"/>
          </rPr>
          <t>ccampbell:</t>
        </r>
        <r>
          <rPr>
            <sz val="8"/>
            <color indexed="81"/>
            <rFont val="Tahoma"/>
            <family val="2"/>
          </rPr>
          <t xml:space="preserve">
Yes
No</t>
        </r>
      </text>
    </comment>
    <comment ref="C365" authorId="7" shapeId="0" xr:uid="{00000000-0006-0000-0500-00004E000000}">
      <text>
        <r>
          <rPr>
            <b/>
            <sz val="8"/>
            <color indexed="81"/>
            <rFont val="Tahoma"/>
            <family val="2"/>
          </rPr>
          <t>RHall:</t>
        </r>
        <r>
          <rPr>
            <sz val="8"/>
            <color indexed="81"/>
            <rFont val="Tahoma"/>
            <family val="2"/>
          </rPr>
          <t xml:space="preserve">
Use for all frame types</t>
        </r>
      </text>
    </comment>
    <comment ref="C367" authorId="7" shapeId="0" xr:uid="{00000000-0006-0000-0500-00004F000000}">
      <text>
        <r>
          <rPr>
            <b/>
            <sz val="8"/>
            <color indexed="81"/>
            <rFont val="Tahoma"/>
            <family val="2"/>
          </rPr>
          <t>RHall:</t>
        </r>
        <r>
          <rPr>
            <sz val="8"/>
            <color indexed="81"/>
            <rFont val="Tahoma"/>
            <family val="2"/>
          </rPr>
          <t xml:space="preserve">
Use for all frame types</t>
        </r>
      </text>
    </comment>
    <comment ref="C369" authorId="7" shapeId="0" xr:uid="{00000000-0006-0000-0500-000050000000}">
      <text>
        <r>
          <rPr>
            <b/>
            <sz val="8"/>
            <color indexed="81"/>
            <rFont val="Tahoma"/>
            <family val="2"/>
          </rPr>
          <t>RHall:</t>
        </r>
        <r>
          <rPr>
            <sz val="8"/>
            <color indexed="81"/>
            <rFont val="Tahoma"/>
            <family val="2"/>
          </rPr>
          <t xml:space="preserve">
Use for all frame types</t>
        </r>
      </text>
    </comment>
    <comment ref="C371" authorId="7" shapeId="0" xr:uid="{00000000-0006-0000-0500-000051000000}">
      <text>
        <r>
          <rPr>
            <b/>
            <sz val="8"/>
            <color indexed="81"/>
            <rFont val="Tahoma"/>
            <family val="2"/>
          </rPr>
          <t>RHall:</t>
        </r>
        <r>
          <rPr>
            <sz val="8"/>
            <color indexed="81"/>
            <rFont val="Tahoma"/>
            <family val="2"/>
          </rPr>
          <t xml:space="preserve">
Use for all frame types</t>
        </r>
      </text>
    </comment>
    <comment ref="AC381" authorId="4" shapeId="0" xr:uid="{00000000-0006-0000-0500-000052000000}">
      <text>
        <r>
          <rPr>
            <b/>
            <sz val="8"/>
            <color indexed="81"/>
            <rFont val="Tahoma"/>
            <family val="2"/>
          </rPr>
          <t>ccampbell:</t>
        </r>
        <r>
          <rPr>
            <sz val="8"/>
            <color indexed="81"/>
            <rFont val="Tahoma"/>
            <family val="2"/>
          </rPr>
          <t xml:space="preserve">
Qty based on Keeper Rail Fabrication</t>
        </r>
      </text>
    </comment>
    <comment ref="AC386" authorId="4" shapeId="0" xr:uid="{00000000-0006-0000-0500-000053000000}">
      <text>
        <r>
          <rPr>
            <b/>
            <sz val="8"/>
            <color indexed="81"/>
            <rFont val="Tahoma"/>
            <family val="2"/>
          </rPr>
          <t>ccampbell:</t>
        </r>
        <r>
          <rPr>
            <sz val="8"/>
            <color indexed="81"/>
            <rFont val="Tahoma"/>
            <family val="2"/>
          </rPr>
          <t xml:space="preserve">
Qty based on Keeper Rail Fabrication</t>
        </r>
      </text>
    </comment>
    <comment ref="B391" authorId="2" shapeId="0" xr:uid="{00000000-0006-0000-0500-000054000000}">
      <text>
        <r>
          <rPr>
            <b/>
            <sz val="8"/>
            <color indexed="81"/>
            <rFont val="Tahoma"/>
            <family val="2"/>
          </rPr>
          <t>sy gibbs:</t>
        </r>
        <r>
          <rPr>
            <sz val="8"/>
            <color indexed="81"/>
            <rFont val="Tahoma"/>
            <family val="2"/>
          </rPr>
          <t xml:space="preserve">
2 per keeper
</t>
        </r>
      </text>
    </comment>
    <comment ref="Y406" authorId="1" shapeId="0" xr:uid="{BBD995D3-0477-40B0-A6DA-51E40A09B138}">
      <text>
        <r>
          <rPr>
            <sz val="9"/>
            <color indexed="81"/>
            <rFont val="Tahoma"/>
            <family val="2"/>
          </rPr>
          <t>was set to 006 White instead of 003</t>
        </r>
      </text>
    </comment>
    <comment ref="Y407" authorId="1" shapeId="0" xr:uid="{B82D95C0-D0D9-4B2D-B366-BC7E0356056C}">
      <text>
        <r>
          <rPr>
            <sz val="9"/>
            <color indexed="81"/>
            <rFont val="Tahoma"/>
            <family val="2"/>
          </rPr>
          <t>42 0034 031 is Obsolete</t>
        </r>
      </text>
    </comment>
    <comment ref="Y408" authorId="1" shapeId="0" xr:uid="{88540AEC-DF75-41BA-A903-422A1F424190}">
      <text>
        <r>
          <rPr>
            <sz val="9"/>
            <color indexed="81"/>
            <rFont val="Tahoma"/>
            <family val="2"/>
          </rPr>
          <t xml:space="preserve">034 color is not to be used anymore. This should be 033 clay. Need to work with vendor and inventory to make this change. </t>
        </r>
      </text>
    </comment>
    <comment ref="A430" authorId="4" shapeId="0" xr:uid="{00000000-0006-0000-0500-000055000000}">
      <text>
        <r>
          <rPr>
            <b/>
            <sz val="8"/>
            <color indexed="81"/>
            <rFont val="Tahoma"/>
            <family val="2"/>
          </rPr>
          <t>ccampbell:</t>
        </r>
        <r>
          <rPr>
            <sz val="8"/>
            <color indexed="81"/>
            <rFont val="Tahoma"/>
            <family val="2"/>
          </rPr>
          <t xml:space="preserve">
Tape Double-sided
Tape Single-sided
Wet</t>
        </r>
      </text>
    </comment>
    <comment ref="Y430" authorId="8" shapeId="0" xr:uid="{BBDE3252-8E47-4A66-9505-064ED25B0D63}">
      <text>
        <r>
          <rPr>
            <sz val="9"/>
            <color indexed="81"/>
            <rFont val="Tahoma"/>
            <family val="2"/>
          </rPr>
          <t>Dow Corning 1199
OR Pecora 896
OR Schnee-Morehead 5731</t>
        </r>
      </text>
    </comment>
    <comment ref="Y431" authorId="8" shapeId="0" xr:uid="{60DEBA56-DE69-418A-B6C5-A3E5AF59F917}">
      <text>
        <r>
          <rPr>
            <sz val="9"/>
            <color indexed="81"/>
            <rFont val="Tahoma"/>
            <family val="2"/>
          </rPr>
          <t>Dow Corning 1199
OR Pecora 896
OR Schnee-Morehead 5731</t>
        </r>
      </text>
    </comment>
    <comment ref="Y432" authorId="8" shapeId="0" xr:uid="{EAE1CF93-ED16-401A-A1CE-62731F28E34E}">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M443" authorId="0" shapeId="0" xr:uid="{00000000-0006-0000-0500-000056000000}">
      <text>
        <r>
          <rPr>
            <b/>
            <sz val="8"/>
            <color indexed="81"/>
            <rFont val="Tahoma"/>
            <family val="2"/>
          </rPr>
          <t>C Campbell:</t>
        </r>
        <r>
          <rPr>
            <sz val="8"/>
            <color indexed="81"/>
            <rFont val="Tahoma"/>
            <family val="2"/>
          </rPr>
          <t xml:space="preserve">
Updated 7/23/12</t>
        </r>
      </text>
    </comment>
    <comment ref="S443" authorId="8" shapeId="0" xr:uid="{00000000-0006-0000-0500-000057000000}">
      <text>
        <r>
          <rPr>
            <sz val="9"/>
            <color indexed="81"/>
            <rFont val="Tahoma"/>
            <family val="2"/>
          </rPr>
          <t>SLQHQSW</t>
        </r>
      </text>
    </comment>
    <comment ref="M444" authorId="0" shapeId="0" xr:uid="{00000000-0006-0000-0500-000058000000}">
      <text>
        <r>
          <rPr>
            <b/>
            <sz val="8"/>
            <color indexed="81"/>
            <rFont val="Tahoma"/>
            <family val="2"/>
          </rPr>
          <t>C Campbell:</t>
        </r>
        <r>
          <rPr>
            <sz val="8"/>
            <color indexed="81"/>
            <rFont val="Tahoma"/>
            <family val="2"/>
          </rPr>
          <t xml:space="preserve">
Updated 7/23/12</t>
        </r>
      </text>
    </comment>
    <comment ref="S444" authorId="8" shapeId="0" xr:uid="{00000000-0006-0000-0500-000059000000}">
      <text>
        <r>
          <rPr>
            <sz val="9"/>
            <color indexed="81"/>
            <rFont val="Tahoma"/>
            <family val="2"/>
          </rPr>
          <t>SLQHQSH</t>
        </r>
      </text>
    </comment>
    <comment ref="M446" authorId="0" shapeId="0" xr:uid="{00000000-0006-0000-0500-00005A000000}">
      <text>
        <r>
          <rPr>
            <b/>
            <sz val="8"/>
            <color indexed="81"/>
            <rFont val="Tahoma"/>
            <family val="2"/>
          </rPr>
          <t>C Campbell:</t>
        </r>
        <r>
          <rPr>
            <sz val="8"/>
            <color indexed="81"/>
            <rFont val="Tahoma"/>
            <family val="2"/>
          </rPr>
          <t xml:space="preserve">
Updated 8/23/12 - corrected error where weld was counted twice.</t>
        </r>
      </text>
    </comment>
    <comment ref="AF446" authorId="4" shapeId="0" xr:uid="{00000000-0006-0000-0500-00005B000000}">
      <text>
        <r>
          <rPr>
            <b/>
            <sz val="8"/>
            <color indexed="81"/>
            <rFont val="Tahoma"/>
            <family val="2"/>
          </rPr>
          <t>ccampbell:</t>
        </r>
        <r>
          <rPr>
            <sz val="8"/>
            <color indexed="81"/>
            <rFont val="Tahoma"/>
            <family val="2"/>
          </rPr>
          <t xml:space="preserve">
Updated 4/6</t>
        </r>
      </text>
    </comment>
    <comment ref="M458" authorId="0" shapeId="0" xr:uid="{00000000-0006-0000-0500-00005C000000}">
      <text>
        <r>
          <rPr>
            <b/>
            <sz val="8"/>
            <color indexed="81"/>
            <rFont val="Tahoma"/>
            <family val="2"/>
          </rPr>
          <t>C Campbell:</t>
        </r>
        <r>
          <rPr>
            <sz val="8"/>
            <color indexed="81"/>
            <rFont val="Tahoma"/>
            <family val="2"/>
          </rPr>
          <t xml:space="preserve">
Updated 7/23/12
Updated 8/23/12 - corrected error where weld was counted twice.</t>
        </r>
      </text>
    </comment>
    <comment ref="AF458" authorId="4" shapeId="0" xr:uid="{00000000-0006-0000-0500-00005D000000}">
      <text>
        <r>
          <rPr>
            <b/>
            <sz val="8"/>
            <color indexed="81"/>
            <rFont val="Tahoma"/>
            <family val="2"/>
          </rPr>
          <t>ccampbell:</t>
        </r>
        <r>
          <rPr>
            <sz val="8"/>
            <color indexed="81"/>
            <rFont val="Tahoma"/>
            <family val="2"/>
          </rPr>
          <t xml:space="preserve">
Updated 4/6</t>
        </r>
      </text>
    </comment>
    <comment ref="M476" authorId="0" shapeId="0" xr:uid="{00000000-0006-0000-0500-00005F000000}">
      <text>
        <r>
          <rPr>
            <b/>
            <sz val="8"/>
            <color indexed="81"/>
            <rFont val="Tahoma"/>
            <family val="2"/>
          </rPr>
          <t>C Campbell:</t>
        </r>
        <r>
          <rPr>
            <sz val="8"/>
            <color indexed="81"/>
            <rFont val="Tahoma"/>
            <family val="2"/>
          </rPr>
          <t xml:space="preserve">
Confirmed 7/23/12
Updated 8/23/12 - corrected error where weld was counted twice.</t>
        </r>
      </text>
    </comment>
    <comment ref="AF476" authorId="4" shapeId="0" xr:uid="{00000000-0006-0000-0500-000060000000}">
      <text>
        <r>
          <rPr>
            <b/>
            <sz val="8"/>
            <color indexed="81"/>
            <rFont val="Tahoma"/>
            <family val="2"/>
          </rPr>
          <t>ccampbell:</t>
        </r>
        <r>
          <rPr>
            <sz val="8"/>
            <color indexed="81"/>
            <rFont val="Tahoma"/>
            <family val="2"/>
          </rPr>
          <t xml:space="preserve">
Updated 4/6</t>
        </r>
      </text>
    </comment>
    <comment ref="A546" authorId="0" shapeId="0" xr:uid="{00000000-0006-0000-0500-000063000000}">
      <text>
        <r>
          <rPr>
            <b/>
            <sz val="8"/>
            <color indexed="81"/>
            <rFont val="Tahoma"/>
            <family val="2"/>
          </rPr>
          <t>Options:</t>
        </r>
        <r>
          <rPr>
            <sz val="8"/>
            <color indexed="81"/>
            <rFont val="Tahoma"/>
            <family val="2"/>
          </rPr>
          <t xml:space="preserve">
None
Std
HP</t>
        </r>
      </text>
    </comment>
    <comment ref="AH547" authorId="4" shapeId="0" xr:uid="{00000000-0006-0000-0500-000064000000}">
      <text>
        <r>
          <rPr>
            <b/>
            <sz val="8"/>
            <color indexed="81"/>
            <rFont val="Tahoma"/>
            <family val="2"/>
          </rPr>
          <t>ccampbell:</t>
        </r>
        <r>
          <rPr>
            <sz val="8"/>
            <color indexed="81"/>
            <rFont val="Tahoma"/>
            <family val="2"/>
          </rPr>
          <t xml:space="preserve">
Hygrade, Rev B Reinforcement
Updated 7/20</t>
        </r>
      </text>
    </comment>
    <comment ref="G548" authorId="4" shapeId="0" xr:uid="{00000000-0006-0000-0500-000065000000}">
      <text>
        <r>
          <rPr>
            <b/>
            <sz val="8"/>
            <color indexed="81"/>
            <rFont val="Tahoma"/>
            <family val="2"/>
          </rPr>
          <t>ccampbell:</t>
        </r>
        <r>
          <rPr>
            <sz val="8"/>
            <color indexed="81"/>
            <rFont val="Tahoma"/>
            <family val="2"/>
          </rPr>
          <t xml:space="preserve">
Unknown until testing takes place.</t>
        </r>
      </text>
    </comment>
    <comment ref="AH548" authorId="4" shapeId="0" xr:uid="{00000000-0006-0000-0500-000066000000}">
      <text>
        <r>
          <rPr>
            <b/>
            <sz val="8"/>
            <color indexed="81"/>
            <rFont val="Tahoma"/>
            <family val="2"/>
          </rPr>
          <t>ccampbell:</t>
        </r>
        <r>
          <rPr>
            <sz val="8"/>
            <color indexed="81"/>
            <rFont val="Tahoma"/>
            <family val="2"/>
          </rPr>
          <t xml:space="preserve">
Hygrade, Rev B Reinforcement
Updated 7/20</t>
        </r>
      </text>
    </comment>
    <comment ref="Q553" authorId="4" shapeId="0" xr:uid="{00000000-0006-0000-0500-000067000000}">
      <text>
        <r>
          <rPr>
            <b/>
            <sz val="8"/>
            <color indexed="81"/>
            <rFont val="Tahoma"/>
            <family val="2"/>
          </rPr>
          <t>ccampbell:</t>
        </r>
        <r>
          <rPr>
            <sz val="8"/>
            <color indexed="81"/>
            <rFont val="Tahoma"/>
            <family val="2"/>
          </rPr>
          <t xml:space="preserve">
For manufacturing to have a simpler schedule printout.</t>
        </r>
      </text>
    </comment>
    <comment ref="Q574" authorId="4" shapeId="0" xr:uid="{00000000-0006-0000-0500-000068000000}">
      <text>
        <r>
          <rPr>
            <b/>
            <sz val="8"/>
            <color indexed="81"/>
            <rFont val="Tahoma"/>
            <family val="2"/>
          </rPr>
          <t>ccampbell:</t>
        </r>
        <r>
          <rPr>
            <sz val="8"/>
            <color indexed="81"/>
            <rFont val="Tahoma"/>
            <family val="2"/>
          </rPr>
          <t xml:space="preserve">
For manufacturing to have a simpler schedule printout.</t>
        </r>
      </text>
    </comment>
    <comment ref="A594" authorId="4" shapeId="0" xr:uid="{00000000-0006-0000-0500-000069000000}">
      <text>
        <r>
          <rPr>
            <b/>
            <sz val="8"/>
            <color indexed="81"/>
            <rFont val="Tahoma"/>
            <family val="2"/>
          </rPr>
          <t>ccampbell:</t>
        </r>
        <r>
          <rPr>
            <sz val="8"/>
            <color indexed="81"/>
            <rFont val="Tahoma"/>
            <family val="2"/>
          </rPr>
          <t xml:space="preserve">
Yes
No</t>
        </r>
      </text>
    </comment>
    <comment ref="M595" authorId="4" shapeId="0" xr:uid="{00000000-0006-0000-0500-00006A000000}">
      <text>
        <r>
          <rPr>
            <b/>
            <sz val="8"/>
            <color indexed="81"/>
            <rFont val="Tahoma"/>
            <family val="2"/>
          </rPr>
          <t>ccampbell:</t>
        </r>
        <r>
          <rPr>
            <sz val="8"/>
            <color indexed="81"/>
            <rFont val="Tahoma"/>
            <family val="2"/>
          </rPr>
          <t xml:space="preserve">
Approximations.  Only needed for costing.</t>
        </r>
      </text>
    </comment>
    <comment ref="A605" authorId="4" shapeId="0" xr:uid="{00000000-0006-0000-0500-00006B000000}">
      <text>
        <r>
          <rPr>
            <b/>
            <sz val="8"/>
            <color indexed="81"/>
            <rFont val="Tahoma"/>
            <family val="2"/>
          </rPr>
          <t>ccampbell: refer to Att sheets</t>
        </r>
        <r>
          <rPr>
            <sz val="8"/>
            <color indexed="81"/>
            <rFont val="Tahoma"/>
            <family val="2"/>
          </rPr>
          <t xml:space="preserve">
Standard
Auto
ADA</t>
        </r>
      </text>
    </comment>
    <comment ref="C625" authorId="2" shapeId="0" xr:uid="{00000000-0006-0000-0500-00006C000000}">
      <text>
        <r>
          <rPr>
            <b/>
            <sz val="8"/>
            <color indexed="81"/>
            <rFont val="Tahoma"/>
            <family val="2"/>
          </rPr>
          <t>CCampbell:</t>
        </r>
        <r>
          <rPr>
            <sz val="8"/>
            <color indexed="81"/>
            <rFont val="Tahoma"/>
            <family val="2"/>
          </rPr>
          <t xml:space="preserve"> 4 per lock, rather than 2 per lock because of the added vertical impact to close.</t>
        </r>
        <r>
          <rPr>
            <sz val="8"/>
            <color indexed="81"/>
            <rFont val="Tahoma"/>
            <family val="2"/>
          </rPr>
          <t xml:space="preserve">
</t>
        </r>
      </text>
    </comment>
    <comment ref="A645" authorId="4" shapeId="0" xr:uid="{00000000-0006-0000-0500-00006D000000}">
      <text>
        <r>
          <rPr>
            <b/>
            <sz val="8"/>
            <color indexed="81"/>
            <rFont val="Tahoma"/>
            <family val="2"/>
          </rPr>
          <t>ccampbell:</t>
        </r>
        <r>
          <rPr>
            <sz val="8"/>
            <color indexed="81"/>
            <rFont val="Tahoma"/>
            <family val="2"/>
          </rPr>
          <t xml:space="preserve">
Tape Double-sided
Tape Single-sided
Wet</t>
        </r>
      </text>
    </comment>
    <comment ref="G645" authorId="8" shapeId="0" xr:uid="{A3240174-1B9D-4D21-904D-BDDA1D073BB0}">
      <text>
        <r>
          <rPr>
            <sz val="9"/>
            <color indexed="81"/>
            <rFont val="Tahoma"/>
            <family val="2"/>
          </rPr>
          <t>5/32" dia. Bead = 1,010 ft / gallon</t>
        </r>
      </text>
    </comment>
    <comment ref="Y645" authorId="8" shapeId="0" xr:uid="{B479B518-0038-45C8-B295-49F1529878CD}">
      <text>
        <r>
          <rPr>
            <sz val="9"/>
            <color indexed="81"/>
            <rFont val="Tahoma"/>
            <family val="2"/>
          </rPr>
          <t>Dow Corning 1199
OR Pecora 896
OR Schnee-Morehead 5731</t>
        </r>
      </text>
    </comment>
    <comment ref="Y646" authorId="8" shapeId="0" xr:uid="{7F80D19D-24BB-47A3-9CFE-F12002A24354}">
      <text>
        <r>
          <rPr>
            <sz val="9"/>
            <color indexed="81"/>
            <rFont val="Tahoma"/>
            <family val="2"/>
          </rPr>
          <t>Dow Corning 1199
OR Pecora 896
OR Schnee-Morehead 5731</t>
        </r>
      </text>
    </comment>
    <comment ref="G647" authorId="8" shapeId="0" xr:uid="{60F9D717-EBE0-4B49-B4B9-72D9008CECB5}">
      <text>
        <r>
          <rPr>
            <sz val="9"/>
            <color indexed="81"/>
            <rFont val="Tahoma"/>
            <family val="2"/>
          </rPr>
          <t>EJAGVN103 Impact 1/4" dia. Bead = 392 ft / gallon</t>
        </r>
      </text>
    </comment>
    <comment ref="Y647" authorId="8" shapeId="0" xr:uid="{F7CE587C-2C02-4161-90AA-D4EE32BD3253}">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649" authorId="8" shapeId="0" xr:uid="{4D8ADE48-1952-455A-AAAB-B308B8BC9710}">
      <text>
        <r>
          <rPr>
            <sz val="9"/>
            <color indexed="81"/>
            <rFont val="Tahoma"/>
            <family val="2"/>
          </rPr>
          <t>1 tube/10.3 oz x 128 oz/1 gallon</t>
        </r>
      </text>
    </comment>
    <comment ref="A657" authorId="4" shapeId="0" xr:uid="{00000000-0006-0000-0500-00006E000000}">
      <text>
        <r>
          <rPr>
            <b/>
            <sz val="8"/>
            <color indexed="81"/>
            <rFont val="Tahoma"/>
            <family val="2"/>
          </rPr>
          <t>ccampbell:</t>
        </r>
        <r>
          <rPr>
            <sz val="8"/>
            <color indexed="81"/>
            <rFont val="Tahoma"/>
            <family val="2"/>
          </rPr>
          <t xml:space="preserve">
Use current screen codes to include full/half, mesh type, etc.</t>
        </r>
      </text>
    </comment>
    <comment ref="M658" authorId="0" shapeId="0" xr:uid="{00000000-0006-0000-0500-00006F000000}">
      <text>
        <r>
          <rPr>
            <b/>
            <sz val="8"/>
            <color indexed="81"/>
            <rFont val="Tahoma"/>
            <family val="2"/>
          </rPr>
          <t>Colin Campbell:</t>
        </r>
        <r>
          <rPr>
            <sz val="8"/>
            <color indexed="81"/>
            <rFont val="Tahoma"/>
            <family val="2"/>
          </rPr>
          <t xml:space="preserve">
Confirmed 7/25/12</t>
        </r>
      </text>
    </comment>
    <comment ref="M659" authorId="0" shapeId="0" xr:uid="{00000000-0006-0000-0500-000070000000}">
      <text>
        <r>
          <rPr>
            <b/>
            <sz val="8"/>
            <color indexed="81"/>
            <rFont val="Tahoma"/>
            <family val="2"/>
          </rPr>
          <t>Colin Campbell:</t>
        </r>
        <r>
          <rPr>
            <sz val="8"/>
            <color indexed="81"/>
            <rFont val="Tahoma"/>
            <family val="2"/>
          </rPr>
          <t xml:space="preserve">
Confirmed 7/25/12</t>
        </r>
      </text>
    </comment>
    <comment ref="M669" authorId="0" shapeId="0" xr:uid="{00000000-0006-0000-0500-000071000000}">
      <text>
        <r>
          <rPr>
            <b/>
            <sz val="8"/>
            <color indexed="81"/>
            <rFont val="Tahoma"/>
            <family val="2"/>
          </rPr>
          <t>Colin Campbell:</t>
        </r>
        <r>
          <rPr>
            <sz val="8"/>
            <color indexed="81"/>
            <rFont val="Tahoma"/>
            <family val="2"/>
          </rPr>
          <t xml:space="preserve">
Updated 4/17/12</t>
        </r>
      </text>
    </comment>
    <comment ref="M670" authorId="0" shapeId="0" xr:uid="{00000000-0006-0000-0500-000072000000}">
      <text>
        <r>
          <rPr>
            <b/>
            <sz val="8"/>
            <color indexed="81"/>
            <rFont val="Tahoma"/>
            <family val="2"/>
          </rPr>
          <t>Colin Campbell:</t>
        </r>
        <r>
          <rPr>
            <sz val="8"/>
            <color indexed="81"/>
            <rFont val="Tahoma"/>
            <family val="2"/>
          </rPr>
          <t xml:space="preserve">
Updated 6/6/12</t>
        </r>
      </text>
    </comment>
    <comment ref="M676" authorId="0" shapeId="0" xr:uid="{00000000-0006-0000-0500-00007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6" authorId="1" shapeId="0" xr:uid="{DA6ABEE5-6F71-408E-BA53-4C6856AC38F4}">
      <text>
        <r>
          <rPr>
            <sz val="9"/>
            <color indexed="81"/>
            <rFont val="Tahoma"/>
            <family val="2"/>
          </rPr>
          <t>SLQHQFGW</t>
        </r>
      </text>
    </comment>
    <comment ref="M677" authorId="0" shapeId="0" xr:uid="{00000000-0006-0000-0500-00007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7" authorId="1" shapeId="0" xr:uid="{3F2ED6BB-AD79-4228-9080-A0567FF8B335}">
      <text>
        <r>
          <rPr>
            <sz val="9"/>
            <color indexed="81"/>
            <rFont val="Tahoma"/>
            <family val="2"/>
          </rPr>
          <t>SLQHQFGH</t>
        </r>
      </text>
    </comment>
    <comment ref="M678" authorId="0" shapeId="0" xr:uid="{00000000-0006-0000-0500-00007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79" authorId="0" shapeId="0" xr:uid="{00000000-0006-0000-0500-00007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2" authorId="0" shapeId="0" xr:uid="{00000000-0006-0000-0500-00007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2" authorId="1" shapeId="0" xr:uid="{E0BFCBC3-35B8-45EE-9B09-3D0740DDB67B}">
      <text>
        <r>
          <rPr>
            <sz val="9"/>
            <color indexed="81"/>
            <rFont val="Tahoma"/>
            <family val="2"/>
          </rPr>
          <t>SLQHQSGW</t>
        </r>
      </text>
    </comment>
    <comment ref="M683" authorId="0" shapeId="0" xr:uid="{00000000-0006-0000-0500-00007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3" authorId="1" shapeId="0" xr:uid="{2EE27330-2697-45EA-B700-7106C70F8CAA}">
      <text>
        <r>
          <rPr>
            <sz val="9"/>
            <color indexed="81"/>
            <rFont val="Tahoma"/>
            <family val="2"/>
          </rPr>
          <t>SLQHQSGH</t>
        </r>
      </text>
    </comment>
    <comment ref="M684" authorId="0" shapeId="0" xr:uid="{00000000-0006-0000-0500-00007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5" authorId="0" shapeId="0" xr:uid="{00000000-0006-0000-0500-00007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1" authorId="0" shapeId="0" xr:uid="{00000000-0006-0000-0500-00007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2" authorId="0" shapeId="0" xr:uid="{00000000-0006-0000-0500-00007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3" authorId="0" shapeId="0" xr:uid="{00000000-0006-0000-0500-00007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4" authorId="0" shapeId="0" xr:uid="{00000000-0006-0000-0500-00007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8" authorId="0" shapeId="0" xr:uid="{00000000-0006-0000-0500-00007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2" authorId="0" shapeId="0" xr:uid="{00000000-0006-0000-0500-00008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3" authorId="0" shapeId="0" xr:uid="{00000000-0006-0000-0500-00008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4" authorId="0" shapeId="0" xr:uid="{00000000-0006-0000-0500-00008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9" authorId="0" shapeId="0" xr:uid="{00000000-0006-0000-0500-00008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0" authorId="0" shapeId="0" xr:uid="{00000000-0006-0000-0500-00008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1" authorId="0" shapeId="0" xr:uid="{00000000-0006-0000-0500-00008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Q718" authorId="0" shapeId="0" xr:uid="{00000000-0006-0000-0500-000086000000}">
      <text>
        <r>
          <rPr>
            <b/>
            <sz val="8"/>
            <color indexed="81"/>
            <rFont val="Tahoma"/>
            <family val="2"/>
          </rPr>
          <t>Colin Campbell:</t>
        </r>
        <r>
          <rPr>
            <sz val="8"/>
            <color indexed="81"/>
            <rFont val="Tahoma"/>
            <family val="2"/>
          </rPr>
          <t xml:space="preserve">
Corrected in Rev 18 on 8/16
Was -1.063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Steve Strachan</author>
    <author>CCampbell</author>
    <author>Ronald Hall</author>
  </authors>
  <commentList>
    <comment ref="F3" authorId="0" shapeId="0" xr:uid="{00000000-0006-0000-0600-000001000000}">
      <text>
        <r>
          <rPr>
            <sz val="9"/>
            <color indexed="81"/>
            <rFont val="Tahoma"/>
            <family val="2"/>
          </rPr>
          <t>NW = Number Wide</t>
        </r>
      </text>
    </comment>
    <comment ref="G7" authorId="0" shapeId="0" xr:uid="{00000000-0006-0000-0600-000004000000}">
      <text>
        <r>
          <rPr>
            <sz val="9"/>
            <color indexed="81"/>
            <rFont val="Tahoma"/>
            <family val="2"/>
          </rPr>
          <t>SideliteW</t>
        </r>
      </text>
    </comment>
    <comment ref="E8" authorId="0" shapeId="0" xr:uid="{00000000-0006-0000-0600-000002000000}">
      <text>
        <r>
          <rPr>
            <sz val="9"/>
            <color indexed="81"/>
            <rFont val="Tahoma"/>
            <family val="2"/>
          </rPr>
          <t>INT2width</t>
        </r>
      </text>
    </comment>
    <comment ref="E9" authorId="0" shapeId="0" xr:uid="{00000000-0006-0000-0600-000003000000}">
      <text>
        <r>
          <rPr>
            <sz val="9"/>
            <color indexed="81"/>
            <rFont val="Tahoma"/>
            <family val="2"/>
          </rPr>
          <t>INTheight</t>
        </r>
      </text>
    </comment>
    <comment ref="AF13" authorId="1" shapeId="0" xr:uid="{5B29423D-6AE0-409C-84E7-F3CD24C7DD5E}">
      <text>
        <r>
          <rPr>
            <sz val="9"/>
            <color indexed="81"/>
            <rFont val="Tahoma"/>
            <family val="2"/>
          </rPr>
          <t>AtolbperftINT</t>
        </r>
      </text>
    </comment>
    <comment ref="AG13" authorId="2" shapeId="0" xr:uid="{00000000-0006-0000-0600-000005000000}">
      <text>
        <r>
          <rPr>
            <sz val="8"/>
            <color indexed="81"/>
            <rFont val="Tahoma"/>
            <family val="2"/>
          </rPr>
          <t>= lb/ft * $/lb</t>
        </r>
      </text>
    </comment>
    <comment ref="V14" authorId="3" shapeId="0" xr:uid="{98702F2F-5ED1-44D2-A22F-42B797596549}">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4" authorId="3" shapeId="0" xr:uid="{A79EC5FE-7F7C-4520-89C1-24EA119F454E}">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27" authorId="4" shapeId="0" xr:uid="{00000000-0006-0000-0600-000006000000}">
      <text>
        <r>
          <rPr>
            <b/>
            <sz val="9"/>
            <color indexed="81"/>
            <rFont val="Tahoma"/>
            <family val="2"/>
          </rPr>
          <t>CCampbell:</t>
        </r>
        <r>
          <rPr>
            <sz val="9"/>
            <color indexed="81"/>
            <rFont val="Tahoma"/>
            <family val="2"/>
          </rPr>
          <t xml:space="preserve">
9/11/12 - Moved KR down 1/16"</t>
        </r>
      </text>
    </comment>
    <comment ref="S127" authorId="5" shapeId="0" xr:uid="{00000000-0006-0000-0600-000007000000}">
      <text>
        <r>
          <rPr>
            <b/>
            <sz val="9"/>
            <color indexed="81"/>
            <rFont val="Tahoma"/>
            <family val="2"/>
          </rPr>
          <t>Ronald Hall:</t>
        </r>
        <r>
          <rPr>
            <sz val="9"/>
            <color indexed="81"/>
            <rFont val="Tahoma"/>
            <family val="2"/>
          </rPr>
          <t xml:space="preserve">
Measured from sill end 7-8-13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Greg De Boer</author>
    <author>Gibbs, Sy</author>
    <author>Greg DeBoer</author>
    <author>sy gibbs</author>
  </authors>
  <commentList>
    <comment ref="I6" authorId="0" shapeId="0" xr:uid="{A3D8EC7B-DF5F-4B7A-986C-A26010B7D218}">
      <text>
        <r>
          <rPr>
            <sz val="9"/>
            <color indexed="81"/>
            <rFont val="Tahoma"/>
            <family val="2"/>
          </rPr>
          <t>as of 2/24/23</t>
        </r>
      </text>
    </comment>
    <comment ref="O8" authorId="1" shapeId="0" xr:uid="{00000000-0006-0000-0700-000001000000}">
      <text>
        <r>
          <rPr>
            <b/>
            <sz val="9"/>
            <color indexed="81"/>
            <rFont val="Tahoma"/>
            <family val="2"/>
          </rPr>
          <t xml:space="preserve">Strachan, Steve:
</t>
        </r>
        <r>
          <rPr>
            <sz val="9"/>
            <color indexed="81"/>
            <rFont val="Tahoma"/>
            <family val="2"/>
          </rPr>
          <t>decrease screen height by 1/16" to reduce interference with Keeper Rail</t>
        </r>
        <r>
          <rPr>
            <b/>
            <sz val="9"/>
            <color indexed="81"/>
            <rFont val="Tahoma"/>
            <family val="2"/>
          </rPr>
          <t xml:space="preserve">
</t>
        </r>
        <r>
          <rPr>
            <sz val="9"/>
            <color indexed="81"/>
            <rFont val="Tahoma"/>
            <family val="2"/>
          </rPr>
          <t>per EC 20-037 from -1.4375 to -1.500</t>
        </r>
        <r>
          <rPr>
            <b/>
            <sz val="9"/>
            <color indexed="81"/>
            <rFont val="Tahoma"/>
            <family val="2"/>
          </rPr>
          <t xml:space="preserve">
Gibbs, Sy:</t>
        </r>
        <r>
          <rPr>
            <sz val="9"/>
            <color indexed="81"/>
            <rFont val="Tahoma"/>
            <family val="2"/>
          </rPr>
          <t xml:space="preserve">
increase screen height by 1/16" to reduce visible daylight
per EC 14-011 from -1.500 to -1.4375
</t>
        </r>
      </text>
    </comment>
    <comment ref="O34" authorId="2" shapeId="0" xr:uid="{00000000-0006-0000-0700-000002000000}">
      <text>
        <r>
          <rPr>
            <sz val="9"/>
            <color indexed="81"/>
            <rFont val="Tahoma"/>
            <family val="2"/>
          </rPr>
          <t>Finds closest mesh size above screen width</t>
        </r>
      </text>
    </comment>
    <comment ref="P34" authorId="2" shapeId="0" xr:uid="{00000000-0006-0000-0700-000003000000}">
      <text>
        <r>
          <rPr>
            <sz val="9"/>
            <color indexed="81"/>
            <rFont val="Tahoma"/>
            <family val="2"/>
          </rPr>
          <t>Round up screen height to nearest foot</t>
        </r>
      </text>
    </comment>
    <comment ref="O42" authorId="3" shapeId="0" xr:uid="{00000000-0006-0000-0700-000004000000}">
      <text>
        <r>
          <rPr>
            <sz val="8"/>
            <color indexed="81"/>
            <rFont val="Tahoma"/>
            <family val="2"/>
          </rPr>
          <t>151239 profile width from outside of profile to edge of spline pocket.</t>
        </r>
      </text>
    </comment>
    <comment ref="P42" authorId="2" shapeId="0" xr:uid="{00000000-0006-0000-0700-000005000000}">
      <text>
        <r>
          <rPr>
            <sz val="9"/>
            <color indexed="81"/>
            <rFont val="Tahoma"/>
            <family val="2"/>
          </rPr>
          <t>((FSW + offset x 2) x 2 sides +
(FSH + offset x 2) x 2 sides) / 12</t>
        </r>
      </text>
    </comment>
    <comment ref="AD42" authorId="3" shapeId="0" xr:uid="{00000000-0006-0000-0700-000006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AE42" authorId="2" shapeId="0" xr:uid="{00000000-0006-0000-0700-000007000000}">
      <text>
        <r>
          <rPr>
            <sz val="9"/>
            <color indexed="81"/>
            <rFont val="Tahoma"/>
            <family val="2"/>
          </rPr>
          <t>((FSW + offset x 2) x 2 sides +
(FSH + offset x 2) x 2 sides) / 12</t>
        </r>
      </text>
    </comment>
    <comment ref="AS42" authorId="3" shapeId="0" xr:uid="{00000000-0006-0000-0700-000008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BH42" authorId="3" shapeId="0" xr:uid="{00000000-0006-0000-0700-000009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BW42" authorId="3" shapeId="0" xr:uid="{00000000-0006-0000-0700-00000A000000}">
      <text>
        <r>
          <rPr>
            <sz val="8"/>
            <color indexed="81"/>
            <rFont val="Tahoma"/>
            <family val="2"/>
          </rPr>
          <t>151239 profile width from outside of profile to edge of spline pocket.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Greg De Boer</author>
  </authors>
  <commentList>
    <comment ref="K19" authorId="0" shapeId="0" xr:uid="{D5603109-8B1D-4D30-80BC-640ABAA2AB65}">
      <text>
        <r>
          <rPr>
            <sz val="9"/>
            <color indexed="81"/>
            <rFont val="Tahoma"/>
            <family val="2"/>
          </rPr>
          <t>$2.00 White Material cost</t>
        </r>
      </text>
    </comment>
    <comment ref="K20" authorId="0" shapeId="0" xr:uid="{A760D9D2-37A2-4803-911E-EE5C60B4831E}">
      <text>
        <r>
          <rPr>
            <sz val="9"/>
            <color indexed="81"/>
            <rFont val="Tahoma"/>
            <family val="2"/>
          </rPr>
          <t>$2.024 White Material cost</t>
        </r>
      </text>
    </comment>
    <comment ref="K22" authorId="0" shapeId="0" xr:uid="{46147216-92A4-4291-8134-A70092D686FA}">
      <text>
        <r>
          <rPr>
            <sz val="9"/>
            <color indexed="81"/>
            <rFont val="Tahoma"/>
            <family val="2"/>
          </rPr>
          <t>$2.144 White Material cost</t>
        </r>
      </text>
    </comment>
    <comment ref="A26" authorId="0" shapeId="0" xr:uid="{B30CE50B-2873-4B65-8122-18C5DD05140F}">
      <text>
        <r>
          <rPr>
            <sz val="9"/>
            <color indexed="81"/>
            <rFont val="Tahoma"/>
            <family val="2"/>
          </rPr>
          <t>33.875 x 65.125</t>
        </r>
      </text>
    </comment>
    <comment ref="A27" authorId="0" shapeId="0" xr:uid="{7297E45B-32A2-49D3-B5F8-868AD5E5FA85}">
      <text>
        <r>
          <rPr>
            <sz val="9"/>
            <color indexed="81"/>
            <rFont val="Tahoma"/>
            <family val="2"/>
          </rPr>
          <t>37.875 x 57.125</t>
        </r>
      </text>
    </comment>
    <comment ref="A50" authorId="0" shapeId="0" xr:uid="{20BEF11A-665D-446B-8257-6D9E37AAF5C6}">
      <text>
        <r>
          <rPr>
            <sz val="9"/>
            <color indexed="81"/>
            <rFont val="Tahoma"/>
            <family val="2"/>
          </rPr>
          <t>33.875 x 77.125</t>
        </r>
      </text>
    </comment>
    <comment ref="A52" authorId="0" shapeId="0" xr:uid="{FEFB0F3A-D1D2-4CFE-9B24-9CFA9BAA6F1B}">
      <text>
        <r>
          <rPr>
            <sz val="9"/>
            <color indexed="81"/>
            <rFont val="Tahoma"/>
            <family val="2"/>
          </rPr>
          <t>39.500 x 83.500 with 71.500 Sash</t>
        </r>
      </text>
    </comment>
    <comment ref="A54" authorId="0" shapeId="0" xr:uid="{C41B00ED-85BF-4BC6-8BAE-3A5E59815AD9}">
      <text>
        <r>
          <rPr>
            <sz val="9"/>
            <color indexed="81"/>
            <rFont val="Tahoma"/>
            <family val="2"/>
          </rPr>
          <t>17.500 x 65.500 with 59.500 Sash</t>
        </r>
      </text>
    </comment>
    <comment ref="A55" authorId="0" shapeId="0" xr:uid="{C6F8A5F5-1845-41B5-8870-2BB3731DFA91}">
      <text>
        <r>
          <rPr>
            <sz val="9"/>
            <color indexed="81"/>
            <rFont val="Tahoma"/>
            <family val="2"/>
          </rPr>
          <t>23.500 x 65.500 with 53.500 Sash</t>
        </r>
      </text>
    </comment>
    <comment ref="A71" authorId="0" shapeId="0" xr:uid="{F69B636F-820C-4F8A-A69B-9BAC76562D43}">
      <text>
        <r>
          <rPr>
            <sz val="9"/>
            <color indexed="81"/>
            <rFont val="Tahoma"/>
            <family val="2"/>
          </rPr>
          <t>39.500 x 83.500 with 71.500 Sash</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Greg De Boer</author>
    <author>Colin Campbell</author>
    <author>sy gibbs</author>
  </authors>
  <commentList>
    <comment ref="AC5" authorId="0" shapeId="0" xr:uid="{8F7DDD84-4215-4910-9E51-7358CB2084F7}">
      <text>
        <r>
          <rPr>
            <sz val="9"/>
            <color indexed="81"/>
            <rFont val="Tahoma"/>
            <family val="2"/>
          </rPr>
          <t>AtolbperftKit</t>
        </r>
      </text>
    </comment>
    <comment ref="AD8" authorId="1" shapeId="0" xr:uid="{00000000-0006-0000-0900-000001000000}">
      <text>
        <r>
          <rPr>
            <sz val="8"/>
            <color indexed="81"/>
            <rFont val="Tahoma"/>
            <family val="2"/>
          </rPr>
          <t>= lb/ft * $/lb</t>
        </r>
      </text>
    </comment>
    <comment ref="C9" authorId="2" shapeId="0" xr:uid="{00000000-0006-0000-09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9" authorId="2" shapeId="0" xr:uid="{00000000-0006-0000-09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U128" authorId="0" shapeId="0" xr:uid="{47527EEC-D687-40CA-B0A9-1CC219D53A7E}">
      <text>
        <r>
          <rPr>
            <sz val="9"/>
            <color indexed="81"/>
            <rFont val="Tahoma"/>
            <family val="2"/>
          </rPr>
          <t>was set to 006 White instead of 003</t>
        </r>
      </text>
    </comment>
    <comment ref="U130" authorId="0" shapeId="0" xr:uid="{CA8C77E0-84DC-43C2-AFFE-7FB812513172}">
      <text>
        <r>
          <rPr>
            <sz val="9"/>
            <color indexed="81"/>
            <rFont val="Tahoma"/>
            <family val="2"/>
          </rPr>
          <t xml:space="preserve">034 color is not to be used anymore. This should be 033 clay. Need to work with vendor and inventory to make this change.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Greg DeBoer</author>
    <author>Steve Strachan</author>
    <author>Greg De Boer</author>
    <author>jferguson</author>
  </authors>
  <commentList>
    <comment ref="X3" authorId="0" shapeId="0" xr:uid="{00000000-0006-0000-0A00-000001000000}">
      <text>
        <r>
          <rPr>
            <sz val="9"/>
            <color indexed="81"/>
            <rFont val="Tahoma"/>
            <family val="2"/>
          </rPr>
          <t>Single Screw cost</t>
        </r>
      </text>
    </comment>
    <comment ref="O6" authorId="1" shapeId="0" xr:uid="{C4B53C56-71A5-4B75-8A50-82F82DBC5333}">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Q6" authorId="1" shapeId="0" xr:uid="{1EE5B91A-4773-45A1-A061-825BCD5C9562}">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W6" authorId="2" shapeId="0" xr:uid="{0603A457-AE73-4B4A-9B49-9D5D5C9A9845}">
      <text>
        <r>
          <rPr>
            <sz val="9"/>
            <color indexed="81"/>
            <rFont val="Tahoma"/>
            <family val="2"/>
          </rPr>
          <t>AtolbperftAccy</t>
        </r>
      </text>
    </comment>
    <comment ref="Y6" authorId="3" shapeId="0" xr:uid="{00000000-0006-0000-0A00-000002000000}">
      <text>
        <r>
          <rPr>
            <b/>
            <sz val="8"/>
            <color indexed="81"/>
            <rFont val="Tahoma"/>
            <family val="2"/>
          </rPr>
          <t>jferguson:</t>
        </r>
        <r>
          <rPr>
            <sz val="8"/>
            <color indexed="81"/>
            <rFont val="Tahoma"/>
            <family val="2"/>
          </rPr>
          <t xml:space="preserve">
</t>
        </r>
        <r>
          <rPr>
            <sz val="8"/>
            <color indexed="81"/>
            <rFont val="Arial"/>
            <family val="2"/>
          </rPr>
          <t>±</t>
        </r>
        <r>
          <rPr>
            <sz val="9.1999999999999993"/>
            <color indexed="81"/>
            <rFont val="Tahoma"/>
            <family val="2"/>
          </rPr>
          <t>1/16 in. unless noted</t>
        </r>
      </text>
    </comment>
    <comment ref="R259" authorId="2" shapeId="0" xr:uid="{6E9EB1DE-736B-4E44-95C2-1414F6BD4E09}">
      <text>
        <r>
          <rPr>
            <sz val="9"/>
            <color indexed="81"/>
            <rFont val="Tahoma"/>
            <family val="2"/>
          </rPr>
          <t>Clear = 30359
DG was 610010148</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Greg De Boer</author>
    <author>Ronald Hall</author>
    <author>Colin Campbell</author>
    <author>CCampbell</author>
    <author>Greg DeBoer</author>
  </authors>
  <commentList>
    <comment ref="C25" authorId="0" shapeId="0" xr:uid="{141CCF5E-F932-4C2C-A434-237B7BDC89EE}">
      <text>
        <r>
          <rPr>
            <sz val="9"/>
            <color indexed="81"/>
            <rFont val="Tahoma"/>
            <family val="2"/>
          </rPr>
          <t>_SHSashRailDensity</t>
        </r>
      </text>
    </comment>
    <comment ref="D25" authorId="0" shapeId="0" xr:uid="{72848141-0530-49EF-B217-6E43F2781EBD}">
      <text>
        <r>
          <rPr>
            <sz val="9"/>
            <color indexed="81"/>
            <rFont val="Tahoma"/>
            <family val="2"/>
          </rPr>
          <t>_SHSashStileDensity</t>
        </r>
      </text>
    </comment>
    <comment ref="C50" authorId="1" shapeId="0" xr:uid="{00000000-0006-0000-0B00-000001000000}">
      <text>
        <r>
          <rPr>
            <b/>
            <sz val="9"/>
            <color indexed="81"/>
            <rFont val="Tahoma"/>
            <family val="2"/>
          </rPr>
          <t>Ronald Hall:</t>
        </r>
        <r>
          <rPr>
            <sz val="9"/>
            <color indexed="81"/>
            <rFont val="Tahoma"/>
            <family val="2"/>
          </rPr>
          <t xml:space="preserve">
Added 12-19-13, set to adjust coil balance for friction factor.</t>
        </r>
      </text>
    </comment>
    <comment ref="C51" authorId="2" shapeId="0" xr:uid="{00000000-0006-0000-0B00-000002000000}">
      <text>
        <r>
          <rPr>
            <b/>
            <sz val="8"/>
            <color indexed="81"/>
            <rFont val="Tahoma"/>
            <family val="2"/>
          </rPr>
          <t>Colin Campbell:</t>
        </r>
        <r>
          <rPr>
            <sz val="8"/>
            <color indexed="81"/>
            <rFont val="Tahoma"/>
            <family val="2"/>
          </rPr>
          <t xml:space="preserve">
To adjust for internal balance friction as the balance strength increases.</t>
        </r>
      </text>
    </comment>
    <comment ref="C52" authorId="2" shapeId="0" xr:uid="{00000000-0006-0000-0B00-000003000000}">
      <text>
        <r>
          <rPr>
            <b/>
            <sz val="8"/>
            <color indexed="81"/>
            <rFont val="Tahoma"/>
            <family val="2"/>
          </rPr>
          <t>Colin Campbell:</t>
        </r>
        <r>
          <rPr>
            <sz val="8"/>
            <color indexed="81"/>
            <rFont val="Tahoma"/>
            <family val="2"/>
          </rPr>
          <t xml:space="preserve">
</t>
        </r>
        <r>
          <rPr>
            <sz val="10"/>
            <color indexed="81"/>
            <rFont val="Tahoma"/>
            <family val="2"/>
          </rPr>
          <t>Includes weight of hardware, etc, that doesn't change with sash size.</t>
        </r>
      </text>
    </comment>
    <comment ref="D52" authorId="3" shapeId="0" xr:uid="{00000000-0006-0000-0B00-000004000000}">
      <text>
        <r>
          <rPr>
            <sz val="9"/>
            <color indexed="81"/>
            <rFont val="Tahoma"/>
            <family val="2"/>
          </rPr>
          <t>02/27/13 Changed from 0.000 to 2
10/14/13 Changed from 2 to .500 to correct field issues - R. Hall</t>
        </r>
      </text>
    </comment>
    <comment ref="C53" authorId="2" shapeId="0" xr:uid="{00000000-0006-0000-0B00-000005000000}">
      <text>
        <r>
          <rPr>
            <b/>
            <sz val="8"/>
            <color indexed="81"/>
            <rFont val="Tahoma"/>
            <family val="2"/>
          </rPr>
          <t>Colin Campbell:</t>
        </r>
        <r>
          <rPr>
            <sz val="8"/>
            <color indexed="81"/>
            <rFont val="Tahoma"/>
            <family val="2"/>
          </rPr>
          <t xml:space="preserve">
</t>
        </r>
        <r>
          <rPr>
            <sz val="10"/>
            <color indexed="81"/>
            <rFont val="Tahoma"/>
            <family val="2"/>
          </rPr>
          <t>Changed from 4.00 to 3.25 on 1/10/13</t>
        </r>
        <r>
          <rPr>
            <sz val="8"/>
            <color indexed="81"/>
            <rFont val="Tahoma"/>
            <family val="2"/>
          </rPr>
          <t xml:space="preserve">
</t>
        </r>
        <r>
          <rPr>
            <sz val="10"/>
            <color indexed="81"/>
            <rFont val="Tahoma"/>
            <family val="2"/>
          </rPr>
          <t xml:space="preserve">This is approx. how much shorter the balance is than the sash.  It needs to include a 2" addition as well for the 747 balance (b/c we span 2" with each size stocked).
</t>
        </r>
        <r>
          <rPr>
            <b/>
            <sz val="10"/>
            <color indexed="81"/>
            <rFont val="Tahoma"/>
            <family val="2"/>
          </rPr>
          <t xml:space="preserve">Ronald Hall: </t>
        </r>
        <r>
          <rPr>
            <sz val="10"/>
            <color indexed="81"/>
            <rFont val="Tahoma"/>
            <family val="2"/>
          </rPr>
          <t>Changed from 3.25 to 2.938 due to a 24" unit having too short of a balance in it.</t>
        </r>
      </text>
    </comment>
    <comment ref="D81" authorId="4" shapeId="0" xr:uid="{00000000-0006-0000-0B00-000006000000}">
      <text>
        <r>
          <rPr>
            <sz val="9"/>
            <color indexed="81"/>
            <rFont val="Tahoma"/>
            <family val="2"/>
          </rPr>
          <t>_SHSGlbpersqin</t>
        </r>
      </text>
    </comment>
    <comment ref="F85" authorId="0" shapeId="0" xr:uid="{DDFEAE60-32E7-4D4B-B9E0-5BFC9458E4A8}">
      <text>
        <r>
          <rPr>
            <b/>
            <sz val="9"/>
            <color indexed="81"/>
            <rFont val="Tahoma"/>
            <family val="2"/>
          </rPr>
          <t>Greg De Boer:</t>
        </r>
        <r>
          <rPr>
            <sz val="9"/>
            <color indexed="81"/>
            <rFont val="Tahoma"/>
            <family val="2"/>
          </rPr>
          <t xml:space="preserve">
from Guardian Thickness and Weight 2019 calculator
</t>
        </r>
        <r>
          <rPr>
            <sz val="9"/>
            <color indexed="10"/>
            <rFont val="Tahoma"/>
            <family val="2"/>
          </rPr>
          <t>DO NOT USE these values because they may change the sash weight calculation performed by our IS team.</t>
        </r>
      </text>
    </comment>
    <comment ref="B87" authorId="0" shapeId="0" xr:uid="{DA10B83D-96B1-4F11-9724-A8364257722F}">
      <text>
        <r>
          <rPr>
            <b/>
            <sz val="9"/>
            <color indexed="81"/>
            <rFont val="Tahoma"/>
            <family val="2"/>
          </rPr>
          <t>Greg De Boer:</t>
        </r>
        <r>
          <rPr>
            <sz val="9"/>
            <color indexed="81"/>
            <rFont val="Tahoma"/>
            <family val="2"/>
          </rPr>
          <t xml:space="preserve">
SS should be using 2.3mm, but leave SS as 2.5mm to keep sash weight formulas matching IS formulas</t>
        </r>
      </text>
    </comment>
    <comment ref="C87" authorId="0" shapeId="0" xr:uid="{1554C1C6-41DD-4CC8-80DD-27E395FAB52B}">
      <text>
        <r>
          <rPr>
            <sz val="9"/>
            <color indexed="81"/>
            <rFont val="Tahoma"/>
            <family val="2"/>
          </rPr>
          <t>_2.3mm</t>
        </r>
      </text>
    </comment>
    <comment ref="C88" authorId="0" shapeId="0" xr:uid="{1A20D955-4557-4EF0-BFCC-A63A16E8639B}">
      <text>
        <r>
          <rPr>
            <sz val="9"/>
            <color indexed="81"/>
            <rFont val="Tahoma"/>
            <family val="2"/>
          </rPr>
          <t>_2.5mm</t>
        </r>
      </text>
    </comment>
    <comment ref="C89" authorId="0" shapeId="0" xr:uid="{B4B1EB58-A63D-4641-A070-000C7D005BB0}">
      <text>
        <r>
          <rPr>
            <sz val="9"/>
            <color indexed="81"/>
            <rFont val="Tahoma"/>
            <family val="2"/>
          </rPr>
          <t>_3mm</t>
        </r>
      </text>
    </comment>
    <comment ref="C90" authorId="0" shapeId="0" xr:uid="{A6F7B510-12AB-42E9-85B0-F9896C0B2515}">
      <text>
        <r>
          <rPr>
            <sz val="9"/>
            <color indexed="81"/>
            <rFont val="Tahoma"/>
            <family val="2"/>
          </rPr>
          <t>_4mm</t>
        </r>
      </text>
    </comment>
    <comment ref="C91" authorId="0" shapeId="0" xr:uid="{15961473-A2EA-49DA-B2EB-939D00A52622}">
      <text>
        <r>
          <rPr>
            <sz val="9"/>
            <color indexed="81"/>
            <rFont val="Tahoma"/>
            <family val="2"/>
          </rPr>
          <t>_5mm</t>
        </r>
      </text>
    </comment>
    <comment ref="C92" authorId="0" shapeId="0" xr:uid="{9B0F2F0C-4472-4B72-ADD0-60AB82BC69D7}">
      <text>
        <r>
          <rPr>
            <sz val="9"/>
            <color indexed="81"/>
            <rFont val="Tahoma"/>
            <family val="2"/>
          </rPr>
          <t>_6mm</t>
        </r>
      </text>
    </comment>
    <comment ref="C93" authorId="0" shapeId="0" xr:uid="{1367AC65-572D-467F-BB21-B2A0A500D95B}">
      <text>
        <r>
          <rPr>
            <sz val="9"/>
            <color indexed="81"/>
            <rFont val="Tahoma"/>
            <family val="2"/>
          </rPr>
          <t>_6mmOffsetLami</t>
        </r>
      </text>
    </comment>
    <comment ref="C94" authorId="0" shapeId="0" xr:uid="{53554182-D8ED-44BB-A64A-A6F32BEA650D}">
      <text>
        <r>
          <rPr>
            <sz val="9"/>
            <color indexed="81"/>
            <rFont val="Tahoma"/>
            <family val="2"/>
          </rPr>
          <t>_6mmLami</t>
        </r>
      </text>
    </comment>
    <comment ref="C95" authorId="0" shapeId="0" xr:uid="{7898B034-E866-418B-9A62-EF07B8F5F7B0}">
      <text>
        <r>
          <rPr>
            <sz val="9"/>
            <color indexed="81"/>
            <rFont val="Tahoma"/>
            <family val="2"/>
          </rPr>
          <t>_8.5mmLami</t>
        </r>
      </text>
    </comment>
    <comment ref="C96" authorId="0" shapeId="0" xr:uid="{E161C3A3-6401-43E6-A92A-89298F67B451}">
      <text>
        <r>
          <rPr>
            <sz val="9"/>
            <color indexed="81"/>
            <rFont val="Tahoma"/>
            <family val="2"/>
          </rPr>
          <t>_1mmPVB</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Colin Campbell</author>
    <author>sy gibbs</author>
    <author>ccampbell</author>
  </authors>
  <commentList>
    <comment ref="AG10" authorId="0" shapeId="0" xr:uid="{00000000-0006-0000-0D00-000001000000}">
      <text>
        <r>
          <rPr>
            <sz val="8"/>
            <color indexed="81"/>
            <rFont val="Tahoma"/>
            <family val="2"/>
          </rPr>
          <t>= lb/ft * $/lb</t>
        </r>
      </text>
    </comment>
    <comment ref="C11" authorId="1" shapeId="0" xr:uid="{00000000-0006-0000-0D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1" authorId="1" shapeId="0" xr:uid="{00000000-0006-0000-0D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M16" authorId="0" shapeId="0" xr:uid="{00000000-0006-0000-0D00-000004000000}">
      <text>
        <r>
          <rPr>
            <b/>
            <sz val="8"/>
            <color indexed="81"/>
            <rFont val="Tahoma"/>
            <family val="2"/>
          </rPr>
          <t>Colin Campbell:</t>
        </r>
        <r>
          <rPr>
            <sz val="8"/>
            <color indexed="81"/>
            <rFont val="Tahoma"/>
            <family val="2"/>
          </rPr>
          <t xml:space="preserve">
Confirmed 8/06/12</t>
        </r>
      </text>
    </comment>
    <comment ref="AE16" authorId="2" shapeId="0" xr:uid="{00000000-0006-0000-0D00-000005000000}">
      <text>
        <r>
          <rPr>
            <b/>
            <sz val="8"/>
            <color indexed="81"/>
            <rFont val="Tahoma"/>
            <family val="2"/>
          </rPr>
          <t>ccampbell:</t>
        </r>
        <r>
          <rPr>
            <sz val="8"/>
            <color indexed="81"/>
            <rFont val="Tahoma"/>
            <family val="2"/>
          </rPr>
          <t xml:space="preserve">
updated 4/6</t>
        </r>
      </text>
    </comment>
    <comment ref="M24" authorId="0" shapeId="0" xr:uid="{00000000-0006-0000-0D00-000006000000}">
      <text>
        <r>
          <rPr>
            <b/>
            <sz val="8"/>
            <color indexed="81"/>
            <rFont val="Tahoma"/>
            <family val="2"/>
          </rPr>
          <t>Colin Campbell:</t>
        </r>
        <r>
          <rPr>
            <sz val="8"/>
            <color indexed="81"/>
            <rFont val="Tahoma"/>
            <family val="2"/>
          </rPr>
          <t xml:space="preserve">
Confirmed 7/23/12</t>
        </r>
      </text>
    </comment>
    <comment ref="M29" authorId="0" shapeId="0" xr:uid="{00000000-0006-0000-0D00-000007000000}">
      <text>
        <r>
          <rPr>
            <b/>
            <sz val="8"/>
            <color indexed="81"/>
            <rFont val="Tahoma"/>
            <family val="2"/>
          </rPr>
          <t>Colin Campbell:</t>
        </r>
        <r>
          <rPr>
            <sz val="8"/>
            <color indexed="81"/>
            <rFont val="Tahoma"/>
            <family val="2"/>
          </rPr>
          <t xml:space="preserve">
Confirmed 8/06/12</t>
        </r>
      </text>
    </comment>
    <comment ref="AE29" authorId="2" shapeId="0" xr:uid="{00000000-0006-0000-0D00-000008000000}">
      <text>
        <r>
          <rPr>
            <b/>
            <sz val="8"/>
            <color indexed="81"/>
            <rFont val="Tahoma"/>
            <family val="2"/>
          </rPr>
          <t>ccampbell:</t>
        </r>
        <r>
          <rPr>
            <sz val="8"/>
            <color indexed="81"/>
            <rFont val="Tahoma"/>
            <family val="2"/>
          </rPr>
          <t xml:space="preserve">
updated 4/6</t>
        </r>
      </text>
    </comment>
    <comment ref="M33" authorId="0" shapeId="0" xr:uid="{00000000-0006-0000-0D00-000009000000}">
      <text>
        <r>
          <rPr>
            <b/>
            <sz val="8"/>
            <color indexed="81"/>
            <rFont val="Tahoma"/>
            <family val="2"/>
          </rPr>
          <t>Colin Campbell:</t>
        </r>
        <r>
          <rPr>
            <sz val="8"/>
            <color indexed="81"/>
            <rFont val="Tahoma"/>
            <family val="2"/>
          </rPr>
          <t xml:space="preserve">
Confirmed 8/06/12</t>
        </r>
      </text>
    </comment>
    <comment ref="AE33" authorId="2" shapeId="0" xr:uid="{00000000-0006-0000-0D00-00000A000000}">
      <text>
        <r>
          <rPr>
            <b/>
            <sz val="8"/>
            <color indexed="81"/>
            <rFont val="Tahoma"/>
            <family val="2"/>
          </rPr>
          <t>ccampbell:</t>
        </r>
        <r>
          <rPr>
            <sz val="8"/>
            <color indexed="81"/>
            <rFont val="Tahoma"/>
            <family val="2"/>
          </rPr>
          <t xml:space="preserve">
updated 4/6</t>
        </r>
      </text>
    </comment>
    <comment ref="M41" authorId="0" shapeId="0" xr:uid="{00000000-0006-0000-0D00-00000B000000}">
      <text>
        <r>
          <rPr>
            <b/>
            <sz val="8"/>
            <color indexed="81"/>
            <rFont val="Tahoma"/>
            <family val="2"/>
          </rPr>
          <t>Colin Campbell:</t>
        </r>
        <r>
          <rPr>
            <sz val="8"/>
            <color indexed="81"/>
            <rFont val="Tahoma"/>
            <family val="2"/>
          </rPr>
          <t xml:space="preserve">
Confirmed 7/23/12</t>
        </r>
      </text>
    </comment>
    <comment ref="M46" authorId="0" shapeId="0" xr:uid="{00000000-0006-0000-0D00-00000C000000}">
      <text>
        <r>
          <rPr>
            <b/>
            <sz val="8"/>
            <color indexed="81"/>
            <rFont val="Tahoma"/>
            <family val="2"/>
          </rPr>
          <t>Colin Campbell:</t>
        </r>
        <r>
          <rPr>
            <sz val="8"/>
            <color indexed="81"/>
            <rFont val="Tahoma"/>
            <family val="2"/>
          </rPr>
          <t xml:space="preserve">
Confirmed 8/06/12</t>
        </r>
      </text>
    </comment>
    <comment ref="AE46" authorId="2" shapeId="0" xr:uid="{00000000-0006-0000-0D00-00000D000000}">
      <text>
        <r>
          <rPr>
            <b/>
            <sz val="8"/>
            <color indexed="81"/>
            <rFont val="Tahoma"/>
            <family val="2"/>
          </rPr>
          <t>ccampbell:</t>
        </r>
        <r>
          <rPr>
            <sz val="8"/>
            <color indexed="81"/>
            <rFont val="Tahoma"/>
            <family val="2"/>
          </rPr>
          <t xml:space="preserve">
updated 4/6</t>
        </r>
      </text>
    </comment>
    <comment ref="M50" authorId="0" shapeId="0" xr:uid="{00000000-0006-0000-0D00-00000E000000}">
      <text>
        <r>
          <rPr>
            <b/>
            <sz val="8"/>
            <color indexed="81"/>
            <rFont val="Tahoma"/>
            <family val="2"/>
          </rPr>
          <t>Colin Campbell:</t>
        </r>
        <r>
          <rPr>
            <sz val="8"/>
            <color indexed="81"/>
            <rFont val="Tahoma"/>
            <family val="2"/>
          </rPr>
          <t xml:space="preserve">
Confirmed 8/06/12</t>
        </r>
      </text>
    </comment>
    <comment ref="AE50" authorId="2" shapeId="0" xr:uid="{00000000-0006-0000-0D00-00000F000000}">
      <text>
        <r>
          <rPr>
            <b/>
            <sz val="8"/>
            <color indexed="81"/>
            <rFont val="Tahoma"/>
            <family val="2"/>
          </rPr>
          <t>ccampbell:</t>
        </r>
        <r>
          <rPr>
            <sz val="8"/>
            <color indexed="81"/>
            <rFont val="Tahoma"/>
            <family val="2"/>
          </rPr>
          <t xml:space="preserve">
updated 4/6</t>
        </r>
      </text>
    </comment>
    <comment ref="M54" authorId="0" shapeId="0" xr:uid="{00000000-0006-0000-0D00-000010000000}">
      <text>
        <r>
          <rPr>
            <b/>
            <sz val="8"/>
            <color indexed="81"/>
            <rFont val="Tahoma"/>
            <family val="2"/>
          </rPr>
          <t>Colin Campbell:</t>
        </r>
        <r>
          <rPr>
            <sz val="8"/>
            <color indexed="81"/>
            <rFont val="Tahoma"/>
            <family val="2"/>
          </rPr>
          <t xml:space="preserve">
Confirmed 7/23/12</t>
        </r>
      </text>
    </comment>
    <comment ref="M70" authorId="0" shapeId="0" xr:uid="{00000000-0006-0000-0D00-000011000000}">
      <text>
        <r>
          <rPr>
            <b/>
            <sz val="8"/>
            <color indexed="81"/>
            <rFont val="Tahoma"/>
            <family val="2"/>
          </rPr>
          <t>Colin Campbell:</t>
        </r>
        <r>
          <rPr>
            <sz val="8"/>
            <color indexed="81"/>
            <rFont val="Tahoma"/>
            <family val="2"/>
          </rPr>
          <t xml:space="preserve">
Confirmed 7/23/12</t>
        </r>
      </text>
    </comment>
    <comment ref="M77" authorId="0" shapeId="0" xr:uid="{00000000-0006-0000-0D00-000012000000}">
      <text>
        <r>
          <rPr>
            <b/>
            <sz val="8"/>
            <color indexed="81"/>
            <rFont val="Tahoma"/>
            <family val="2"/>
          </rPr>
          <t>Colin Campbell:</t>
        </r>
        <r>
          <rPr>
            <sz val="8"/>
            <color indexed="81"/>
            <rFont val="Tahoma"/>
            <family val="2"/>
          </rPr>
          <t xml:space="preserve">
Confirmed 8/6/12</t>
        </r>
      </text>
    </comment>
    <comment ref="AE77" authorId="2" shapeId="0" xr:uid="{00000000-0006-0000-0D00-000013000000}">
      <text>
        <r>
          <rPr>
            <b/>
            <sz val="8"/>
            <color indexed="81"/>
            <rFont val="Tahoma"/>
            <family val="2"/>
          </rPr>
          <t>ccampbell:</t>
        </r>
        <r>
          <rPr>
            <sz val="8"/>
            <color indexed="81"/>
            <rFont val="Tahoma"/>
            <family val="2"/>
          </rPr>
          <t xml:space="preserve">
updated 4/6</t>
        </r>
      </text>
    </comment>
    <comment ref="M78" authorId="0" shapeId="0" xr:uid="{00000000-0006-0000-0D00-000014000000}">
      <text>
        <r>
          <rPr>
            <b/>
            <sz val="8"/>
            <color indexed="81"/>
            <rFont val="Tahoma"/>
            <family val="2"/>
          </rPr>
          <t>Colin Campbell:</t>
        </r>
        <r>
          <rPr>
            <sz val="8"/>
            <color indexed="81"/>
            <rFont val="Tahoma"/>
            <family val="2"/>
          </rPr>
          <t xml:space="preserve">
Confirmed 8/6/12</t>
        </r>
      </text>
    </comment>
    <comment ref="M81" authorId="0" shapeId="0" xr:uid="{00000000-0006-0000-0D00-000015000000}">
      <text>
        <r>
          <rPr>
            <b/>
            <sz val="8"/>
            <color indexed="81"/>
            <rFont val="Tahoma"/>
            <family val="2"/>
          </rPr>
          <t>Colin Campbell:</t>
        </r>
        <r>
          <rPr>
            <sz val="8"/>
            <color indexed="81"/>
            <rFont val="Tahoma"/>
            <family val="2"/>
          </rPr>
          <t xml:space="preserve">
Confirmed 8/6/12</t>
        </r>
      </text>
    </comment>
    <comment ref="AE81" authorId="2" shapeId="0" xr:uid="{00000000-0006-0000-0D00-000016000000}">
      <text>
        <r>
          <rPr>
            <b/>
            <sz val="8"/>
            <color indexed="81"/>
            <rFont val="Tahoma"/>
            <family val="2"/>
          </rPr>
          <t>ccampbell:</t>
        </r>
        <r>
          <rPr>
            <sz val="8"/>
            <color indexed="81"/>
            <rFont val="Tahoma"/>
            <family val="2"/>
          </rPr>
          <t xml:space="preserve">
updated 4/6</t>
        </r>
      </text>
    </comment>
    <comment ref="M82" authorId="0" shapeId="0" xr:uid="{00000000-0006-0000-0D00-000017000000}">
      <text>
        <r>
          <rPr>
            <b/>
            <sz val="8"/>
            <color indexed="81"/>
            <rFont val="Tahoma"/>
            <family val="2"/>
          </rPr>
          <t>Colin Campbell:</t>
        </r>
        <r>
          <rPr>
            <sz val="8"/>
            <color indexed="81"/>
            <rFont val="Tahoma"/>
            <family val="2"/>
          </rPr>
          <t xml:space="preserve">
Confirmed 8/6/12</t>
        </r>
      </text>
    </comment>
    <comment ref="M85" authorId="0" shapeId="0" xr:uid="{00000000-0006-0000-0D00-000018000000}">
      <text>
        <r>
          <rPr>
            <b/>
            <sz val="8"/>
            <color indexed="81"/>
            <rFont val="Tahoma"/>
            <family val="2"/>
          </rPr>
          <t>Colin Campbell:</t>
        </r>
        <r>
          <rPr>
            <sz val="8"/>
            <color indexed="81"/>
            <rFont val="Tahoma"/>
            <family val="2"/>
          </rPr>
          <t xml:space="preserve">
Confirmed 8/6/12</t>
        </r>
      </text>
    </comment>
    <comment ref="M90" authorId="0" shapeId="0" xr:uid="{00000000-0006-0000-0D00-000019000000}">
      <text>
        <r>
          <rPr>
            <b/>
            <sz val="8"/>
            <color indexed="81"/>
            <rFont val="Tahoma"/>
            <family val="2"/>
          </rPr>
          <t>Colin Campbell:</t>
        </r>
        <r>
          <rPr>
            <sz val="8"/>
            <color indexed="81"/>
            <rFont val="Tahoma"/>
            <family val="2"/>
          </rPr>
          <t xml:space="preserve">
Confirmed 8/6/12</t>
        </r>
      </text>
    </comment>
    <comment ref="AE90" authorId="2" shapeId="0" xr:uid="{00000000-0006-0000-0D00-00001A000000}">
      <text>
        <r>
          <rPr>
            <b/>
            <sz val="8"/>
            <color indexed="81"/>
            <rFont val="Tahoma"/>
            <family val="2"/>
          </rPr>
          <t>ccampbell:</t>
        </r>
        <r>
          <rPr>
            <sz val="8"/>
            <color indexed="81"/>
            <rFont val="Tahoma"/>
            <family val="2"/>
          </rPr>
          <t xml:space="preserve">
updated 4/6</t>
        </r>
      </text>
    </comment>
    <comment ref="M91" authorId="0" shapeId="0" xr:uid="{00000000-0006-0000-0D00-00001B000000}">
      <text>
        <r>
          <rPr>
            <b/>
            <sz val="8"/>
            <color indexed="81"/>
            <rFont val="Tahoma"/>
            <family val="2"/>
          </rPr>
          <t>Colin Campbell:</t>
        </r>
        <r>
          <rPr>
            <sz val="8"/>
            <color indexed="81"/>
            <rFont val="Tahoma"/>
            <family val="2"/>
          </rPr>
          <t xml:space="preserve">
Confirmed 8/6/12</t>
        </r>
      </text>
    </comment>
    <comment ref="M94" authorId="0" shapeId="0" xr:uid="{00000000-0006-0000-0D00-00001C000000}">
      <text>
        <r>
          <rPr>
            <b/>
            <sz val="8"/>
            <color indexed="81"/>
            <rFont val="Tahoma"/>
            <family val="2"/>
          </rPr>
          <t>Colin Campbell:</t>
        </r>
        <r>
          <rPr>
            <sz val="8"/>
            <color indexed="81"/>
            <rFont val="Tahoma"/>
            <family val="2"/>
          </rPr>
          <t xml:space="preserve">
Confirmed 8/6/12</t>
        </r>
      </text>
    </comment>
    <comment ref="AE94" authorId="2" shapeId="0" xr:uid="{00000000-0006-0000-0D00-00001D000000}">
      <text>
        <r>
          <rPr>
            <b/>
            <sz val="8"/>
            <color indexed="81"/>
            <rFont val="Tahoma"/>
            <family val="2"/>
          </rPr>
          <t>ccampbell:</t>
        </r>
        <r>
          <rPr>
            <sz val="8"/>
            <color indexed="81"/>
            <rFont val="Tahoma"/>
            <family val="2"/>
          </rPr>
          <t xml:space="preserve">
updated 4/6</t>
        </r>
      </text>
    </comment>
    <comment ref="M95" authorId="0" shapeId="0" xr:uid="{00000000-0006-0000-0D00-00001E000000}">
      <text>
        <r>
          <rPr>
            <b/>
            <sz val="8"/>
            <color indexed="81"/>
            <rFont val="Tahoma"/>
            <family val="2"/>
          </rPr>
          <t>Colin Campbell:</t>
        </r>
        <r>
          <rPr>
            <sz val="8"/>
            <color indexed="81"/>
            <rFont val="Tahoma"/>
            <family val="2"/>
          </rPr>
          <t xml:space="preserve">
Confirmed 8/6/12</t>
        </r>
      </text>
    </comment>
    <comment ref="M98" authorId="0" shapeId="0" xr:uid="{00000000-0006-0000-0D00-00001F000000}">
      <text>
        <r>
          <rPr>
            <b/>
            <sz val="8"/>
            <color indexed="81"/>
            <rFont val="Tahoma"/>
            <family val="2"/>
          </rPr>
          <t>Colin Campbell:</t>
        </r>
        <r>
          <rPr>
            <sz val="8"/>
            <color indexed="81"/>
            <rFont val="Tahoma"/>
            <family val="2"/>
          </rPr>
          <t xml:space="preserve">
Confirmed 8/6/12</t>
        </r>
      </text>
    </comment>
    <comment ref="M103" authorId="0" shapeId="0" xr:uid="{00000000-0006-0000-0D00-000020000000}">
      <text>
        <r>
          <rPr>
            <b/>
            <sz val="8"/>
            <color indexed="81"/>
            <rFont val="Tahoma"/>
            <family val="2"/>
          </rPr>
          <t>Colin Campbell:</t>
        </r>
        <r>
          <rPr>
            <sz val="8"/>
            <color indexed="81"/>
            <rFont val="Tahoma"/>
            <family val="2"/>
          </rPr>
          <t xml:space="preserve">
Confirmed 8/6/12</t>
        </r>
      </text>
    </comment>
    <comment ref="AE103" authorId="2" shapeId="0" xr:uid="{00000000-0006-0000-0D00-000021000000}">
      <text>
        <r>
          <rPr>
            <b/>
            <sz val="8"/>
            <color indexed="81"/>
            <rFont val="Tahoma"/>
            <family val="2"/>
          </rPr>
          <t>ccampbell:</t>
        </r>
        <r>
          <rPr>
            <sz val="8"/>
            <color indexed="81"/>
            <rFont val="Tahoma"/>
            <family val="2"/>
          </rPr>
          <t xml:space="preserve">
updated 4/6</t>
        </r>
      </text>
    </comment>
    <comment ref="M104" authorId="0" shapeId="0" xr:uid="{00000000-0006-0000-0D00-000022000000}">
      <text>
        <r>
          <rPr>
            <b/>
            <sz val="8"/>
            <color indexed="81"/>
            <rFont val="Tahoma"/>
            <family val="2"/>
          </rPr>
          <t>Colin Campbell:</t>
        </r>
        <r>
          <rPr>
            <sz val="8"/>
            <color indexed="81"/>
            <rFont val="Tahoma"/>
            <family val="2"/>
          </rPr>
          <t xml:space="preserve">
Confirmed 8/6/12</t>
        </r>
      </text>
    </comment>
    <comment ref="M107" authorId="0" shapeId="0" xr:uid="{00000000-0006-0000-0D00-000023000000}">
      <text>
        <r>
          <rPr>
            <b/>
            <sz val="8"/>
            <color indexed="81"/>
            <rFont val="Tahoma"/>
            <family val="2"/>
          </rPr>
          <t>Colin Campbell:</t>
        </r>
        <r>
          <rPr>
            <sz val="8"/>
            <color indexed="81"/>
            <rFont val="Tahoma"/>
            <family val="2"/>
          </rPr>
          <t xml:space="preserve">
Confirmed 8/6/12</t>
        </r>
      </text>
    </comment>
    <comment ref="AE107" authorId="2" shapeId="0" xr:uid="{00000000-0006-0000-0D00-000024000000}">
      <text>
        <r>
          <rPr>
            <b/>
            <sz val="8"/>
            <color indexed="81"/>
            <rFont val="Tahoma"/>
            <family val="2"/>
          </rPr>
          <t>ccampbell:</t>
        </r>
        <r>
          <rPr>
            <sz val="8"/>
            <color indexed="81"/>
            <rFont val="Tahoma"/>
            <family val="2"/>
          </rPr>
          <t xml:space="preserve">
updated 4/6</t>
        </r>
      </text>
    </comment>
    <comment ref="M108" authorId="0" shapeId="0" xr:uid="{00000000-0006-0000-0D00-000025000000}">
      <text>
        <r>
          <rPr>
            <b/>
            <sz val="8"/>
            <color indexed="81"/>
            <rFont val="Tahoma"/>
            <family val="2"/>
          </rPr>
          <t>Colin Campbell:</t>
        </r>
        <r>
          <rPr>
            <sz val="8"/>
            <color indexed="81"/>
            <rFont val="Tahoma"/>
            <family val="2"/>
          </rPr>
          <t xml:space="preserve">
Confirmed 8/6/12</t>
        </r>
      </text>
    </comment>
    <comment ref="M111" authorId="0" shapeId="0" xr:uid="{00000000-0006-0000-0D00-000026000000}">
      <text>
        <r>
          <rPr>
            <b/>
            <sz val="8"/>
            <color indexed="81"/>
            <rFont val="Tahoma"/>
            <family val="2"/>
          </rPr>
          <t>Colin Campbell:</t>
        </r>
        <r>
          <rPr>
            <sz val="8"/>
            <color indexed="81"/>
            <rFont val="Tahoma"/>
            <family val="2"/>
          </rPr>
          <t xml:space="preserve">
Confirmed 8/6/12</t>
        </r>
      </text>
    </comment>
    <comment ref="M115" authorId="0" shapeId="0" xr:uid="{00000000-0006-0000-0D00-000027000000}">
      <text>
        <r>
          <rPr>
            <b/>
            <sz val="8"/>
            <color indexed="81"/>
            <rFont val="Tahoma"/>
            <family val="2"/>
          </rPr>
          <t>Colin Campbell:</t>
        </r>
        <r>
          <rPr>
            <sz val="8"/>
            <color indexed="81"/>
            <rFont val="Tahoma"/>
            <family val="2"/>
          </rPr>
          <t xml:space="preserve">
Confirmed 7/23/12</t>
        </r>
      </text>
    </comment>
    <comment ref="M121" authorId="0" shapeId="0" xr:uid="{00000000-0006-0000-0D00-000028000000}">
      <text>
        <r>
          <rPr>
            <b/>
            <sz val="8"/>
            <color indexed="81"/>
            <rFont val="Tahoma"/>
            <family val="2"/>
          </rPr>
          <t>Colin Campbell:</t>
        </r>
        <r>
          <rPr>
            <sz val="8"/>
            <color indexed="81"/>
            <rFont val="Tahoma"/>
            <family val="2"/>
          </rPr>
          <t xml:space="preserve">
Confirmed 8/6/12</t>
        </r>
      </text>
    </comment>
    <comment ref="AE121" authorId="2" shapeId="0" xr:uid="{00000000-0006-0000-0D00-000029000000}">
      <text>
        <r>
          <rPr>
            <b/>
            <sz val="8"/>
            <color indexed="81"/>
            <rFont val="Tahoma"/>
            <family val="2"/>
          </rPr>
          <t>ccampbell:</t>
        </r>
        <r>
          <rPr>
            <sz val="8"/>
            <color indexed="81"/>
            <rFont val="Tahoma"/>
            <family val="2"/>
          </rPr>
          <t xml:space="preserve">
updated 4/6</t>
        </r>
      </text>
    </comment>
    <comment ref="M125" authorId="0" shapeId="0" xr:uid="{00000000-0006-0000-0D00-00002A000000}">
      <text>
        <r>
          <rPr>
            <b/>
            <sz val="8"/>
            <color indexed="81"/>
            <rFont val="Tahoma"/>
            <family val="2"/>
          </rPr>
          <t>Colin Campbell:</t>
        </r>
        <r>
          <rPr>
            <sz val="8"/>
            <color indexed="81"/>
            <rFont val="Tahoma"/>
            <family val="2"/>
          </rPr>
          <t xml:space="preserve">
Confirmed 8/6/12</t>
        </r>
      </text>
    </comment>
    <comment ref="AE125" authorId="2" shapeId="0" xr:uid="{00000000-0006-0000-0D00-00002B000000}">
      <text>
        <r>
          <rPr>
            <b/>
            <sz val="8"/>
            <color indexed="81"/>
            <rFont val="Tahoma"/>
            <family val="2"/>
          </rPr>
          <t>ccampbell:</t>
        </r>
        <r>
          <rPr>
            <sz val="8"/>
            <color indexed="81"/>
            <rFont val="Tahoma"/>
            <family val="2"/>
          </rPr>
          <t xml:space="preserve">
updated 4/6</t>
        </r>
      </text>
    </comment>
    <comment ref="M129" authorId="0" shapeId="0" xr:uid="{00000000-0006-0000-0D00-00002C000000}">
      <text>
        <r>
          <rPr>
            <b/>
            <sz val="8"/>
            <color indexed="81"/>
            <rFont val="Tahoma"/>
            <family val="2"/>
          </rPr>
          <t>Colin Campbell:</t>
        </r>
        <r>
          <rPr>
            <sz val="8"/>
            <color indexed="81"/>
            <rFont val="Tahoma"/>
            <family val="2"/>
          </rPr>
          <t xml:space="preserve">
Confirmed 8/6/12</t>
        </r>
      </text>
    </comment>
    <comment ref="AE129" authorId="2" shapeId="0" xr:uid="{00000000-0006-0000-0D00-00002D000000}">
      <text>
        <r>
          <rPr>
            <b/>
            <sz val="8"/>
            <color indexed="81"/>
            <rFont val="Tahoma"/>
            <family val="2"/>
          </rPr>
          <t>ccampbell:</t>
        </r>
        <r>
          <rPr>
            <sz val="8"/>
            <color indexed="81"/>
            <rFont val="Tahoma"/>
            <family val="2"/>
          </rPr>
          <t xml:space="preserve">
updated 4/6</t>
        </r>
      </text>
    </comment>
    <comment ref="M133" authorId="0" shapeId="0" xr:uid="{00000000-0006-0000-0D00-00002E000000}">
      <text>
        <r>
          <rPr>
            <b/>
            <sz val="8"/>
            <color indexed="81"/>
            <rFont val="Tahoma"/>
            <family val="2"/>
          </rPr>
          <t>Colin Campbell:</t>
        </r>
        <r>
          <rPr>
            <sz val="8"/>
            <color indexed="81"/>
            <rFont val="Tahoma"/>
            <family val="2"/>
          </rPr>
          <t xml:space="preserve">
Confirmed 8/6/12</t>
        </r>
      </text>
    </comment>
    <comment ref="AE133" authorId="2" shapeId="0" xr:uid="{00000000-0006-0000-0D00-00002F000000}">
      <text>
        <r>
          <rPr>
            <b/>
            <sz val="8"/>
            <color indexed="81"/>
            <rFont val="Tahoma"/>
            <family val="2"/>
          </rPr>
          <t>ccampbell:</t>
        </r>
        <r>
          <rPr>
            <sz val="8"/>
            <color indexed="81"/>
            <rFont val="Tahoma"/>
            <family val="2"/>
          </rPr>
          <t xml:space="preserve">
updated 4/6</t>
        </r>
      </text>
    </comment>
    <comment ref="M137" authorId="0" shapeId="0" xr:uid="{00000000-0006-0000-0D00-000030000000}">
      <text>
        <r>
          <rPr>
            <b/>
            <sz val="8"/>
            <color indexed="81"/>
            <rFont val="Tahoma"/>
            <family val="2"/>
          </rPr>
          <t>Colin Campbell:</t>
        </r>
        <r>
          <rPr>
            <sz val="8"/>
            <color indexed="81"/>
            <rFont val="Tahoma"/>
            <family val="2"/>
          </rPr>
          <t xml:space="preserve">
Confirmed 8/6/12</t>
        </r>
      </text>
    </comment>
    <comment ref="AE137" authorId="2" shapeId="0" xr:uid="{00000000-0006-0000-0D00-000031000000}">
      <text>
        <r>
          <rPr>
            <b/>
            <sz val="8"/>
            <color indexed="81"/>
            <rFont val="Tahoma"/>
            <family val="2"/>
          </rPr>
          <t>ccampbell:</t>
        </r>
        <r>
          <rPr>
            <sz val="8"/>
            <color indexed="81"/>
            <rFont val="Tahoma"/>
            <family val="2"/>
          </rPr>
          <t xml:space="preserve">
updated 4/6</t>
        </r>
      </text>
    </comment>
    <comment ref="A142" authorId="2" shapeId="0" xr:uid="{00000000-0006-0000-0D00-000032000000}">
      <text>
        <r>
          <rPr>
            <b/>
            <sz val="8"/>
            <color indexed="81"/>
            <rFont val="Tahoma"/>
            <family val="2"/>
          </rPr>
          <t>ccampbell:</t>
        </r>
        <r>
          <rPr>
            <sz val="8"/>
            <color indexed="81"/>
            <rFont val="Tahoma"/>
            <family val="2"/>
          </rPr>
          <t xml:space="preserve">
Tape
Wet</t>
        </r>
      </text>
    </comment>
    <comment ref="M158" authorId="0" shapeId="0" xr:uid="{00000000-0006-0000-0D00-00003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59" authorId="0" shapeId="0" xr:uid="{00000000-0006-0000-0D00-00003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60" authorId="0" shapeId="0" xr:uid="{00000000-0006-0000-0D00-00003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61" authorId="0" shapeId="0" xr:uid="{00000000-0006-0000-0D00-00003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List>
</comments>
</file>

<file path=xl/sharedStrings.xml><?xml version="1.0" encoding="utf-8"?>
<sst xmlns="http://schemas.openxmlformats.org/spreadsheetml/2006/main" count="39655" uniqueCount="2404">
  <si>
    <t>Rev</t>
  </si>
  <si>
    <t>BOM Status</t>
  </si>
  <si>
    <t>Revision Notes</t>
  </si>
  <si>
    <t>Date</t>
  </si>
  <si>
    <t>ECO</t>
  </si>
  <si>
    <t>Initiator</t>
  </si>
  <si>
    <t>Single Hung</t>
  </si>
  <si>
    <t>Preliminary BOM</t>
  </si>
  <si>
    <t>---</t>
  </si>
  <si>
    <t>KSG</t>
  </si>
  <si>
    <t>Marked out Beveled w/ J on SH</t>
  </si>
  <si>
    <t>Updated vinyl weights for all SH profiles</t>
  </si>
  <si>
    <t>CDC</t>
  </si>
  <si>
    <t>Added cut logic &amp; schedule printout column</t>
  </si>
  <si>
    <t>Updated interface; added AccuQuote inputs</t>
  </si>
  <si>
    <t>Implemented sorting feature</t>
  </si>
  <si>
    <t>Updated costs and included 1115, CL, and B1K #s in header</t>
  </si>
  <si>
    <t>Updated twinscrew from $1/lb to $0.91/lb</t>
  </si>
  <si>
    <t>Updated costing and qtys</t>
  </si>
  <si>
    <t>Updated costs</t>
  </si>
  <si>
    <t>Updated cut logic</t>
  </si>
  <si>
    <t>Added Reinforcement cut logic</t>
  </si>
  <si>
    <t>Confirmed Cut logic and made cells green.</t>
  </si>
  <si>
    <t>Updated hardware p/ns, added pictures, Bal Calculator</t>
  </si>
  <si>
    <t>Password-protected and FW</t>
  </si>
  <si>
    <t>Corrected Cottage/Oriel sign error in glass equation</t>
  </si>
  <si>
    <t>KR reinf. logic, added test units, PVC cement, MR Anchor Upgd</t>
  </si>
  <si>
    <t>Corrected 370 coil bal #, changed glz tape fm 1/2" to 3/8"</t>
  </si>
  <si>
    <t>Corrected Cottage/Oriel offset for Option 7</t>
  </si>
  <si>
    <t>Added R-Core, Compression tape #, corrected glazing tape #</t>
  </si>
  <si>
    <t>Corrected Sash Stile offset, added Dim D to Jamb fab.</t>
  </si>
  <si>
    <t>Corrected Sash Stile reinforcement lengths</t>
  </si>
  <si>
    <t>Updated Coil balance chart to use "&lt;=" and change the ##.1 start weights to ##.0</t>
  </si>
  <si>
    <t>Added .125 to stiles, bottom glass and DLO, and glazing bead.</t>
  </si>
  <si>
    <t>Added 0.062 to keeper rail length</t>
  </si>
  <si>
    <t>Corrected finseal, moved Kpr Rail down by 1/16"; chg'd sash</t>
  </si>
  <si>
    <t>CDC/RLH</t>
  </si>
  <si>
    <t>and screen accordingly.  Reduced screen an addition 1/16"</t>
  </si>
  <si>
    <t>Corrected stile reinforcement length offset</t>
  </si>
  <si>
    <t>Change Accuquote A1 from 2.188 to 2.000 to match sash height changes.</t>
  </si>
  <si>
    <t>RLH</t>
  </si>
  <si>
    <t>Added STC Glass packages to the Balance Calculator</t>
  </si>
  <si>
    <t>Corrected Jamb Dim C and D for Gen 3 Meeting Rail anchor.</t>
  </si>
  <si>
    <t>Chg'd reinforcement data in the perf pack table to disable size cutoffs on 250011 and 250013 until we can implement the correct logic based on testing.  Disabled 250012 all together since we didn't test it.</t>
  </si>
  <si>
    <t>Corrected glazing bead offsets, Added utility trim</t>
  </si>
  <si>
    <t>Corrected Screen Height (mismatch from SH to Screens tab)</t>
  </si>
  <si>
    <t>Added Child Safety Latch Fabrication</t>
  </si>
  <si>
    <t>Added ADA and Autolock hardware, corrected Coil Cleat p/n</t>
  </si>
  <si>
    <t>Added Stainless reinforcement, HP Tilt latches</t>
  </si>
  <si>
    <t>Confirmed Cut logic for jamb pre-welds.</t>
  </si>
  <si>
    <t>Updated B&amp;T Balance "Height Offset" (on Sash Wt sheet)</t>
  </si>
  <si>
    <t>Added numerous packaging and label items</t>
  </si>
  <si>
    <t>Reorganized common items, added setting blocks</t>
  </si>
  <si>
    <t>Added Flat casing cut logic offsets, confirmed flanged cut logic,</t>
  </si>
  <si>
    <t>Revised raw cut lengths for jambs and sills.</t>
  </si>
  <si>
    <t>Added more part thumbnails</t>
  </si>
  <si>
    <t>Added Coil balance part numbers for service</t>
  </si>
  <si>
    <t>Removed B&amp;T balances over 44" to match supply chain</t>
  </si>
  <si>
    <t xml:space="preserve">Correct top vertical glazing bead offset </t>
  </si>
  <si>
    <t>Flat casing sill nose offset changed.</t>
  </si>
  <si>
    <t>Added  J-Channel Filler</t>
  </si>
  <si>
    <t>Flat casing Jamb Side offset changed.</t>
  </si>
  <si>
    <t>Correct errors in logic wording</t>
  </si>
  <si>
    <t>Added Aluminum Reinforcement option</t>
  </si>
  <si>
    <t>Added Lock Rail Reinforcement for Impact Units</t>
  </si>
  <si>
    <t>Add Balance Hole Punch</t>
  </si>
  <si>
    <t>Changed Blub weatherstrip on bottom of sash from 600035 to 600051</t>
  </si>
  <si>
    <t>Shorten SH Keeper Rail length 1/16"</t>
  </si>
  <si>
    <t>Chg'd Bal Calculator B&amp;T Offset to yield weaker balances.</t>
  </si>
  <si>
    <t>Shorten sash 1/16", vert sash glazing bead, and bottom glass height 1/16"</t>
  </si>
  <si>
    <t>A</t>
  </si>
  <si>
    <t>Add Meeting Rail Gasket</t>
  </si>
  <si>
    <t>13-063</t>
  </si>
  <si>
    <t>Update child safety latch logic to add CO it was subtracting it</t>
  </si>
  <si>
    <t>Changed B&amp;T Balance table to start the min weight at 0.0 for ##A balances.</t>
  </si>
  <si>
    <t>Update Lock and Keeper location to match what is made.</t>
  </si>
  <si>
    <t>Add to sash 1/16", vert sash glazing bead, and bottom glass height 1/16"</t>
  </si>
  <si>
    <t>Add Screw 440023xxx For locks on impact units.</t>
  </si>
  <si>
    <t xml:space="preserve">Changed Coil Balance Screw to 252989          </t>
  </si>
  <si>
    <t>Raise the Meeting Rail Anchor punch .063"</t>
  </si>
  <si>
    <t>Add Shipping Clip</t>
  </si>
  <si>
    <t>B</t>
  </si>
  <si>
    <t>Added Wood Lock Rail Reinforcement</t>
  </si>
  <si>
    <t>13-142</t>
  </si>
  <si>
    <t>Changed Dim F to measure post weld from the sill</t>
  </si>
  <si>
    <t>Changed the vertical glazing bead from - CO to add the CO</t>
  </si>
  <si>
    <t>Changed Keeper location logic for 1 keeper to subtract offset</t>
  </si>
  <si>
    <t>Changed child safety latch comment to measure from sill</t>
  </si>
  <si>
    <t>Added HP Tilt latch Bracket and screws that go with it</t>
  </si>
  <si>
    <t>Added SDL option to top of BOM, Added Logic for SDL on line 292 to add 2 pounds to sash weight if it has SDL lite pattern.</t>
  </si>
  <si>
    <t>Add Weight for SDL, Small Pocket Lock Rail Reinforcement, Wood Lock Rail Reinforcement, and HP Tilt Latches,(Placed on SH Sash Weight Tab</t>
  </si>
  <si>
    <t>Corrected 15x9.5 NC and R&amp;R Installation Part Numbers</t>
  </si>
  <si>
    <t>NA</t>
  </si>
  <si>
    <t>TA</t>
  </si>
  <si>
    <t>D</t>
  </si>
  <si>
    <t xml:space="preserve">Add Long Tail Coils </t>
  </si>
  <si>
    <t>13-154</t>
  </si>
  <si>
    <t>Change Coil balance Screw from 252989 to 252924</t>
  </si>
  <si>
    <t>Integral Mull installation instruction</t>
  </si>
  <si>
    <t>13-133</t>
  </si>
  <si>
    <t>Add Sill Nose to Jamb Casing Screw, #8 x 1 1/2" Stainless Steel, Phillips, Pan Head Screw, Painted</t>
  </si>
  <si>
    <t>13-195</t>
  </si>
  <si>
    <t>Added Coil Balance Adjusted Weight to get correct coil balances.</t>
  </si>
  <si>
    <t>Add tape to flat casing</t>
  </si>
  <si>
    <t>Add capstock Bronze/White, Beige/White, Clay/White to Brickmould product</t>
  </si>
  <si>
    <t>13-196</t>
  </si>
  <si>
    <t>GDB</t>
  </si>
  <si>
    <t>Add 1" SDL glazing beads</t>
  </si>
  <si>
    <t>12-238</t>
  </si>
  <si>
    <t>Corrected part numbers for the glazing tapes for the top lite</t>
  </si>
  <si>
    <t>Changed Flexible glazing bead logic, Frame vertical from -1.938 to -2.063, Horzontal from -3.375 to -3.437, Sash Vertical from -3.031 to -3.188, Horzontal from -4.781 to -4.813</t>
  </si>
  <si>
    <t>Added Note for when to use 3rd R&amp;R installation hole</t>
  </si>
  <si>
    <t>E</t>
  </si>
  <si>
    <t>Added Flat Casing Installation Instructions, plastic bag, 6 screws</t>
  </si>
  <si>
    <t>Add Skidboard removal label</t>
  </si>
  <si>
    <t>14-041</t>
  </si>
  <si>
    <t>Added BV R&amp;R part number for Jamb &amp; Head.</t>
  </si>
  <si>
    <t>5/6//2014</t>
  </si>
  <si>
    <t>14-005</t>
  </si>
  <si>
    <t>Add Foam Filled Head Frame Parts, For Radius Operating units</t>
  </si>
  <si>
    <t>14-046</t>
  </si>
  <si>
    <t>Added capstock paint pens and paint bottles</t>
  </si>
  <si>
    <t>Changed compression tape from 6610008012 to 610014012</t>
  </si>
  <si>
    <t>Updated note when to use HP tilt latch hooks</t>
  </si>
  <si>
    <t>Reduced Top IGU height by 1/16" (changed offset from UH/2 - 2.313 to - 2.375)</t>
  </si>
  <si>
    <t>14-065</t>
  </si>
  <si>
    <t>Change WOCD to from part 420148XXX to Ashland part 420034XXX</t>
  </si>
  <si>
    <t>14-097</t>
  </si>
  <si>
    <t>F</t>
  </si>
  <si>
    <t xml:space="preserve">Change Keeper Rail length logic from -3.25 to -3.375 </t>
  </si>
  <si>
    <t>14-044</t>
  </si>
  <si>
    <t>Changed Keeper Location logic from -2.125 to -2.188 for single keepers, 7.292 to 7.229 for 2 keepers</t>
  </si>
  <si>
    <t>Add glazing bead groove filler 600061012</t>
  </si>
  <si>
    <t>Remove 251172 white foam boot, remove 100030 Beveled black boot, remove 100031 Brickmould black boot. Add 100041 white foam boot.</t>
  </si>
  <si>
    <t>14-056</t>
  </si>
  <si>
    <t>15-015</t>
  </si>
  <si>
    <t>Added packaging for windows to be palletized</t>
  </si>
  <si>
    <t>Added new offset lami sound package (STC 35 package) to drop down menu</t>
  </si>
  <si>
    <t>14-105</t>
  </si>
  <si>
    <t xml:space="preserve">Change Stile exterior finseal to 600065010, add service finseal 600066010, change sash bottom bulb seal from .350 bulb to .405 partial hollow bulb part 600067XXX and add 1/8" to length of the bulb, Add balance pocket plug 600064012 </t>
  </si>
  <si>
    <t>15-022</t>
  </si>
  <si>
    <t>Add Jamb Extension staples for connecting JE to JE ends</t>
  </si>
  <si>
    <t>15-024</t>
  </si>
  <si>
    <t>Added Impact selection box to cost Impact components, provided formulas and costing for Impact steel</t>
  </si>
  <si>
    <t>Change HP tilt latch bracket screw from 2 1/2" to 1 1/4"</t>
  </si>
  <si>
    <t>15-050</t>
  </si>
  <si>
    <t>Change Coil Balance Installation Clip to a 2 hole clip part number 400024000</t>
  </si>
  <si>
    <t>15-068</t>
  </si>
  <si>
    <t>Change quanity of screws used for the coil balance part 252924</t>
  </si>
  <si>
    <t>Change Frame WIP label to 2 x 10 label 170188000</t>
  </si>
  <si>
    <t>15-069</t>
  </si>
  <si>
    <t>Add cardboard corner 100003 000 for R&amp;R windows</t>
  </si>
  <si>
    <t>Correct HP tilt latch bracket screw kit part from 460017000 to 460045000</t>
  </si>
  <si>
    <t>N/A</t>
  </si>
  <si>
    <t>Corrected 600067XXX Bulbseal dia. to .300 from .277 to match part drawing.</t>
  </si>
  <si>
    <t>G</t>
  </si>
  <si>
    <t>Added Black Capstock Components</t>
  </si>
  <si>
    <t>15-119</t>
  </si>
  <si>
    <t>Added Silicone for interior Sill/Jamb joint</t>
  </si>
  <si>
    <t>16-073</t>
  </si>
  <si>
    <t>Add 9" Block and tackle balance, Add Small sash Height Offset for Block and Tackle Balance length, Change balance logic to calcuate for every inch on sash maller than 11.188, Change current Height offset from -2.938 to -3.188 for larger sash. Remove 8" B&amp;T balance</t>
  </si>
  <si>
    <t>16-089</t>
  </si>
  <si>
    <t>Corrected offsets on BM &amp; BV Jambs &amp; Sills.  (See Comments in cells)</t>
  </si>
  <si>
    <t>H</t>
  </si>
  <si>
    <t>Change screen clip part number from 200163xxx to 200249xxx</t>
  </si>
  <si>
    <t>16-060</t>
  </si>
  <si>
    <t>Remove silicone from top lite glazing, Added double sided tape</t>
  </si>
  <si>
    <t>15-057</t>
  </si>
  <si>
    <t>Add UV silicone for standard sash glazing</t>
  </si>
  <si>
    <t>17-025</t>
  </si>
  <si>
    <t>Add note to ship WOCD separately from unit, Change beige part from 031 to 021</t>
  </si>
  <si>
    <t>17-051</t>
  </si>
  <si>
    <t>Change balance shoe part number from 400017000 to 400031000</t>
  </si>
  <si>
    <t>18-005</t>
  </si>
  <si>
    <t>ACB</t>
  </si>
  <si>
    <t>I</t>
  </si>
  <si>
    <t>Added new keeper rail parts (rail, anchors, exterior gasket, interior gasket, reinforcement, r-core.  Changed keeper rail cut logic (-.186") and keeper location (-.093")</t>
  </si>
  <si>
    <t>18-001</t>
  </si>
  <si>
    <t>SAS</t>
  </si>
  <si>
    <t>Change the Sill Dam PVC cement to us part 61006014 (clear) on all units, Romove part 610006006 (white)</t>
  </si>
  <si>
    <t>18-048</t>
  </si>
  <si>
    <t>Added Black, Foam filled SH 1500 BM Jamb (head)</t>
  </si>
  <si>
    <t>18-026</t>
  </si>
  <si>
    <t>ELA</t>
  </si>
  <si>
    <t>Fixed Window</t>
  </si>
  <si>
    <t>INITIAL BOM</t>
  </si>
  <si>
    <t>Added Filler profile, verified cut logic.</t>
  </si>
  <si>
    <t>Changed glazing material from tape to Instant Glaze</t>
  </si>
  <si>
    <t>Corrected Frame filler offsets</t>
  </si>
  <si>
    <t>Add Jamb casing logic for 4 sided option</t>
  </si>
  <si>
    <t>Add R&amp;R Jamb hole spacing</t>
  </si>
  <si>
    <t>Added BV R&amp;R part number for Jamb, Head, Sill.</t>
  </si>
  <si>
    <t>Add Foam Filled Head Frame Parts for Radius Fixed units, Change all Bendable to Radius Fixed</t>
  </si>
  <si>
    <t>Added glass area to output and daylight area to output</t>
  </si>
  <si>
    <t>Added HB Fuller 5201 to BOM for alternitive glazing material</t>
  </si>
  <si>
    <t>17-044</t>
  </si>
  <si>
    <t>Bendable Fixed Window</t>
  </si>
  <si>
    <t>Corrected Utility trim length logic for Brickmould</t>
  </si>
  <si>
    <t>Combines this with the Non-bendable sheet.</t>
  </si>
  <si>
    <t>NO LONGER ACTIVE</t>
  </si>
  <si>
    <t>Horizontal 2-lite Slider</t>
  </si>
  <si>
    <t>Initial layout, but cut logic not yet confirmed.</t>
  </si>
  <si>
    <t>Changed Clear opening offset for width from -3.  to -3.430</t>
  </si>
  <si>
    <t>Added child safety latch fabrication, Corrected glazing 
bead offsets, Added utility trim</t>
  </si>
  <si>
    <t>Added CO to Logic for Glazing Bead</t>
  </si>
  <si>
    <t>Corrected Screen Clip Part No.</t>
  </si>
  <si>
    <t>Corrected Beveled without J frame part number</t>
  </si>
  <si>
    <t>Corrected Lock and Keeper Location Logic</t>
  </si>
  <si>
    <t>Remove Steel Keeper Rail Reinforcement (250011000XXX)Replace with Aluminum (230098011)</t>
  </si>
  <si>
    <t>13-189</t>
  </si>
  <si>
    <t xml:space="preserve">Change Keeper Stile length logic from -3.75 to -3.813 </t>
  </si>
  <si>
    <t>Changed Keeper Location logic from -2.344 to -2.406 for single keepers, 7.219 to 7.156, and  11.219 to 11.156 for 2 keepers</t>
  </si>
  <si>
    <t>Provided formulas and costing for Impact steel</t>
  </si>
  <si>
    <t>Added CCO to Child Safety Latch Dim B formula for offset sashes</t>
  </si>
  <si>
    <t>Add UV silicone for standard glazing</t>
  </si>
  <si>
    <t>Horizontal 3-lite Even Slider</t>
  </si>
  <si>
    <t>Corrected Sash Rail Logic offset was -1.375 Changed to -1.458</t>
  </si>
  <si>
    <t>Change formula to horizontal glazing bead for fixed lite. Multiplied CCO x 2 and added .434</t>
  </si>
  <si>
    <t>18-012</t>
  </si>
  <si>
    <t>DLR</t>
  </si>
  <si>
    <t>Horizontal 3-lite QHQ Slider</t>
  </si>
  <si>
    <t>Integral Mull</t>
  </si>
  <si>
    <t>determined Integral Mull Reinforcement lengths</t>
  </si>
  <si>
    <t>Added Custom Sidelight Options</t>
  </si>
  <si>
    <t>Added utility trim</t>
  </si>
  <si>
    <t>Added screws, caps, and tinnerman nuts</t>
  </si>
  <si>
    <t>Updated Sill butyl patch and tinnerman nut part #</t>
  </si>
  <si>
    <t>Added rough cut logic for mull post</t>
  </si>
  <si>
    <t>Add fixed jamb and head covers</t>
  </si>
  <si>
    <t>Corrected logic for Dim B for mull post</t>
  </si>
  <si>
    <t>Changed Tinnerman nuts to a Corrosion resistant part 440047000</t>
  </si>
  <si>
    <t>13-127</t>
  </si>
  <si>
    <t>Corrected formulas &amp; added information and costing formulas to items</t>
  </si>
  <si>
    <t>Changed screw part # from 252220 to 440036000</t>
  </si>
  <si>
    <t>Added tinnerman nut pack with instructions 460053000, Remove part 440047000</t>
  </si>
  <si>
    <t>Corrected IM reinforcement lookup formulas</t>
  </si>
  <si>
    <t>No changes made to this tab</t>
  </si>
  <si>
    <t>Screens</t>
  </si>
  <si>
    <t>Updated screen part numbers</t>
  </si>
  <si>
    <t>Added Solar Screen part numbers</t>
  </si>
  <si>
    <t>Add 1/16" to the SH Half Screen height</t>
  </si>
  <si>
    <t>Added correct label part numbers</t>
  </si>
  <si>
    <t>Added 1/16" to the height of the half screen (offset changed from -1.500 to -1.438)</t>
  </si>
  <si>
    <t>14-011</t>
  </si>
  <si>
    <t>Corrected screen channel cost formulas</t>
  </si>
  <si>
    <t>Corrected 3SL QHQ screen spline cost formula</t>
  </si>
  <si>
    <t>Corrected 2SL screen component costing errors</t>
  </si>
  <si>
    <t>Screen Assemblies</t>
  </si>
  <si>
    <t>Added screen assembly numbers per Donna Finley (purchasing request)</t>
  </si>
  <si>
    <t>Kits</t>
  </si>
  <si>
    <t>Added Solar Screen Components</t>
  </si>
  <si>
    <t>Added Solar Screen Kit part numbers</t>
  </si>
  <si>
    <t>Added Custodial Kit</t>
  </si>
  <si>
    <t>13-161</t>
  </si>
  <si>
    <t>Added Tube Mull Kits and Stacking Kit</t>
  </si>
  <si>
    <t>14-015</t>
  </si>
  <si>
    <t>Added Lock and Keeper Kit</t>
  </si>
  <si>
    <t>14-071</t>
  </si>
  <si>
    <t>Corrected solar screen cost estimates</t>
  </si>
  <si>
    <t>Added 2300 Series (NVR) Toolbox Kit - Service Material</t>
  </si>
  <si>
    <t>16-048</t>
  </si>
  <si>
    <t>DF</t>
  </si>
  <si>
    <t>Change screen clip part number from 200163XXX to 200249XXX</t>
  </si>
  <si>
    <t>Add kit 460061000 Compression tape kit</t>
  </si>
  <si>
    <t>17-005</t>
  </si>
  <si>
    <t>Accessories</t>
  </si>
  <si>
    <t>Added J-X clips.</t>
  </si>
  <si>
    <t xml:space="preserve">A </t>
  </si>
  <si>
    <t>Changed UOM to FT on 200181,142,158,159,166, 174, 175,178,179, 220015 &amp; 016 Changed UOM to EA on 200161. Changed description on 220030 &amp; 220016 to "with tape" Changed 200164 to 200164008001 regrind white</t>
  </si>
  <si>
    <t>Changed 200162, 200165, 200161 &amp; 200056 to  regrind white &amp; added 001 to 200056008</t>
  </si>
  <si>
    <t>Added Sill Adapter and Head Expander</t>
  </si>
  <si>
    <t>Added 3/8" Hole Plugs.</t>
  </si>
  <si>
    <t>Added Undersill Brick Trim</t>
  </si>
  <si>
    <t>Add Additional Installation Screw Pack</t>
  </si>
  <si>
    <t>13-152</t>
  </si>
  <si>
    <t>Add Accessory Groove Filler</t>
  </si>
  <si>
    <t>13-041</t>
  </si>
  <si>
    <t>Add Flexible Drywall Return 4 9/16 and 6 9/16</t>
  </si>
  <si>
    <t xml:space="preserve">Added 1500 Chimney Block and spray adhesive </t>
  </si>
  <si>
    <t>14-098</t>
  </si>
  <si>
    <t>Mull Bridges available in 12.5 ft lineal and 3" cut to length</t>
  </si>
  <si>
    <t>14-027</t>
  </si>
  <si>
    <t>Add Advanced EZ Clean Plus to shared accessories</t>
  </si>
  <si>
    <t>Converted SDL and Simulated Check Rail tape to reflect ECHOTape part numbers.  251814 to 610019010, 251815 to 610020010, 253773 to 610021010</t>
  </si>
  <si>
    <t>15-072</t>
  </si>
  <si>
    <t>Add 1/2" hole plugs for tapcon installation</t>
  </si>
  <si>
    <t>15-077</t>
  </si>
  <si>
    <t>Change part number 20 0046 090 solid to 20 0046 127 capstock</t>
  </si>
  <si>
    <t>Add WOCD parts</t>
  </si>
  <si>
    <t>SH Sash Weight</t>
  </si>
  <si>
    <t>Changed Balance Offset, BT_WtOffset from -2.00 to .500</t>
  </si>
  <si>
    <t>For vinyl sash stile weight add x2 to the formula for cell C18</t>
  </si>
  <si>
    <t>For sash stile reinforcement weight add x2 to the formula for cell C33</t>
  </si>
  <si>
    <t>For Height Offset, BT_HtOffset change from -3.250 to -2.938</t>
  </si>
  <si>
    <t>Add Coil Balance Adder, Coil_WtAdder to correct issues with Coil Balance sash drift</t>
  </si>
  <si>
    <t>Added weight properties for offset lami glass package (STC 35 package)</t>
  </si>
  <si>
    <t>1500 SINGLE HUNG</t>
  </si>
  <si>
    <t>INPUTS: REQUIRED DATA</t>
  </si>
  <si>
    <t>OUTPUTS:</t>
  </si>
  <si>
    <t>Configuration:</t>
  </si>
  <si>
    <t>Frame Size:</t>
  </si>
  <si>
    <t>Block &amp; Tackle Balance:</t>
  </si>
  <si>
    <t>Show All Rows, B, O, NA</t>
  </si>
  <si>
    <t>Data Validation entries for cell E4</t>
  </si>
  <si>
    <t>Config. Options:</t>
  </si>
  <si>
    <t>Top Glass:</t>
  </si>
  <si>
    <t>Coil Balance:</t>
  </si>
  <si>
    <t>Base Configuration Only, B</t>
  </si>
  <si>
    <t>Unit Width:</t>
  </si>
  <si>
    <t>Unit Height:</t>
  </si>
  <si>
    <t>Bottom Glass:</t>
  </si>
  <si>
    <t>Top Glass Daylight:</t>
  </si>
  <si>
    <t>Base &amp; Options, B &amp; O</t>
  </si>
  <si>
    <t>Glass Pkg:</t>
  </si>
  <si>
    <t>01-Double: 2.5mm &amp; 2.5mm</t>
  </si>
  <si>
    <t>Bottom Sash welded:</t>
  </si>
  <si>
    <t>Bottom Glass Daylight:</t>
  </si>
  <si>
    <t>Not Available Only, NA</t>
  </si>
  <si>
    <t>Sash Offset:</t>
  </si>
  <si>
    <t>01 - Even Sashes (Half and half)</t>
  </si>
  <si>
    <t>Half Screen:</t>
  </si>
  <si>
    <t>Clear Opening (Egress):</t>
  </si>
  <si>
    <t>Bottom Sash Dim A =</t>
  </si>
  <si>
    <t>Solar Screen:</t>
  </si>
  <si>
    <t>Cottage / Oriel Offset (+ Cottage / - Oriel) =</t>
  </si>
  <si>
    <t>SDL option?</t>
  </si>
  <si>
    <t>No</t>
  </si>
  <si>
    <t>Impact?</t>
  </si>
  <si>
    <t>Description</t>
  </si>
  <si>
    <t>Cut Logic</t>
  </si>
  <si>
    <t>Qty or
Length
per item</t>
  </si>
  <si>
    <t>Factory
UOM</t>
  </si>
  <si>
    <t>Colors</t>
  </si>
  <si>
    <t>Part Status</t>
  </si>
  <si>
    <t>Qty
items used</t>
  </si>
  <si>
    <t>Total
in
unit</t>
  </si>
  <si>
    <t>Stock
UOM</t>
  </si>
  <si>
    <t>Profile
Area
in^2</t>
  </si>
  <si>
    <t>Cost /
UOM</t>
  </si>
  <si>
    <t>Labor</t>
  </si>
  <si>
    <t>Fixed Overhead Cost</t>
  </si>
  <si>
    <t>Variable Overhead Cost</t>
  </si>
  <si>
    <t>Ext.
Cost</t>
  </si>
  <si>
    <t>Data Validation entries for cell E3</t>
  </si>
  <si>
    <t>Schedule Descr.</t>
  </si>
  <si>
    <t>W or H</t>
  </si>
  <si>
    <t>/</t>
  </si>
  <si>
    <t>#</t>
  </si>
  <si>
    <t>+</t>
  </si>
  <si>
    <t>Weld</t>
  </si>
  <si>
    <t>+/-</t>
  </si>
  <si>
    <t>CCO</t>
  </si>
  <si>
    <t>=</t>
  </si>
  <si>
    <t>Cap</t>
  </si>
  <si>
    <t>Sub</t>
  </si>
  <si>
    <t>Lam</t>
  </si>
  <si>
    <t>Part Number</t>
  </si>
  <si>
    <t>lb / ft</t>
  </si>
  <si>
    <t>Total Cost of window as selected (not including IG):</t>
  </si>
  <si>
    <t>Single Hung Frame Assembly, Brickmould &amp; 3 1/2" Flat Casing</t>
  </si>
  <si>
    <t>Subtotal of frame components unique to Brickmould option:</t>
  </si>
  <si>
    <t>Jamb, Brickmould</t>
  </si>
  <si>
    <t>Jamb, Pre-Notch</t>
  </si>
  <si>
    <t>Jamb</t>
  </si>
  <si>
    <t>Pre-weld, Pre-Notch, Raw Length</t>
  </si>
  <si>
    <t>UH</t>
  </si>
  <si>
    <t>IN</t>
  </si>
  <si>
    <t>FT</t>
  </si>
  <si>
    <t xml:space="preserve"> Dim A, Pre-weld, Post-Notch</t>
  </si>
  <si>
    <t>--</t>
  </si>
  <si>
    <t>WH</t>
  </si>
  <si>
    <t>O</t>
  </si>
  <si>
    <t>BG</t>
  </si>
  <si>
    <t>CL</t>
  </si>
  <si>
    <t>BZ</t>
  </si>
  <si>
    <t>BL</t>
  </si>
  <si>
    <t>J Casing, Pre-Notch</t>
  </si>
  <si>
    <t>Jamb Flat Casing</t>
  </si>
  <si>
    <t>J Casing, Post-Notch</t>
  </si>
  <si>
    <t>Pre-weld, Post-Notch</t>
  </si>
  <si>
    <t>Finish Post-weld</t>
  </si>
  <si>
    <t>Tape 1/16" x 1/2" Double Sided (2 Pieces)</t>
  </si>
  <si>
    <t>Jamb 1/2" Flange Option</t>
  </si>
  <si>
    <t>(Inserted pre-weld into frame)</t>
  </si>
  <si>
    <t>Jamb Centering Clip, Brickmould</t>
  </si>
  <si>
    <t>EA</t>
  </si>
  <si>
    <t>regrind</t>
  </si>
  <si>
    <t>Jamb J-Channel Filler</t>
  </si>
  <si>
    <t>Head, Brickmould</t>
  </si>
  <si>
    <t>Head, Pre-W</t>
  </si>
  <si>
    <t>Head</t>
  </si>
  <si>
    <t>Pre-weld, Raw Length</t>
  </si>
  <si>
    <t>UW</t>
  </si>
  <si>
    <t xml:space="preserve"> Dim A, Pre-weld, Pre-Notch</t>
  </si>
  <si>
    <t>Head Casing, Pre-W</t>
  </si>
  <si>
    <t>Head Flat Casing</t>
  </si>
  <si>
    <t>Finish Pre-weld</t>
  </si>
  <si>
    <t>Head 1/2" Flange Option</t>
  </si>
  <si>
    <t>Head J-Channel Filler</t>
  </si>
  <si>
    <t>See Cut Sheet for Length</t>
  </si>
  <si>
    <t>Head Flat Casing, Radius Foam Filled</t>
  </si>
  <si>
    <t>Sill, Brickmould</t>
  </si>
  <si>
    <t>Sill, Pre-W</t>
  </si>
  <si>
    <t>Sill</t>
  </si>
  <si>
    <r>
      <t xml:space="preserve">Finseal, </t>
    </r>
    <r>
      <rPr>
        <b/>
        <sz val="8"/>
        <rFont val="Arial"/>
        <family val="2"/>
      </rPr>
      <t>pre-pulled</t>
    </r>
    <r>
      <rPr>
        <sz val="8"/>
        <rFont val="Arial"/>
        <family val="2"/>
      </rPr>
      <t>, .290 x .187 spring back, grey with black Quiet  fin</t>
    </r>
  </si>
  <si>
    <t>GR</t>
  </si>
  <si>
    <r>
      <t xml:space="preserve">Finseal, </t>
    </r>
    <r>
      <rPr>
        <b/>
        <sz val="8"/>
        <rFont val="Arial"/>
        <family val="2"/>
      </rPr>
      <t>service</t>
    </r>
    <r>
      <rPr>
        <sz val="8"/>
        <rFont val="Arial"/>
        <family val="2"/>
      </rPr>
      <t>, .290 x .187 flat back, grey with black Quiet fin</t>
    </r>
  </si>
  <si>
    <t>Sill 1/2" Flange Option</t>
  </si>
  <si>
    <t>Sill J-Channel Filler</t>
  </si>
  <si>
    <t>Sill Nose</t>
  </si>
  <si>
    <t>Sill Nose for Flat Casing</t>
  </si>
  <si>
    <t>Sill Nose End Cap</t>
  </si>
  <si>
    <t>Sill Nose Screw, #6 x 1 Philips Flathead, painted head</t>
  </si>
  <si>
    <t>440029003</t>
  </si>
  <si>
    <t>440029031</t>
  </si>
  <si>
    <t>440029033</t>
  </si>
  <si>
    <t>Sill Nose to Jamb Casing Screw, #8 x 1 1/2" Stainless Steel,Philips, Pan Head Screw, Painted</t>
  </si>
  <si>
    <r>
      <t>Utility Trim</t>
    </r>
    <r>
      <rPr>
        <b/>
        <sz val="8"/>
        <rFont val="Arial"/>
        <family val="2"/>
      </rPr>
      <t xml:space="preserve"> (Brickmould)</t>
    </r>
  </si>
  <si>
    <t>Increment for Length, "INC"</t>
  </si>
  <si>
    <t>Min Offset fm Frame to Reinf, "GAP"</t>
  </si>
  <si>
    <t>Flat Casing installation parts</t>
  </si>
  <si>
    <t>Bag, clear, reclosable, with adhesive back, 4.5" x 7"</t>
  </si>
  <si>
    <t>clear</t>
  </si>
  <si>
    <t>Installation Instructions, 8 1/2" x 11" paper</t>
  </si>
  <si>
    <t>EJAGVN4005</t>
  </si>
  <si>
    <t>Screw, #8 x 2" PH modified truss head, zinc plated, self piercing</t>
  </si>
  <si>
    <t>Each bag requires 6 screws</t>
  </si>
  <si>
    <t>Frame Assembly, Beveled Frame</t>
  </si>
  <si>
    <t>Subtotal of frame components unique to Beveled option:</t>
  </si>
  <si>
    <t>Jamb, Beveled</t>
  </si>
  <si>
    <t>Jamb w/ J-channel</t>
  </si>
  <si>
    <t>Pre-weld, Pre-Notch</t>
  </si>
  <si>
    <t>Dim A, Pre-weld, Post-Notch</t>
  </si>
  <si>
    <t>Jamb, Non-J-channel</t>
  </si>
  <si>
    <t>Jamb, R &amp; R</t>
  </si>
  <si>
    <t>Jamb Centering Clip, Beveled</t>
  </si>
  <si>
    <t>Head, Beveled</t>
  </si>
  <si>
    <t>Head w/ J-channel</t>
  </si>
  <si>
    <t>Pre-weld Raw Length</t>
  </si>
  <si>
    <t>Dim A, Pre-weld, Pre-Notch</t>
  </si>
  <si>
    <t>Head, Non-J-channel</t>
  </si>
  <si>
    <t>Head, R &amp; R</t>
  </si>
  <si>
    <t>Sill, Beveled</t>
  </si>
  <si>
    <t>Sill w/ J-channel</t>
  </si>
  <si>
    <r>
      <t xml:space="preserve">Finseal, </t>
    </r>
    <r>
      <rPr>
        <b/>
        <sz val="8"/>
        <rFont val="Arial"/>
        <family val="2"/>
      </rPr>
      <t>pre-pulled</t>
    </r>
    <r>
      <rPr>
        <sz val="8"/>
        <rFont val="Arial"/>
        <family val="2"/>
      </rPr>
      <t>, .290 x .187 spring back, grey with black Quiet fin</t>
    </r>
  </si>
  <si>
    <t>Sill, Non-J-channel</t>
  </si>
  <si>
    <t>Utility Trim (Beveled)</t>
  </si>
  <si>
    <t>Common Frame Vinyl (Beveled, Brickmould, &amp; Flat Casing)</t>
  </si>
  <si>
    <t>Subtotal of all common frame components:</t>
  </si>
  <si>
    <t>Vinyl</t>
  </si>
  <si>
    <t>Subtotal of common frame vinyl components:</t>
  </si>
  <si>
    <t>Jamb Fabrications (Pre-weld)</t>
  </si>
  <si>
    <t>Jamb, Post-Notch</t>
  </si>
  <si>
    <t>Jamb Dim A, Pre-weld, Post-Notch</t>
  </si>
  <si>
    <t xml:space="preserve"> </t>
  </si>
  <si>
    <t>Else</t>
  </si>
  <si>
    <t>-</t>
  </si>
  <si>
    <t>MR Anchor Punch</t>
  </si>
  <si>
    <t>Jamb Dim E, Post-Weld from Interior post-assembly</t>
  </si>
  <si>
    <t>Balance Hole Punch</t>
  </si>
  <si>
    <t xml:space="preserve">Jamb Dim H </t>
  </si>
  <si>
    <t>IF</t>
  </si>
  <si>
    <t>CO</t>
  </si>
  <si>
    <t>&gt;=</t>
  </si>
  <si>
    <t>ELSE IF</t>
  </si>
  <si>
    <t>&lt;</t>
  </si>
  <si>
    <t>From Keeper Rail End to keeper centerline</t>
  </si>
  <si>
    <t>*</t>
  </si>
  <si>
    <t>Child Safety Latch</t>
  </si>
  <si>
    <t>Child Safety Latch, Dim A</t>
  </si>
  <si>
    <t>3rd R&amp;R Installation Hole</t>
  </si>
  <si>
    <t>Place below meeting rail per Jamb Fabrication Drwg</t>
  </si>
  <si>
    <t>Needed on units requiring R&amp;R installation holes taller than 41 .750"</t>
  </si>
  <si>
    <t>Keeper Loc</t>
  </si>
  <si>
    <t>Keeper Location</t>
  </si>
  <si>
    <t>MR/2-.5</t>
  </si>
  <si>
    <t>keeper location, first hole</t>
  </si>
  <si>
    <t>PVC Cement on sill tower</t>
  </si>
  <si>
    <t>in^3</t>
  </si>
  <si>
    <t>OZ</t>
  </si>
  <si>
    <t xml:space="preserve">Use Clear on all </t>
  </si>
  <si>
    <t>CLEAR</t>
  </si>
  <si>
    <t>QT</t>
  </si>
  <si>
    <t>x</t>
  </si>
  <si>
    <t>cu in / joint</t>
  </si>
  <si>
    <t>254040-WH</t>
  </si>
  <si>
    <t>TU</t>
  </si>
  <si>
    <t>tall</t>
  </si>
  <si>
    <t>wide</t>
  </si>
  <si>
    <t>long</t>
  </si>
  <si>
    <t>oz / joint</t>
  </si>
  <si>
    <t xml:space="preserve">1 cubic inch = .5541oz </t>
  </si>
  <si>
    <t>254040-SA</t>
  </si>
  <si>
    <t>Kpr Rail</t>
  </si>
  <si>
    <t>Keeper Rail</t>
  </si>
  <si>
    <t>Dim A</t>
  </si>
  <si>
    <t>Vert Bead</t>
  </si>
  <si>
    <t>Flexible Glazing Bead (Vertical jambs)</t>
  </si>
  <si>
    <t>Vert Bead: SDL</t>
  </si>
  <si>
    <t>7/8" IGU SDL Glazing Bead (Vertical jambs)</t>
  </si>
  <si>
    <t>200171003</t>
  </si>
  <si>
    <t>200171033</t>
  </si>
  <si>
    <t>1" IGU SDL Glazing Bead (Vertical jambs)</t>
  </si>
  <si>
    <t>Horiz Bead</t>
  </si>
  <si>
    <t>Flexible Glazing Bead (Horizontal, Keeper &amp; Head)</t>
  </si>
  <si>
    <t>200170003</t>
  </si>
  <si>
    <t>200170031</t>
  </si>
  <si>
    <t>200170033</t>
  </si>
  <si>
    <t>Horiz Bead: SDL</t>
  </si>
  <si>
    <t>7/8" IGU SDL Glazing Bead (Horizontal, Keeper &amp; Head)</t>
  </si>
  <si>
    <t>1" IGU SDL Glazing Bead (Horizontal, Keeper &amp; Head)</t>
  </si>
  <si>
    <t>Screen Retainer Clip</t>
  </si>
  <si>
    <t>Each part is cut to length of 1 1/2"</t>
  </si>
  <si>
    <t>Shipping Clip</t>
  </si>
  <si>
    <t>Each part is cut to length of 2"</t>
  </si>
  <si>
    <t>Reinforcements for frame</t>
  </si>
  <si>
    <t>Subtotal of common frame reinforcements:</t>
  </si>
  <si>
    <t>KR Reinf P/N</t>
  </si>
  <si>
    <t>Keeper Rail Reinforcement</t>
  </si>
  <si>
    <t>Increment for Length</t>
  </si>
  <si>
    <t>Min Offset from Frame to Reinf</t>
  </si>
  <si>
    <t>Min Length of Reinforcement</t>
  </si>
  <si>
    <t>Size</t>
  </si>
  <si>
    <t>Length</t>
  </si>
  <si>
    <t>Use?</t>
  </si>
  <si>
    <t>Keeper Rail Aluminum Reinforcement</t>
  </si>
  <si>
    <t>= any size wider must get aluminum</t>
  </si>
  <si>
    <t>= any size taller must get aluminum</t>
  </si>
  <si>
    <t>Std:</t>
  </si>
  <si>
    <t>None</t>
  </si>
  <si>
    <t>SIZE  and DP  DEPENDENT LOGIC</t>
  </si>
  <si>
    <t>C</t>
  </si>
  <si>
    <t>(some products may not require reinforcement)</t>
  </si>
  <si>
    <t>J</t>
  </si>
  <si>
    <t>K</t>
  </si>
  <si>
    <t>L</t>
  </si>
  <si>
    <t>M</t>
  </si>
  <si>
    <t>N</t>
  </si>
  <si>
    <t>P</t>
  </si>
  <si>
    <t>Q</t>
  </si>
  <si>
    <t>R</t>
  </si>
  <si>
    <t>Frame R-Core</t>
  </si>
  <si>
    <t>Frame Insulation</t>
  </si>
  <si>
    <t>Subtotal of common frame insulation:</t>
  </si>
  <si>
    <t>R-core for Brickmould Head</t>
  </si>
  <si>
    <t>R-core for Brickmould Jamb</t>
  </si>
  <si>
    <t>R-core for Beveled Head</t>
  </si>
  <si>
    <t>R-core for Beveled Jamb</t>
  </si>
  <si>
    <t>R-core for Keeper Rail</t>
  </si>
  <si>
    <t>Hardware</t>
  </si>
  <si>
    <t>Subtotal of common frame hardware:</t>
  </si>
  <si>
    <t>Meeting Rail Gasket, Exterior</t>
  </si>
  <si>
    <t>White / Beige/ Clay Exterior</t>
  </si>
  <si>
    <t>Bronze / Black Exterior</t>
  </si>
  <si>
    <t>Keeper, Face Mount</t>
  </si>
  <si>
    <t>420130003</t>
  </si>
  <si>
    <t>420130033</t>
  </si>
  <si>
    <t>Keeper, Face Mount for Autolock and ADA Lock</t>
  </si>
  <si>
    <t>Keeper Screw, #6 x 5/8" PH panhead, vinyl-hold, painted head</t>
  </si>
  <si>
    <t>Use two screws per keeper</t>
  </si>
  <si>
    <t>440030003</t>
  </si>
  <si>
    <t>Meeting Rail Anchor, LH</t>
  </si>
  <si>
    <t>grey</t>
  </si>
  <si>
    <t>Meeting Rail Anchor, RH</t>
  </si>
  <si>
    <t>Meeting Rail Gasket, Interior</t>
  </si>
  <si>
    <t>White Interior</t>
  </si>
  <si>
    <t>Beige Interior</t>
  </si>
  <si>
    <t>Clay Interior</t>
  </si>
  <si>
    <t>Mtg Rail Anchor Screw, #6 x 1.50" PH panhead, 410 SS</t>
  </si>
  <si>
    <t>Black</t>
  </si>
  <si>
    <t>Bal Type</t>
  </si>
  <si>
    <t>Subtotal of common frame balances</t>
  </si>
  <si>
    <t>Actual</t>
  </si>
  <si>
    <t>Add 2 pounds to sash with SDL</t>
  </si>
  <si>
    <t>SDL Weight</t>
  </si>
  <si>
    <t>Base Sash = (SHBGW*SHBGH*SHGW) + (SHBSW*0.054) + (SHBSH*0.043)</t>
  </si>
  <si>
    <t>Steel Reinforcement Weight:</t>
  </si>
  <si>
    <t xml:space="preserve"> (See "SH Sash Weight" tab for tables and parameters)</t>
  </si>
  <si>
    <t>Sash Weight (inc. SDL &amp; steel reinforcement):</t>
  </si>
  <si>
    <t>Required B&amp;T Balance Height:</t>
  </si>
  <si>
    <t>Coil Balance Adjusted Weight</t>
  </si>
  <si>
    <t>Block &amp; Tackle Balances, inverted, including clip hook</t>
  </si>
  <si>
    <t>Short Code</t>
  </si>
  <si>
    <t>Balance P/N</t>
  </si>
  <si>
    <t>Amesbury-Truth 747 reversed lace inverted mount tilt</t>
  </si>
  <si>
    <t>Length,</t>
  </si>
  <si>
    <t>Min Wt</t>
  </si>
  <si>
    <t>Max Wt</t>
  </si>
  <si>
    <t>For Service, Balance Part Number is</t>
  </si>
  <si>
    <t>Bal #</t>
  </si>
  <si>
    <t>inch</t>
  </si>
  <si>
    <t>Lbs.</t>
  </si>
  <si>
    <t>-[Bal #]</t>
  </si>
  <si>
    <t>08A</t>
  </si>
  <si>
    <t>08B</t>
  </si>
  <si>
    <t>08C</t>
  </si>
  <si>
    <t>09A</t>
  </si>
  <si>
    <t>09B</t>
  </si>
  <si>
    <t>09C</t>
  </si>
  <si>
    <t>09D</t>
  </si>
  <si>
    <t>10A</t>
  </si>
  <si>
    <t>10B</t>
  </si>
  <si>
    <t>10C</t>
  </si>
  <si>
    <t>10D</t>
  </si>
  <si>
    <t>12A</t>
  </si>
  <si>
    <t>12B</t>
  </si>
  <si>
    <t>12C</t>
  </si>
  <si>
    <t>12D</t>
  </si>
  <si>
    <t>12E</t>
  </si>
  <si>
    <t>14A</t>
  </si>
  <si>
    <t>14B</t>
  </si>
  <si>
    <t>14C</t>
  </si>
  <si>
    <t>14D</t>
  </si>
  <si>
    <t>14E</t>
  </si>
  <si>
    <t>14F</t>
  </si>
  <si>
    <t>16A</t>
  </si>
  <si>
    <r>
      <t xml:space="preserve">See </t>
    </r>
    <r>
      <rPr>
        <b/>
        <sz val="9"/>
        <rFont val="Arial"/>
        <family val="2"/>
      </rPr>
      <t>EFAJAGVN101</t>
    </r>
    <r>
      <rPr>
        <sz val="9"/>
        <rFont val="Arial"/>
        <family val="2"/>
      </rPr>
      <t xml:space="preserve"> for assembly drawing &amp; chart</t>
    </r>
  </si>
  <si>
    <t>16B</t>
  </si>
  <si>
    <t>16C</t>
  </si>
  <si>
    <t>16D</t>
  </si>
  <si>
    <t>16E</t>
  </si>
  <si>
    <t>16F</t>
  </si>
  <si>
    <t>16G</t>
  </si>
  <si>
    <t>18A</t>
  </si>
  <si>
    <t>18B</t>
  </si>
  <si>
    <t>18C</t>
  </si>
  <si>
    <t>18D</t>
  </si>
  <si>
    <t>18E</t>
  </si>
  <si>
    <t>18F</t>
  </si>
  <si>
    <t>18G</t>
  </si>
  <si>
    <t>20A</t>
  </si>
  <si>
    <t>20B</t>
  </si>
  <si>
    <t>20C</t>
  </si>
  <si>
    <t>20D</t>
  </si>
  <si>
    <t>20E</t>
  </si>
  <si>
    <t>20F</t>
  </si>
  <si>
    <t>20G</t>
  </si>
  <si>
    <t>22A</t>
  </si>
  <si>
    <t>22B</t>
  </si>
  <si>
    <t>22C</t>
  </si>
  <si>
    <t>22D</t>
  </si>
  <si>
    <t>22E</t>
  </si>
  <si>
    <t>22F</t>
  </si>
  <si>
    <t>22G</t>
  </si>
  <si>
    <t>22H</t>
  </si>
  <si>
    <t>24A</t>
  </si>
  <si>
    <t>24B</t>
  </si>
  <si>
    <t>24C</t>
  </si>
  <si>
    <t>24D</t>
  </si>
  <si>
    <t>24E</t>
  </si>
  <si>
    <t>24F</t>
  </si>
  <si>
    <t>24G</t>
  </si>
  <si>
    <t>24H</t>
  </si>
  <si>
    <t>26A</t>
  </si>
  <si>
    <t>26B</t>
  </si>
  <si>
    <t>26C</t>
  </si>
  <si>
    <t>26D</t>
  </si>
  <si>
    <t>26E</t>
  </si>
  <si>
    <t>26F</t>
  </si>
  <si>
    <t>26G</t>
  </si>
  <si>
    <t>26H</t>
  </si>
  <si>
    <t>28A</t>
  </si>
  <si>
    <t>28B</t>
  </si>
  <si>
    <t>28C</t>
  </si>
  <si>
    <t>28D</t>
  </si>
  <si>
    <t>28E</t>
  </si>
  <si>
    <t>28F</t>
  </si>
  <si>
    <t>28G</t>
  </si>
  <si>
    <t>28H</t>
  </si>
  <si>
    <t>28I</t>
  </si>
  <si>
    <t>30A</t>
  </si>
  <si>
    <t>30B</t>
  </si>
  <si>
    <t>30C</t>
  </si>
  <si>
    <t>30D</t>
  </si>
  <si>
    <t>30E</t>
  </si>
  <si>
    <t>30F</t>
  </si>
  <si>
    <t>30G</t>
  </si>
  <si>
    <t>30H</t>
  </si>
  <si>
    <t>32A</t>
  </si>
  <si>
    <t>32B</t>
  </si>
  <si>
    <t>32C</t>
  </si>
  <si>
    <t>32D</t>
  </si>
  <si>
    <t>32E</t>
  </si>
  <si>
    <t>32F</t>
  </si>
  <si>
    <t>32G</t>
  </si>
  <si>
    <t>32H</t>
  </si>
  <si>
    <t>34A</t>
  </si>
  <si>
    <t>34B</t>
  </si>
  <si>
    <t>34C</t>
  </si>
  <si>
    <t>34D</t>
  </si>
  <si>
    <t>34E</t>
  </si>
  <si>
    <t>34F</t>
  </si>
  <si>
    <t>34G</t>
  </si>
  <si>
    <t>34H</t>
  </si>
  <si>
    <t>34I</t>
  </si>
  <si>
    <t>36A</t>
  </si>
  <si>
    <t>36B</t>
  </si>
  <si>
    <t>36C</t>
  </si>
  <si>
    <t>36D</t>
  </si>
  <si>
    <t>36E</t>
  </si>
  <si>
    <t>36F</t>
  </si>
  <si>
    <t>36G</t>
  </si>
  <si>
    <t>36H</t>
  </si>
  <si>
    <t>36I</t>
  </si>
  <si>
    <t>38A</t>
  </si>
  <si>
    <t>38B</t>
  </si>
  <si>
    <t>38C</t>
  </si>
  <si>
    <t>38D</t>
  </si>
  <si>
    <t>38E</t>
  </si>
  <si>
    <t>38F</t>
  </si>
  <si>
    <t>38G</t>
  </si>
  <si>
    <t>38H</t>
  </si>
  <si>
    <t>38I</t>
  </si>
  <si>
    <t>40A</t>
  </si>
  <si>
    <t>40B</t>
  </si>
  <si>
    <t>40C</t>
  </si>
  <si>
    <t>40D</t>
  </si>
  <si>
    <t>40E</t>
  </si>
  <si>
    <t>40F</t>
  </si>
  <si>
    <t>40G</t>
  </si>
  <si>
    <t>40H</t>
  </si>
  <si>
    <t>40I</t>
  </si>
  <si>
    <t>42A</t>
  </si>
  <si>
    <t>42B</t>
  </si>
  <si>
    <t>42C</t>
  </si>
  <si>
    <t>42D</t>
  </si>
  <si>
    <t>42E</t>
  </si>
  <si>
    <t>42F</t>
  </si>
  <si>
    <t>42G</t>
  </si>
  <si>
    <t>42H</t>
  </si>
  <si>
    <t>42I</t>
  </si>
  <si>
    <t>44A</t>
  </si>
  <si>
    <t>44B</t>
  </si>
  <si>
    <t>44C</t>
  </si>
  <si>
    <t>44D</t>
  </si>
  <si>
    <t>44E</t>
  </si>
  <si>
    <t>44F</t>
  </si>
  <si>
    <t>44G</t>
  </si>
  <si>
    <t>44H</t>
  </si>
  <si>
    <t>44I</t>
  </si>
  <si>
    <t>NoBal!</t>
  </si>
  <si>
    <t>Balance Shoe for Block &amp; Tackle</t>
  </si>
  <si>
    <t>Amesbury-Truth 978 universal inverted drop-in</t>
  </si>
  <si>
    <t>both jambs</t>
  </si>
  <si>
    <t>Assembly</t>
  </si>
  <si>
    <t>Sash Wt, Lbs.</t>
  </si>
  <si>
    <t>Min   to   Max</t>
  </si>
  <si>
    <t>&lt;=</t>
  </si>
  <si>
    <t>requires 3.5 coil</t>
  </si>
  <si>
    <t>requires 4.5 coil</t>
  </si>
  <si>
    <t>requires 5.5 coil</t>
  </si>
  <si>
    <t>requires 6.5 coil</t>
  </si>
  <si>
    <t>requires 7.5 coil</t>
  </si>
  <si>
    <t>requires 9.0 coil</t>
  </si>
  <si>
    <t>requires 10.0 coil</t>
  </si>
  <si>
    <t>requires 5.5 coil + 5.5 coil</t>
  </si>
  <si>
    <t>requires 6.5 coil + 5.5 coil</t>
  </si>
  <si>
    <t>requires 6.5 coil + 6.5 coil</t>
  </si>
  <si>
    <t>requires 7.5 coil + 6.5 coil</t>
  </si>
  <si>
    <r>
      <t xml:space="preserve">See </t>
    </r>
    <r>
      <rPr>
        <b/>
        <sz val="9"/>
        <rFont val="Arial"/>
        <family val="2"/>
      </rPr>
      <t>EFAJAGVN100</t>
    </r>
    <r>
      <rPr>
        <sz val="9"/>
        <rFont val="Arial"/>
        <family val="2"/>
      </rPr>
      <t xml:space="preserve"> for construction details</t>
    </r>
  </si>
  <si>
    <t>requires 7.5 coil + 7.5 coil</t>
  </si>
  <si>
    <t>regarding single, dual, triple, quad assemblies</t>
  </si>
  <si>
    <t>requires 9.0 coil + 7.5 coil</t>
  </si>
  <si>
    <t>requires 9.0 coil + 9.0 coil</t>
  </si>
  <si>
    <t>requires 10.0 coil + 9.0 coil</t>
  </si>
  <si>
    <t>requires 10.0 coil + 10.0 coil</t>
  </si>
  <si>
    <t>requires 7.5 coil + 7.5 coil + 6.5 coil</t>
  </si>
  <si>
    <t>requires 7.5 coil + 7.5 coil + 7.5 coil</t>
  </si>
  <si>
    <t>requires 9.0 coil + 7.5 coil + 7.5 coil</t>
  </si>
  <si>
    <t>requires 9.0 coil + 9.0 coil + 7.5 coil</t>
  </si>
  <si>
    <t>requires 9.0 coil + 9.0 coil + 9.0 coil</t>
  </si>
  <si>
    <t>requires 10.0 coil + 9.0 coil + 9.0 coil</t>
  </si>
  <si>
    <t>requires 10.0 coil + 10.0 coil + 9.0 coil</t>
  </si>
  <si>
    <t>requires 10.0 coil + 10.0 coil + 10.0 coil</t>
  </si>
  <si>
    <t>requires 9.0 coil + 7.5 coil + 7.5 coil + 7.5 coil</t>
  </si>
  <si>
    <t>requires 9.0 coil + 9.0 coil + 7.5 coil + 7.5 coil</t>
  </si>
  <si>
    <t>requires 9.0 coil + 9.0 coil + 9.0 coil + 7.5 coil</t>
  </si>
  <si>
    <t>requires 9.0 coil + 9.0 coil + 9.0 coil + 9.0 coil</t>
  </si>
  <si>
    <t>requires 10.0 coil + 9.0 coil + 9.0 coil + 9.0 coil</t>
  </si>
  <si>
    <t>requires 10.0 coil + 10.0 coil + 9.0 coil + 9.0 coil</t>
  </si>
  <si>
    <t>requires 10.0 coil + 10.0 coil + 10.0 coil + 9.0 coil</t>
  </si>
  <si>
    <t>requires 10.0 coil + 10.0 coil + 10.0 coil + 10.0 coil</t>
  </si>
  <si>
    <t>Coil, Short Tail for Single and 1st on Multiple</t>
  </si>
  <si>
    <t>3.5 lb Stainless Steel Coil</t>
  </si>
  <si>
    <t>4.5 lb Stainless Steel Coil</t>
  </si>
  <si>
    <t>5.5 lb Stainless Steel Coil</t>
  </si>
  <si>
    <t>6.5 lb Stainless Steel Coil</t>
  </si>
  <si>
    <t>7.5 lb Stainless Steel Coil</t>
  </si>
  <si>
    <t>9.0 lb Stainless Steel Coil</t>
  </si>
  <si>
    <t>10.0 lb Stainless Steel Coil</t>
  </si>
  <si>
    <t>Coil, Long Tail for 2nd, 3rd, and 4th coils</t>
  </si>
  <si>
    <t>5.5 lb Stainless Steel Coil Long Tail</t>
  </si>
  <si>
    <t>6.5 lb Stainless Steel Coil Long Tail</t>
  </si>
  <si>
    <t>7.5 lb Stainless Steel Coil Long Tail</t>
  </si>
  <si>
    <t>9.0 lb Stainless Steel Coil Long Tail</t>
  </si>
  <si>
    <t>10.0 lb Stainless Steel Coil Long Tail</t>
  </si>
  <si>
    <t>Shoes for coil balances</t>
  </si>
  <si>
    <t>Shoe needed:</t>
  </si>
  <si>
    <t>Single Coil</t>
  </si>
  <si>
    <t>Dual Coil</t>
  </si>
  <si>
    <t>Triple Coil</t>
  </si>
  <si>
    <t>Quad Coil</t>
  </si>
  <si>
    <t>Coil Balance Installation Cleat</t>
  </si>
  <si>
    <t>Balance Cleat Screw, #8 x 1/2" PH flathead, zinc plated</t>
  </si>
  <si>
    <t>HP (High Performance) Tilt Latch Hooks</t>
  </si>
  <si>
    <t>Hook for LH jamb, stainless steel (for 36 Block Impact SH and 36 Block IM Non-Impact Twins )</t>
  </si>
  <si>
    <t>Hook for RH jamb, stainless steel (for 36 Block Impact SH and 36 Block IM Non-Impact Twins)</t>
  </si>
  <si>
    <t>TOP LITE Insulated Glass Unit (IG and GBG items are listed on separate IG BOM)</t>
  </si>
  <si>
    <t>Subtotal of top lite glazing items (excluding the IG)</t>
  </si>
  <si>
    <t>Glazing Type</t>
  </si>
  <si>
    <t>{ (Glass Width x 2) + (Glass Height x 2) } / 12</t>
  </si>
  <si>
    <t>TB</t>
  </si>
  <si>
    <t>black</t>
  </si>
  <si>
    <t>Impact Hotmelt glaze, golden (Henkel Purfect Glaze 1219461, 5 gal pail)</t>
  </si>
  <si>
    <t>{ (Glass Width x 2) + (Glass Height x 2) } / 12 x 1 gal / 392 ft</t>
  </si>
  <si>
    <t>GA</t>
  </si>
  <si>
    <t>Impact wet glaze, gray (Dow Corning 995, 10.3 oz tube)</t>
  </si>
  <si>
    <t>gray</t>
  </si>
  <si>
    <t>Impact wet glaze, gray (Dow Corning 995, 5 gal pail)</t>
  </si>
  <si>
    <t>Glazing Block, 1/16" x 1.0" x 1.5", tan</t>
  </si>
  <si>
    <t>use for head</t>
  </si>
  <si>
    <t>tan</t>
  </si>
  <si>
    <t>Glazing Block, 3/32" x 1.0" x 1.5", gray</t>
  </si>
  <si>
    <t>Glazing Block, 1/8" x 1.0" x 1.5", white</t>
  </si>
  <si>
    <t>white</t>
  </si>
  <si>
    <t>Glazing Block, 1/16" x 1.0" x 1.5", adhesive, tan</t>
  </si>
  <si>
    <t>use for jambs</t>
  </si>
  <si>
    <t>Glazing Block, 3/32" x 1.0" x 1.5", adhesive, gray</t>
  </si>
  <si>
    <t>Glazing Block, 1/8" x 1.0" x 1.5", adhesive, white</t>
  </si>
  <si>
    <t>Subtotal of sash components (excluding IG):</t>
  </si>
  <si>
    <t>Sash Width</t>
  </si>
  <si>
    <t>post-weld</t>
  </si>
  <si>
    <t>Sash Height</t>
  </si>
  <si>
    <t>Sash Vinyl</t>
  </si>
  <si>
    <t>Subtotal of sash vinyl components:</t>
  </si>
  <si>
    <t>Lk Position, Pre-W</t>
  </si>
  <si>
    <t>Lock location, from pre-weld end to outer side of lock cutout</t>
  </si>
  <si>
    <t>SW/2-1 for lock location pre-weld to first edge of punchout.</t>
  </si>
  <si>
    <t>lock is centered on sash</t>
  </si>
  <si>
    <t>then lock location is</t>
  </si>
  <si>
    <t>Stile, Pre-W</t>
  </si>
  <si>
    <t>Stiles</t>
  </si>
  <si>
    <r>
      <t xml:space="preserve">Finseal, </t>
    </r>
    <r>
      <rPr>
        <b/>
        <sz val="8"/>
        <rFont val="Arial"/>
        <family val="2"/>
      </rPr>
      <t>pre-pulled</t>
    </r>
    <r>
      <rPr>
        <sz val="8"/>
        <rFont val="Arial"/>
        <family val="2"/>
      </rPr>
      <t>, .290 x .187 spring back, grey with black Quiet fin (interior slot)</t>
    </r>
  </si>
  <si>
    <r>
      <t xml:space="preserve">Finseal, </t>
    </r>
    <r>
      <rPr>
        <b/>
        <sz val="8"/>
        <rFont val="Arial"/>
        <family val="2"/>
      </rPr>
      <t>pre-pulled</t>
    </r>
    <r>
      <rPr>
        <sz val="8"/>
        <rFont val="Arial"/>
        <family val="2"/>
      </rPr>
      <t>, .300 x .187 spring back, grey with black triple fin (exterior slot)</t>
    </r>
  </si>
  <si>
    <r>
      <t xml:space="preserve">Finseal, </t>
    </r>
    <r>
      <rPr>
        <b/>
        <sz val="8"/>
        <rFont val="Arial"/>
        <family val="2"/>
      </rPr>
      <t>service</t>
    </r>
    <r>
      <rPr>
        <sz val="8"/>
        <rFont val="Arial"/>
        <family val="2"/>
      </rPr>
      <t>, .290 x .187 flat back, grey with black Quiet fin (interior slot)</t>
    </r>
  </si>
  <si>
    <r>
      <t xml:space="preserve">Finseal, </t>
    </r>
    <r>
      <rPr>
        <b/>
        <sz val="8"/>
        <rFont val="Arial"/>
        <family val="2"/>
      </rPr>
      <t>service</t>
    </r>
    <r>
      <rPr>
        <sz val="8"/>
        <rFont val="Arial"/>
        <family val="2"/>
      </rPr>
      <t>, .300 x .187 flat back, grey with black triple fin  (exterior slot)</t>
    </r>
  </si>
  <si>
    <t>Lk Rail, Pre-W</t>
  </si>
  <si>
    <t>Lock Rail</t>
  </si>
  <si>
    <t>Dim A, pre-weld</t>
  </si>
  <si>
    <t>Finseal, .250 x .187 flat back, grey with black Quiet fin</t>
  </si>
  <si>
    <t>Lift Rail, Pre-W</t>
  </si>
  <si>
    <t>Lift Rail</t>
  </si>
  <si>
    <t>for Bronze exterior use black bulb seal</t>
  </si>
  <si>
    <t>Flexible Glazing Bead (stiles)</t>
  </si>
  <si>
    <t>7/8" IGU SDL Glazing Bead (stiles)</t>
  </si>
  <si>
    <t>1" IGU SDL Glazing Bead (stiles)</t>
  </si>
  <si>
    <t>Flexible Glazing Bead (Lock Rail &amp; Lift Rail)</t>
  </si>
  <si>
    <t>Sash Reinforcements</t>
  </si>
  <si>
    <t>Subtotal of sash reinforcements:</t>
  </si>
  <si>
    <t>Weight</t>
  </si>
  <si>
    <t>Code</t>
  </si>
  <si>
    <t>Lk Rail Reinf Type</t>
  </si>
  <si>
    <t>Reinforcement, Lock Rail large pocket, steel</t>
  </si>
  <si>
    <t>= any size wider must get steel in lock rail and stiles</t>
  </si>
  <si>
    <t>Increment</t>
  </si>
  <si>
    <t>= any size taller must get steel in lock rail and stiles</t>
  </si>
  <si>
    <t>Min Unit size to reinforce</t>
  </si>
  <si>
    <t>Screw anchor, Lock Rail small pocket, steel (Impact Only)</t>
  </si>
  <si>
    <t>Weight/Ft:</t>
  </si>
  <si>
    <t>Reinforcement, Lock Rail inside steel, wood (Large Impact Only)</t>
  </si>
  <si>
    <t>for size over  52.125" x 62" up to size 52.125" x 71"</t>
  </si>
  <si>
    <t>Stile Reinf Type</t>
  </si>
  <si>
    <t>Reinforcement, stiles, steel</t>
  </si>
  <si>
    <t>Increment for length</t>
  </si>
  <si>
    <t>lbs</t>
  </si>
  <si>
    <t>size</t>
  </si>
  <si>
    <t>Steel Reinforcement</t>
  </si>
  <si>
    <t>Part Weight,
lbs.</t>
  </si>
  <si>
    <t>Min Length</t>
  </si>
  <si>
    <t>Sash R-Core</t>
  </si>
  <si>
    <t>Sash Insulation</t>
  </si>
  <si>
    <t>Subtotal of sash insulation:</t>
  </si>
  <si>
    <t>R-Core for Lock Rail with reinforcement</t>
  </si>
  <si>
    <t>R-Core for Stiles with reinforcement</t>
  </si>
  <si>
    <t>R-Core for Lift Rail with reinforcement</t>
  </si>
  <si>
    <t>R-Core for Lock Rail with no reinforcement</t>
  </si>
  <si>
    <t>R-Core for Stiles with no reinforcement</t>
  </si>
  <si>
    <t>R-Core for Lift Rail with no reinforcement</t>
  </si>
  <si>
    <t>Sash Hardware</t>
  </si>
  <si>
    <t>Subtotal of sash hardware:</t>
  </si>
  <si>
    <t>Tilt Latch, standard</t>
  </si>
  <si>
    <t>Tilt Latch,  Left, Scallop</t>
  </si>
  <si>
    <t>420128003</t>
  </si>
  <si>
    <t>420128031</t>
  </si>
  <si>
    <t>Tilt Latch,  Right, Scallop</t>
  </si>
  <si>
    <t>420127003</t>
  </si>
  <si>
    <t>420127031</t>
  </si>
  <si>
    <t>Locks</t>
  </si>
  <si>
    <t>Lock Type</t>
  </si>
  <si>
    <t>Standard Lock (Forced Entry Feature Standard)</t>
  </si>
  <si>
    <t>Screw, #6 x 1" PH flathead, VYN-L-HOLD</t>
  </si>
  <si>
    <t>Use two screws per lock</t>
  </si>
  <si>
    <t>Screw, #6 x 3/4" PH flathead, 410 SS, Self-Drill</t>
  </si>
  <si>
    <t>for Impact Only</t>
  </si>
  <si>
    <t>Autolock and ADA lock base, Optional</t>
  </si>
  <si>
    <t>AutoLock Screw, #6 x 1" PH flathead, VYN-L-HOLD</t>
  </si>
  <si>
    <t>Pivot Bar, zinc, with side tab</t>
  </si>
  <si>
    <t>Screw, #6 x 1/2" PH modified truss head, 410 SS with crypton coating, type AB point</t>
  </si>
  <si>
    <t>Sash Insulated Glass Unit (IG and GBG items are listed on separate IG BOM)</t>
  </si>
  <si>
    <t>Subtotal of sash glazing items (excluding the IG)</t>
  </si>
  <si>
    <t>{ (Glass Width x 2) + (Glass Height x 2) } / 12 x 1 gal / 1,010 ft</t>
  </si>
  <si>
    <t>Screen Type</t>
  </si>
  <si>
    <t>Subtotal of Half Screen from All Screens tab :</t>
  </si>
  <si>
    <t>Half Screen Width</t>
  </si>
  <si>
    <t>Half Screen Height</t>
  </si>
  <si>
    <t>Subtotal of Solar Screen from All Screens tab :</t>
  </si>
  <si>
    <t>Solar Screen Width</t>
  </si>
  <si>
    <t>Solar Screen Height</t>
  </si>
  <si>
    <t>Accessories - also see Accessories Tab</t>
  </si>
  <si>
    <t>Screw pack, six #8 x 2" modified truss head, for through-jamb installation (such as R&amp;R and 1/2" Flange)</t>
  </si>
  <si>
    <t>Touch-up paint for capstock, paint pens, 10 cc</t>
  </si>
  <si>
    <t>Touch-up paint for capstock, bottle with brush in cap, 0.6 oz</t>
  </si>
  <si>
    <t>BT</t>
  </si>
  <si>
    <t>4 staples per corner for 4 9/16", 6 for 6 9/16"</t>
  </si>
  <si>
    <t>thru Jamb Ext. ends into adjoining Jamb Extension</t>
  </si>
  <si>
    <t>Jamb extension clips</t>
  </si>
  <si>
    <t>3 on head and 3 on sill</t>
  </si>
  <si>
    <t>Each 4" long</t>
  </si>
  <si>
    <t>4 per jamb &lt; 73.5", 5 per jamb &gt;= 73.5"</t>
  </si>
  <si>
    <t>8 or 10</t>
  </si>
  <si>
    <t>4 staples per clip</t>
  </si>
  <si>
    <t>thru clips into Jamb Extension</t>
  </si>
  <si>
    <t>Packaging</t>
  </si>
  <si>
    <t>Subtotal of packaging components:</t>
  </si>
  <si>
    <t>Banner Label</t>
  </si>
  <si>
    <t>Window Label (choose one only)</t>
  </si>
  <si>
    <t>Subtotal of window label:</t>
  </si>
  <si>
    <t>Install Instruction PlyGem for nailfin, 15 x 9 1/2</t>
  </si>
  <si>
    <t xml:space="preserve">Use this label if Unit Width is greater or equal to </t>
  </si>
  <si>
    <t>Install Instruction PlyGem for nailfin, 7 x 7</t>
  </si>
  <si>
    <t>Use this label if Unit Width is less than</t>
  </si>
  <si>
    <t>Install Instruction PlyGem for R&amp;R, 15 x 9 1/2</t>
  </si>
  <si>
    <t>Install Instruction PlyGem for R&amp;R, 7 x 7</t>
  </si>
  <si>
    <t>Install Instruction PlyGem for 1/2" Flange, 15 x 9 1/2</t>
  </si>
  <si>
    <t>Install Instruction PlyGem for 1/2" Flange, 7 x 7</t>
  </si>
  <si>
    <t>Install Instruction PlyGem for Flat Casing, 15 x 9 1/2</t>
  </si>
  <si>
    <t>Install Instruction PlyGem for Flat Casing, 7 x 7</t>
  </si>
  <si>
    <t>Corner Boots (choose only one)</t>
  </si>
  <si>
    <t>Subtotal of boots:</t>
  </si>
  <si>
    <t xml:space="preserve">Corner boot for all corners (white foam with curved grooves) </t>
  </si>
  <si>
    <t>5 1/2" x 4" x 4 1/4 deep</t>
  </si>
  <si>
    <t>Corner boot for Flat Casing (black foam with adhesive)</t>
  </si>
  <si>
    <t>36" strip contains 12 blocks, each boot uses 2 blocks</t>
  </si>
  <si>
    <t>Cardboard corner for all R&amp;R and Beveled with 1/2" Flange</t>
  </si>
  <si>
    <t>after folding, 7 3/4" long x 4 1/4" wide x 4 1/4" deep</t>
  </si>
  <si>
    <t>For palletized windows (shipped upside down)</t>
  </si>
  <si>
    <t>Corner boot, for 2 corners at head (against pallet)</t>
  </si>
  <si>
    <t>5" x 5" x 3 3/4 deep</t>
  </si>
  <si>
    <t>Sash spacer, between sash and head</t>
  </si>
  <si>
    <t>3 1/2" x 2" x 1 1/4 deep</t>
  </si>
  <si>
    <t>Unit to unit spacer, between units in pallet</t>
  </si>
  <si>
    <t>Sliding Boot at corners of sill</t>
  </si>
  <si>
    <t>4.150" x 2.30" x 3.25" deep</t>
  </si>
  <si>
    <t>Stretch Wrap, 80 gauge, 20" wide</t>
  </si>
  <si>
    <t>Revolutions needed to cover 1/2 of frame height =</t>
  </si>
  <si>
    <t>Round up</t>
  </si>
  <si>
    <t>revs</t>
  </si>
  <si>
    <t>Frame footprint perimeter =</t>
  </si>
  <si>
    <t>Length of stretched wrap actually on window =</t>
  </si>
  <si>
    <t>perimeter</t>
  </si>
  <si>
    <t>(Revs</t>
  </si>
  <si>
    <t>4)</t>
  </si>
  <si>
    <t>Length of wrap used before 125% stretching =</t>
  </si>
  <si>
    <t>Length of wrap</t>
  </si>
  <si>
    <t>Common labels</t>
  </si>
  <si>
    <t>Subtotal of common labels:</t>
  </si>
  <si>
    <t>Warranty label, 4" x 3/8" (1 per sash)</t>
  </si>
  <si>
    <t>Warranty label, 4" x 3/8" (frame)</t>
  </si>
  <si>
    <t>Glass WIP label, 3" x 2" (1 per each IG)</t>
  </si>
  <si>
    <t>NFRC/NAMI gold permanent label, 4.5" x .635"</t>
  </si>
  <si>
    <t>Temporary Combo Performance label, 10" x 4"</t>
  </si>
  <si>
    <t>Boot Label, 10" x 4" (Shipping)</t>
  </si>
  <si>
    <t>Boot Label, 10" x 4" (Customer Specific)</t>
  </si>
  <si>
    <t>Option labels</t>
  </si>
  <si>
    <t>Subtotal of option labels:</t>
  </si>
  <si>
    <t>"TEMPERED GLASS" label, 2" x 1 3/8", blue, removable</t>
  </si>
  <si>
    <t>Drywall Instruction (compression tape glazed)</t>
  </si>
  <si>
    <t>Drywall Pass-through instruction (double-sided tape glaze)</t>
  </si>
  <si>
    <t>Integral Mull Installation instruction</t>
  </si>
  <si>
    <t>Child Safety Warning label</t>
  </si>
  <si>
    <t>HUD egress label</t>
  </si>
  <si>
    <t>Wrap</t>
  </si>
  <si>
    <t>Subtotal of wrap:</t>
  </si>
  <si>
    <t>Revolutions needed to cover frame height =</t>
  </si>
  <si>
    <t>Protective Film option, 36" wide x 600 ft. roll</t>
  </si>
  <si>
    <t>Maximum DL</t>
  </si>
  <si>
    <t>Minimum DL</t>
  </si>
  <si>
    <t xml:space="preserve">= top film </t>
  </si>
  <si>
    <t>= sash film</t>
  </si>
  <si>
    <t>Maximum of both lites =</t>
  </si>
  <si>
    <t>RL</t>
  </si>
  <si>
    <t>one side =</t>
  </si>
  <si>
    <t>both sides =</t>
  </si>
  <si>
    <t>Protective Film option, 48" wide x 600 ft. roll</t>
  </si>
  <si>
    <r>
      <t xml:space="preserve">Protective Packaging: </t>
    </r>
    <r>
      <rPr>
        <sz val="9"/>
        <rFont val="Arial"/>
        <family val="2"/>
      </rPr>
      <t>Required for... a) all 1/2" Flange,  b) any SH &gt;= 40" wide, c) all Impact</t>
    </r>
    <r>
      <rPr>
        <b/>
        <sz val="9"/>
        <rFont val="Arial"/>
        <family val="2"/>
      </rPr>
      <t xml:space="preserve">
</t>
    </r>
  </si>
  <si>
    <t>Skid Board, 3/4" x 1 5/8" x 80" long, #2 Finger Jointed</t>
  </si>
  <si>
    <t>Screw, #8 x 3/4" PH modified truss head</t>
  </si>
  <si>
    <t>Skidboard removal label</t>
  </si>
  <si>
    <t>Clear Opening (often called "Egress")</t>
  </si>
  <si>
    <t>Clear Opening Width</t>
  </si>
  <si>
    <t>Clear Opening Height</t>
  </si>
  <si>
    <t>C.O.W. * C.O.H.</t>
  </si>
  <si>
    <t>Sq ft</t>
  </si>
  <si>
    <t>Sq in</t>
  </si>
  <si>
    <t>Top Glass</t>
  </si>
  <si>
    <t>Top Glass Width</t>
  </si>
  <si>
    <t>Top Glass Height</t>
  </si>
  <si>
    <t>Top Glass UI</t>
  </si>
  <si>
    <t>Top Glass Area</t>
  </si>
  <si>
    <t>sq ft</t>
  </si>
  <si>
    <t>Top Glass Daylight Width</t>
  </si>
  <si>
    <t>Top Glass Daylight Height</t>
  </si>
  <si>
    <t>Visible Glass Area, sq ft</t>
  </si>
  <si>
    <t>W*H</t>
  </si>
  <si>
    <t>Bottom Glass Width</t>
  </si>
  <si>
    <t>SHWidth</t>
  </si>
  <si>
    <t>Bottom Glass Height</t>
  </si>
  <si>
    <t>SHHeight</t>
  </si>
  <si>
    <t>Bottom Glass UI</t>
  </si>
  <si>
    <t>Bottom Glass Area</t>
  </si>
  <si>
    <t>Botttom Glass Daylight Width</t>
  </si>
  <si>
    <t>Botttom Glass Daylight Height</t>
  </si>
  <si>
    <t>Total Visible Glass Area, sq ft</t>
  </si>
  <si>
    <t>Bot Area</t>
  </si>
  <si>
    <t>Top Area</t>
  </si>
  <si>
    <t>AccuQuote Geometry Parameters</t>
  </si>
  <si>
    <t>Glass Offsets</t>
  </si>
  <si>
    <t>A1</t>
  </si>
  <si>
    <t>Lower Glass Sill Offset</t>
  </si>
  <si>
    <t>B1</t>
  </si>
  <si>
    <t>Lower Glass Side Offset</t>
  </si>
  <si>
    <t>C1</t>
  </si>
  <si>
    <t>Distance Between Glass</t>
  </si>
  <si>
    <t>D1</t>
  </si>
  <si>
    <t>Upper Glass Side Offset</t>
  </si>
  <si>
    <t>E1</t>
  </si>
  <si>
    <t>Upper Glass Head Offset</t>
  </si>
  <si>
    <t>Daylight Offsets</t>
  </si>
  <si>
    <t>A2</t>
  </si>
  <si>
    <t>Lower DO Sill Offset</t>
  </si>
  <si>
    <t>B2</t>
  </si>
  <si>
    <t>Lower DO Side Offset</t>
  </si>
  <si>
    <t>C2</t>
  </si>
  <si>
    <t>Lower DO Head Offset</t>
  </si>
  <si>
    <t>D2</t>
  </si>
  <si>
    <t>Upper DO Sill Offset</t>
  </si>
  <si>
    <t>E2</t>
  </si>
  <si>
    <t>Upper DO Side Offset</t>
  </si>
  <si>
    <t>F2</t>
  </si>
  <si>
    <t>Upper DO Head Offset</t>
  </si>
  <si>
    <t>Cottage/Oriel Selection - 
Based on how it is specified</t>
  </si>
  <si>
    <t>RBSH</t>
  </si>
  <si>
    <t>UH/2</t>
  </si>
  <si>
    <t>02 - Customer provided Btm Sash Height (DIM "A" Required)</t>
  </si>
  <si>
    <t>DIM A</t>
  </si>
  <si>
    <t>03 - UNCONFIRMED 1/3 Top - 2/3 Bottom (Cottage, Std 3rd)</t>
  </si>
  <si>
    <t>04 - UNCONFIRMED 2/5 Top - 3/5 Bottom ( Cottage, Std, 5th)</t>
  </si>
  <si>
    <t>05 - UNCONFIRMED 2/3 Top - 1/3 Bottom (Oriel, Std 3rd)</t>
  </si>
  <si>
    <t>06 - UNCONFIRMED 3/5 Top - 2/5 Bottom ( Oriel, Std, 5th)</t>
  </si>
  <si>
    <t>07 - UNCONFIRMED Btm of frame to center of meeting rails (DIM "A" Required)</t>
  </si>
  <si>
    <t>-RBSH</t>
  </si>
  <si>
    <t>08 - UNCONFIRMED Bottom of frame to top surface of lock rail (DIM "A" Required)</t>
  </si>
  <si>
    <t>09 - UNCONFIRMED Top of frame to center of meeting rails (DIM "A" Required)</t>
  </si>
  <si>
    <t>10 - UNCONFIRMED Top of frame to top surface of lock rail (DIM "A" Required)</t>
  </si>
  <si>
    <t xml:space="preserve">Rounded to nearest 1/16" = </t>
  </si>
  <si>
    <t>= CO Cottage/ Oriel Offset (+ for Cottage larger sash, - for Oriel smaller sash)</t>
  </si>
  <si>
    <t>SDL bars?</t>
  </si>
  <si>
    <t>Yes</t>
  </si>
  <si>
    <t>From Product Performance Spreadsheet</t>
  </si>
  <si>
    <t>Manual Entry based on tested windows</t>
  </si>
  <si>
    <t>Performance Pack Test Data</t>
  </si>
  <si>
    <t># Rows:</t>
  </si>
  <si>
    <t>Reinforcements</t>
  </si>
  <si>
    <t>Pasted for record</t>
  </si>
  <si>
    <t>Rating</t>
  </si>
  <si>
    <t>DP</t>
  </si>
  <si>
    <t>Width</t>
  </si>
  <si>
    <t>Height</t>
  </si>
  <si>
    <t>KR 250011</t>
  </si>
  <si>
    <t>LR 250012</t>
  </si>
  <si>
    <t>LR 250013</t>
  </si>
  <si>
    <t>Stiles 250012</t>
  </si>
  <si>
    <t>Stiles 250013</t>
  </si>
  <si>
    <t>Lft Rail 250013</t>
  </si>
  <si>
    <t>PVC Cement</t>
  </si>
  <si>
    <t>Wid</t>
  </si>
  <si>
    <t>Ht</t>
  </si>
  <si>
    <t>All</t>
  </si>
  <si>
    <t>53.00 x 77.00</t>
  </si>
  <si>
    <t>H-LC15</t>
  </si>
  <si>
    <t>53.00 x 77.125</t>
  </si>
  <si>
    <t>H-LC25</t>
  </si>
  <si>
    <t>H-LC35</t>
  </si>
  <si>
    <t>H-LC50</t>
  </si>
  <si>
    <t>48.00 x 96.00</t>
  </si>
  <si>
    <t>40.00 x 72.00</t>
  </si>
  <si>
    <t>44.00 x 77.00</t>
  </si>
  <si>
    <t>44.00 x 77.125</t>
  </si>
  <si>
    <t>48.00 x 84.00</t>
  </si>
  <si>
    <t>53 x 90</t>
  </si>
  <si>
    <t/>
  </si>
  <si>
    <t>DO NOT MODIFY THIS LINE</t>
  </si>
  <si>
    <t>Results:</t>
  </si>
  <si>
    <t>1500 Fixed Window (Rect &amp; Radius Fixed)</t>
  </si>
  <si>
    <t>Find Actual Window Size</t>
  </si>
  <si>
    <t>from measured Daylight</t>
  </si>
  <si>
    <t>1) BM, White, silicone</t>
  </si>
  <si>
    <t>Measured Daylight Width:</t>
  </si>
  <si>
    <t>Glass (Rect):</t>
  </si>
  <si>
    <t>Measured Daylight Height:</t>
  </si>
  <si>
    <t>Daylight (Rect):</t>
  </si>
  <si>
    <t>Actual Frame Width is:</t>
  </si>
  <si>
    <t>Base &amp; Options, O</t>
  </si>
  <si>
    <t>Radius Fixed Frame is not calculated</t>
  </si>
  <si>
    <t>Actual Frame Height is:</t>
  </si>
  <si>
    <t>&lt;-- White  --&gt;</t>
  </si>
  <si>
    <t>Factory</t>
  </si>
  <si>
    <t>Part</t>
  </si>
  <si>
    <t>Stock</t>
  </si>
  <si>
    <t>Profile
Area</t>
  </si>
  <si>
    <t>Ext.</t>
  </si>
  <si>
    <t>2) BEV J, White, silicone</t>
  </si>
  <si>
    <t>UOM</t>
  </si>
  <si>
    <t>Status</t>
  </si>
  <si>
    <t>in^2</t>
  </si>
  <si>
    <t>Cost</t>
  </si>
  <si>
    <t>Fixed Window Frame Assembly, Brickmould &amp; 3 1/2" Flat Casing</t>
  </si>
  <si>
    <t>Jamb, Pre-Weld</t>
  </si>
  <si>
    <t xml:space="preserve"> Dim A, Pre-weld</t>
  </si>
  <si>
    <t>See Cut Sheet</t>
  </si>
  <si>
    <t>Sill Nose Screw, #6 x 1 Philips Flat-head Screw, Painted</t>
  </si>
  <si>
    <t>Utility Trim (Brickmould)</t>
  </si>
  <si>
    <t>Jamb, Pre-W</t>
  </si>
  <si>
    <t>Pre-weld, Raw Material</t>
  </si>
  <si>
    <t>Jamb, no J-channel</t>
  </si>
  <si>
    <t>Jamb w/ J, Radius Fixed</t>
  </si>
  <si>
    <t>Jamb no J, Radius Fixed</t>
  </si>
  <si>
    <t>Head, with J-channel</t>
  </si>
  <si>
    <t>Head, no J-channel</t>
  </si>
  <si>
    <t>Head, with J, Radius Fixed</t>
  </si>
  <si>
    <t>Head, no J, Radius Fixed</t>
  </si>
  <si>
    <t xml:space="preserve">Head with J, Radius Fixed, Foam Filled </t>
  </si>
  <si>
    <t xml:space="preserve">Head no J, Radius Fixed, Foam Filled </t>
  </si>
  <si>
    <t>Sill w/ J, Radius Fixed</t>
  </si>
  <si>
    <t>Sill non-J, Radius Fixed</t>
  </si>
  <si>
    <t>R&amp;R Jamb Hole Spacing</t>
  </si>
  <si>
    <t>Hole Spacing For Jambs</t>
  </si>
  <si>
    <t>Evenly Spaced Max spacing 21.00"</t>
  </si>
  <si>
    <t>Frame Pocket Filler (only on non radius frame)</t>
  </si>
  <si>
    <t xml:space="preserve"> (installed post-weld)</t>
  </si>
  <si>
    <t>Glazing Beads for Rectangle Fixed Windows</t>
  </si>
  <si>
    <t>Subtotal of frame glazing beads:</t>
  </si>
  <si>
    <t>Flexible Glazing Bead (Vertical)</t>
  </si>
  <si>
    <t>7/8" IGU SDL Glazing Bead (Vertical)</t>
  </si>
  <si>
    <t>1" IGU SDL Glazing Bead (Vertical)</t>
  </si>
  <si>
    <t>Flexible Glazing Bead (Horizontal)</t>
  </si>
  <si>
    <t>Horiz Top Bead: SDL</t>
  </si>
  <si>
    <t>7/8" IGU SDL Glazing Bead (Top Horizontal)</t>
  </si>
  <si>
    <t>1" IGU SDL Glazing Bead (Top Horizontal)</t>
  </si>
  <si>
    <t>Horiz Bot Bead: SDL</t>
  </si>
  <si>
    <t>7/8" IGU SDL Glazing Bead (Bottom Horizontal)</t>
  </si>
  <si>
    <t>1" IGU SDL Glazing Bead (Bottom Horizontal)</t>
  </si>
  <si>
    <t>Glazing Beads for Radius Fixed Frames</t>
  </si>
  <si>
    <t>Subtotal of Radius frame glazing beads:</t>
  </si>
  <si>
    <t>7/8" IGU 7/8" IGU SDL Glazing Bead (Bottom Horizontal)</t>
  </si>
  <si>
    <t>1" IGU 7/8" IGU SDL Glazing Bead (Bottom Horizontal)</t>
  </si>
  <si>
    <t>Profile Insulation</t>
  </si>
  <si>
    <t>R-core for Brickmould Jambs</t>
  </si>
  <si>
    <t>R-core for Brickmould Sill</t>
  </si>
  <si>
    <t>R-core for Beveled Jambs</t>
  </si>
  <si>
    <t>R-core for Beveled Sill</t>
  </si>
  <si>
    <t>Backbedding</t>
  </si>
  <si>
    <t>Subtotal of glazing items (excluding the IG):</t>
  </si>
  <si>
    <t>Wet Glaze Backbedding (Instant Glaze II, 55 gal drum)</t>
  </si>
  <si>
    <t>{ (Glass Width x 2) + (Glass Height x 2) } / 12 x 1 gal / 1,565 ft</t>
  </si>
  <si>
    <t>use for sill</t>
  </si>
  <si>
    <t>Subtotal of Accessories:</t>
  </si>
  <si>
    <t>Revolutions for frame height =</t>
  </si>
  <si>
    <t>Frame footptint perimeter around sill =</t>
  </si>
  <si>
    <t>Protective Film option, 48" wide X 600 ft. roll</t>
  </si>
  <si>
    <r>
      <t xml:space="preserve">Protective Packaging: </t>
    </r>
    <r>
      <rPr>
        <sz val="9"/>
        <rFont val="Arial"/>
        <family val="2"/>
      </rPr>
      <t>Required for... a) all 1/2" Flange,  b) any FW &gt;= 40" wide, c) all Impact</t>
    </r>
    <r>
      <rPr>
        <b/>
        <sz val="9"/>
        <rFont val="Arial"/>
        <family val="2"/>
      </rPr>
      <t xml:space="preserve">
</t>
    </r>
  </si>
  <si>
    <t>Skid Board, 3/4" x 1 5/8" x 80", #2 Finger Jointed</t>
  </si>
  <si>
    <t>EACH ROW ABOVE THIS ONE IS INCLUDED IN THE "FWConfigData" range</t>
  </si>
  <si>
    <t>RECTANGLE - VISIBLE GLASS (DAYLIGHT OPENING)</t>
  </si>
  <si>
    <t>Glass Width</t>
  </si>
  <si>
    <t>Glass Height</t>
  </si>
  <si>
    <t>Glass Area</t>
  </si>
  <si>
    <t>GW x GH</t>
  </si>
  <si>
    <t>Glass Daylight Width</t>
  </si>
  <si>
    <t>Glass Daylight Height</t>
  </si>
  <si>
    <t>Rectangle AccuQuote Geometry Parameters</t>
  </si>
  <si>
    <t>Glass Sill Offset</t>
  </si>
  <si>
    <t>Glass Side Offset</t>
  </si>
  <si>
    <t>Glass Head Offset</t>
  </si>
  <si>
    <t>Daylight Opening Sill Offset</t>
  </si>
  <si>
    <t>Daylight Opening Side Offset</t>
  </si>
  <si>
    <t>Daylight Opening Head Offset</t>
  </si>
  <si>
    <t>Radius Fixed/SHAPE VISIBLE GLASS (DAYLIGHT OPENING)</t>
  </si>
  <si>
    <t>Sq Ft</t>
  </si>
  <si>
    <t>Radius AccuQuote Geometry Parameters</t>
  </si>
  <si>
    <t>1500 2-Lite Slider</t>
  </si>
  <si>
    <t>Fixed Glass Daylight:</t>
  </si>
  <si>
    <t>Fixed Glass:</t>
  </si>
  <si>
    <t>Sash Glass Daylight:</t>
  </si>
  <si>
    <t>Sash Glass:</t>
  </si>
  <si>
    <t>Sash welded:</t>
  </si>
  <si>
    <t>02 - Customer provided Sash Width (DIM "A" Required)</t>
  </si>
  <si>
    <t>Sash Split Offset (+ / - )=</t>
  </si>
  <si>
    <t>3) BM, Bronze, 1/2 Flange, Impact</t>
  </si>
  <si>
    <t>Slider Frame Assembly, Brickmould &amp; 3 1/2 Flat Casing</t>
  </si>
  <si>
    <r>
      <t xml:space="preserve">Finseal, </t>
    </r>
    <r>
      <rPr>
        <b/>
        <sz val="8"/>
        <rFont val="Arial"/>
        <family val="2"/>
      </rPr>
      <t>pre-pulled</t>
    </r>
    <r>
      <rPr>
        <sz val="8"/>
        <rFont val="Arial"/>
        <family val="2"/>
      </rPr>
      <t>, .290 x .187 spring back</t>
    </r>
  </si>
  <si>
    <r>
      <t xml:space="preserve">Finseal, </t>
    </r>
    <r>
      <rPr>
        <b/>
        <sz val="8"/>
        <rFont val="Arial"/>
        <family val="2"/>
      </rPr>
      <t>service</t>
    </r>
    <r>
      <rPr>
        <sz val="8"/>
        <rFont val="Arial"/>
        <family val="2"/>
      </rPr>
      <t>, .290 x .187 flat back</t>
    </r>
  </si>
  <si>
    <t>Pre-weld Raw</t>
  </si>
  <si>
    <t>Min Offset fm Frame to Trim, "GAP"</t>
  </si>
  <si>
    <t>Head/ Sill Fabrications (Pre-weld)</t>
  </si>
  <si>
    <t>Head/ Sill Dim C, Meeting Rail Anchor Punch</t>
  </si>
  <si>
    <t>Head/ Sill Dim D, Measured from sash side with Measure Tape</t>
  </si>
  <si>
    <t>Head/ Sill Dim E, Measured from Interior post-assembly</t>
  </si>
  <si>
    <t>Kpr Stile</t>
  </si>
  <si>
    <t>Keeper Stile</t>
  </si>
  <si>
    <t>Sill Track</t>
  </si>
  <si>
    <t xml:space="preserve">Slider Sill Track </t>
  </si>
  <si>
    <t>Dim A (Finish Length)</t>
  </si>
  <si>
    <t>Dim B (Vent Latch/ Child Safety Latch Punch)</t>
  </si>
  <si>
    <t>&gt;</t>
  </si>
  <si>
    <t>Horiz Bead Top</t>
  </si>
  <si>
    <t>Flexible Glazing Bead (Top &amp; Bottom Horizontal)</t>
  </si>
  <si>
    <t>KS Reinf P/N</t>
  </si>
  <si>
    <t>Min Offset fm Frame to Reinf</t>
  </si>
  <si>
    <t>Min Length of Reinforcement stocked</t>
  </si>
  <si>
    <t>Part #</t>
  </si>
  <si>
    <t>Keeper Stile Aluminum</t>
  </si>
  <si>
    <t xml:space="preserve"> Reinforcement</t>
  </si>
  <si>
    <t>(Non-Impact)</t>
  </si>
  <si>
    <t>cut A</t>
  </si>
  <si>
    <t>R-Core, Slider, large pocket, Head</t>
  </si>
  <si>
    <t>R-Core, Slider, small pocket, Head</t>
  </si>
  <si>
    <t>Keeper Stile R-Core</t>
  </si>
  <si>
    <t>Meeting Rail Gasket</t>
  </si>
  <si>
    <t>Keeper, Face Mountfor Autolock and ADA Lock</t>
  </si>
  <si>
    <t>Keeper Screw, #6 x 5/8" PH Pan Head</t>
  </si>
  <si>
    <t>Mtg Rail Anchor Screw, #6 x 1.50" PH Panhead, 410 SS</t>
  </si>
  <si>
    <t xml:space="preserve"> --</t>
  </si>
  <si>
    <t>Weep Hole Cover</t>
  </si>
  <si>
    <t>FIXED LITE Insulated Glass Unit (IG and GBG items are listed on separate IG BOM)</t>
  </si>
  <si>
    <t>Standard wet glaze (silicone tube) - for service</t>
  </si>
  <si>
    <t>Impact wet glaze (Dow Corning 995, tube)</t>
  </si>
  <si>
    <t>Impact wet glaze (Dow Corning 995, 5 gal pail)</t>
  </si>
  <si>
    <t>?</t>
  </si>
  <si>
    <t>Dim C, Lock Position from pre-weld edge</t>
  </si>
  <si>
    <t>Rails, Pre-W</t>
  </si>
  <si>
    <t>Rails, Top and Bottom</t>
  </si>
  <si>
    <t>Lk Stile, Pre-W</t>
  </si>
  <si>
    <t>Lock Stile</t>
  </si>
  <si>
    <t>Finseal, .250 x .187 flat back</t>
  </si>
  <si>
    <t>Sash Jamb Stile, Pre-W</t>
  </si>
  <si>
    <t>Sash Jamb Stile</t>
  </si>
  <si>
    <t>Flexible Glazing Bead (Top &amp; Bottom Rail)</t>
  </si>
  <si>
    <t>7/8" IGU SDL Glazing Bead (Top Rail)</t>
  </si>
  <si>
    <t>1" IGU SDL Glazing Bead (Top Rail)</t>
  </si>
  <si>
    <t>7/8" IGU SDL Glazing Bead (Bottom Rail)</t>
  </si>
  <si>
    <t>1" IGU SDL Glazing Bead (Bottom Rail)</t>
  </si>
  <si>
    <t>Lock Stile Reinforcement</t>
  </si>
  <si>
    <t>= any size wider must get steel</t>
  </si>
  <si>
    <t>= any size taller must get steel</t>
  </si>
  <si>
    <t>Length required</t>
  </si>
  <si>
    <t>Wt (lbs)</t>
  </si>
  <si>
    <t>Weight, lbs.</t>
  </si>
  <si>
    <t>R-Core for Lock Stile with reinforcement</t>
  </si>
  <si>
    <t>R-Core for Handle Stile with no reinforcement</t>
  </si>
  <si>
    <t>R-Core for Rails with no reinforcement</t>
  </si>
  <si>
    <t>Lock Screw, #6 x 1" PH flathead,  VYN-L-HOLD</t>
  </si>
  <si>
    <t>Lock Screw, #6 x 3/4" PH flathead, Drill Point</t>
  </si>
  <si>
    <t>Impact Only</t>
  </si>
  <si>
    <t>Autolock and ADA Lock Base, Option</t>
  </si>
  <si>
    <t>Auto Lock Cover (Must also include lock base)</t>
  </si>
  <si>
    <t>ADA Lock Cover (Must also include lock base)</t>
  </si>
  <si>
    <t>Sash Roller, with one brass wheel</t>
  </si>
  <si>
    <t>Touch-up paint for capstock, paint pens</t>
  </si>
  <si>
    <t>Touch-up paint for capstock, bottle with brush in cap</t>
  </si>
  <si>
    <t>3 per jamb</t>
  </si>
  <si>
    <t xml:space="preserve">Use this label if Unit Height is greater or equal to </t>
  </si>
  <si>
    <t>Use this label if Unit Height is less than</t>
  </si>
  <si>
    <t>Repair &amp; Remodel Install Instruction PGWG, 15 x 9 1/2</t>
  </si>
  <si>
    <t>Repair &amp; Remodel Install Instruction PGWG, 7 x 7</t>
  </si>
  <si>
    <t>Flanged Install Instruction PGWG, 15 x 9 1/2</t>
  </si>
  <si>
    <t>Flanged Install Instruction PGWG, 7 x 7</t>
  </si>
  <si>
    <t>Flat Casing Install Instruction PGWG, 15 x 9 1/2</t>
  </si>
  <si>
    <t>Flat Casing Install Instruction PGWG, 7 x 7</t>
  </si>
  <si>
    <t>"TEMPERED" glass label</t>
  </si>
  <si>
    <t>Revolutions for frame width =</t>
  </si>
  <si>
    <t>Frame footptint perimeter around jambs =</t>
  </si>
  <si>
    <r>
      <t xml:space="preserve">Protective Packaging: </t>
    </r>
    <r>
      <rPr>
        <sz val="9"/>
        <rFont val="Arial"/>
        <family val="2"/>
      </rPr>
      <t>Required for... a) all 1/2" Flange,  b) any SL &gt;= 47.50" wide, c) all Impact</t>
    </r>
    <r>
      <rPr>
        <b/>
        <sz val="9"/>
        <rFont val="Arial"/>
        <family val="2"/>
      </rPr>
      <t xml:space="preserve">
</t>
    </r>
  </si>
  <si>
    <t>VISIBLE GLASS (DAYLIGHT OPENING)</t>
  </si>
  <si>
    <t>Fixed Glass</t>
  </si>
  <si>
    <t>Fixed Glass Width</t>
  </si>
  <si>
    <t>Fixed Glass Height</t>
  </si>
  <si>
    <t>Fixed Glass Daylight Width</t>
  </si>
  <si>
    <t>Fixed Glass Daylight Height</t>
  </si>
  <si>
    <t>Sash Glass Width</t>
  </si>
  <si>
    <t>SLWidth</t>
  </si>
  <si>
    <t>Sash Glass Height</t>
  </si>
  <si>
    <t>SLHeight</t>
  </si>
  <si>
    <t>Sash Glass Daylight Width</t>
  </si>
  <si>
    <t>Sash Glass Daylight Height</t>
  </si>
  <si>
    <t>SashVisible Glass Area, sq ft</t>
  </si>
  <si>
    <r>
      <t>Op</t>
    </r>
    <r>
      <rPr>
        <b/>
        <sz val="10"/>
        <rFont val="Arial"/>
        <family val="2"/>
      </rPr>
      <t xml:space="preserve"> </t>
    </r>
    <r>
      <rPr>
        <sz val="10"/>
        <rFont val="Arial"/>
        <family val="2"/>
      </rPr>
      <t>Glass Sill Offset</t>
    </r>
  </si>
  <si>
    <r>
      <t>Op</t>
    </r>
    <r>
      <rPr>
        <b/>
        <sz val="10"/>
        <rFont val="Arial"/>
        <family val="2"/>
      </rPr>
      <t xml:space="preserve"> </t>
    </r>
    <r>
      <rPr>
        <sz val="10"/>
        <rFont val="Arial"/>
        <family val="2"/>
      </rPr>
      <t>Glass Side Offset</t>
    </r>
  </si>
  <si>
    <r>
      <t>Op</t>
    </r>
    <r>
      <rPr>
        <b/>
        <sz val="10"/>
        <rFont val="Arial"/>
        <family val="2"/>
      </rPr>
      <t xml:space="preserve"> </t>
    </r>
    <r>
      <rPr>
        <sz val="10"/>
        <rFont val="Arial"/>
        <family val="2"/>
      </rPr>
      <t>Glass Head Offset</t>
    </r>
  </si>
  <si>
    <t>Fixed Glass Sill Offset</t>
  </si>
  <si>
    <t>F1</t>
  </si>
  <si>
    <t>Fixed Glass Side Offset</t>
  </si>
  <si>
    <t>G1</t>
  </si>
  <si>
    <t>Fixed Glass Head Offset</t>
  </si>
  <si>
    <t>Op DO Sill Offset</t>
  </si>
  <si>
    <t>Op DO Side Offset</t>
  </si>
  <si>
    <t>Op Interlock Offset</t>
  </si>
  <si>
    <t>Op DO Head Offset</t>
  </si>
  <si>
    <t>Fixed DO Sill Offset</t>
  </si>
  <si>
    <t>Fixed Interlock Offset</t>
  </si>
  <si>
    <t>G2</t>
  </si>
  <si>
    <t>Fixed DO Side Offset</t>
  </si>
  <si>
    <t>H2</t>
  </si>
  <si>
    <t>Fixed DO Head Offset</t>
  </si>
  <si>
    <t>Offset Sash Selection - 
Based on how it is specified</t>
  </si>
  <si>
    <t>UW/2</t>
  </si>
  <si>
    <t>DIM</t>
  </si>
  <si>
    <t>= Sash Offset (+ for wider sash width, - for smaller sash width)</t>
  </si>
  <si>
    <t>1500 3-Lite 1/3-1/3-1/3 (Equal) Slider</t>
  </si>
  <si>
    <t>Configurations not ready yet</t>
  </si>
  <si>
    <t>Sash:</t>
  </si>
  <si>
    <t>DIM A=</t>
  </si>
  <si>
    <t>Resin cost</t>
  </si>
  <si>
    <t>Frame Assembly, Brickmould &amp; 3 1/2 Flat Casing</t>
  </si>
  <si>
    <r>
      <t xml:space="preserve">Finseal, </t>
    </r>
    <r>
      <rPr>
        <b/>
        <sz val="8"/>
        <rFont val="Arial"/>
        <family val="2"/>
      </rPr>
      <t>service</t>
    </r>
    <r>
      <rPr>
        <sz val="8"/>
        <rFont val="Arial"/>
        <family val="2"/>
      </rPr>
      <t>, .200 x .187 spring back</t>
    </r>
  </si>
  <si>
    <t xml:space="preserve">Sill Track </t>
  </si>
  <si>
    <t>Dim A (Finish Dim)</t>
  </si>
  <si>
    <t>Keeper Rail Aluminum</t>
  </si>
  <si>
    <t>SIZE- and DP- DEPENDENT LOGIC</t>
  </si>
  <si>
    <t>R-Core, Slider, large pocket, Jambs</t>
  </si>
  <si>
    <t>R-Core, Slider, small pocket, Jambs</t>
  </si>
  <si>
    <t>per stile</t>
  </si>
  <si>
    <t>per keeper</t>
  </si>
  <si>
    <t>Impact Wet Glaze Backbedding (Purfect Glaze)</t>
  </si>
  <si>
    <t>Impact Wet Glaze Backbedding (DOW 995)</t>
  </si>
  <si>
    <t>IGU (MOST ITEMS ARE LISTED IN SEPARATE IGU BOM)</t>
  </si>
  <si>
    <t>{ (Glass Width x 2) + (Glass Height x 2) } / 12 x 1 gal / 695 ft x 2 beads</t>
  </si>
  <si>
    <t>Rails</t>
  </si>
  <si>
    <t>Finseal, Factory Inserted, .250 x .187 flat back</t>
  </si>
  <si>
    <t>Performance</t>
  </si>
  <si>
    <t>Wt</t>
  </si>
  <si>
    <t>Lk Stile Reinf Type</t>
  </si>
  <si>
    <t>Increment, "INC"</t>
  </si>
  <si>
    <t>None:</t>
  </si>
  <si>
    <t>Based on Performance Tables and required Rating.</t>
  </si>
  <si>
    <t>HP:</t>
  </si>
  <si>
    <t>Standard Reinforcement Parts</t>
  </si>
  <si>
    <t>High Performance Reinforcement Parts</t>
  </si>
  <si>
    <t>5 Gallon Pail</t>
  </si>
  <si>
    <t>Tubes</t>
  </si>
  <si>
    <t>Accessories - see Accessories Tab</t>
  </si>
  <si>
    <t>see Single Slider tab for accessories available</t>
  </si>
  <si>
    <t>SLEQwidth</t>
  </si>
  <si>
    <t>SLEQheight</t>
  </si>
  <si>
    <r>
      <t>Left</t>
    </r>
    <r>
      <rPr>
        <b/>
        <sz val="10"/>
        <rFont val="Arial"/>
        <family val="2"/>
      </rPr>
      <t xml:space="preserve"> </t>
    </r>
    <r>
      <rPr>
        <sz val="10"/>
        <rFont val="Arial"/>
        <family val="2"/>
      </rPr>
      <t>Glass Sill Offset</t>
    </r>
  </si>
  <si>
    <r>
      <t>Left</t>
    </r>
    <r>
      <rPr>
        <b/>
        <sz val="10"/>
        <rFont val="Arial"/>
        <family val="2"/>
      </rPr>
      <t xml:space="preserve"> </t>
    </r>
    <r>
      <rPr>
        <sz val="10"/>
        <rFont val="Arial"/>
        <family val="2"/>
      </rPr>
      <t>Glass Side Offset</t>
    </r>
  </si>
  <si>
    <r>
      <t>Left</t>
    </r>
    <r>
      <rPr>
        <b/>
        <sz val="10"/>
        <rFont val="Arial"/>
        <family val="2"/>
      </rPr>
      <t xml:space="preserve"> </t>
    </r>
    <r>
      <rPr>
        <sz val="10"/>
        <rFont val="Arial"/>
        <family val="2"/>
      </rPr>
      <t>Glass Head Offset</t>
    </r>
  </si>
  <si>
    <t>Dist Between Left Glass</t>
  </si>
  <si>
    <t>Center Glass Sill Offset</t>
  </si>
  <si>
    <t>Dist Between Right Glass</t>
  </si>
  <si>
    <t>Center Glass Head Offset</t>
  </si>
  <si>
    <t>H1</t>
  </si>
  <si>
    <t>Right Glass Sill Offset</t>
  </si>
  <si>
    <t>I1</t>
  </si>
  <si>
    <t>Right Glass Side Offset</t>
  </si>
  <si>
    <t>J1</t>
  </si>
  <si>
    <t>Right Glass Head Offset</t>
  </si>
  <si>
    <t>Left DO Sill Offset</t>
  </si>
  <si>
    <t>Left DO Side Offset</t>
  </si>
  <si>
    <t>Left DO Interlock Offset</t>
  </si>
  <si>
    <t>Left DO Head Offset</t>
  </si>
  <si>
    <t>Center DO Sill Offset</t>
  </si>
  <si>
    <t>Center DO Interlock Left Offset</t>
  </si>
  <si>
    <t>Center DO Interlock Right Offset</t>
  </si>
  <si>
    <t>Center DO Head Offset</t>
  </si>
  <si>
    <t>I2</t>
  </si>
  <si>
    <t>Right DO Sill Offset</t>
  </si>
  <si>
    <t>J2</t>
  </si>
  <si>
    <t>Right DO Interlock Offset</t>
  </si>
  <si>
    <t>K2</t>
  </si>
  <si>
    <t>Right DO Side Offset</t>
  </si>
  <si>
    <t>L2</t>
  </si>
  <si>
    <t>Right DO Head Offset</t>
  </si>
  <si>
    <t>UW/3</t>
  </si>
  <si>
    <t>=CO Cottage/ Oriel Offset (+ for Cottage/ - For Oriel)</t>
  </si>
  <si>
    <t>1500 3-Lite 1/4-1/2-1/4 (QHQ) Slider</t>
  </si>
  <si>
    <t>DP Rating:</t>
  </si>
  <si>
    <r>
      <t xml:space="preserve">Finseal, </t>
    </r>
    <r>
      <rPr>
        <b/>
        <sz val="8"/>
        <rFont val="Arial"/>
        <family val="2"/>
      </rPr>
      <t>service</t>
    </r>
    <r>
      <rPr>
        <sz val="8"/>
        <rFont val="Arial"/>
        <family val="2"/>
      </rPr>
      <t>, .290 x .187 spring back</t>
    </r>
  </si>
  <si>
    <r>
      <t xml:space="preserve">Finseal, </t>
    </r>
    <r>
      <rPr>
        <b/>
        <sz val="8"/>
        <rFont val="Arial"/>
        <family val="2"/>
      </rPr>
      <t>pre-pulled</t>
    </r>
    <r>
      <rPr>
        <sz val="8"/>
        <rFont val="Arial"/>
        <family val="2"/>
      </rPr>
      <t>, .250 x .187 spring back</t>
    </r>
  </si>
  <si>
    <r>
      <t xml:space="preserve">Finseal, </t>
    </r>
    <r>
      <rPr>
        <b/>
        <sz val="8"/>
        <rFont val="Arial"/>
        <family val="2"/>
      </rPr>
      <t>service</t>
    </r>
    <r>
      <rPr>
        <sz val="8"/>
        <rFont val="Arial"/>
        <family val="2"/>
      </rPr>
      <t>, .250 x .187 spring back</t>
    </r>
  </si>
  <si>
    <t>Jamb R-Core ( Large Pocket)</t>
  </si>
  <si>
    <t>Head R-Core (Large Pocket)</t>
  </si>
  <si>
    <t>Jamb R-Core (Small Pocket)</t>
  </si>
  <si>
    <t>Head R-Core (Small Pocket)</t>
  </si>
  <si>
    <t>Keeper Rail R-Core</t>
  </si>
  <si>
    <t>Glazing Block, 1/16" x 1.0" x 1.5", biege</t>
  </si>
  <si>
    <t>Glazing Block, 3/32" x 1.0" x 1.5"</t>
  </si>
  <si>
    <t>Glazing Block, 1/16" x 1.0" x 1.5", adh., biege</t>
  </si>
  <si>
    <t>Glazing Block, 3/32" x 1.0" x 1.5", adh.</t>
  </si>
  <si>
    <t>Glazing Block, 1/8" x 1.0" x 1.5", adh., white</t>
  </si>
  <si>
    <t>`</t>
  </si>
  <si>
    <t>Lock Stile R-Core, for Reinforcements</t>
  </si>
  <si>
    <t>Stile R-Core, no Reinforcement</t>
  </si>
  <si>
    <t>Rail R-Core, no Reinforcement</t>
  </si>
  <si>
    <t>Sash Roller</t>
  </si>
  <si>
    <t>WIP - SEE SH SHEET FOR MORE PACKAGING AND LABELS</t>
  </si>
  <si>
    <t>SLQHQwidth</t>
  </si>
  <si>
    <t>SLQHQheight</t>
  </si>
  <si>
    <t>UW/4</t>
  </si>
  <si>
    <t>Other items</t>
  </si>
  <si>
    <t>Screw pack, six #8 x 2" truss head, for through-jamb installation (such as R&amp;R and Brickmould with Flat Casing)</t>
  </si>
  <si>
    <t>Even Center Fixed Glass Width (Triples)</t>
  </si>
  <si>
    <t>Center Unit Width - 3.75"</t>
  </si>
  <si>
    <t>Sidelite Unit Width - 3.75"</t>
  </si>
  <si>
    <t>If twin: (INT2width - .5 - custom sidelite)    If triple: (INT2width - 1.0 - 2 x custom sidelite)</t>
  </si>
  <si>
    <t>All Center Fixed Glass Height</t>
  </si>
  <si>
    <t>C/O offset from Single Hung Tab</t>
  </si>
  <si>
    <t>Screw, #8 x 3" PH panhead, 410 stainless steel</t>
  </si>
  <si>
    <t>4 screws at top of each post, 4 screws at bottom of each post</t>
  </si>
  <si>
    <t>Butyl Patch, 2 1/2" x 1 3/4" x 1/32" thick</t>
  </si>
  <si>
    <t>Applied onto sill, under each mull post</t>
  </si>
  <si>
    <t>Nailfin Screw supports, corrosion resistant (Tinnerman Nut Kit)</t>
  </si>
  <si>
    <t>Use 1 per mull post</t>
  </si>
  <si>
    <t>Integral Mull Reinforcement</t>
  </si>
  <si>
    <t>Increment for Length =</t>
  </si>
  <si>
    <t>Min Offset from Frame to Reinf =</t>
  </si>
  <si>
    <t>Min Unit size to reinforce =</t>
  </si>
  <si>
    <t>Length is in inventory</t>
  </si>
  <si>
    <t>S</t>
  </si>
  <si>
    <t>T</t>
  </si>
  <si>
    <t>U</t>
  </si>
  <si>
    <t>V</t>
  </si>
  <si>
    <t>W</t>
  </si>
  <si>
    <t>X</t>
  </si>
  <si>
    <t>Y</t>
  </si>
  <si>
    <t>Z</t>
  </si>
  <si>
    <t>Lineal</t>
  </si>
  <si>
    <t>Dim C Pre Weld</t>
  </si>
  <si>
    <t>Sidelite Width</t>
  </si>
  <si>
    <t>Dim D Pre Weld</t>
  </si>
  <si>
    <t>Dim E Pre Weld (If Needed)</t>
  </si>
  <si>
    <t>Mull Post</t>
  </si>
  <si>
    <t>Mull Post fabrication</t>
  </si>
  <si>
    <t>Sill Adapter (for Fixed "O" option)</t>
  </si>
  <si>
    <t>fabrication</t>
  </si>
  <si>
    <t>Frame Pocket Filler, for jambs (for Fixed "O" option)</t>
  </si>
  <si>
    <t>Frame Pocket Filler, for Sidelite Head (for Fixed "O" option)</t>
  </si>
  <si>
    <t>Frame Pocket Filler, for Center Head (for Fixed "O" option)</t>
  </si>
  <si>
    <t>Center UW</t>
  </si>
  <si>
    <r>
      <t>Op</t>
    </r>
    <r>
      <rPr>
        <b/>
        <sz val="10"/>
        <rFont val="Arial"/>
        <family val="2"/>
      </rPr>
      <t xml:space="preserve"> </t>
    </r>
    <r>
      <rPr>
        <sz val="10"/>
        <rFont val="Comic Sans MS"/>
        <family val="4"/>
      </rPr>
      <t>Glass Sill Offset</t>
    </r>
  </si>
  <si>
    <r>
      <t>Op</t>
    </r>
    <r>
      <rPr>
        <b/>
        <sz val="10"/>
        <rFont val="Arial"/>
        <family val="2"/>
      </rPr>
      <t xml:space="preserve"> </t>
    </r>
    <r>
      <rPr>
        <sz val="10"/>
        <rFont val="Comic Sans MS"/>
        <family val="4"/>
      </rPr>
      <t>Glass Side Offset</t>
    </r>
  </si>
  <si>
    <r>
      <t>Op</t>
    </r>
    <r>
      <rPr>
        <b/>
        <sz val="10"/>
        <rFont val="Arial"/>
        <family val="2"/>
      </rPr>
      <t xml:space="preserve"> </t>
    </r>
    <r>
      <rPr>
        <sz val="10"/>
        <rFont val="Comic Sans MS"/>
        <family val="4"/>
      </rPr>
      <t>Glass Head Offset</t>
    </r>
  </si>
  <si>
    <t>1500 Screens</t>
  </si>
  <si>
    <t>Single Hung Half Screen</t>
  </si>
  <si>
    <t>2-Lite Slider Half-Screen</t>
  </si>
  <si>
    <t>3-Lite Even and Custom-Lite Slider Half-Screen</t>
  </si>
  <si>
    <t>3-Lite Quarter-Half-Quarter Slider</t>
  </si>
  <si>
    <t>Single Hung Solar Screen</t>
  </si>
  <si>
    <t>Unit Width=</t>
  </si>
  <si>
    <t>Finished screen Width =</t>
  </si>
  <si>
    <t>Unit Height=</t>
  </si>
  <si>
    <t>Finished screen Height =</t>
  </si>
  <si>
    <t>Quantities</t>
  </si>
  <si>
    <t>UoM</t>
  </si>
  <si>
    <t>Unit W/H</t>
  </si>
  <si>
    <t>(+)</t>
  </si>
  <si>
    <t>offset</t>
  </si>
  <si>
    <t>Qty</t>
  </si>
  <si>
    <t>Ext. Qty</t>
  </si>
  <si>
    <t>VOH</t>
  </si>
  <si>
    <t>FOH</t>
  </si>
  <si>
    <t>Comments</t>
  </si>
  <si>
    <t>EC #-Date-Initials</t>
  </si>
  <si>
    <t>B/O/NA</t>
  </si>
  <si>
    <t>W/H</t>
  </si>
  <si>
    <t>Screen Width</t>
  </si>
  <si>
    <t>+ CO</t>
  </si>
  <si>
    <t>Screen Height</t>
  </si>
  <si>
    <t>5/16" x 3/4" Screen frame rails, rollformed</t>
  </si>
  <si>
    <t>White</t>
  </si>
  <si>
    <t>Beige</t>
  </si>
  <si>
    <t>beige</t>
  </si>
  <si>
    <t>Clay</t>
  </si>
  <si>
    <t>clay</t>
  </si>
  <si>
    <t>Bronze</t>
  </si>
  <si>
    <t>bronze</t>
  </si>
  <si>
    <t>5/16" x 3/4" Screen frame stiles, rollformed</t>
  </si>
  <si>
    <t xml:space="preserve">White </t>
  </si>
  <si>
    <r>
      <t xml:space="preserve">5/16" x 1" corner key </t>
    </r>
    <r>
      <rPr>
        <b/>
        <sz val="9"/>
        <rFont val="Arial"/>
        <family val="2"/>
      </rPr>
      <t>(with interior bump)</t>
    </r>
  </si>
  <si>
    <t>Leaf Spring, Screen</t>
  </si>
  <si>
    <t>(Solar Screen Only)</t>
  </si>
  <si>
    <t>Use:</t>
  </si>
  <si>
    <t>Used:</t>
  </si>
  <si>
    <t>Screen spline .145"</t>
  </si>
  <si>
    <t>Screen size label, 1/4" x 4", white</t>
  </si>
  <si>
    <t>Sceen Warning Label, white</t>
  </si>
  <si>
    <t>Total screen cost per product, Black</t>
  </si>
  <si>
    <t>1500 SH Half Screen Assemblies</t>
  </si>
  <si>
    <t>Call Size</t>
  </si>
  <si>
    <t>2-0 x 3-0</t>
  </si>
  <si>
    <t>n/a</t>
  </si>
  <si>
    <t>2-0 x 5-2</t>
  </si>
  <si>
    <t>2-0 x 6-0</t>
  </si>
  <si>
    <t>2-4 x 5-2</t>
  </si>
  <si>
    <t>2-4 x 5-6E</t>
  </si>
  <si>
    <t>2-4 x 6-2</t>
  </si>
  <si>
    <t>2-8 x 3-2</t>
  </si>
  <si>
    <t>2-8 x 4-6</t>
  </si>
  <si>
    <t>2-8 x 5-0</t>
  </si>
  <si>
    <t>2-8 x 5-2</t>
  </si>
  <si>
    <t>2-8 x 5-6E</t>
  </si>
  <si>
    <t>2-8 x 6-0</t>
  </si>
  <si>
    <t>2-8 x 6-2</t>
  </si>
  <si>
    <t xml:space="preserve">3-0 x 3-0 </t>
  </si>
  <si>
    <t>3-0 x 5-0</t>
  </si>
  <si>
    <t>3-0 x 5-2</t>
  </si>
  <si>
    <t>3-0 x 5-6E</t>
  </si>
  <si>
    <t>3-0 x 6-0</t>
  </si>
  <si>
    <t>3-0 x 6-2</t>
  </si>
  <si>
    <t>3-1 x 5-0</t>
  </si>
  <si>
    <t>3-1 x 6-0</t>
  </si>
  <si>
    <t>2-8 x 5-2M</t>
  </si>
  <si>
    <t>2-8 x 5-8</t>
  </si>
  <si>
    <t>1500 Kits</t>
  </si>
  <si>
    <t>Unit Width =</t>
  </si>
  <si>
    <t>Single screw</t>
  </si>
  <si>
    <t>Unit Height =</t>
  </si>
  <si>
    <t>per lb</t>
  </si>
  <si>
    <t>Qty
per</t>
  </si>
  <si>
    <t>#
items</t>
  </si>
  <si>
    <t>Total
Qty</t>
  </si>
  <si>
    <t>item</t>
  </si>
  <si>
    <t>used</t>
  </si>
  <si>
    <t>1500 Brickmould Mull Kit</t>
  </si>
  <si>
    <t>Complete Kit</t>
  </si>
  <si>
    <t>see Mull kit BOM for all components</t>
  </si>
  <si>
    <t>Customer must provide size and color</t>
  </si>
  <si>
    <t>1500 Beveled Mull Kit</t>
  </si>
  <si>
    <t>xxxxxxxxx</t>
  </si>
  <si>
    <t>1500 Brickmould Tube Mull Kit</t>
  </si>
  <si>
    <t>See Tube Mull Kit BOM for all components</t>
  </si>
  <si>
    <t>1500 Beveled Tube Mull Kit</t>
  </si>
  <si>
    <t>1500 Brickmould/Beveled Tube Mull Stacking Kit</t>
  </si>
  <si>
    <t>Single Hung, Solar Screen Kit</t>
  </si>
  <si>
    <t>Screw-on screen track, Jambs</t>
  </si>
  <si>
    <t>Screw-on screen track, Head</t>
  </si>
  <si>
    <t>Screen Track Filler</t>
  </si>
  <si>
    <t>SH Full Screen, Corner Key</t>
  </si>
  <si>
    <t>Screws, #6 x 3/8" Phillips panhead</t>
  </si>
  <si>
    <t>Qty of 24 needed</t>
  </si>
  <si>
    <t>Instructions for field install</t>
  </si>
  <si>
    <t>1500 Custodial Window Control Kit</t>
  </si>
  <si>
    <t>Kit contains:</t>
  </si>
  <si>
    <t>2 x sash limiter bases, 2 x sash limiters, 2 x tilt latch limiters, 1 x Torx bit, 6 x screws, 1 x Instructions</t>
  </si>
  <si>
    <t>1500 Lock and Keeper Kit</t>
  </si>
  <si>
    <t>1- Keeper 420130XXX, 2- Screws 440030XXX</t>
  </si>
  <si>
    <t>1- Lock 420126XXX, 2- Screws 440029XXX</t>
  </si>
  <si>
    <t>NVR 2300 Series Kit - Toolbox</t>
  </si>
  <si>
    <t>Tool Box - Service Material</t>
  </si>
  <si>
    <t>w/hook cut off</t>
  </si>
  <si>
    <t>Foam Balance Plug, Black</t>
  </si>
  <si>
    <t>(goes at the sill in the balance pocket)</t>
  </si>
  <si>
    <t xml:space="preserve">Child Safety Latch  </t>
  </si>
  <si>
    <t>White with Orange Nose</t>
  </si>
  <si>
    <t>24</t>
  </si>
  <si>
    <t>Foam Plug - White - SPD</t>
  </si>
  <si>
    <t>Anchor Shoe - Stationary Panel - SPD</t>
  </si>
  <si>
    <t>252915-WH</t>
  </si>
  <si>
    <t>Screw #10 x 1 Tork - SPD Anchor</t>
  </si>
  <si>
    <t>252950-WH</t>
  </si>
  <si>
    <t>Screw #10 x 1-1/4 PH FH TEK - SPD Anchor</t>
  </si>
  <si>
    <t>252959-WH</t>
  </si>
  <si>
    <t xml:space="preserve">Door Bumper 4.75 </t>
  </si>
  <si>
    <t xml:space="preserve">Liquid PVC Repair  </t>
  </si>
  <si>
    <t>Compound  0.5 oz</t>
  </si>
  <si>
    <t>Compression Tape Kit</t>
  </si>
  <si>
    <t>Compression tape kit for 2300 glass only</t>
  </si>
  <si>
    <t>Spread Mull Kit</t>
  </si>
  <si>
    <t>Exterior, Common, Spread Mull, Hold</t>
  </si>
  <si>
    <t>2" Spread Mull Center</t>
  </si>
  <si>
    <t>3.5" Spread Mull Center</t>
  </si>
  <si>
    <t>Mull Strip with Flex</t>
  </si>
  <si>
    <t>Mull Strip, Common, Interior, 0.5"</t>
  </si>
  <si>
    <t>Mull Bridge, Brickmould, Nailfin</t>
  </si>
  <si>
    <t>Mull Bridge, Brickmould, Flush Fin</t>
  </si>
  <si>
    <t>Mull Bridge, w/o J, Brickmould &amp; Beveled</t>
  </si>
  <si>
    <t>Mull Bridge, Beveled, Flush Fin</t>
  </si>
  <si>
    <t>Mull Bridge, w/ J, Beveled</t>
  </si>
  <si>
    <t>1500 Accessories</t>
  </si>
  <si>
    <t>lb/ft</t>
  </si>
  <si>
    <t>$ / lb pvc</t>
  </si>
  <si>
    <t>Qty 
per Item</t>
  </si>
  <si>
    <t># items
used</t>
  </si>
  <si>
    <t>Profile Area
in^2</t>
  </si>
  <si>
    <t>Cost /
UoM</t>
  </si>
  <si>
    <t>Tolerance</t>
  </si>
  <si>
    <t>Accessories used only on 1500 Brickmould</t>
  </si>
  <si>
    <t>Brickmould Utility Trim</t>
  </si>
  <si>
    <t>Brickmould Interior Jamb Install Clip</t>
  </si>
  <si>
    <t>Each part is 4" long</t>
  </si>
  <si>
    <t>Brickmould Head Expander, 3.5625"</t>
  </si>
  <si>
    <t>Brickmould Replacement Nail Fin, 12 ft</t>
  </si>
  <si>
    <t>This is available in 12 ft Lengths</t>
  </si>
  <si>
    <t>RG</t>
  </si>
  <si>
    <t>Brickmould 1/2" Flange</t>
  </si>
  <si>
    <t>Brickmould Mull Bridge, for Nailfin</t>
  </si>
  <si>
    <t>Each part is 12.5 feet long</t>
  </si>
  <si>
    <t>Each part is 3" long</t>
  </si>
  <si>
    <t>Brickmould Mull Bridge, for 1/2" Flange</t>
  </si>
  <si>
    <t>Brickmould Mull Strip with flex, exterior</t>
  </si>
  <si>
    <t>used for exterior mull strip of Brickmould</t>
  </si>
  <si>
    <t>J-channel Filler for Brickmould</t>
  </si>
  <si>
    <t>Brickmould Interior Frame Adder</t>
  </si>
  <si>
    <t>Brickmould Repair Profile</t>
  </si>
  <si>
    <t xml:space="preserve">Flat Casing for Hung Windows </t>
  </si>
  <si>
    <t>Head Flat Casing for Radius Shaped Windows</t>
  </si>
  <si>
    <t>Hung Window Sill Nose</t>
  </si>
  <si>
    <t>Flat Casing Sill Nose End Cap</t>
  </si>
  <si>
    <t>Flat Casing J pocket filler</t>
  </si>
  <si>
    <t>= quantity Brickmould only items</t>
  </si>
  <si>
    <t>Accessories used only on 1500 Beveled</t>
  </si>
  <si>
    <t>Beveled Utility Trim</t>
  </si>
  <si>
    <t>Beveled Interior Jamb Install Clip</t>
  </si>
  <si>
    <t>Beveled Head Expander, 2.875"</t>
  </si>
  <si>
    <t>Beveled Replacement Nail Fin</t>
  </si>
  <si>
    <t>Beveled 1/2" Flush Fin</t>
  </si>
  <si>
    <t>Beveled Mull Bridge, for Nailfin w/ J leg</t>
  </si>
  <si>
    <t>Beveled Mull Bridge, for 1/2" Flange</t>
  </si>
  <si>
    <t>= quantity of Beveled only items</t>
  </si>
  <si>
    <t>Accessories for both 1500 Brickmould &amp; 1500 Beveled</t>
  </si>
  <si>
    <t>Mull Strip for 1/2" wide mull</t>
  </si>
  <si>
    <t>used for interior mull strip of Brickmould</t>
  </si>
  <si>
    <t>used for interior mull strip of Beveled</t>
  </si>
  <si>
    <t>used for exterior mull strip of Beveled</t>
  </si>
  <si>
    <t>Mull Bridge for Brickmould with J channel filler</t>
  </si>
  <si>
    <t>&amp; Mull Bridge for Beveled without J-leg</t>
  </si>
  <si>
    <t>Each part is 12.5 ft long</t>
  </si>
  <si>
    <t>Mull joint sealant, silicone</t>
  </si>
  <si>
    <t>Pecora 896 MTI#560P39A</t>
  </si>
  <si>
    <t>Pecora 896 896CTG066</t>
  </si>
  <si>
    <t>Pecora 896 MTI#591P64D</t>
  </si>
  <si>
    <t>254040-BZ</t>
  </si>
  <si>
    <t>Pecora 896 MTI#614P10A</t>
  </si>
  <si>
    <t>Spread Mull, Common, Hold</t>
  </si>
  <si>
    <t>Spread Mull, Common, Hold, box of 60 pieces at 12' 6" each</t>
  </si>
  <si>
    <t>Spread Mull for Single Stud</t>
  </si>
  <si>
    <t>Spread Mull for Double Stud</t>
  </si>
  <si>
    <t>Sill Tower Repair Profile, interior</t>
  </si>
  <si>
    <t>1/2" Drywall Receiver</t>
  </si>
  <si>
    <t>5/8"-3/4" Drywall Receiver</t>
  </si>
  <si>
    <t>±1/4 in</t>
  </si>
  <si>
    <t>4 9/16", Drywall Return frame clip</t>
  </si>
  <si>
    <t>6 9/16", Drywall Return frame clip</t>
  </si>
  <si>
    <t>4 9/16", Drywall Return Flexible frame clip</t>
  </si>
  <si>
    <t>6 9/16", Drywall Return Flexible frame clip</t>
  </si>
  <si>
    <t>SDL 0.160" x 7/8" w/o tape</t>
  </si>
  <si>
    <t>SDL Tape, .844" x .038" x 108 ft</t>
  </si>
  <si>
    <t>SDL 0.160" x 7/8" with tape</t>
  </si>
  <si>
    <t>SDL 0.160" x 1 1/4" w/o tape</t>
  </si>
  <si>
    <t>SDL Tape, 1.200" x .038" x 108 ft</t>
  </si>
  <si>
    <t>GY</t>
  </si>
  <si>
    <t>SDL 0.160" x 1 1/4" with tape</t>
  </si>
  <si>
    <t>Simulated Check Rail 0.160" x 2" with tape</t>
  </si>
  <si>
    <t>Jamb Extension Clips</t>
  </si>
  <si>
    <t>Sill Adapter for R&amp;R</t>
  </si>
  <si>
    <t>30 pack</t>
  </si>
  <si>
    <t>Undersill Brick Trim, with double stick tape applied</t>
  </si>
  <si>
    <t>Single Hung Installation Screw Pack with Instructions</t>
  </si>
  <si>
    <t>two #8 x 2" modified truss head screws</t>
  </si>
  <si>
    <t>none</t>
  </si>
  <si>
    <t>Instruction 170172 000 for installing screws into jambs for certain size SH</t>
  </si>
  <si>
    <t>Accessory Groove Filler</t>
  </si>
  <si>
    <t>Each part is 14 feet long</t>
  </si>
  <si>
    <t>1500, B&amp;T, Chimney Block</t>
  </si>
  <si>
    <t>Scotch Super 77 Multi-Purpose Adhesive</t>
  </si>
  <si>
    <t>Advanced EZ Clean Plus</t>
  </si>
  <si>
    <t>Aquapel Glass Treatment</t>
  </si>
  <si>
    <t>"lasts up to 6 months"</t>
  </si>
  <si>
    <t>= quantity of shared items among Brickmould and Beveled</t>
  </si>
  <si>
    <t>Sash Weight Calculations for the Balance Calculator</t>
  </si>
  <si>
    <t>Data from SH Sheet</t>
  </si>
  <si>
    <t>SH Unit Width</t>
  </si>
  <si>
    <t>SH Unit Height</t>
  </si>
  <si>
    <t>= Engineering inputs on this page for calculations</t>
  </si>
  <si>
    <t>C/O Offset</t>
  </si>
  <si>
    <t>= values needed by Bus Systems in order to calculate balance weights</t>
  </si>
  <si>
    <t>SH unit, Beveled, Nailfin with J (based on SH size in SH tab)</t>
  </si>
  <si>
    <t>Weight breakdown for Home Depot 1500 Single Hung</t>
  </si>
  <si>
    <t>Finish Bottom Sash Width</t>
  </si>
  <si>
    <t>= SHBSW= Bottom Sash Width</t>
  </si>
  <si>
    <t>profile</t>
  </si>
  <si>
    <t>Finish Bottom Sash Height</t>
  </si>
  <si>
    <t>= SHBSH= Bottom Sash Height</t>
  </si>
  <si>
    <t>Frame weight</t>
  </si>
  <si>
    <t>ft used</t>
  </si>
  <si>
    <t>lbs / ft</t>
  </si>
  <si>
    <t>lbs used</t>
  </si>
  <si>
    <t>IG</t>
  </si>
  <si>
    <t>Glass Type</t>
  </si>
  <si>
    <t>vinyl</t>
  </si>
  <si>
    <t>= SHBGW= Bottom Glass Width</t>
  </si>
  <si>
    <t>aluminum</t>
  </si>
  <si>
    <t>= SHBGH= Bottom Glass Height</t>
  </si>
  <si>
    <t>Jambs (both)</t>
  </si>
  <si>
    <t>steel</t>
  </si>
  <si>
    <t>Vinyl conversion, in^2 &gt; Lb/ft</t>
  </si>
  <si>
    <t>Keeper Rail vinyl</t>
  </si>
  <si>
    <t>pvc lb/inch</t>
  </si>
  <si>
    <t>Glazing Beads (horizontal)</t>
  </si>
  <si>
    <t>packaging (est)</t>
  </si>
  <si>
    <t>Glazing Beads (vertical)</t>
  </si>
  <si>
    <t>pounds</t>
  </si>
  <si>
    <t>Bottom Sash Vinyl Weights</t>
  </si>
  <si>
    <t>Meeting Rail Aluminum Rein.</t>
  </si>
  <si>
    <t>Profile Area</t>
  </si>
  <si>
    <t>lbs Used</t>
  </si>
  <si>
    <t>Balance weight</t>
  </si>
  <si>
    <t>Frame weight =</t>
  </si>
  <si>
    <t>Top Glass (SS/SS)</t>
  </si>
  <si>
    <t>Glazing Bead Top</t>
  </si>
  <si>
    <t>Glazing Bead Bottom</t>
  </si>
  <si>
    <t>Frame + IG weight =</t>
  </si>
  <si>
    <t>Glazing Bead Stiles</t>
  </si>
  <si>
    <t>Sum Vinyl Weight</t>
  </si>
  <si>
    <t>Sash Weight ( fully reinforced inc.glass)</t>
  </si>
  <si>
    <t>Sash Weight/length calculations</t>
  </si>
  <si>
    <t>Half Screen width</t>
  </si>
  <si>
    <t>Averaged Sash Density</t>
  </si>
  <si>
    <t>lbs/in</t>
  </si>
  <si>
    <t>Half Screen height</t>
  </si>
  <si>
    <t>Calculated Weight of each</t>
  </si>
  <si>
    <t>Screen weight =</t>
  </si>
  <si>
    <t>Total Calculated Weight</t>
  </si>
  <si>
    <t>% Error to non-averaged weight:</t>
  </si>
  <si>
    <t>Reinforcement Weights</t>
  </si>
  <si>
    <t>feet used</t>
  </si>
  <si>
    <t>Reinforcement, Lock rail, steel</t>
  </si>
  <si>
    <t>Not used if Unit Width &lt;= 35.5" AND Unit Height &lt;= 73.5"</t>
  </si>
  <si>
    <t>Reinforcement, Stiles, steel</t>
  </si>
  <si>
    <t>Reinforcement Small Lock Rail Pocket</t>
  </si>
  <si>
    <t>Not calcuated in sash weight</t>
  </si>
  <si>
    <t>3SL</t>
  </si>
  <si>
    <t>Weight of 2 HP tilt latch and screws</t>
  </si>
  <si>
    <t>Wood Lock Rail Reinforcement</t>
  </si>
  <si>
    <t>Head Jamb</t>
  </si>
  <si>
    <t>Sash Glass Weight</t>
  </si>
  <si>
    <t>Keeper Rail (x2)</t>
  </si>
  <si>
    <t>Total IGU weight</t>
  </si>
  <si>
    <t>(SHBGW*SHBGH*SHGW)</t>
  </si>
  <si>
    <t>7/8" SDL With Tape</t>
  </si>
  <si>
    <t>Business Systems Equations:</t>
  </si>
  <si>
    <t>Sash Weight, with no reinforcements</t>
  </si>
  <si>
    <t>Sash Weight, with Lock Rail reinforcement only</t>
  </si>
  <si>
    <t>= Base Sash + lookup (Lock Rail Reinf Weight)</t>
  </si>
  <si>
    <t>Sash Weight, with Lock Rail + Stile reinforcements</t>
  </si>
  <si>
    <t>= Base Sash + lookup (Lock Rail Reinf Weight) + 2*(Stile Reinf Weight)</t>
  </si>
  <si>
    <t>Additional Block &amp; Tackle Calculator Parameters</t>
  </si>
  <si>
    <t>((BSH*2)*0.015)</t>
  </si>
  <si>
    <t>unitless</t>
  </si>
  <si>
    <t>in</t>
  </si>
  <si>
    <t>Use for sash height =&lt; 11.188"</t>
  </si>
  <si>
    <r>
      <t xml:space="preserve">should equal </t>
    </r>
    <r>
      <rPr>
        <b/>
        <sz val="10"/>
        <color rgb="FF0000FF"/>
        <rFont val="Arial"/>
        <family val="2"/>
      </rPr>
      <t>SHAdjSashWeight</t>
    </r>
    <r>
      <rPr>
        <sz val="10"/>
        <rFont val="Arial"/>
        <family val="2"/>
      </rPr>
      <t xml:space="preserve"> from Single Hung tab, for B&amp;T balance only</t>
    </r>
  </si>
  <si>
    <r>
      <t xml:space="preserve">should equal </t>
    </r>
    <r>
      <rPr>
        <b/>
        <sz val="10"/>
        <color rgb="FF0000FF"/>
        <rFont val="Arial"/>
        <family val="2"/>
      </rPr>
      <t>SHCoilAdjSashWeight</t>
    </r>
    <r>
      <rPr>
        <sz val="10"/>
        <rFont val="Arial"/>
        <family val="2"/>
      </rPr>
      <t xml:space="preserve"> from Single Hung tab, for coil balance only</t>
    </r>
  </si>
  <si>
    <t>IGU Density Table</t>
  </si>
  <si>
    <t>lbs/sq ft</t>
  </si>
  <si>
    <t>lbs/sq in</t>
  </si>
  <si>
    <t>Index</t>
  </si>
  <si>
    <t>Pulldown Name</t>
  </si>
  <si>
    <t>Double: 2.5mm &amp; 2.5mm</t>
  </si>
  <si>
    <t>01</t>
  </si>
  <si>
    <t>Double: 3mm &amp; 3mm</t>
  </si>
  <si>
    <t>02</t>
  </si>
  <si>
    <t>03</t>
  </si>
  <si>
    <t>04</t>
  </si>
  <si>
    <t>05</t>
  </si>
  <si>
    <t>06</t>
  </si>
  <si>
    <t>Double: 4mm &amp; 4mm</t>
  </si>
  <si>
    <t>07</t>
  </si>
  <si>
    <t>Double: 5mm &amp; 5mm</t>
  </si>
  <si>
    <t>08</t>
  </si>
  <si>
    <t>Double: 5mm &amp; 5mm (Regal)</t>
  </si>
  <si>
    <t>09</t>
  </si>
  <si>
    <t>10</t>
  </si>
  <si>
    <t>11</t>
  </si>
  <si>
    <t>Triple:   2.5mm &amp; 2.5mm &amp; 2.5mm</t>
  </si>
  <si>
    <t>12</t>
  </si>
  <si>
    <t>13</t>
  </si>
  <si>
    <t>Triple:   3mm &amp; 2.5mm &amp; 3mm</t>
  </si>
  <si>
    <t>14</t>
  </si>
  <si>
    <t>Triple:   3mm &amp; 3mm &amp; 3mm</t>
  </si>
  <si>
    <t>15</t>
  </si>
  <si>
    <t>Triple:   3mm &amp; 5mm &amp; 3mm</t>
  </si>
  <si>
    <t>16</t>
  </si>
  <si>
    <t>17</t>
  </si>
  <si>
    <t>Bevel Leaded - Designer</t>
  </si>
  <si>
    <t>18</t>
  </si>
  <si>
    <t>Glass Lite Density Data (Not required for Business Systems)</t>
  </si>
  <si>
    <t>Thickness</t>
  </si>
  <si>
    <t>2.3mm</t>
  </si>
  <si>
    <t>2.5mm</t>
  </si>
  <si>
    <t>3mm</t>
  </si>
  <si>
    <t>4mm</t>
  </si>
  <si>
    <t>5mm</t>
  </si>
  <si>
    <t>PVB Density</t>
  </si>
  <si>
    <t>1500 Bendable Fixed Window</t>
  </si>
  <si>
    <t>Find Size from Daylight</t>
  </si>
  <si>
    <t>1 - BM, N'fin</t>
  </si>
  <si>
    <t>Glass Size:</t>
  </si>
  <si>
    <t>Base Configuration, B</t>
  </si>
  <si>
    <t>Glass Daylight:</t>
  </si>
  <si>
    <t>Frame Width is:</t>
  </si>
  <si>
    <t>Include Options, O</t>
  </si>
  <si>
    <t>Frame Height is:</t>
  </si>
  <si>
    <t>= unconfirmed offsets</t>
  </si>
  <si>
    <t>= Confirmed offsets</t>
  </si>
  <si>
    <t>Pre-weld</t>
  </si>
  <si>
    <t>Jamb 1/2" Flange</t>
  </si>
  <si>
    <t>(Rolled into Lineals)</t>
  </si>
  <si>
    <t>Head 1/2" Flange</t>
  </si>
  <si>
    <t>Sill 1/2" Flange</t>
  </si>
  <si>
    <t>(Rolled into 200133)</t>
  </si>
  <si>
    <t>Sill Non-J-channel</t>
  </si>
  <si>
    <t>SDL Glazing Bead (Vertical)</t>
  </si>
  <si>
    <t>SDL Glazing Bead (Top Horizontal)</t>
  </si>
  <si>
    <t>SDL Glazing Bead (Bottom Horizontal)</t>
  </si>
  <si>
    <t>Double-sided Glazing Tape, 1/16" x 3/8"</t>
  </si>
  <si>
    <t>Hot-applied Silicone Instant Glaze II</t>
  </si>
  <si>
    <t>Clear</t>
  </si>
  <si>
    <t>GAL</t>
  </si>
  <si>
    <t>DG</t>
  </si>
  <si>
    <t>Dove Grey</t>
  </si>
  <si>
    <t>Added Dove Grey to Brickmould windows</t>
  </si>
  <si>
    <t>19-024</t>
  </si>
  <si>
    <t>19-031</t>
  </si>
  <si>
    <t>Change SDL sash stile glazing bead offset from -3.063 to -3.1875</t>
  </si>
  <si>
    <t>J-Channel Filler Label</t>
  </si>
  <si>
    <t>Add J-Channel Filler Label</t>
  </si>
  <si>
    <t>19-029</t>
  </si>
  <si>
    <t>19-064</t>
  </si>
  <si>
    <t>Add sash stop for Oriel units Listed under Accessories (on SH tab)</t>
  </si>
  <si>
    <t>Add Dim D to Mull post cut logic</t>
  </si>
  <si>
    <t>19-085</t>
  </si>
  <si>
    <t>Long Screen Retainer Clip (Harborlight)</t>
  </si>
  <si>
    <t>Night Latch (Harborlight)</t>
  </si>
  <si>
    <t>Added Harborlight 'long screen clip' and Night latch.</t>
  </si>
  <si>
    <t>19-026</t>
  </si>
  <si>
    <t>JAC</t>
  </si>
  <si>
    <t>Night Latch (Harborlight Only)</t>
  </si>
  <si>
    <t>Sill, no J-channel</t>
  </si>
  <si>
    <t>Sill, R &amp; R</t>
  </si>
  <si>
    <t>Sill, with J-channel</t>
  </si>
  <si>
    <t>Add weeps</t>
  </si>
  <si>
    <t>19-001</t>
  </si>
  <si>
    <t>Add parts needed for Black Capstock</t>
  </si>
  <si>
    <t>15-079</t>
  </si>
  <si>
    <t>JLF</t>
  </si>
  <si>
    <t>Brickmould Factory Mull Reinforcement (see 1500 Brickmould Mull Kit BOM for all part numbers)</t>
  </si>
  <si>
    <t>Beveled Factory Mull Reinforcement (see 1500 Beveled Mull Kit BOM for all part numbers)</t>
  </si>
  <si>
    <t>61.5" long</t>
  </si>
  <si>
    <t>62.25" long</t>
  </si>
  <si>
    <t>65.5" long</t>
  </si>
  <si>
    <t>70.25" long</t>
  </si>
  <si>
    <t>71.5" long</t>
  </si>
  <si>
    <t>73.5" long</t>
  </si>
  <si>
    <t>34.125" long</t>
  </si>
  <si>
    <t>59.375" long</t>
  </si>
  <si>
    <t>30.125" long</t>
  </si>
  <si>
    <t>61.375" long</t>
  </si>
  <si>
    <t>65.375" long</t>
  </si>
  <si>
    <t>71.375" long</t>
  </si>
  <si>
    <t>73.375" long</t>
  </si>
  <si>
    <t>62.125" long</t>
  </si>
  <si>
    <t>Paint for jamb extensions, beige</t>
  </si>
  <si>
    <t>Paint for jamb extensions, clay</t>
  </si>
  <si>
    <t>Changed Impact Tilt latch to 420536XXX and its screws to match the lock screws, 440023XXX.</t>
  </si>
  <si>
    <t>19-020</t>
  </si>
  <si>
    <t>20-022</t>
  </si>
  <si>
    <t>Change Dim C meeting rail offset from -0.250 to 0.000</t>
  </si>
  <si>
    <t>Change Dim C meeting rail offset from -0.333 to -0.083</t>
  </si>
  <si>
    <t>Change Dim C meeting rail offset from -0.375 to -0.125</t>
  </si>
  <si>
    <t>Change Dim C meeting rail offset from -0.596 to -0.231</t>
  </si>
  <si>
    <t>19-086</t>
  </si>
  <si>
    <t>VR</t>
  </si>
  <si>
    <t>no change to this tab</t>
  </si>
  <si>
    <t xml:space="preserve">K </t>
  </si>
  <si>
    <t>Added note for kepeer rail reinforcement tobe in all bronze/black units all sizes</t>
  </si>
  <si>
    <t>Added Spandrel Glass option</t>
  </si>
  <si>
    <t>17-075</t>
  </si>
  <si>
    <t>19</t>
  </si>
  <si>
    <t>6mm Spandrel</t>
  </si>
  <si>
    <t>Dove</t>
  </si>
  <si>
    <t>3-0 x 4-6M</t>
  </si>
  <si>
    <t>3-4 x 5-2</t>
  </si>
  <si>
    <t>2-0 x 4-0</t>
  </si>
  <si>
    <t>3-0 x 4-0</t>
  </si>
  <si>
    <t>2-0 x 5-0</t>
  </si>
  <si>
    <t>3-0 x 4-6</t>
  </si>
  <si>
    <t>2-4 x 4-6</t>
  </si>
  <si>
    <t>2-4 x 5-0</t>
  </si>
  <si>
    <t>2-6 x 6-0</t>
  </si>
  <si>
    <t>2-8 x 3-0</t>
  </si>
  <si>
    <t>3-0 x 3-6</t>
  </si>
  <si>
    <t>2-4 x 6-0</t>
  </si>
  <si>
    <t>3-6 x 4-8</t>
  </si>
  <si>
    <t>2-4 x 4-0</t>
  </si>
  <si>
    <t>2-0 x 4-6</t>
  </si>
  <si>
    <t>2-6 x 5-0</t>
  </si>
  <si>
    <t>2-8 x 4-0</t>
  </si>
  <si>
    <t>3-4 x 3-6</t>
  </si>
  <si>
    <t>2-0 x 3-2</t>
  </si>
  <si>
    <t>2-4 x 3-8</t>
  </si>
  <si>
    <t>2-0 x 3-8</t>
  </si>
  <si>
    <t>2-10 x 5-6</t>
  </si>
  <si>
    <t>2-8 x 6-2M</t>
  </si>
  <si>
    <t>3-4 x 6-0</t>
  </si>
  <si>
    <t>3-4 x 5-0</t>
  </si>
  <si>
    <t>(Set up to be stocked)</t>
  </si>
  <si>
    <t>Reduced screen height by .0625"</t>
  </si>
  <si>
    <t>20-037</t>
  </si>
  <si>
    <t>Updated list with additional screen assembly numbers</t>
  </si>
  <si>
    <t>700015 090 047</t>
  </si>
  <si>
    <t>Jamb, with J-channel</t>
  </si>
  <si>
    <t>Added ADA T Pull Cover</t>
  </si>
  <si>
    <t>19-081</t>
  </si>
  <si>
    <t>added ADA T Pull handle Cover</t>
  </si>
  <si>
    <t>ADA T Pull Handle Cover</t>
  </si>
  <si>
    <t>155" length</t>
  </si>
  <si>
    <t>153" length</t>
  </si>
  <si>
    <t>Sill Vent Gasket(Black and Bronze units only)</t>
  </si>
  <si>
    <t>Sill Shipping Film(Black and Bronze units only)</t>
  </si>
  <si>
    <t>Change sill reinforcement; add sill venting to Bronze units</t>
  </si>
  <si>
    <t>20-051</t>
  </si>
  <si>
    <t>SDL Aluminum 0.160" x 7/8" w/o tape</t>
  </si>
  <si>
    <t>SDL Aluminum 0.160" x 1 1/4" w/o tape</t>
  </si>
  <si>
    <t>Simulated Check Rail Aluminum 0.160" x 2" w/o tape</t>
  </si>
  <si>
    <t>SDL Aluminum Solid 0.160" x 7/8" w/o tape</t>
  </si>
  <si>
    <t>SDL Aluminum Solid 0.160" x 1 1/4" w/o tape</t>
  </si>
  <si>
    <t>Processed Meeting Rail</t>
  </si>
  <si>
    <t>Used for 2-8 call width</t>
  </si>
  <si>
    <t>AL</t>
  </si>
  <si>
    <t>Used for 3-0 call width</t>
  </si>
  <si>
    <t>Used for 3-4 call width</t>
  </si>
  <si>
    <t>Add Processed Meeting Rails</t>
  </si>
  <si>
    <t>20-067</t>
  </si>
  <si>
    <t>Impact Tilt Latch Screw, #6 x 3/4" PH flathead, 410 SS, Self-Drill</t>
  </si>
  <si>
    <t>Added Dove Grey to accessories</t>
  </si>
  <si>
    <t>1) BM, B&amp;T, White, 
Adhes. tape</t>
  </si>
  <si>
    <t>Configuration Options:</t>
  </si>
  <si>
    <r>
      <t xml:space="preserve">9) BM, </t>
    </r>
    <r>
      <rPr>
        <sz val="8"/>
        <color rgb="FF0000FF"/>
        <rFont val="Arial"/>
        <family val="2"/>
      </rPr>
      <t>Impact</t>
    </r>
    <r>
      <rPr>
        <sz val="8"/>
        <rFont val="Arial"/>
        <family val="2"/>
      </rPr>
      <t>, coils, Clay</t>
    </r>
  </si>
  <si>
    <r>
      <t xml:space="preserve">8) BM, </t>
    </r>
    <r>
      <rPr>
        <sz val="8"/>
        <color rgb="FF0000FF"/>
        <rFont val="Arial"/>
        <family val="2"/>
      </rPr>
      <t>Impact</t>
    </r>
    <r>
      <rPr>
        <sz val="8"/>
        <rFont val="Arial"/>
        <family val="2"/>
      </rPr>
      <t>, coils, White</t>
    </r>
  </si>
  <si>
    <t>7) BM, B&amp;T, Bronze, 
Adhes. tape</t>
  </si>
  <si>
    <t>5) BEV J, B&amp;T, White, 
Comp. tape</t>
  </si>
  <si>
    <t>4) BM, B&amp;T, White, 
Adhes. tape, 
J. Ext.</t>
  </si>
  <si>
    <t>3) BM, B&amp;T, White, 
Comp. tape</t>
  </si>
  <si>
    <t>2) BM, B&amp;T, White, 
Adhes. Tape, 
R-Core</t>
  </si>
  <si>
    <t>Subtotal of protective pkg:</t>
  </si>
  <si>
    <t>6) BEV no J, B&amp;T, White, 
Comp. tape, 
J. Ext.</t>
  </si>
  <si>
    <r>
      <t>10) BEV J,</t>
    </r>
    <r>
      <rPr>
        <sz val="8"/>
        <color rgb="FF0000FF"/>
        <rFont val="Arial"/>
        <family val="2"/>
      </rPr>
      <t xml:space="preserve"> Impact</t>
    </r>
    <r>
      <rPr>
        <sz val="8"/>
        <rFont val="Arial"/>
        <family val="2"/>
      </rPr>
      <t>, coils, White</t>
    </r>
  </si>
  <si>
    <t>Silicone at Interior Sill/Jamb Joint (Match Interior Color)</t>
  </si>
  <si>
    <t>Constant Force Balance assembly, cleat with coil(s) and shoe/holder</t>
  </si>
  <si>
    <t>for standard, non-Impact</t>
  </si>
  <si>
    <t>Window Installation Label (choose one only)</t>
  </si>
  <si>
    <t>For individual windows</t>
  </si>
  <si>
    <t>Glass Protective Film</t>
  </si>
  <si>
    <t>Subtotal of protective glass film:</t>
  </si>
  <si>
    <t>Corner Boots &amp; Stretch Wrap (choose only one)</t>
  </si>
  <si>
    <t>Stretch Wrap over entire window, 80 gauge, 20" wide</t>
  </si>
  <si>
    <t>Subtotal of window installation label:</t>
  </si>
  <si>
    <t>Subtotal of boots and wrap:</t>
  </si>
  <si>
    <t>Length of stretched wrap across top and bottom =</t>
  </si>
  <si>
    <t>Stretch Wrap over corner boots only, 55 gauge, 5" wide</t>
  </si>
  <si>
    <t>FILM-5</t>
  </si>
  <si>
    <t>Sill reinforcement, Alum (Black and Bronze units only)</t>
  </si>
  <si>
    <r>
      <t xml:space="preserve">Screw, #8 x 1/2" PH panhead, </t>
    </r>
    <r>
      <rPr>
        <b/>
        <sz val="10"/>
        <color rgb="FFFF0000"/>
        <rFont val="Arial"/>
        <family val="2"/>
      </rPr>
      <t>red</t>
    </r>
    <r>
      <rPr>
        <b/>
        <sz val="10"/>
        <rFont val="Arial"/>
        <family val="2"/>
      </rPr>
      <t xml:space="preserve"> painted head </t>
    </r>
    <r>
      <rPr>
        <b/>
        <sz val="10"/>
        <color indexed="14"/>
        <rFont val="Arial"/>
        <family val="2"/>
      </rPr>
      <t xml:space="preserve"> (Only needed with the above hooks)</t>
    </r>
  </si>
  <si>
    <t>Tilt Latches, composite, for Impact (non-handed)</t>
  </si>
  <si>
    <t>Total screen cost per product, White</t>
  </si>
  <si>
    <t>Total screen cost per product, Beige</t>
  </si>
  <si>
    <t>Total screen cost per product, Clay</t>
  </si>
  <si>
    <t>Total screen cost per product, Bronze</t>
  </si>
  <si>
    <t>Total screen cost per product, Dove Grey</t>
  </si>
  <si>
    <t>= Common Frame vinyl + Frame Rein + Frame Insulation + Frame Hardware + Balances + Top lite glazing items</t>
  </si>
  <si>
    <t>= Sash vinyl + Sash Rein + Sash Insulation + Sash Hardware + Sash glazing items</t>
  </si>
  <si>
    <t>= Install labels + boot/wrap + common labels + option labels + protective film + protective pkg</t>
  </si>
  <si>
    <t>American Craftsman Packaging</t>
  </si>
  <si>
    <t>Bottom Sleeve</t>
  </si>
  <si>
    <t>Top Sleeve (long)</t>
  </si>
  <si>
    <t>Top Sleeve (short)</t>
  </si>
  <si>
    <t>Corrugated Block</t>
  </si>
  <si>
    <t>LBS</t>
  </si>
  <si>
    <t>$504/M</t>
  </si>
  <si>
    <t>$294.60/M</t>
  </si>
  <si>
    <t>$112/M</t>
  </si>
  <si>
    <t>$1.52 LBS</t>
  </si>
  <si>
    <t>Poly Film (short) 62" NAT .00125</t>
  </si>
  <si>
    <t>Poly Film (long) 88" NAT .00125</t>
  </si>
  <si>
    <t>42 0553 021</t>
  </si>
  <si>
    <t>42 0553 033</t>
  </si>
  <si>
    <t>42 0553 003</t>
  </si>
  <si>
    <t>N21-013</t>
  </si>
  <si>
    <t>JMB</t>
  </si>
  <si>
    <t>20-039</t>
  </si>
  <si>
    <t>1-8</t>
  </si>
  <si>
    <t>2-10</t>
  </si>
  <si>
    <t>2-0</t>
  </si>
  <si>
    <t>3-0</t>
  </si>
  <si>
    <t>2-4</t>
  </si>
  <si>
    <t>3-2</t>
  </si>
  <si>
    <t>2-6</t>
  </si>
  <si>
    <t>3-8</t>
  </si>
  <si>
    <t>2-8</t>
  </si>
  <si>
    <t>3-10</t>
  </si>
  <si>
    <t>4-0</t>
  </si>
  <si>
    <t>3-1</t>
  </si>
  <si>
    <t>4-2</t>
  </si>
  <si>
    <t>3-4</t>
  </si>
  <si>
    <t>4-4</t>
  </si>
  <si>
    <t>4-6</t>
  </si>
  <si>
    <t>5-0</t>
  </si>
  <si>
    <t>5-2</t>
  </si>
  <si>
    <t>5-4</t>
  </si>
  <si>
    <t>5-6</t>
  </si>
  <si>
    <t>6-0</t>
  </si>
  <si>
    <t>6-2</t>
  </si>
  <si>
    <t>then Unit Width =</t>
  </si>
  <si>
    <t>If Call Width =</t>
  </si>
  <si>
    <t>If Call Height =</t>
  </si>
  <si>
    <t>then Unit Height =</t>
  </si>
  <si>
    <t>5-8</t>
  </si>
  <si>
    <t>3-6</t>
  </si>
  <si>
    <t>4-8</t>
  </si>
  <si>
    <t>7-0</t>
  </si>
  <si>
    <t>1-6</t>
  </si>
  <si>
    <t>1-6 x 5-6 Oriel 5-0 sash</t>
  </si>
  <si>
    <t>3-4 x 7-0 Oriel 6-0 sash</t>
  </si>
  <si>
    <t>2-0 x 5-6 Oriel 4-6 sash</t>
  </si>
  <si>
    <t>Purchased Unit Cost from JD Edwards 12/31/21</t>
  </si>
  <si>
    <t xml:space="preserve">Added the dual action WOCD hardware </t>
  </si>
  <si>
    <t>Added Bronze and Black capstock to Beveled</t>
  </si>
  <si>
    <t>N18-007.8</t>
  </si>
  <si>
    <t>Standard wet glaze (silicone at 1/8" diameter bead)</t>
  </si>
  <si>
    <t>Standard wet glaze (silicone at 5/32" diameter bead)</t>
  </si>
  <si>
    <t>Add packaging for American Craftsman product</t>
  </si>
  <si>
    <t>used in head</t>
  </si>
  <si>
    <t>used in sill</t>
  </si>
  <si>
    <t>used in Jamb and Keeper Rail</t>
  </si>
  <si>
    <t>Glazing Tape, double-sided adhesive with release liner, 1/16" x 3/8" (Std)</t>
  </si>
  <si>
    <t>Glazing Tape, single-sided adhesive (Compression), 1/8" x 3/8"</t>
  </si>
  <si>
    <t>Glazing Tape, single-sided adhesive (Compression), 1/16" x 3/8" (1"+ IGU only)</t>
  </si>
  <si>
    <t>Glazing Block, 1/16" thick x 1.0" x 1.5", tan</t>
  </si>
  <si>
    <t>Glazing Block, 3/32" thick x 1.0" x 1.5", gray</t>
  </si>
  <si>
    <t>Glazing Block, 1/8" thick x 1.0" x 1.5", white</t>
  </si>
  <si>
    <t>Optional</t>
  </si>
  <si>
    <t>Use 420176xxx per Deviation 16-0006</t>
  </si>
  <si>
    <t>Standard wet glaze, silcone, clear, 51 gal barrel (5/32" diameter bead)</t>
  </si>
  <si>
    <t>Standard wet glaze, silicone, clear, 10 oz tube - for service</t>
  </si>
  <si>
    <t>1 at center of each Sash Stile</t>
  </si>
  <si>
    <t>2 at quarter points of Sash Lift Rail</t>
  </si>
  <si>
    <t>Glazing Block, 1/16" thick x 1.0" x 1.5", with adhesive, tan</t>
  </si>
  <si>
    <t>Glazing Block, 3/32" thick x 1.0" x 1.5", with adhesive, gray</t>
  </si>
  <si>
    <t>Glazing Block, 1/8" thick x 1.0" x 1.5", with adhesive, white</t>
  </si>
  <si>
    <t>22-078</t>
  </si>
  <si>
    <t>Reduce qty of setting blocks: top lite from 11 to 2, sash from 7 to 4</t>
  </si>
  <si>
    <t>22-082</t>
  </si>
  <si>
    <t>Change Dove Grey silcone for mulls to use clear silicone</t>
  </si>
  <si>
    <t>For Dove Grey use clear silicone (EC 22-082)</t>
  </si>
  <si>
    <t>Dow Corning 1199</t>
  </si>
  <si>
    <t>profile used for HarborLight</t>
  </si>
  <si>
    <t>coils used for HarborLight</t>
  </si>
  <si>
    <t>part used for HarborLight</t>
  </si>
  <si>
    <t>Brickmould Factory Mull Reinforcement ( only use when mulling under the BM SH operating sill)</t>
  </si>
  <si>
    <t xml:space="preserve">Dual Action WOCD </t>
  </si>
  <si>
    <t>Engr's: Please add Rev # to each of the 11 active BOMs listed below. Note "No change to this tab"</t>
  </si>
  <si>
    <t>Frame WIP label, 10" x 2"</t>
  </si>
  <si>
    <t>Sash WIP label, 6" x 1" (1 per each sash)</t>
  </si>
  <si>
    <t>Enter</t>
  </si>
  <si>
    <t>formula</t>
  </si>
  <si>
    <t>type in description</t>
  </si>
  <si>
    <t>formula creates the pull down name</t>
  </si>
  <si>
    <t>entered</t>
  </si>
  <si>
    <t>6mm Lami (2.7 + 2.7)</t>
  </si>
  <si>
    <t>8.5mm IMPACT Lami (3.1 + 3.1)</t>
  </si>
  <si>
    <t>6mm offset Lami (2.3 + 3.0)</t>
  </si>
  <si>
    <t>formula/144</t>
  </si>
  <si>
    <t>20</t>
  </si>
  <si>
    <t>Double: 3mm &amp; 4mm</t>
  </si>
  <si>
    <t>Glass Weight, lb/sq ft per Guardian data</t>
  </si>
  <si>
    <t>6mm Lami (2.7 + 2.7) for Clear</t>
  </si>
  <si>
    <t>8.5mm IMPACT Lami (3.1 + .090" pvb + 3.1)</t>
  </si>
  <si>
    <t>SH sash selected glass weight</t>
  </si>
  <si>
    <t>IG Weight, lb/sq ft per Guardian data</t>
  </si>
  <si>
    <t>DO NOT USE these values because they may change the sash weight calculation performed by our IS team.</t>
  </si>
  <si>
    <t>6mm offset Lami (2.3 + 3.0) - not used above</t>
  </si>
  <si>
    <t>lb/sq in</t>
  </si>
  <si>
    <t>Glass Table from SH Sash &amp; unit Weight tab</t>
  </si>
  <si>
    <t>Double: 5mm &amp; 6mm Offset 2.3+3.0 Lami - Sound</t>
  </si>
  <si>
    <t>Triple:   2.5mm &amp; 2.5mm &amp; 6mm Lami - Sound</t>
  </si>
  <si>
    <t>Triple:   3mm &amp; 3mm &amp; 6mm Lami - Sound</t>
  </si>
  <si>
    <t>Double: 3mm &amp; 5mm - Sound</t>
  </si>
  <si>
    <t>Double: 3mm &amp; 6mm Lami - Sound</t>
  </si>
  <si>
    <t>Double: 3mm &amp; 5mm - Regal</t>
  </si>
  <si>
    <t>Double: 2.5mm &amp; 6mm - Spandrel</t>
  </si>
  <si>
    <t>Double: 5mm &amp; 6mm Lami - Sound</t>
  </si>
  <si>
    <t>Double: 3mm &amp; 8.5mm Lami - IMPACT</t>
  </si>
  <si>
    <t>2.3mm (only used in Offset lami)</t>
  </si>
  <si>
    <t>entered by Engr</t>
  </si>
  <si>
    <t>6mm Lami (3.1 + 3.1) for Low E</t>
  </si>
  <si>
    <t>2.5mm (used for SS)</t>
  </si>
  <si>
    <t>3mm (used for DS)</t>
  </si>
  <si>
    <t>4mm (used for TS)</t>
  </si>
  <si>
    <t>5mm (used for CS)</t>
  </si>
  <si>
    <t>using 2.3 + 2.3</t>
  </si>
  <si>
    <t>using 2.5 + 6</t>
  </si>
  <si>
    <t>using 5mm + 6mm offset lami</t>
  </si>
  <si>
    <t>using 5mm + 6mm lami clear</t>
  </si>
  <si>
    <t>Had 19 IG packages.  Added glass package 3mm + 4mm and reordered 20 IG packages.</t>
  </si>
  <si>
    <t>Jamb Extension, clear wood
- 5/8" x 7" (cut to width needed for custom jamb depths)</t>
  </si>
  <si>
    <t>Each clip 4" long</t>
  </si>
  <si>
    <t>Not used when a unit is mulled to the sill of the unit</t>
  </si>
  <si>
    <t>Added note for sill reinforcement on BM SH</t>
  </si>
  <si>
    <t>22-196</t>
  </si>
  <si>
    <t>This profile used for HarborLight.</t>
  </si>
  <si>
    <t>Sill, no J, no Nailfin</t>
  </si>
  <si>
    <r>
      <t>=IF(</t>
    </r>
    <r>
      <rPr>
        <sz val="9"/>
        <color theme="9" tint="-0.249977111117893"/>
        <rFont val="Arial"/>
        <family val="2"/>
      </rPr>
      <t>SHBSH &gt; 11.189, EVEN(SHBSH + BT_HtOffset)</t>
    </r>
    <r>
      <rPr>
        <sz val="9"/>
        <color indexed="12"/>
        <rFont val="Arial"/>
        <family val="2"/>
      </rPr>
      <t>,</t>
    </r>
    <r>
      <rPr>
        <sz val="9"/>
        <color rgb="FFFF00FF"/>
        <rFont val="Arial"/>
        <family val="2"/>
      </rPr>
      <t xml:space="preserve"> INT (SHBSH + Small_Sash_BT_HtOffset)</t>
    </r>
    <r>
      <rPr>
        <sz val="9"/>
        <color indexed="12"/>
        <rFont val="Arial"/>
        <family val="2"/>
      </rPr>
      <t>)</t>
    </r>
  </si>
  <si>
    <t>ELSE</t>
  </si>
  <si>
    <t>Ply Gem Corporate</t>
  </si>
  <si>
    <t>Rocky Mount JDE</t>
  </si>
  <si>
    <t>PTC SID</t>
  </si>
  <si>
    <t>cell A3</t>
  </si>
  <si>
    <t>cell A7</t>
  </si>
  <si>
    <t>Data Validation entries for</t>
  </si>
  <si>
    <t>Data Validation entries for Sash Offset = cell E7</t>
  </si>
  <si>
    <t>Potential Data Validation entries for cell E7</t>
  </si>
  <si>
    <t>Data Validation entries for Glass Pkg = cell E6</t>
  </si>
  <si>
    <t>Data Validation entries for Impact? = cell G9</t>
  </si>
  <si>
    <t>Data Validation entries for SDL Option? = cell E9</t>
  </si>
  <si>
    <t>Increment for Length, "UT_INC"</t>
  </si>
  <si>
    <t>Min Offset fm Frame to Reinf, "UT_GAP"</t>
  </si>
  <si>
    <t>Block &amp; Tackle Balance Punch (near Head)</t>
  </si>
  <si>
    <t>Jamb Dim C, Pre-Weld Punch location (measured from Head)</t>
  </si>
  <si>
    <t>B&amp;T Bal. Punch</t>
  </si>
  <si>
    <t>Coil Bal. Punch</t>
  </si>
  <si>
    <t>Jamb Dim B, Post-weld, Post-Notch</t>
  </si>
  <si>
    <t>Constant Force balance Punch (above Keeper Rail)</t>
  </si>
  <si>
    <t>Jamb Dim D, Pre-Weld, from end of glazing bead channel at head to top of top slot of anchor punch (with tape measure)</t>
  </si>
  <si>
    <t>Jamb Dim G = Sash Height - 1/4" per Fab drawing</t>
  </si>
  <si>
    <t>Jamb Dim F, measure from sill at bottom of sash pocket to top of interlock</t>
  </si>
  <si>
    <t>12 ft long lineal (144")</t>
  </si>
  <si>
    <t>25 0014 000 xxx</t>
  </si>
  <si>
    <t>25 0015 000 xxx</t>
  </si>
  <si>
    <t>Child safety latch, with orange nose</t>
  </si>
  <si>
    <t>Window Opening Control Device</t>
  </si>
  <si>
    <t>.021" high when closed</t>
  </si>
  <si>
    <t>Impact Hotmelt glaze, golden (Henkel Purfect Glaze 1219461, 55 gal drum)</t>
  </si>
  <si>
    <t>Integral Mull Unit Width:</t>
  </si>
  <si>
    <t>Integral Mull Unit Height:</t>
  </si>
  <si>
    <t>Dim A (end to end after fab)</t>
  </si>
  <si>
    <t>Dim B (Head to KR anchor slots)</t>
  </si>
  <si>
    <t>Dim C (Length at Interior)</t>
  </si>
  <si>
    <t>Dim D (Length at Exterior)</t>
  </si>
  <si>
    <t>Rough Cut  for saw before fab)</t>
  </si>
  <si>
    <t>= # wide</t>
  </si>
  <si>
    <t>Entered Sidelite Width</t>
  </si>
  <si>
    <t>Desired Configuration:</t>
  </si>
  <si>
    <t>Integral Mull - Head/Sill Fabrication</t>
  </si>
  <si>
    <t>Entered Sidelite Fixed Glass Width</t>
  </si>
  <si>
    <t>to get equal Unit Widths for Twin</t>
  </si>
  <si>
    <t>to get equal Unit Widths for Triple</t>
  </si>
  <si>
    <r>
      <t xml:space="preserve">Enter </t>
    </r>
    <r>
      <rPr>
        <sz val="10"/>
        <color theme="9" tint="-0.249977111117893"/>
        <rFont val="Comic Sans MS"/>
        <family val="4"/>
      </rPr>
      <t>"Equal Unit Widths"</t>
    </r>
    <r>
      <rPr>
        <sz val="10"/>
        <color rgb="FF008000"/>
        <rFont val="Comic Sans MS"/>
        <family val="4"/>
      </rPr>
      <t xml:space="preserve"> (from above) </t>
    </r>
    <r>
      <rPr>
        <b/>
        <u/>
        <sz val="10"/>
        <color rgb="FF008000"/>
        <rFont val="Comic Sans MS"/>
        <family val="4"/>
      </rPr>
      <t>OR</t>
    </r>
    <r>
      <rPr>
        <sz val="10"/>
        <color rgb="FF008000"/>
        <rFont val="Comic Sans MS"/>
        <family val="4"/>
      </rPr>
      <t xml:space="preserve"> Enter desired Custom Sidelite Unit Width</t>
    </r>
  </si>
  <si>
    <t>If triple: (INT2width - 1.0) / 3</t>
  </si>
  <si>
    <t>If twin: (INT2width - 0.5 ) / 2</t>
  </si>
  <si>
    <t>Clarified descriptions of entries and outputs at top of spreadsheet</t>
  </si>
  <si>
    <t>lbs/ft</t>
  </si>
  <si>
    <t>per foot</t>
  </si>
  <si>
    <r>
      <t xml:space="preserve">Foam Balance Plug, Black, </t>
    </r>
    <r>
      <rPr>
        <sz val="9"/>
        <rFont val="Arial"/>
        <family val="2"/>
      </rPr>
      <t>(on the sill inside the balance pocket)</t>
    </r>
  </si>
  <si>
    <t>Screen Retainer Clip, 12 ft long</t>
  </si>
  <si>
    <t>7/8" IGU SDL Glazing Bead (Lock Rail &amp; Lift Rail)</t>
  </si>
  <si>
    <t>1" IGU SDL Glazing Bead (Lock Rail &amp; Lift Rail)</t>
  </si>
  <si>
    <t>Use 420175xxx per Deviation 16-0006</t>
  </si>
  <si>
    <t>Assembly Part Number</t>
  </si>
  <si>
    <t>Balance</t>
  </si>
  <si>
    <t>Selector</t>
  </si>
  <si>
    <t>Avg Wt</t>
  </si>
  <si>
    <t>B&amp;T Balance needed for sash of selected size and glass package:</t>
  </si>
  <si>
    <t>Ply Gem part # = 40 0025 000 xxx</t>
  </si>
  <si>
    <t>B&amp;T Adj. = SH Sash Weight * BT_WtScalar + BT_WtOffset</t>
  </si>
  <si>
    <t>Coil Balance needed for sash of selected size and glass package:</t>
  </si>
  <si>
    <t>each assy</t>
  </si>
  <si>
    <r>
      <t xml:space="preserve">Bag of screws for hook installation </t>
    </r>
    <r>
      <rPr>
        <b/>
        <sz val="10"/>
        <color indexed="14"/>
        <rFont val="Arial"/>
        <family val="2"/>
      </rPr>
      <t xml:space="preserve"> (Only needed with the above Jamb hooks)</t>
    </r>
  </si>
  <si>
    <t>bag contains four #8 x 1-1/4"" PH panhead 410 SS screws</t>
  </si>
  <si>
    <t>Silicone, clear (tube) 1 dab at each joint in double stick tape</t>
  </si>
  <si>
    <t>Use 2 glazing blocks per unit on every Keeper Rail</t>
  </si>
  <si>
    <t>SHCORnd</t>
  </si>
  <si>
    <t>191" length (= 15 ft 11 in)</t>
  </si>
  <si>
    <t>199" length (= 16 ft 7 in)</t>
  </si>
  <si>
    <t>Cut Length, pre-weld</t>
  </si>
  <si>
    <t>177" length (= 14 ft 9 in)</t>
  </si>
  <si>
    <t>Sash Lift Rail</t>
  </si>
  <si>
    <t>Sash Stiles</t>
  </si>
  <si>
    <t>Sash Lock Rail</t>
  </si>
  <si>
    <t>Bottom Rail Bulb Seal, .300" dia with 2 fins, partial foam filled</t>
  </si>
  <si>
    <t>150" length (= 12 ft 6 in)</t>
  </si>
  <si>
    <t>not stocked RM</t>
  </si>
  <si>
    <t>Sash is Equal or taller than Equal (Cottage), no Sash Stop needed.</t>
  </si>
  <si>
    <t>Sash Stop (use on Oriel units = Sash shorter than Equal)</t>
  </si>
  <si>
    <t>16 ft lineal</t>
  </si>
  <si>
    <t>Since Glazing Bead is at exterior, use this for Std Black sashes</t>
  </si>
  <si>
    <t xml:space="preserve"> Sash Width Dim A=</t>
  </si>
  <si>
    <t>COst</t>
  </si>
  <si>
    <t>Subtotal of frame COmponents unique to Brickmould option:</t>
  </si>
  <si>
    <t>Subtotal of frame COmponents unique to Beveled option:</t>
  </si>
  <si>
    <t>Subtotal of all COmmon frame COmponents:</t>
  </si>
  <si>
    <t>Subtotal of COmmon frame vinyl COmponents:</t>
  </si>
  <si>
    <t>Subtotal of COmmon frame reinforcements:</t>
  </si>
  <si>
    <t>Frame R-COre</t>
  </si>
  <si>
    <t>Frame Insulation R-COre</t>
  </si>
  <si>
    <t>Subtotal of COmmon frame insulation:</t>
  </si>
  <si>
    <t>R-COre, Slider, large pocket, Head</t>
  </si>
  <si>
    <t>R-COre, Slider, large pocket, Jamb</t>
  </si>
  <si>
    <t>R-COre, Slider, small pocket, Head</t>
  </si>
  <si>
    <t>R-COre, Slider, small pocket, Jamb</t>
  </si>
  <si>
    <t>Keeper Stile R-COre</t>
  </si>
  <si>
    <t>Subtotal of COmmon frame hardware:</t>
  </si>
  <si>
    <t>Window Opening COntrol Device</t>
  </si>
  <si>
    <t>Subtotal of sash COmponents (excluding IG):</t>
  </si>
  <si>
    <t>Subtotal of sash vinyl COmponents:</t>
  </si>
  <si>
    <t>R-COre for Lock Rail with no reinforcement</t>
  </si>
  <si>
    <t>Sash R-COre</t>
  </si>
  <si>
    <t>R-COre for Lock Stile with reinforcement</t>
  </si>
  <si>
    <t>R-COre for Handle Stile with no reinforcement</t>
  </si>
  <si>
    <t>R-COre for Rails with no reinforcement</t>
  </si>
  <si>
    <t>Auto Lock COver (Must also include lock base)</t>
  </si>
  <si>
    <t>4 staples per COrner for 4 9/16", 6 for 6 9/16"</t>
  </si>
  <si>
    <t>Subtotal of packaging COmponents:</t>
  </si>
  <si>
    <t>New COnstr Install Instruction PGWG, 15 x 9 1/2</t>
  </si>
  <si>
    <t>New COnstr Install Instruction PGWG, 7 x 7</t>
  </si>
  <si>
    <t>COrner Boots (choose only one)</t>
  </si>
  <si>
    <t xml:space="preserve">COrner boot for all COrners (white foam with curved grooves) </t>
  </si>
  <si>
    <t>COrner boot for Flat Casing (black foam with adhesive)</t>
  </si>
  <si>
    <t>36" strip COntains 12 blocks, each boot uses 2 blocks</t>
  </si>
  <si>
    <t>Cardboard COrner for all R&amp;R and Beveled with 1/2" Flange</t>
  </si>
  <si>
    <t>COmmon labels</t>
  </si>
  <si>
    <t>Subtotal of COmmon labesl:</t>
  </si>
  <si>
    <t>Temporary COmbo Performance label, 10" x 4"</t>
  </si>
  <si>
    <t>EACH ROW ABOVE THIS ONE IS INCLUDED IN THE "SLCOnfigData" range</t>
  </si>
  <si>
    <t>not in JDE</t>
  </si>
  <si>
    <t>IF SHCORnd &lt; 1</t>
  </si>
  <si>
    <t>ABS(SHCORnd)</t>
  </si>
  <si>
    <t>Head, for straight sides</t>
  </si>
  <si>
    <t>Jamb, for straight sides</t>
  </si>
  <si>
    <t>Jamb, for any side radius</t>
  </si>
  <si>
    <t>Head, for any side radius</t>
  </si>
  <si>
    <t>Sill, for straight sides</t>
  </si>
  <si>
    <t>Sill, for any side radius</t>
  </si>
  <si>
    <t>for Unit Width</t>
  </si>
  <si>
    <t>for Unit Height</t>
  </si>
  <si>
    <r>
      <t xml:space="preserve">Jamb Extension, primed wood
- provides </t>
    </r>
    <r>
      <rPr>
        <u/>
        <sz val="9"/>
        <rFont val="Arial"/>
        <family val="2"/>
      </rPr>
      <t>Brickmould</t>
    </r>
    <r>
      <rPr>
        <sz val="9"/>
        <rFont val="Arial"/>
        <family val="2"/>
      </rPr>
      <t xml:space="preserve"> with nailfin to 4 9/16" (5/8" x 2.375")</t>
    </r>
  </si>
  <si>
    <r>
      <t xml:space="preserve">Jamb Extension, clear wood
- provides </t>
    </r>
    <r>
      <rPr>
        <u/>
        <sz val="9"/>
        <rFont val="Arial"/>
        <family val="2"/>
      </rPr>
      <t>Brickmould</t>
    </r>
    <r>
      <rPr>
        <sz val="9"/>
        <rFont val="Arial"/>
        <family val="2"/>
      </rPr>
      <t xml:space="preserve"> with nailfin to 4 9/16" (5/8" x 2.375")</t>
    </r>
  </si>
  <si>
    <r>
      <t xml:space="preserve">Jamb Extension, primed wood
- provides </t>
    </r>
    <r>
      <rPr>
        <u/>
        <sz val="9"/>
        <rFont val="Arial"/>
        <family val="2"/>
      </rPr>
      <t>Brickmould</t>
    </r>
    <r>
      <rPr>
        <sz val="9"/>
        <rFont val="Arial"/>
        <family val="2"/>
      </rPr>
      <t xml:space="preserve"> with nailfin to 6 9/16" (5/8" x 4.375")</t>
    </r>
  </si>
  <si>
    <r>
      <t xml:space="preserve">Jamb Extension, primed wood
- provides </t>
    </r>
    <r>
      <rPr>
        <u/>
        <sz val="9"/>
        <rFont val="Arial"/>
        <family val="2"/>
      </rPr>
      <t>Beveled</t>
    </r>
    <r>
      <rPr>
        <sz val="9"/>
        <rFont val="Arial"/>
        <family val="2"/>
      </rPr>
      <t xml:space="preserve"> with nailfin to 4 9/16" (5/8" x 3.063")</t>
    </r>
  </si>
  <si>
    <r>
      <t xml:space="preserve">Jamb Extension, clear wood
- provides </t>
    </r>
    <r>
      <rPr>
        <u/>
        <sz val="9"/>
        <rFont val="Arial"/>
        <family val="2"/>
      </rPr>
      <t>Beveled</t>
    </r>
    <r>
      <rPr>
        <sz val="9"/>
        <rFont val="Arial"/>
        <family val="2"/>
      </rPr>
      <t xml:space="preserve"> with nailfin to 4 9/16" (5/8" x 3.063")</t>
    </r>
  </si>
  <si>
    <r>
      <t xml:space="preserve">Jamb Extension, clear wood
- provides </t>
    </r>
    <r>
      <rPr>
        <u/>
        <sz val="9"/>
        <rFont val="Arial"/>
        <family val="2"/>
      </rPr>
      <t>Beveled</t>
    </r>
    <r>
      <rPr>
        <sz val="9"/>
        <rFont val="Arial"/>
        <family val="2"/>
      </rPr>
      <t xml:space="preserve"> with nailfin to 5 1/16" (5/8" x 3.563")</t>
    </r>
  </si>
  <si>
    <r>
      <t xml:space="preserve">Jamb Extension, primed wood
- provides </t>
    </r>
    <r>
      <rPr>
        <u/>
        <sz val="9"/>
        <rFont val="Arial"/>
        <family val="2"/>
      </rPr>
      <t>Beveled</t>
    </r>
    <r>
      <rPr>
        <sz val="9"/>
        <rFont val="Arial"/>
        <family val="2"/>
      </rPr>
      <t xml:space="preserve"> with nailfin to 6 9/16" (5/8" x 5.063")</t>
    </r>
  </si>
  <si>
    <r>
      <t xml:space="preserve">Jamb Extension, primed wood
- provides </t>
    </r>
    <r>
      <rPr>
        <u/>
        <sz val="9"/>
        <rFont val="Arial"/>
        <family val="2"/>
      </rPr>
      <t>Beveled</t>
    </r>
    <r>
      <rPr>
        <sz val="9"/>
        <rFont val="Arial"/>
        <family val="2"/>
      </rPr>
      <t xml:space="preserve"> with nailfin to 5 1/16" (5/8" x (3.563")</t>
    </r>
  </si>
  <si>
    <r>
      <t xml:space="preserve">Jamb Extension, clear wood
- provides </t>
    </r>
    <r>
      <rPr>
        <u/>
        <sz val="9"/>
        <rFont val="Arial"/>
        <family val="2"/>
      </rPr>
      <t>Beveled</t>
    </r>
    <r>
      <rPr>
        <sz val="9"/>
        <rFont val="Arial"/>
        <family val="2"/>
      </rPr>
      <t xml:space="preserve"> with nailfin to 6 9/16" (5/8" x 5.063")</t>
    </r>
  </si>
  <si>
    <r>
      <t xml:space="preserve">Jamb Extension, primed wood
- provides </t>
    </r>
    <r>
      <rPr>
        <u/>
        <sz val="9"/>
        <rFont val="Arial"/>
        <family val="2"/>
      </rPr>
      <t>Beveled</t>
    </r>
    <r>
      <rPr>
        <sz val="9"/>
        <rFont val="Arial"/>
        <family val="2"/>
      </rPr>
      <t xml:space="preserve"> with nailfin to 7 1/16" (5/8" x 5.563")</t>
    </r>
  </si>
  <si>
    <r>
      <t xml:space="preserve">Jamb Extension, clear wood
- provides </t>
    </r>
    <r>
      <rPr>
        <u/>
        <sz val="9"/>
        <rFont val="Arial"/>
        <family val="2"/>
      </rPr>
      <t>Beveled</t>
    </r>
    <r>
      <rPr>
        <sz val="9"/>
        <rFont val="Arial"/>
        <family val="2"/>
      </rPr>
      <t xml:space="preserve"> with nailfin to 7 1/16" (5/8" x 5.563")</t>
    </r>
  </si>
  <si>
    <r>
      <t xml:space="preserve">Jamb Extension, primed wood
- provides </t>
    </r>
    <r>
      <rPr>
        <u/>
        <sz val="9"/>
        <rFont val="Arial"/>
        <family val="2"/>
      </rPr>
      <t>Brickmould</t>
    </r>
    <r>
      <rPr>
        <sz val="9"/>
        <rFont val="Arial"/>
        <family val="2"/>
      </rPr>
      <t xml:space="preserve"> with nailfin to 5 1/16" (5/8" x 2.875")</t>
    </r>
  </si>
  <si>
    <r>
      <t xml:space="preserve">Jamb Extension, primed wood
- provides </t>
    </r>
    <r>
      <rPr>
        <u/>
        <sz val="9"/>
        <rFont val="Arial"/>
        <family val="2"/>
      </rPr>
      <t>Brickmould</t>
    </r>
    <r>
      <rPr>
        <sz val="9"/>
        <rFont val="Arial"/>
        <family val="2"/>
      </rPr>
      <t xml:space="preserve"> with nailfin to 7 1/16" (5/8" x 4.875")</t>
    </r>
  </si>
  <si>
    <r>
      <t xml:space="preserve">Jamb Extension, clear wood
- provides </t>
    </r>
    <r>
      <rPr>
        <u/>
        <sz val="9"/>
        <rFont val="Arial"/>
        <family val="2"/>
      </rPr>
      <t>Brickmould</t>
    </r>
    <r>
      <rPr>
        <sz val="9"/>
        <rFont val="Arial"/>
        <family val="2"/>
      </rPr>
      <t xml:space="preserve"> with nailfin to 5 1/16" (5/8" x 2.875")</t>
    </r>
  </si>
  <si>
    <r>
      <t xml:space="preserve">Jamb Extension, clear wood
- provides </t>
    </r>
    <r>
      <rPr>
        <u/>
        <sz val="9"/>
        <rFont val="Arial"/>
        <family val="2"/>
      </rPr>
      <t>Brickmould</t>
    </r>
    <r>
      <rPr>
        <sz val="9"/>
        <rFont val="Arial"/>
        <family val="2"/>
      </rPr>
      <t xml:space="preserve"> with nailfin to 6 9/16" (5/8" x 4.375")</t>
    </r>
  </si>
  <si>
    <r>
      <t xml:space="preserve">Jamb Extension, clear wood
- provides </t>
    </r>
    <r>
      <rPr>
        <u/>
        <sz val="9"/>
        <rFont val="Arial"/>
        <family val="2"/>
      </rPr>
      <t>Brickmould</t>
    </r>
    <r>
      <rPr>
        <sz val="9"/>
        <rFont val="Arial"/>
        <family val="2"/>
      </rPr>
      <t xml:space="preserve"> with nailfin to 7 1/16" (5/8" x 4.875")</t>
    </r>
  </si>
  <si>
    <t>Jamb Extension, primed wood
- 5/8" x 7" x 16 ft (cut to width needed for custom jamb depths)</t>
  </si>
  <si>
    <t>Radius Head Operating SH w/ J-leg, foam filled</t>
  </si>
  <si>
    <t>Radius Head Operating SH no J-leg, foam filled</t>
  </si>
  <si>
    <t>Radius Head Operating SH, foam filled</t>
  </si>
  <si>
    <r>
      <t xml:space="preserve">Jamb Extension, Bendable pvc, white,
- provides </t>
    </r>
    <r>
      <rPr>
        <u/>
        <sz val="9"/>
        <rFont val="Arial"/>
        <family val="2"/>
      </rPr>
      <t>Brickmould</t>
    </r>
    <r>
      <rPr>
        <sz val="9"/>
        <rFont val="Arial"/>
        <family val="2"/>
      </rPr>
      <t xml:space="preserve"> with nailfin to 4 9/16" (2.375")</t>
    </r>
  </si>
  <si>
    <r>
      <t xml:space="preserve">Jamb Extension, Bendable pvc, white,
- provides </t>
    </r>
    <r>
      <rPr>
        <u/>
        <sz val="9"/>
        <rFont val="Arial"/>
        <family val="2"/>
      </rPr>
      <t>Brickmould</t>
    </r>
    <r>
      <rPr>
        <sz val="9"/>
        <rFont val="Arial"/>
        <family val="2"/>
      </rPr>
      <t xml:space="preserve"> with nailfin to 5 1/16" (2.875")</t>
    </r>
  </si>
  <si>
    <r>
      <t xml:space="preserve">Jamb Extension, Bendable pvc, white,
- provides </t>
    </r>
    <r>
      <rPr>
        <u/>
        <sz val="9"/>
        <rFont val="Arial"/>
        <family val="2"/>
      </rPr>
      <t>Brickmould</t>
    </r>
    <r>
      <rPr>
        <sz val="9"/>
        <rFont val="Arial"/>
        <family val="2"/>
      </rPr>
      <t xml:space="preserve"> with nailfin to 6 9/16" (4.375")</t>
    </r>
  </si>
  <si>
    <r>
      <t xml:space="preserve">Jamb Extension, Bendable pvc, white,
- provides </t>
    </r>
    <r>
      <rPr>
        <u/>
        <sz val="9"/>
        <rFont val="Arial"/>
        <family val="2"/>
      </rPr>
      <t>Brickmould</t>
    </r>
    <r>
      <rPr>
        <sz val="9"/>
        <rFont val="Arial"/>
        <family val="2"/>
      </rPr>
      <t xml:space="preserve"> with nailfin to 7 1/16" (4.875")</t>
    </r>
  </si>
  <si>
    <r>
      <t xml:space="preserve">Jamb Extension, Bendable pvc, white,
- provides </t>
    </r>
    <r>
      <rPr>
        <u/>
        <sz val="9"/>
        <rFont val="Arial"/>
        <family val="2"/>
      </rPr>
      <t>Beveled</t>
    </r>
    <r>
      <rPr>
        <sz val="9"/>
        <rFont val="Arial"/>
        <family val="2"/>
      </rPr>
      <t xml:space="preserve"> with nailfin to 4 9/16" (3.063")</t>
    </r>
  </si>
  <si>
    <r>
      <t xml:space="preserve">Jamb Extension, Bendable pvc, white,
- provides </t>
    </r>
    <r>
      <rPr>
        <u/>
        <sz val="9"/>
        <rFont val="Arial"/>
        <family val="2"/>
      </rPr>
      <t>Beveled</t>
    </r>
    <r>
      <rPr>
        <sz val="9"/>
        <rFont val="Arial"/>
        <family val="2"/>
      </rPr>
      <t xml:space="preserve"> with nailfin to 5 1/16" (3.563")</t>
    </r>
  </si>
  <si>
    <r>
      <t xml:space="preserve">Jamb Extension, Bendable pvc, white,
- provides </t>
    </r>
    <r>
      <rPr>
        <u/>
        <sz val="9"/>
        <rFont val="Arial"/>
        <family val="2"/>
      </rPr>
      <t>Beveled</t>
    </r>
    <r>
      <rPr>
        <sz val="9"/>
        <rFont val="Arial"/>
        <family val="2"/>
      </rPr>
      <t xml:space="preserve"> with nailfin to 6 9/16" (5.063")</t>
    </r>
  </si>
  <si>
    <r>
      <t xml:space="preserve">Jamb Extension, Bendable pvc, white,
- provides </t>
    </r>
    <r>
      <rPr>
        <u/>
        <sz val="9"/>
        <rFont val="Arial"/>
        <family val="2"/>
      </rPr>
      <t>Beveled</t>
    </r>
    <r>
      <rPr>
        <sz val="9"/>
        <rFont val="Arial"/>
        <family val="2"/>
      </rPr>
      <t xml:space="preserve"> with nailfin to 7 1/16" (5.563")</t>
    </r>
  </si>
  <si>
    <t>Jamb Extension, cellular pvc
- ripped down from 6 13/16" wide, bendable, white</t>
  </si>
  <si>
    <t>Jamb Extension, cellular pvc
- ripped down from 6 13/16" wide, bendable, beige</t>
  </si>
  <si>
    <t>Jamb Extension, cellular pvc
- ripped down from 6 13/16" wide, bendable, clay</t>
  </si>
  <si>
    <t>Staples, 1/4" crown x 1 1/8" long</t>
  </si>
  <si>
    <t>Staples, 1/2"crown x 1/2" long, 20 guage</t>
  </si>
  <si>
    <t>Jamb, No J-channel</t>
  </si>
  <si>
    <t>Head, No J-channel</t>
  </si>
  <si>
    <t>Sill, No J-channel</t>
  </si>
  <si>
    <t>Common Slider Frame Vinyl (Beveled, Brickmould, &amp; Flat Casing)</t>
  </si>
  <si>
    <t>2) BM, White, silicone, ADA autolock</t>
  </si>
  <si>
    <t>3) BM, White, sil., Primed JE</t>
  </si>
  <si>
    <t>4) BM, White, sil., Cellular JE</t>
  </si>
  <si>
    <t>SLEQSORnd</t>
  </si>
  <si>
    <t>SLEQSORnd*2</t>
  </si>
  <si>
    <t>Keeper, Face Mount, for Autolock and ADA Lock</t>
  </si>
  <si>
    <t>PG Part #</t>
  </si>
  <si>
    <t>RM Part #</t>
  </si>
  <si>
    <t>SCNFRMC16</t>
  </si>
  <si>
    <t>SCNFRMB16</t>
  </si>
  <si>
    <t>600'</t>
  </si>
  <si>
    <t>800'</t>
  </si>
  <si>
    <t>Mesh, fiberglass</t>
  </si>
  <si>
    <t>Dove Gray</t>
  </si>
  <si>
    <t>$/UoM</t>
  </si>
  <si>
    <t>Each part is cut to length of 1-1/2"</t>
  </si>
  <si>
    <r>
      <t xml:space="preserve">Kit (does </t>
    </r>
    <r>
      <rPr>
        <b/>
        <u/>
        <sz val="9"/>
        <rFont val="Arial"/>
        <family val="2"/>
      </rPr>
      <t>NOT</t>
    </r>
    <r>
      <rPr>
        <b/>
        <sz val="9"/>
        <rFont val="Arial"/>
        <family val="2"/>
      </rPr>
      <t xml:space="preserve"> include screen)</t>
    </r>
  </si>
  <si>
    <r>
      <rPr>
        <b/>
        <sz val="9"/>
        <rFont val="Arial"/>
        <family val="2"/>
      </rPr>
      <t>3/8" Hole Plugs</t>
    </r>
    <r>
      <rPr>
        <sz val="9"/>
        <rFont val="Arial"/>
        <family val="2"/>
      </rPr>
      <t xml:space="preserve"> (for thru jamb installation to match interior color)</t>
    </r>
  </si>
  <si>
    <r>
      <rPr>
        <b/>
        <sz val="9"/>
        <rFont val="Arial"/>
        <family val="2"/>
      </rPr>
      <t>1/2" Hole Plugs</t>
    </r>
    <r>
      <rPr>
        <sz val="9"/>
        <rFont val="Arial"/>
        <family val="2"/>
      </rPr>
      <t xml:space="preserve"> (for thru jamb Tapcon installation to match interior color)</t>
    </r>
  </si>
  <si>
    <t>Changed Beige -031 to -021 &amp; obsolete capstock color BG/WH 128</t>
  </si>
  <si>
    <t>Made 3 columns for SH parts #s: 1) PlyGem Corporate Part # 2) RM JDE Part #  3) PTC SID Part #</t>
  </si>
  <si>
    <t>Wet Glaze Backbedding (HB Fuller 5201, 55 gal drum)</t>
  </si>
  <si>
    <t>Regular Sash Width</t>
  </si>
  <si>
    <t>= _Vconv</t>
  </si>
  <si>
    <t>= AtolbperftSH</t>
  </si>
  <si>
    <r>
      <t>Balance Adder,</t>
    </r>
    <r>
      <rPr>
        <b/>
        <sz val="10"/>
        <color theme="9" tint="-0.249977111117893"/>
        <rFont val="Arial"/>
        <family val="2"/>
      </rPr>
      <t xml:space="preserve"> _Coil_WtAdder</t>
    </r>
  </si>
  <si>
    <r>
      <t xml:space="preserve">Balance Offset, </t>
    </r>
    <r>
      <rPr>
        <b/>
        <sz val="10"/>
        <color theme="9" tint="-0.249977111117893"/>
        <rFont val="Arial"/>
        <family val="2"/>
      </rPr>
      <t>_BT_WtOffset</t>
    </r>
  </si>
  <si>
    <r>
      <t>Balance Scalar,</t>
    </r>
    <r>
      <rPr>
        <b/>
        <sz val="10"/>
        <color theme="9" tint="-0.249977111117893"/>
        <rFont val="Arial"/>
        <family val="2"/>
      </rPr>
      <t xml:space="preserve"> _BT_WtScalar</t>
    </r>
  </si>
  <si>
    <r>
      <t xml:space="preserve">Height Offset, </t>
    </r>
    <r>
      <rPr>
        <b/>
        <sz val="10"/>
        <color theme="9" tint="-0.249977111117893"/>
        <rFont val="Arial"/>
        <family val="2"/>
      </rPr>
      <t>_BT_HtOffset</t>
    </r>
  </si>
  <si>
    <r>
      <t xml:space="preserve">Small Sash Height Offset, </t>
    </r>
    <r>
      <rPr>
        <b/>
        <sz val="10"/>
        <color theme="9" tint="-0.249977111117893"/>
        <rFont val="Arial"/>
        <family val="2"/>
      </rPr>
      <t>_Small_Sash_BT_HtOffset</t>
    </r>
  </si>
  <si>
    <t>SL2SORnd</t>
  </si>
  <si>
    <t>3-0 x 7-0</t>
  </si>
  <si>
    <t>2-8 x 3-8</t>
  </si>
  <si>
    <t>Bronze screens</t>
  </si>
  <si>
    <t>White Screens</t>
  </si>
  <si>
    <t>6 Bronze screen size suffix's do not match White screen size suffix's</t>
  </si>
  <si>
    <t>N19-002</t>
  </si>
  <si>
    <t>Had 19 IG packages for SH sash.  Added IG package 3mm + 4mm and reordered 20 IG options drop down list.</t>
  </si>
  <si>
    <t>SHConfigData range starts at AN12</t>
  </si>
  <si>
    <t>EVERY ROW ABOVE THIS ONE IS INCLUDED IN THE "SHConfigData" range AN12 to AX1140</t>
  </si>
  <si>
    <t>Capstock Protective Tape, 2"x1968ft. Roll</t>
  </si>
  <si>
    <t>Capstock Protective Tape, 15/16"x1968ft. Roll</t>
  </si>
  <si>
    <t>Capstock Protective Tape, 1.5"x1968ft. Roll</t>
  </si>
  <si>
    <t>12 0074 014 002</t>
  </si>
  <si>
    <t>Capstock protective tape, 5"x1968ft. Roll</t>
  </si>
  <si>
    <t>Dim D</t>
  </si>
  <si>
    <t>Added capstock protective tape</t>
  </si>
  <si>
    <t>BWG</t>
  </si>
  <si>
    <t>23-004</t>
  </si>
  <si>
    <t>Ext</t>
  </si>
  <si>
    <t>Int</t>
  </si>
  <si>
    <t>BZC</t>
  </si>
  <si>
    <t>CLC</t>
  </si>
  <si>
    <t>BLC</t>
  </si>
  <si>
    <t>BGC</t>
  </si>
  <si>
    <t>DGC</t>
  </si>
  <si>
    <t>254040-BL</t>
  </si>
  <si>
    <t>Base</t>
  </si>
  <si>
    <t>42 0717 003</t>
  </si>
  <si>
    <t>42 0717 033</t>
  </si>
  <si>
    <t>Black interior</t>
  </si>
  <si>
    <t>AutoLock Cover, zinc die cast (used with autolock lock base)</t>
  </si>
  <si>
    <t>ADA Lock Cover, plastic (used with autolock lock base)</t>
  </si>
  <si>
    <t>Added black parts for black exterior / black interior product</t>
  </si>
  <si>
    <t>23-002</t>
  </si>
  <si>
    <t>11) BM, B&amp;T, Black/Black, 
Comp. tape</t>
  </si>
  <si>
    <t>Change -134 capstock part numbers to -180 capstock</t>
  </si>
  <si>
    <t>Added new WOCD</t>
  </si>
  <si>
    <t>N24-004</t>
  </si>
  <si>
    <t>These parts are not in use</t>
  </si>
  <si>
    <t>5) BM, Black / Black, Silicone</t>
  </si>
  <si>
    <t>Mark beige cap and dove grey parts as obsolete</t>
  </si>
  <si>
    <t>Head, for any size radius, Foam Filled</t>
  </si>
  <si>
    <t>Black Interior</t>
  </si>
  <si>
    <t>SINGLE HUNG INTEGRAL MULL FRAME</t>
  </si>
  <si>
    <t>Capstock Protective Tape, Exterior, 2"x1968ft. Roll</t>
  </si>
  <si>
    <t>Capstock Protective Tape, Interior, 15/16"x1968ft. Roll</t>
  </si>
  <si>
    <t>Capstock Protective Tape, Interior, 1.5"x1968ft. Roll</t>
  </si>
  <si>
    <t>Exterior Capstock Protective Tape, 1.5"x1968ft. Roll</t>
  </si>
  <si>
    <t>42 0717 021</t>
  </si>
  <si>
    <t>24-034</t>
  </si>
  <si>
    <t>BL/BL option uses 200171133 or 200190133 as appropriate</t>
  </si>
  <si>
    <t>600287-012</t>
  </si>
  <si>
    <t>Eliminate 200170 black glazing bead</t>
  </si>
  <si>
    <t>Add top corner blocks for black/black</t>
  </si>
  <si>
    <r>
      <t xml:space="preserve">Top Corner Block, Black, </t>
    </r>
    <r>
      <rPr>
        <sz val="9"/>
        <rFont val="Arial"/>
        <family val="2"/>
      </rPr>
      <t>(in the head jamb / balance pocket joint)</t>
    </r>
  </si>
  <si>
    <t>Used on BL/BL option ONLY</t>
  </si>
  <si>
    <t>25-028</t>
  </si>
  <si>
    <t>Other components for Integral Mull units are obtained from "Single Hung" and/or "Fixed Window" tabs as required for the individual opening</t>
  </si>
  <si>
    <t>13' lineal</t>
  </si>
  <si>
    <t>Simulated Check Rail Tape, 2.063" x .038"</t>
  </si>
  <si>
    <t>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</si>
</sst>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4" formatCode="_(&quot;$&quot;* #,##0.00_);_(&quot;$&quot;* \(#,##0.00\);_(&quot;$&quot;* &quot;-&quot;??_);_(@_)"/>
    <numFmt numFmtId="164" formatCode="0.000"/>
    <numFmt numFmtId="165" formatCode="0.0"/>
    <numFmt numFmtId="166" formatCode="0.00000"/>
    <numFmt numFmtId="167" formatCode="0.0000"/>
    <numFmt numFmtId="168" formatCode="#,##0.000"/>
    <numFmt numFmtId="169" formatCode="m/d/yy"/>
    <numFmt numFmtId="170" formatCode="m/d"/>
    <numFmt numFmtId="171" formatCode="00\ 0000\ 000"/>
    <numFmt numFmtId="172" formatCode="00\ 0000\ 000\ 000"/>
    <numFmt numFmtId="173" formatCode="000"/>
    <numFmt numFmtId="174" formatCode="00\ 0000"/>
    <numFmt numFmtId="175" formatCode="&quot;$&quot;#,##0.000"/>
    <numFmt numFmtId="176" formatCode="&quot;$&quot;#,##0.0000"/>
    <numFmt numFmtId="177" formatCode="&quot;$&quot;#,##0.00"/>
    <numFmt numFmtId="178" formatCode="0.00\ &quot;in&quot;"/>
    <numFmt numFmtId="179" formatCode="00&quot;'' Roll&quot;"/>
    <numFmt numFmtId="180" formatCode="0.00\ &quot;inch&quot;"/>
    <numFmt numFmtId="181" formatCode="0.000\ &quot;Lb/Ft&quot;"/>
    <numFmt numFmtId="182" formatCode="0.000\ &quot;in&quot;"/>
    <numFmt numFmtId="183" formatCode="0.000\ &quot;lb/ft&quot;"/>
    <numFmt numFmtId="184" formatCode="######\ ###\ ###"/>
    <numFmt numFmtId="185" formatCode="0.0000\ &quot;in&quot;"/>
    <numFmt numFmtId="186" formatCode="#,##0.0000"/>
    <numFmt numFmtId="187" formatCode="###0.00000;\-###0.00000"/>
    <numFmt numFmtId="188" formatCode="##\ ####\ ###\ ###"/>
  </numFmts>
  <fonts count="160" x14ac:knownFonts="1">
    <font>
      <sz val="10"/>
      <name val="Comic Sans MS"/>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omic Sans MS"/>
      <family val="4"/>
    </font>
    <font>
      <sz val="10"/>
      <name val="Comic Sans MS"/>
      <family val="4"/>
    </font>
    <font>
      <sz val="8"/>
      <color indexed="81"/>
      <name val="Tahoma"/>
      <family val="2"/>
    </font>
    <font>
      <sz val="9"/>
      <color indexed="44"/>
      <name val="Arial"/>
      <family val="2"/>
    </font>
    <font>
      <sz val="9"/>
      <color indexed="22"/>
      <name val="Arial"/>
      <family val="2"/>
    </font>
    <font>
      <sz val="9"/>
      <name val="Arial"/>
      <family val="2"/>
    </font>
    <font>
      <b/>
      <sz val="9"/>
      <name val="Arial"/>
      <family val="2"/>
    </font>
    <font>
      <sz val="9"/>
      <color indexed="10"/>
      <name val="Arial"/>
      <family val="2"/>
    </font>
    <font>
      <sz val="9"/>
      <color indexed="17"/>
      <name val="Arial"/>
      <family val="2"/>
    </font>
    <font>
      <sz val="8"/>
      <name val="Arial"/>
      <family val="2"/>
    </font>
    <font>
      <sz val="8"/>
      <name val="Lucida Sans"/>
      <family val="2"/>
    </font>
    <font>
      <sz val="10"/>
      <name val="Arial"/>
      <family val="2"/>
    </font>
    <font>
      <sz val="12"/>
      <name val="Arial"/>
      <family val="2"/>
    </font>
    <font>
      <b/>
      <sz val="10"/>
      <name val="Arial"/>
      <family val="2"/>
    </font>
    <font>
      <sz val="10"/>
      <name val="Arial"/>
      <family val="2"/>
    </font>
    <font>
      <b/>
      <sz val="8"/>
      <name val="Lucida Sans"/>
      <family val="2"/>
    </font>
    <font>
      <b/>
      <sz val="10"/>
      <name val="Lucida Sans"/>
      <family val="2"/>
    </font>
    <font>
      <sz val="12"/>
      <name val="Arial"/>
      <family val="2"/>
    </font>
    <font>
      <sz val="10"/>
      <name val="Tms Rmn"/>
    </font>
    <font>
      <b/>
      <u/>
      <sz val="16"/>
      <name val="Arial"/>
      <family val="2"/>
    </font>
    <font>
      <sz val="8"/>
      <name val="Comic Sans MS"/>
      <family val="4"/>
    </font>
    <font>
      <b/>
      <sz val="10"/>
      <color indexed="12"/>
      <name val="Arial"/>
      <family val="2"/>
    </font>
    <font>
      <u/>
      <sz val="10"/>
      <name val="Arial"/>
      <family val="2"/>
    </font>
    <font>
      <b/>
      <sz val="12"/>
      <name val="Arial"/>
      <family val="2"/>
    </font>
    <font>
      <b/>
      <sz val="8"/>
      <color indexed="81"/>
      <name val="Tahoma"/>
      <family val="2"/>
    </font>
    <font>
      <sz val="9"/>
      <color indexed="53"/>
      <name val="Arial"/>
      <family val="2"/>
    </font>
    <font>
      <sz val="9"/>
      <color indexed="23"/>
      <name val="Arial"/>
      <family val="2"/>
    </font>
    <font>
      <b/>
      <sz val="9"/>
      <color indexed="23"/>
      <name val="Arial"/>
      <family val="2"/>
    </font>
    <font>
      <sz val="12"/>
      <name val="Comic Sans MS"/>
      <family val="4"/>
    </font>
    <font>
      <b/>
      <sz val="14"/>
      <name val="Arial"/>
      <family val="2"/>
    </font>
    <font>
      <b/>
      <sz val="10"/>
      <color indexed="10"/>
      <name val="Arial"/>
      <family val="2"/>
    </font>
    <font>
      <b/>
      <sz val="8"/>
      <name val="Arial"/>
      <family val="2"/>
    </font>
    <font>
      <b/>
      <sz val="8"/>
      <color indexed="17"/>
      <name val="Arial"/>
      <family val="2"/>
    </font>
    <font>
      <sz val="8"/>
      <color indexed="17"/>
      <name val="Arial"/>
      <family val="2"/>
    </font>
    <font>
      <b/>
      <sz val="18"/>
      <color indexed="10"/>
      <name val="Arial"/>
      <family val="2"/>
    </font>
    <font>
      <b/>
      <sz val="9"/>
      <color indexed="10"/>
      <name val="Arial"/>
      <family val="2"/>
    </font>
    <font>
      <b/>
      <sz val="11"/>
      <name val="Arial"/>
      <family val="2"/>
    </font>
    <font>
      <strike/>
      <sz val="9"/>
      <name val="Arial"/>
      <family val="2"/>
    </font>
    <font>
      <b/>
      <i/>
      <sz val="10"/>
      <name val="Arial"/>
      <family val="2"/>
    </font>
    <font>
      <sz val="11"/>
      <color indexed="22"/>
      <name val="Arial"/>
      <family val="2"/>
    </font>
    <font>
      <sz val="11"/>
      <name val="Arial"/>
      <family val="2"/>
    </font>
    <font>
      <b/>
      <sz val="18"/>
      <color indexed="9"/>
      <name val="Arial"/>
      <family val="2"/>
    </font>
    <font>
      <b/>
      <sz val="16"/>
      <color indexed="12"/>
      <name val="Arial"/>
      <family val="2"/>
    </font>
    <font>
      <b/>
      <sz val="8"/>
      <color indexed="12"/>
      <name val="Arial"/>
      <family val="2"/>
    </font>
    <font>
      <sz val="9"/>
      <color indexed="8"/>
      <name val="Arial"/>
      <family val="2"/>
    </font>
    <font>
      <sz val="10"/>
      <color indexed="8"/>
      <name val="Arial"/>
      <family val="2"/>
    </font>
    <font>
      <b/>
      <sz val="9"/>
      <color indexed="8"/>
      <name val="Arial"/>
      <family val="2"/>
    </font>
    <font>
      <strike/>
      <sz val="9"/>
      <color indexed="8"/>
      <name val="Arial"/>
      <family val="2"/>
    </font>
    <font>
      <b/>
      <sz val="8"/>
      <color indexed="8"/>
      <name val="Lucida Sans"/>
      <family val="2"/>
    </font>
    <font>
      <sz val="8"/>
      <color indexed="8"/>
      <name val="Lucida Sans"/>
      <family val="2"/>
    </font>
    <font>
      <b/>
      <sz val="10"/>
      <color indexed="8"/>
      <name val="Arial"/>
      <family val="2"/>
    </font>
    <font>
      <sz val="10"/>
      <color indexed="8"/>
      <name val="Arial"/>
      <family val="2"/>
    </font>
    <font>
      <sz val="12"/>
      <color indexed="81"/>
      <name val="Tahoma"/>
      <family val="2"/>
    </font>
    <font>
      <sz val="10"/>
      <color indexed="81"/>
      <name val="Tahoma"/>
      <family val="2"/>
    </font>
    <font>
      <b/>
      <sz val="28"/>
      <color indexed="48"/>
      <name val="Arial"/>
      <family val="2"/>
    </font>
    <font>
      <sz val="14"/>
      <color indexed="12"/>
      <name val="Arial"/>
      <family val="2"/>
    </font>
    <font>
      <b/>
      <sz val="14"/>
      <color indexed="12"/>
      <name val="Arial"/>
      <family val="2"/>
    </font>
    <font>
      <b/>
      <sz val="20"/>
      <name val="Arial"/>
      <family val="2"/>
    </font>
    <font>
      <b/>
      <u/>
      <sz val="10"/>
      <name val="Arial"/>
      <family val="2"/>
    </font>
    <font>
      <sz val="10"/>
      <color indexed="12"/>
      <name val="Arial"/>
      <family val="2"/>
    </font>
    <font>
      <sz val="8"/>
      <color indexed="8"/>
      <name val="Arial"/>
      <family val="2"/>
    </font>
    <font>
      <b/>
      <sz val="8"/>
      <color indexed="8"/>
      <name val="Arial"/>
      <family val="2"/>
    </font>
    <font>
      <sz val="48"/>
      <name val="Arial"/>
      <family val="2"/>
    </font>
    <font>
      <sz val="9"/>
      <color indexed="9"/>
      <name val="Arial"/>
      <family val="2"/>
    </font>
    <font>
      <b/>
      <sz val="9"/>
      <color indexed="12"/>
      <name val="Arial"/>
      <family val="2"/>
    </font>
    <font>
      <b/>
      <strike/>
      <sz val="9"/>
      <name val="Arial"/>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sz val="9"/>
      <color indexed="81"/>
      <name val="Tahoma"/>
      <family val="2"/>
    </font>
    <font>
      <b/>
      <sz val="9"/>
      <color indexed="81"/>
      <name val="Tahoma"/>
      <family val="2"/>
    </font>
    <font>
      <sz val="10"/>
      <name val="Arial"/>
      <family val="2"/>
    </font>
    <font>
      <sz val="10"/>
      <color indexed="11"/>
      <name val="Comic Sans MS"/>
      <family val="4"/>
    </font>
    <font>
      <sz val="10"/>
      <color indexed="48"/>
      <name val="Comic Sans MS"/>
      <family val="4"/>
    </font>
    <font>
      <sz val="10"/>
      <color indexed="14"/>
      <name val="Comic Sans MS"/>
      <family val="4"/>
    </font>
    <font>
      <sz val="10"/>
      <color indexed="10"/>
      <name val="Arial"/>
      <family val="2"/>
    </font>
    <font>
      <b/>
      <sz val="28"/>
      <color indexed="12"/>
      <name val="Arial"/>
      <family val="2"/>
    </font>
    <font>
      <sz val="9"/>
      <color indexed="12"/>
      <name val="Arial"/>
      <family val="2"/>
    </font>
    <font>
      <b/>
      <u/>
      <sz val="16"/>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b/>
      <sz val="10"/>
      <color indexed="14"/>
      <name val="Arial"/>
      <family val="2"/>
    </font>
    <font>
      <sz val="8"/>
      <color indexed="81"/>
      <name val="Arial"/>
      <family val="2"/>
    </font>
    <font>
      <sz val="9.1999999999999993"/>
      <color indexed="81"/>
      <name val="Tahoma"/>
      <family val="2"/>
    </font>
    <font>
      <sz val="11"/>
      <color theme="1"/>
      <name val="Calibri"/>
      <family val="2"/>
      <scheme val="minor"/>
    </font>
    <font>
      <b/>
      <sz val="9"/>
      <color rgb="FF0070C0"/>
      <name val="Arial"/>
      <family val="2"/>
    </font>
    <font>
      <b/>
      <sz val="10"/>
      <color indexed="81"/>
      <name val="Tahoma"/>
      <family val="2"/>
    </font>
    <font>
      <sz val="10"/>
      <name val="Comic Sans MS"/>
      <family val="4"/>
    </font>
    <font>
      <sz val="10"/>
      <name val="Arial"/>
      <family val="2"/>
    </font>
    <font>
      <sz val="10"/>
      <color rgb="FFFF00FF"/>
      <name val="Arial"/>
      <family val="2"/>
    </font>
    <font>
      <sz val="12"/>
      <color rgb="FFFF00FF"/>
      <name val="Arial"/>
      <family val="2"/>
    </font>
    <font>
      <b/>
      <u/>
      <sz val="9"/>
      <name val="Arial"/>
      <family val="2"/>
    </font>
    <font>
      <strike/>
      <sz val="9"/>
      <color rgb="FFFF0000"/>
      <name val="Arial"/>
      <family val="2"/>
    </font>
    <font>
      <b/>
      <sz val="10"/>
      <color rgb="FF0000FF"/>
      <name val="Arial"/>
      <family val="2"/>
    </font>
    <font>
      <b/>
      <sz val="9"/>
      <color theme="9" tint="-0.249977111117893"/>
      <name val="Arial"/>
      <family val="2"/>
    </font>
    <font>
      <sz val="14"/>
      <name val="Arial"/>
      <family val="2"/>
    </font>
    <font>
      <sz val="9"/>
      <color theme="9" tint="-0.249977111117893"/>
      <name val="Arial"/>
      <family val="2"/>
    </font>
    <font>
      <sz val="9"/>
      <name val="Comic Sans MS"/>
      <family val="4"/>
    </font>
    <font>
      <sz val="8"/>
      <color indexed="10"/>
      <name val="Tahoma"/>
      <family val="2"/>
    </font>
    <font>
      <b/>
      <u/>
      <sz val="8"/>
      <name val="Arial"/>
      <family val="2"/>
    </font>
    <font>
      <u/>
      <sz val="9"/>
      <name val="Arial"/>
      <family val="2"/>
    </font>
    <font>
      <b/>
      <sz val="24"/>
      <color indexed="48"/>
      <name val="Arial"/>
      <family val="2"/>
    </font>
    <font>
      <b/>
      <sz val="24"/>
      <color indexed="12"/>
      <name val="Arial"/>
      <family val="2"/>
    </font>
    <font>
      <sz val="10"/>
      <color rgb="FFFF0000"/>
      <name val="Arial"/>
      <family val="2"/>
    </font>
    <font>
      <sz val="10"/>
      <color rgb="FF008000"/>
      <name val="Comic Sans MS"/>
      <family val="4"/>
    </font>
    <font>
      <b/>
      <u/>
      <sz val="10"/>
      <color rgb="FF008000"/>
      <name val="Comic Sans MS"/>
      <family val="4"/>
    </font>
    <font>
      <sz val="9"/>
      <color rgb="FFFF0000"/>
      <name val="Arial"/>
      <family val="2"/>
    </font>
    <font>
      <sz val="9"/>
      <color rgb="FFFF00FF"/>
      <name val="Arial"/>
      <family val="2"/>
    </font>
    <font>
      <sz val="11"/>
      <color theme="1"/>
      <name val="Arial"/>
      <family val="2"/>
    </font>
    <font>
      <sz val="36"/>
      <color theme="1"/>
      <name val="Arial"/>
      <family val="2"/>
    </font>
    <font>
      <sz val="9"/>
      <color rgb="FF008000"/>
      <name val="Arial"/>
      <family val="2"/>
    </font>
    <font>
      <b/>
      <sz val="10"/>
      <color theme="9" tint="-0.249977111117893"/>
      <name val="Arial"/>
      <family val="2"/>
    </font>
    <font>
      <sz val="10"/>
      <color rgb="FF0000FF"/>
      <name val="Arial"/>
      <family val="2"/>
    </font>
    <font>
      <sz val="9"/>
      <name val="Lucida Sans"/>
      <family val="2"/>
    </font>
    <font>
      <sz val="8"/>
      <color rgb="FF0000FF"/>
      <name val="Arial"/>
      <family val="2"/>
    </font>
    <font>
      <sz val="9"/>
      <color rgb="FF0000FF"/>
      <name val="Arial"/>
      <family val="2"/>
    </font>
    <font>
      <b/>
      <sz val="10"/>
      <color rgb="FFFF0000"/>
      <name val="Arial"/>
      <family val="2"/>
    </font>
    <font>
      <sz val="9"/>
      <color theme="1"/>
      <name val="Arial"/>
      <family val="2"/>
    </font>
    <font>
      <sz val="10"/>
      <color theme="1"/>
      <name val="Arial"/>
      <family val="2"/>
    </font>
    <font>
      <sz val="11"/>
      <color rgb="FF000000"/>
      <name val="Calibri"/>
      <family val="2"/>
    </font>
    <font>
      <strike/>
      <sz val="10"/>
      <name val="Arial"/>
      <family val="2"/>
    </font>
    <font>
      <sz val="10"/>
      <color rgb="FF000000"/>
      <name val="Arial"/>
      <family val="2"/>
    </font>
    <font>
      <sz val="11"/>
      <color rgb="FFFF0000"/>
      <name val="Arial"/>
      <family val="2"/>
    </font>
    <font>
      <sz val="8"/>
      <color rgb="FF00B050"/>
      <name val="Arial"/>
      <family val="2"/>
    </font>
    <font>
      <sz val="20"/>
      <name val="Arial"/>
      <family val="2"/>
    </font>
    <font>
      <sz val="9"/>
      <color indexed="10"/>
      <name val="Tahoma"/>
      <family val="2"/>
    </font>
    <font>
      <u/>
      <sz val="10"/>
      <color rgb="FFFF0000"/>
      <name val="Arial"/>
      <family val="2"/>
    </font>
    <font>
      <sz val="10"/>
      <color rgb="FF3366FF"/>
      <name val="Comic Sans MS"/>
      <family val="4"/>
    </font>
    <font>
      <sz val="10"/>
      <color theme="9" tint="-0.249977111117893"/>
      <name val="Comic Sans MS"/>
      <family val="4"/>
    </font>
    <font>
      <sz val="48"/>
      <color theme="9" tint="-0.249977111117893"/>
      <name val="Arial"/>
      <family val="2"/>
    </font>
    <font>
      <sz val="48"/>
      <color rgb="FF3366FF"/>
      <name val="Arial"/>
      <family val="2"/>
    </font>
    <font>
      <u/>
      <sz val="9"/>
      <color indexed="81"/>
      <name val="Tahoma"/>
      <family val="2"/>
    </font>
    <font>
      <b/>
      <strike/>
      <sz val="9"/>
      <color rgb="FFFF0000"/>
      <name val="Arial"/>
      <family val="2"/>
    </font>
    <font>
      <b/>
      <sz val="9"/>
      <color rgb="FF0000FF"/>
      <name val="Arial"/>
      <family val="2"/>
    </font>
    <font>
      <b/>
      <sz val="14"/>
      <color rgb="FF0000FF"/>
      <name val="Arial"/>
      <family val="2"/>
    </font>
    <font>
      <u/>
      <sz val="11"/>
      <color theme="1"/>
      <name val="Arial"/>
      <family val="2"/>
    </font>
    <font>
      <sz val="9"/>
      <color rgb="FFFFFF00"/>
      <name val="Arial"/>
      <family val="2"/>
    </font>
    <font>
      <sz val="9"/>
      <color rgb="FF000000"/>
      <name val="Arial"/>
      <family val="2"/>
    </font>
    <font>
      <sz val="9"/>
      <color rgb="FF000000"/>
      <name val="Arial"/>
      <family val="2"/>
    </font>
    <font>
      <sz val="8"/>
      <color rgb="FFFF0000"/>
      <name val="Arial"/>
      <family val="2"/>
    </font>
    <font>
      <b/>
      <sz val="12"/>
      <color rgb="FFFF0000"/>
      <name val="Arial"/>
      <family val="2"/>
    </font>
  </fonts>
  <fills count="5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3"/>
        <bgColor indexed="64"/>
      </patternFill>
    </fill>
    <fill>
      <patternFill patternType="solid">
        <fgColor indexed="42"/>
        <bgColor indexed="64"/>
      </patternFill>
    </fill>
    <fill>
      <patternFill patternType="solid">
        <fgColor indexed="13"/>
        <bgColor indexed="64"/>
      </patternFill>
    </fill>
    <fill>
      <patternFill patternType="solid">
        <fgColor indexed="44"/>
        <bgColor indexed="64"/>
      </patternFill>
    </fill>
    <fill>
      <patternFill patternType="solid">
        <fgColor indexed="9"/>
        <bgColor indexed="64"/>
      </patternFill>
    </fill>
    <fill>
      <patternFill patternType="solid">
        <fgColor indexed="22"/>
        <bgColor indexed="64"/>
      </patternFill>
    </fill>
    <fill>
      <patternFill patternType="solid">
        <fgColor indexed="48"/>
        <bgColor indexed="64"/>
      </patternFill>
    </fill>
    <fill>
      <patternFill patternType="solid">
        <fgColor indexed="10"/>
        <bgColor indexed="64"/>
      </patternFill>
    </fill>
    <fill>
      <patternFill patternType="solid">
        <fgColor indexed="43"/>
        <bgColor indexed="64"/>
      </patternFill>
    </fill>
    <fill>
      <patternFill patternType="solid">
        <fgColor indexed="11"/>
        <bgColor indexed="64"/>
      </patternFill>
    </fill>
    <fill>
      <patternFill patternType="solid">
        <fgColor indexed="55"/>
        <bgColor indexed="64"/>
      </patternFill>
    </fill>
    <fill>
      <patternFill patternType="solid">
        <fgColor indexed="46"/>
        <bgColor indexed="64"/>
      </patternFill>
    </fill>
    <fill>
      <patternFill patternType="solid">
        <fgColor indexed="14"/>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rgb="FF99CCFF"/>
        <bgColor indexed="64"/>
      </patternFill>
    </fill>
    <fill>
      <patternFill patternType="solid">
        <fgColor rgb="FFCCFFCC"/>
        <bgColor indexed="64"/>
      </patternFill>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
      <patternFill patternType="solid">
        <fgColor rgb="FFFFC000"/>
        <bgColor indexed="64"/>
      </patternFill>
    </fill>
    <fill>
      <patternFill patternType="solid">
        <fgColor rgb="FFFF00FF"/>
        <bgColor indexed="64"/>
      </patternFill>
    </fill>
    <fill>
      <patternFill patternType="solid">
        <fgColor rgb="FFCC99FF"/>
        <bgColor indexed="64"/>
      </patternFill>
    </fill>
    <fill>
      <patternFill patternType="solid">
        <fgColor rgb="FF00B0F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theme="2" tint="-9.9978637043366805E-2"/>
        <bgColor indexed="64"/>
      </patternFill>
    </fill>
    <fill>
      <patternFill patternType="solid">
        <fgColor rgb="FF00FF00"/>
        <bgColor indexed="64"/>
      </patternFill>
    </fill>
    <fill>
      <patternFill patternType="solid">
        <fgColor theme="7" tint="0.59999389629810485"/>
        <bgColor indexed="64"/>
      </patternFill>
    </fill>
    <fill>
      <patternFill patternType="solid">
        <fgColor rgb="FFFFFFCC"/>
        <bgColor indexed="64"/>
      </patternFill>
    </fill>
    <fill>
      <patternFill patternType="solid">
        <fgColor theme="0" tint="-0.249977111117893"/>
        <bgColor indexed="64"/>
      </patternFill>
    </fill>
    <fill>
      <patternFill patternType="solid">
        <fgColor rgb="FF808080"/>
        <bgColor indexed="64"/>
      </patternFill>
    </fill>
  </fills>
  <borders count="10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style="medium">
        <color indexed="64"/>
      </right>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medium">
        <color indexed="64"/>
      </top>
      <bottom/>
      <diagonal/>
    </border>
    <border>
      <left/>
      <right style="thin">
        <color indexed="64"/>
      </right>
      <top/>
      <bottom/>
      <diagonal/>
    </border>
    <border>
      <left style="thin">
        <color indexed="9"/>
      </left>
      <right/>
      <top/>
      <bottom/>
      <diagonal/>
    </border>
    <border>
      <left/>
      <right/>
      <top style="thick">
        <color indexed="64"/>
      </top>
      <bottom style="thick">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right/>
      <top/>
      <bottom style="thick">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diagonal/>
    </border>
    <border>
      <left/>
      <right style="thin">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ck">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right style="double">
        <color indexed="64"/>
      </right>
      <top/>
      <bottom/>
      <diagonal/>
    </border>
    <border>
      <left style="double">
        <color indexed="64"/>
      </left>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right/>
      <top/>
      <bottom style="medium">
        <color indexed="30"/>
      </bottom>
      <diagonal/>
    </border>
    <border>
      <left/>
      <right/>
      <top/>
      <bottom style="medium">
        <color indexed="30"/>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auto="1"/>
      </left>
      <right/>
      <top style="thin">
        <color auto="1"/>
      </top>
      <bottom style="medium">
        <color auto="1"/>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rgb="FF000000"/>
      </top>
      <bottom style="medium">
        <color indexed="64"/>
      </bottom>
      <diagonal/>
    </border>
    <border>
      <left/>
      <right/>
      <top/>
      <bottom style="medium">
        <color rgb="FF000000"/>
      </bottom>
      <diagonal/>
    </border>
    <border>
      <left/>
      <right/>
      <top style="thin">
        <color rgb="FF000000"/>
      </top>
      <bottom style="medium">
        <color rgb="FF000000"/>
      </bottom>
      <diagonal/>
    </border>
  </borders>
  <cellStyleXfs count="145">
    <xf numFmtId="0" fontId="0" fillId="0" borderId="0"/>
    <xf numFmtId="0" fontId="88" fillId="2" borderId="0" applyNumberFormat="0" applyBorder="0" applyAlignment="0" applyProtection="0"/>
    <xf numFmtId="0" fontId="88" fillId="3" borderId="0" applyNumberFormat="0" applyBorder="0" applyAlignment="0" applyProtection="0"/>
    <xf numFmtId="0" fontId="88" fillId="4" borderId="0" applyNumberFormat="0" applyBorder="0" applyAlignment="0" applyProtection="0"/>
    <xf numFmtId="0" fontId="88" fillId="5" borderId="0" applyNumberFormat="0" applyBorder="0" applyAlignment="0" applyProtection="0"/>
    <xf numFmtId="0" fontId="88" fillId="6" borderId="0" applyNumberFormat="0" applyBorder="0" applyAlignment="0" applyProtection="0"/>
    <xf numFmtId="0" fontId="88" fillId="7" borderId="0" applyNumberFormat="0" applyBorder="0" applyAlignment="0" applyProtection="0"/>
    <xf numFmtId="0" fontId="88" fillId="8" borderId="0" applyNumberFormat="0" applyBorder="0" applyAlignment="0" applyProtection="0"/>
    <xf numFmtId="0" fontId="88" fillId="9" borderId="0" applyNumberFormat="0" applyBorder="0" applyAlignment="0" applyProtection="0"/>
    <xf numFmtId="0" fontId="88" fillId="10" borderId="0" applyNumberFormat="0" applyBorder="0" applyAlignment="0" applyProtection="0"/>
    <xf numFmtId="0" fontId="88" fillId="5" borderId="0" applyNumberFormat="0" applyBorder="0" applyAlignment="0" applyProtection="0"/>
    <xf numFmtId="0" fontId="88" fillId="8" borderId="0" applyNumberFormat="0" applyBorder="0" applyAlignment="0" applyProtection="0"/>
    <xf numFmtId="0" fontId="88" fillId="11" borderId="0" applyNumberFormat="0" applyBorder="0" applyAlignment="0" applyProtection="0"/>
    <xf numFmtId="0" fontId="89" fillId="12" borderId="0" applyNumberFormat="0" applyBorder="0" applyAlignment="0" applyProtection="0"/>
    <xf numFmtId="0" fontId="89" fillId="9" borderId="0" applyNumberFormat="0" applyBorder="0" applyAlignment="0" applyProtection="0"/>
    <xf numFmtId="0" fontId="89" fillId="10" borderId="0" applyNumberFormat="0" applyBorder="0" applyAlignment="0" applyProtection="0"/>
    <xf numFmtId="0" fontId="89" fillId="13" borderId="0" applyNumberFormat="0" applyBorder="0" applyAlignment="0" applyProtection="0"/>
    <xf numFmtId="0" fontId="89" fillId="14" borderId="0" applyNumberFormat="0" applyBorder="0" applyAlignment="0" applyProtection="0"/>
    <xf numFmtId="0" fontId="89" fillId="15" borderId="0" applyNumberFormat="0" applyBorder="0" applyAlignment="0" applyProtection="0"/>
    <xf numFmtId="0" fontId="89" fillId="16" borderId="0" applyNumberFormat="0" applyBorder="0" applyAlignment="0" applyProtection="0"/>
    <xf numFmtId="0" fontId="89" fillId="17" borderId="0" applyNumberFormat="0" applyBorder="0" applyAlignment="0" applyProtection="0"/>
    <xf numFmtId="0" fontId="89" fillId="18" borderId="0" applyNumberFormat="0" applyBorder="0" applyAlignment="0" applyProtection="0"/>
    <xf numFmtId="0" fontId="89" fillId="13" borderId="0" applyNumberFormat="0" applyBorder="0" applyAlignment="0" applyProtection="0"/>
    <xf numFmtId="0" fontId="89" fillId="14" borderId="0" applyNumberFormat="0" applyBorder="0" applyAlignment="0" applyProtection="0"/>
    <xf numFmtId="0" fontId="89" fillId="19" borderId="0" applyNumberFormat="0" applyBorder="0" applyAlignment="0" applyProtection="0"/>
    <xf numFmtId="0" fontId="90" fillId="3" borderId="0" applyNumberFormat="0" applyBorder="0" applyAlignment="0" applyProtection="0"/>
    <xf numFmtId="0" fontId="91" fillId="20" borderId="1" applyNumberFormat="0" applyAlignment="0" applyProtection="0"/>
    <xf numFmtId="0" fontId="92" fillId="21" borderId="2" applyNumberFormat="0" applyAlignment="0" applyProtection="0"/>
    <xf numFmtId="44" fontId="7" fillId="0" borderId="0" applyFont="0" applyFill="0" applyBorder="0" applyAlignment="0" applyProtection="0"/>
    <xf numFmtId="44" fontId="8" fillId="0" borderId="0" applyFont="0" applyFill="0" applyBorder="0" applyAlignment="0" applyProtection="0"/>
    <xf numFmtId="44" fontId="24" fillId="0" borderId="0" applyFont="0" applyFill="0" applyBorder="0" applyAlignment="0" applyProtection="0"/>
    <xf numFmtId="44" fontId="21" fillId="0" borderId="0" applyFont="0" applyFill="0" applyBorder="0" applyAlignment="0" applyProtection="0"/>
    <xf numFmtId="44" fontId="8" fillId="0" borderId="0" applyFont="0" applyFill="0" applyBorder="0" applyAlignment="0" applyProtection="0"/>
    <xf numFmtId="44" fontId="18" fillId="0" borderId="0" applyFont="0" applyFill="0" applyBorder="0" applyAlignment="0" applyProtection="0"/>
    <xf numFmtId="0" fontId="93" fillId="0" borderId="0" applyNumberFormat="0" applyFill="0" applyBorder="0" applyAlignment="0" applyProtection="0"/>
    <xf numFmtId="0" fontId="94" fillId="4" borderId="0" applyNumberFormat="0" applyBorder="0" applyAlignment="0" applyProtection="0"/>
    <xf numFmtId="0" fontId="73" fillId="0" borderId="3" applyNumberFormat="0" applyFill="0" applyAlignment="0" applyProtection="0"/>
    <xf numFmtId="0" fontId="74" fillId="0" borderId="4" applyNumberFormat="0" applyFill="0" applyAlignment="0" applyProtection="0"/>
    <xf numFmtId="0" fontId="75" fillId="0" borderId="5" applyNumberFormat="0" applyFill="0" applyAlignment="0" applyProtection="0"/>
    <xf numFmtId="0" fontId="75" fillId="0" borderId="0" applyNumberFormat="0" applyFill="0" applyBorder="0" applyAlignment="0" applyProtection="0"/>
    <xf numFmtId="0" fontId="95" fillId="7" borderId="1" applyNumberFormat="0" applyAlignment="0" applyProtection="0"/>
    <xf numFmtId="0" fontId="76" fillId="0" borderId="6" applyNumberFormat="0" applyFill="0" applyAlignment="0" applyProtection="0"/>
    <xf numFmtId="0" fontId="96" fillId="22" borderId="0" applyNumberFormat="0" applyBorder="0" applyAlignment="0" applyProtection="0"/>
    <xf numFmtId="0" fontId="25" fillId="0" borderId="0"/>
    <xf numFmtId="0" fontId="18" fillId="0" borderId="0"/>
    <xf numFmtId="0" fontId="18" fillId="0" borderId="0"/>
    <xf numFmtId="0" fontId="8" fillId="0" borderId="0"/>
    <xf numFmtId="0" fontId="8" fillId="0" borderId="0"/>
    <xf numFmtId="0" fontId="8" fillId="0" borderId="0"/>
    <xf numFmtId="0" fontId="24" fillId="0" borderId="0"/>
    <xf numFmtId="0" fontId="24" fillId="0" borderId="0"/>
    <xf numFmtId="0" fontId="21" fillId="0" borderId="0"/>
    <xf numFmtId="0" fontId="7" fillId="0" borderId="0"/>
    <xf numFmtId="0" fontId="21" fillId="0" borderId="0"/>
    <xf numFmtId="0" fontId="8" fillId="0" borderId="0"/>
    <xf numFmtId="0" fontId="21" fillId="0" borderId="0"/>
    <xf numFmtId="0" fontId="103" fillId="0" borderId="0"/>
    <xf numFmtId="0" fontId="18" fillId="0" borderId="0"/>
    <xf numFmtId="0" fontId="18" fillId="0" borderId="0"/>
    <xf numFmtId="0" fontId="18" fillId="0" borderId="0"/>
    <xf numFmtId="0" fontId="80" fillId="0" borderId="0"/>
    <xf numFmtId="0" fontId="80" fillId="0" borderId="0"/>
    <xf numFmtId="0" fontId="58" fillId="0" borderId="0"/>
    <xf numFmtId="0" fontId="19" fillId="0" borderId="0"/>
    <xf numFmtId="0" fontId="19" fillId="0" borderId="0"/>
    <xf numFmtId="0" fontId="58" fillId="0" borderId="0"/>
    <xf numFmtId="0" fontId="8" fillId="23" borderId="7" applyNumberFormat="0" applyFont="0" applyAlignment="0" applyProtection="0"/>
    <xf numFmtId="0" fontId="97" fillId="20" borderId="8" applyNumberFormat="0" applyAlignment="0" applyProtection="0"/>
    <xf numFmtId="9" fontId="7" fillId="0" borderId="0" applyFont="0" applyFill="0" applyBorder="0" applyAlignment="0" applyProtection="0"/>
    <xf numFmtId="0" fontId="77" fillId="0" borderId="0" applyNumberFormat="0" applyFill="0" applyBorder="0" applyAlignment="0" applyProtection="0"/>
    <xf numFmtId="0" fontId="98" fillId="0" borderId="9" applyNumberFormat="0" applyFill="0" applyAlignment="0" applyProtection="0"/>
    <xf numFmtId="0" fontId="99" fillId="0" borderId="0" applyNumberFormat="0" applyFill="0" applyBorder="0" applyAlignment="0" applyProtection="0"/>
    <xf numFmtId="0" fontId="7" fillId="0" borderId="0"/>
    <xf numFmtId="44" fontId="7" fillId="0" borderId="0" applyFont="0" applyFill="0" applyBorder="0" applyAlignment="0" applyProtection="0"/>
    <xf numFmtId="44" fontId="19" fillId="0" borderId="0" applyFont="0" applyFill="0" applyBorder="0" applyAlignment="0" applyProtection="0"/>
    <xf numFmtId="44" fontId="18" fillId="0" borderId="0" applyFont="0" applyFill="0" applyBorder="0" applyAlignment="0" applyProtection="0"/>
    <xf numFmtId="44" fontId="7" fillId="0" borderId="0" applyFont="0" applyFill="0" applyBorder="0" applyAlignment="0" applyProtection="0"/>
    <xf numFmtId="0" fontId="7" fillId="0" borderId="0"/>
    <xf numFmtId="0" fontId="7" fillId="0" borderId="0"/>
    <xf numFmtId="0" fontId="7" fillId="0" borderId="0"/>
    <xf numFmtId="0" fontId="19" fillId="0" borderId="0"/>
    <xf numFmtId="0" fontId="18" fillId="0" borderId="0"/>
    <xf numFmtId="0" fontId="18" fillId="0" borderId="0"/>
    <xf numFmtId="0" fontId="7" fillId="0" borderId="0"/>
    <xf numFmtId="0" fontId="6" fillId="0" borderId="0"/>
    <xf numFmtId="0" fontId="7" fillId="23" borderId="7"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07" fillId="0" borderId="0"/>
    <xf numFmtId="44" fontId="107" fillId="0" borderId="0" applyFont="0" applyFill="0" applyBorder="0" applyAlignment="0" applyProtection="0"/>
    <xf numFmtId="0" fontId="106" fillId="0" borderId="0"/>
    <xf numFmtId="44" fontId="107" fillId="0" borderId="0" applyFont="0" applyFill="0" applyBorder="0" applyAlignment="0" applyProtection="0"/>
    <xf numFmtId="0" fontId="5" fillId="0" borderId="0"/>
    <xf numFmtId="0" fontId="4" fillId="0" borderId="0"/>
    <xf numFmtId="0" fontId="4" fillId="0" borderId="0"/>
    <xf numFmtId="0" fontId="18" fillId="0" borderId="0"/>
    <xf numFmtId="44" fontId="18" fillId="0" borderId="0" applyFont="0" applyFill="0" applyBorder="0" applyAlignment="0" applyProtection="0"/>
    <xf numFmtId="0" fontId="7" fillId="0" borderId="0"/>
    <xf numFmtId="44" fontId="18" fillId="0" borderId="0" applyFont="0" applyFill="0" applyBorder="0" applyAlignment="0" applyProtection="0"/>
    <xf numFmtId="0" fontId="4" fillId="0" borderId="0"/>
    <xf numFmtId="0" fontId="3" fillId="0" borderId="0"/>
    <xf numFmtId="0" fontId="19" fillId="0" borderId="0"/>
    <xf numFmtId="0" fontId="75" fillId="0" borderId="81" applyNumberFormat="0" applyFill="0" applyAlignment="0" applyProtection="0"/>
    <xf numFmtId="0" fontId="75" fillId="0" borderId="80" applyNumberFormat="0" applyFill="0" applyAlignment="0" applyProtection="0"/>
    <xf numFmtId="0" fontId="18" fillId="23" borderId="7" applyNumberFormat="0" applyFont="0" applyAlignment="0" applyProtection="0"/>
    <xf numFmtId="0" fontId="19" fillId="0" borderId="0"/>
    <xf numFmtId="0" fontId="19" fillId="0" borderId="0"/>
    <xf numFmtId="0" fontId="19" fillId="0" borderId="0"/>
    <xf numFmtId="0" fontId="19"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cellStyleXfs>
  <cellXfs count="2167">
    <xf numFmtId="0" fontId="0" fillId="0" borderId="0" xfId="0"/>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164" fontId="12" fillId="0" borderId="0" xfId="0" applyNumberFormat="1" applyFont="1" applyAlignment="1">
      <alignment horizontal="center" vertical="center"/>
    </xf>
    <xf numFmtId="2" fontId="12" fillId="0" borderId="0" xfId="0" applyNumberFormat="1" applyFont="1" applyAlignment="1">
      <alignment vertical="center"/>
    </xf>
    <xf numFmtId="0" fontId="13" fillId="0" borderId="0" xfId="0" applyFont="1" applyAlignment="1">
      <alignment vertical="center"/>
    </xf>
    <xf numFmtId="0" fontId="12" fillId="0" borderId="0" xfId="0" applyFont="1" applyAlignment="1">
      <alignment horizontal="left" vertical="center"/>
    </xf>
    <xf numFmtId="175" fontId="13" fillId="0" borderId="0" xfId="0" applyNumberFormat="1" applyFont="1" applyAlignment="1">
      <alignment horizontal="center" vertical="center"/>
    </xf>
    <xf numFmtId="0" fontId="12" fillId="24" borderId="0" xfId="0" applyFont="1" applyFill="1" applyAlignment="1">
      <alignment vertical="center"/>
    </xf>
    <xf numFmtId="0" fontId="12" fillId="24" borderId="0" xfId="0" applyFont="1" applyFill="1" applyAlignment="1">
      <alignment horizontal="left" vertical="center"/>
    </xf>
    <xf numFmtId="0" fontId="13" fillId="24" borderId="0" xfId="0" applyFont="1" applyFill="1" applyAlignment="1">
      <alignment horizontal="right" vertical="center"/>
    </xf>
    <xf numFmtId="164" fontId="12" fillId="24" borderId="0" xfId="0" applyNumberFormat="1" applyFont="1" applyFill="1" applyAlignment="1">
      <alignment horizontal="left" vertical="center"/>
    </xf>
    <xf numFmtId="0" fontId="12" fillId="24" borderId="0" xfId="0" applyFont="1" applyFill="1" applyAlignment="1">
      <alignment horizontal="center" vertical="center"/>
    </xf>
    <xf numFmtId="0" fontId="14" fillId="24" borderId="0" xfId="0" applyFont="1" applyFill="1" applyAlignment="1">
      <alignment horizontal="left" vertical="center"/>
    </xf>
    <xf numFmtId="2" fontId="12" fillId="24" borderId="0" xfId="0" applyNumberFormat="1" applyFont="1" applyFill="1" applyAlignment="1">
      <alignment horizontal="center" vertical="center"/>
    </xf>
    <xf numFmtId="164" fontId="12" fillId="24" borderId="0" xfId="0" applyNumberFormat="1" applyFont="1" applyFill="1" applyAlignment="1">
      <alignment horizontal="center" vertical="center"/>
    </xf>
    <xf numFmtId="2" fontId="12" fillId="24" borderId="0" xfId="0" applyNumberFormat="1" applyFont="1" applyFill="1" applyAlignment="1">
      <alignment vertical="center"/>
    </xf>
    <xf numFmtId="175" fontId="12" fillId="24" borderId="0" xfId="0" applyNumberFormat="1" applyFont="1" applyFill="1" applyAlignment="1">
      <alignment horizontal="center" vertical="center"/>
    </xf>
    <xf numFmtId="0" fontId="13" fillId="24" borderId="0" xfId="0" applyFont="1" applyFill="1" applyAlignment="1">
      <alignment horizontal="center" vertical="center"/>
    </xf>
    <xf numFmtId="164" fontId="13" fillId="0" borderId="0" xfId="0" applyNumberFormat="1" applyFont="1" applyAlignment="1">
      <alignment horizontal="center" vertical="center" wrapText="1"/>
    </xf>
    <xf numFmtId="2" fontId="13" fillId="0" borderId="0" xfId="0" applyNumberFormat="1" applyFont="1" applyAlignment="1">
      <alignment horizontal="center" vertical="center"/>
    </xf>
    <xf numFmtId="0" fontId="13" fillId="0" borderId="0" xfId="0" applyFont="1" applyAlignment="1">
      <alignment horizontal="center"/>
    </xf>
    <xf numFmtId="164" fontId="13" fillId="0" borderId="0" xfId="0" applyNumberFormat="1" applyFont="1" applyAlignment="1">
      <alignment horizontal="center" vertical="center"/>
    </xf>
    <xf numFmtId="0" fontId="12" fillId="0" borderId="0" xfId="0" applyFont="1" applyAlignment="1">
      <alignment horizontal="center" wrapText="1"/>
    </xf>
    <xf numFmtId="0" fontId="13" fillId="0" borderId="0" xfId="0" applyFont="1" applyAlignment="1">
      <alignment horizontal="left"/>
    </xf>
    <xf numFmtId="0" fontId="13" fillId="24" borderId="0" xfId="0" applyFont="1" applyFill="1" applyAlignment="1">
      <alignment horizontal="center"/>
    </xf>
    <xf numFmtId="0" fontId="13" fillId="0" borderId="0" xfId="0" quotePrefix="1" applyFont="1" applyAlignment="1">
      <alignment horizontal="center"/>
    </xf>
    <xf numFmtId="164" fontId="13" fillId="0" borderId="0" xfId="0" applyNumberFormat="1" applyFont="1" applyAlignment="1">
      <alignment horizontal="center"/>
    </xf>
    <xf numFmtId="2" fontId="12" fillId="0" borderId="0" xfId="0" quotePrefix="1" applyNumberFormat="1" applyFont="1" applyAlignment="1">
      <alignment horizontal="center" vertical="center"/>
    </xf>
    <xf numFmtId="0" fontId="12" fillId="0" borderId="0" xfId="0" applyFont="1" applyAlignment="1">
      <alignment horizontal="center"/>
    </xf>
    <xf numFmtId="175" fontId="13" fillId="0" borderId="0" xfId="0" applyNumberFormat="1" applyFont="1" applyAlignment="1">
      <alignment horizontal="center"/>
    </xf>
    <xf numFmtId="0" fontId="13" fillId="25" borderId="0" xfId="0" applyFont="1" applyFill="1" applyAlignment="1">
      <alignment horizontal="center"/>
    </xf>
    <xf numFmtId="0" fontId="12" fillId="26" borderId="0" xfId="0" applyFont="1" applyFill="1" applyAlignment="1">
      <alignment horizontal="left" vertical="center"/>
    </xf>
    <xf numFmtId="0" fontId="13" fillId="26" borderId="0" xfId="0" applyFont="1" applyFill="1" applyAlignment="1">
      <alignment vertical="center"/>
    </xf>
    <xf numFmtId="0" fontId="13" fillId="0" borderId="0" xfId="0" applyFont="1" applyAlignment="1">
      <alignment horizontal="left" vertical="center"/>
    </xf>
    <xf numFmtId="0" fontId="13" fillId="27" borderId="0" xfId="0" applyFont="1" applyFill="1" applyAlignment="1">
      <alignment vertical="center"/>
    </xf>
    <xf numFmtId="0" fontId="12" fillId="0" borderId="0" xfId="0" quotePrefix="1" applyFont="1" applyAlignment="1">
      <alignment horizontal="center" vertical="center"/>
    </xf>
    <xf numFmtId="175" fontId="12" fillId="0" borderId="0" xfId="0" applyNumberFormat="1" applyFont="1" applyAlignment="1">
      <alignment horizontal="center" vertical="center"/>
    </xf>
    <xf numFmtId="175" fontId="12" fillId="0" borderId="0" xfId="28" applyNumberFormat="1" applyFont="1" applyFill="1" applyBorder="1" applyAlignment="1">
      <alignment horizontal="center" vertical="center"/>
    </xf>
    <xf numFmtId="173" fontId="12" fillId="0" borderId="0" xfId="0" applyNumberFormat="1" applyFont="1" applyAlignment="1">
      <alignment horizontal="center" vertical="center"/>
    </xf>
    <xf numFmtId="0" fontId="12" fillId="0" borderId="0" xfId="0" applyFont="1" applyAlignment="1">
      <alignment horizontal="right" vertical="center"/>
    </xf>
    <xf numFmtId="169" fontId="12" fillId="0" borderId="0" xfId="0" applyNumberFormat="1" applyFont="1" applyAlignment="1">
      <alignment horizontal="center" vertical="center"/>
    </xf>
    <xf numFmtId="164" fontId="12" fillId="0" borderId="0" xfId="0" applyNumberFormat="1" applyFont="1" applyAlignment="1">
      <alignment vertical="center"/>
    </xf>
    <xf numFmtId="166" fontId="12" fillId="0" borderId="0" xfId="0" applyNumberFormat="1" applyFont="1" applyAlignment="1">
      <alignment vertical="center"/>
    </xf>
    <xf numFmtId="164" fontId="12" fillId="0" borderId="0" xfId="0" applyNumberFormat="1" applyFont="1" applyAlignment="1" applyProtection="1">
      <alignment horizontal="center" vertical="center"/>
      <protection locked="0"/>
    </xf>
    <xf numFmtId="0" fontId="16" fillId="0" borderId="0" xfId="0" applyFont="1" applyAlignment="1">
      <alignment horizontal="left" vertical="center"/>
    </xf>
    <xf numFmtId="176" fontId="12" fillId="24" borderId="0" xfId="0" applyNumberFormat="1" applyFont="1" applyFill="1" applyAlignment="1">
      <alignment horizontal="center" vertical="center"/>
    </xf>
    <xf numFmtId="176" fontId="13" fillId="0" borderId="0" xfId="0" applyNumberFormat="1" applyFont="1" applyAlignment="1">
      <alignment horizontal="center" vertical="center" wrapText="1"/>
    </xf>
    <xf numFmtId="176" fontId="13" fillId="0" borderId="0" xfId="0" applyNumberFormat="1" applyFont="1" applyAlignment="1">
      <alignment horizontal="center"/>
    </xf>
    <xf numFmtId="176" fontId="12" fillId="0" borderId="0" xfId="0" applyNumberFormat="1" applyFont="1" applyAlignment="1">
      <alignment horizontal="center" vertical="center"/>
    </xf>
    <xf numFmtId="176" fontId="12" fillId="0" borderId="0" xfId="28" applyNumberFormat="1" applyFont="1" applyFill="1" applyBorder="1" applyAlignment="1">
      <alignment horizontal="right" vertical="center"/>
    </xf>
    <xf numFmtId="177" fontId="12" fillId="0" borderId="0" xfId="28" applyNumberFormat="1" applyFont="1" applyFill="1" applyBorder="1" applyAlignment="1">
      <alignment horizontal="center" vertical="center"/>
    </xf>
    <xf numFmtId="176" fontId="12" fillId="0" borderId="0" xfId="0" applyNumberFormat="1" applyFont="1" applyAlignment="1">
      <alignment horizontal="right" vertical="center"/>
    </xf>
    <xf numFmtId="177" fontId="12" fillId="0" borderId="0" xfId="0" applyNumberFormat="1" applyFont="1" applyAlignment="1">
      <alignment vertical="center"/>
    </xf>
    <xf numFmtId="1" fontId="12" fillId="0" borderId="0" xfId="0" applyNumberFormat="1" applyFont="1" applyAlignment="1">
      <alignment horizontal="center" vertical="center"/>
    </xf>
    <xf numFmtId="0" fontId="12" fillId="26" borderId="0" xfId="0" applyFont="1" applyFill="1" applyAlignment="1">
      <alignment horizontal="center" vertical="center"/>
    </xf>
    <xf numFmtId="174" fontId="12" fillId="26" borderId="0" xfId="0" applyNumberFormat="1" applyFont="1" applyFill="1" applyAlignment="1">
      <alignment horizontal="center" vertical="center"/>
    </xf>
    <xf numFmtId="0" fontId="12" fillId="27" borderId="0" xfId="0" applyFont="1" applyFill="1" applyAlignment="1">
      <alignment horizontal="center" vertical="center"/>
    </xf>
    <xf numFmtId="164" fontId="12" fillId="27" borderId="0" xfId="0" applyNumberFormat="1" applyFont="1" applyFill="1" applyAlignment="1">
      <alignment horizontal="center" vertical="center"/>
    </xf>
    <xf numFmtId="0" fontId="13" fillId="26" borderId="0" xfId="0" applyFont="1" applyFill="1" applyAlignment="1">
      <alignment horizontal="center" vertical="center"/>
    </xf>
    <xf numFmtId="164" fontId="13" fillId="26" borderId="0" xfId="0" applyNumberFormat="1" applyFont="1" applyFill="1" applyAlignment="1">
      <alignment horizontal="center" vertical="center"/>
    </xf>
    <xf numFmtId="176" fontId="13" fillId="26" borderId="0" xfId="0" applyNumberFormat="1" applyFont="1" applyFill="1" applyAlignment="1">
      <alignment horizontal="center" vertical="center"/>
    </xf>
    <xf numFmtId="0" fontId="12" fillId="0" borderId="11" xfId="0" applyFont="1" applyBorder="1" applyAlignment="1">
      <alignment horizontal="center" vertical="center"/>
    </xf>
    <xf numFmtId="2" fontId="12" fillId="27" borderId="0" xfId="0" applyNumberFormat="1" applyFont="1" applyFill="1" applyAlignment="1">
      <alignment horizontal="center" vertical="center"/>
    </xf>
    <xf numFmtId="0" fontId="12" fillId="0" borderId="12" xfId="0" applyFont="1" applyBorder="1" applyAlignment="1">
      <alignment horizontal="center" vertical="center"/>
    </xf>
    <xf numFmtId="0" fontId="12" fillId="27" borderId="0" xfId="0" quotePrefix="1" applyFont="1" applyFill="1" applyAlignment="1">
      <alignment horizontal="center" vertical="center"/>
    </xf>
    <xf numFmtId="173" fontId="12" fillId="27" borderId="0" xfId="0" applyNumberFormat="1" applyFont="1" applyFill="1" applyAlignment="1">
      <alignment horizontal="center" vertical="center"/>
    </xf>
    <xf numFmtId="0" fontId="12" fillId="27" borderId="0" xfId="0" applyFont="1" applyFill="1" applyAlignment="1">
      <alignment horizontal="right" vertical="center"/>
    </xf>
    <xf numFmtId="176" fontId="12" fillId="27" borderId="0" xfId="28" applyNumberFormat="1" applyFont="1" applyFill="1" applyBorder="1" applyAlignment="1">
      <alignment horizontal="center" vertical="center"/>
    </xf>
    <xf numFmtId="175" fontId="12" fillId="27" borderId="0" xfId="28" applyNumberFormat="1" applyFont="1" applyFill="1" applyBorder="1" applyAlignment="1">
      <alignment horizontal="center" vertical="center"/>
    </xf>
    <xf numFmtId="49" fontId="13" fillId="0" borderId="0" xfId="0" applyNumberFormat="1" applyFont="1" applyAlignment="1">
      <alignment horizontal="center"/>
    </xf>
    <xf numFmtId="14" fontId="17" fillId="28" borderId="0" xfId="0" applyNumberFormat="1" applyFont="1" applyFill="1" applyAlignment="1">
      <alignment horizontal="center" vertical="center"/>
    </xf>
    <xf numFmtId="164" fontId="22" fillId="0" borderId="0" xfId="0" applyNumberFormat="1" applyFont="1" applyAlignment="1" applyProtection="1">
      <alignment horizontal="center" vertical="center"/>
      <protection locked="0"/>
    </xf>
    <xf numFmtId="14" fontId="17" fillId="0" borderId="0" xfId="0" applyNumberFormat="1" applyFont="1" applyAlignment="1">
      <alignment horizontal="center" vertical="center"/>
    </xf>
    <xf numFmtId="0" fontId="26" fillId="0" borderId="0" xfId="63" applyFont="1" applyAlignment="1">
      <alignment horizontal="left"/>
    </xf>
    <xf numFmtId="167" fontId="12" fillId="0" borderId="0" xfId="0" applyNumberFormat="1" applyFont="1" applyAlignment="1">
      <alignment horizontal="center" vertical="center"/>
    </xf>
    <xf numFmtId="0" fontId="0" fillId="0" borderId="0" xfId="0" applyAlignment="1">
      <alignment horizontal="center"/>
    </xf>
    <xf numFmtId="0" fontId="12" fillId="0" borderId="13" xfId="0" applyFont="1" applyBorder="1" applyAlignment="1">
      <alignment vertical="center"/>
    </xf>
    <xf numFmtId="0" fontId="20" fillId="0" borderId="13" xfId="63" applyFont="1" applyBorder="1"/>
    <xf numFmtId="0" fontId="20" fillId="0" borderId="13" xfId="63" applyFont="1" applyBorder="1" applyAlignment="1">
      <alignment horizontal="left"/>
    </xf>
    <xf numFmtId="0" fontId="34" fillId="24" borderId="0" xfId="0" applyFont="1" applyFill="1" applyAlignment="1">
      <alignment horizontal="center" vertical="center"/>
    </xf>
    <xf numFmtId="164" fontId="22" fillId="26" borderId="0" xfId="0" applyNumberFormat="1" applyFont="1" applyFill="1" applyAlignment="1" applyProtection="1">
      <alignment horizontal="center" vertical="center"/>
      <protection locked="0"/>
    </xf>
    <xf numFmtId="0" fontId="12" fillId="25" borderId="0" xfId="0" applyFont="1" applyFill="1" applyAlignment="1">
      <alignment horizontal="center"/>
    </xf>
    <xf numFmtId="0" fontId="16" fillId="0" borderId="0" xfId="0" applyFont="1" applyAlignment="1">
      <alignment horizontal="center" wrapText="1"/>
    </xf>
    <xf numFmtId="0" fontId="21" fillId="0" borderId="0" xfId="0" applyFont="1"/>
    <xf numFmtId="0" fontId="20" fillId="0" borderId="0" xfId="0" applyFont="1"/>
    <xf numFmtId="0" fontId="21" fillId="0" borderId="0" xfId="0" applyFont="1" applyAlignment="1">
      <alignment horizontal="center"/>
    </xf>
    <xf numFmtId="164" fontId="17" fillId="26" borderId="0" xfId="0" applyNumberFormat="1" applyFont="1" applyFill="1" applyAlignment="1" applyProtection="1">
      <alignment horizontal="center" vertical="center"/>
      <protection locked="0"/>
    </xf>
    <xf numFmtId="0" fontId="30" fillId="26" borderId="0" xfId="0" applyFont="1" applyFill="1" applyAlignment="1">
      <alignment horizontal="left" vertical="center"/>
    </xf>
    <xf numFmtId="0" fontId="16" fillId="0" borderId="0" xfId="0" applyFont="1" applyAlignment="1" applyProtection="1">
      <alignment vertical="center"/>
      <protection locked="0"/>
    </xf>
    <xf numFmtId="164" fontId="20" fillId="0" borderId="0" xfId="0" applyNumberFormat="1" applyFont="1" applyAlignment="1" applyProtection="1">
      <alignment vertical="center"/>
      <protection locked="0"/>
    </xf>
    <xf numFmtId="164" fontId="16" fillId="27" borderId="0" xfId="0" applyNumberFormat="1" applyFont="1" applyFill="1" applyAlignment="1" applyProtection="1">
      <alignment horizontal="center" vertical="center"/>
      <protection locked="0"/>
    </xf>
    <xf numFmtId="0" fontId="20" fillId="27" borderId="0" xfId="0" applyFont="1" applyFill="1" applyAlignment="1" applyProtection="1">
      <alignment vertical="center"/>
      <protection locked="0"/>
    </xf>
    <xf numFmtId="0" fontId="12" fillId="0" borderId="18" xfId="0" applyFont="1" applyBorder="1" applyAlignment="1">
      <alignment horizontal="center" vertical="center"/>
    </xf>
    <xf numFmtId="0" fontId="12" fillId="31" borderId="0" xfId="0" applyFont="1" applyFill="1" applyAlignment="1">
      <alignment horizontal="center" vertical="center"/>
    </xf>
    <xf numFmtId="0" fontId="12" fillId="31" borderId="0" xfId="0" applyFont="1" applyFill="1" applyAlignment="1">
      <alignment vertical="center"/>
    </xf>
    <xf numFmtId="0" fontId="12" fillId="31" borderId="0" xfId="0" applyFont="1" applyFill="1" applyAlignment="1">
      <alignment horizontal="left" vertical="center"/>
    </xf>
    <xf numFmtId="0" fontId="13" fillId="31" borderId="0" xfId="0" applyFont="1" applyFill="1" applyAlignment="1">
      <alignment horizontal="right" vertical="center"/>
    </xf>
    <xf numFmtId="164" fontId="12" fillId="31" borderId="0" xfId="0" applyNumberFormat="1" applyFont="1" applyFill="1" applyAlignment="1">
      <alignment horizontal="left" vertical="center"/>
    </xf>
    <xf numFmtId="0" fontId="14" fillId="31" borderId="0" xfId="0" applyFont="1" applyFill="1" applyAlignment="1">
      <alignment horizontal="left" vertical="center"/>
    </xf>
    <xf numFmtId="2" fontId="12" fillId="31" borderId="0" xfId="0" applyNumberFormat="1" applyFont="1" applyFill="1" applyAlignment="1">
      <alignment horizontal="center" vertical="center"/>
    </xf>
    <xf numFmtId="164" fontId="12" fillId="31" borderId="0" xfId="0" applyNumberFormat="1" applyFont="1" applyFill="1" applyAlignment="1">
      <alignment horizontal="center" vertical="center"/>
    </xf>
    <xf numFmtId="0" fontId="33" fillId="31" borderId="0" xfId="0" applyFont="1" applyFill="1" applyAlignment="1">
      <alignment horizontal="center" vertical="center"/>
    </xf>
    <xf numFmtId="2" fontId="12" fillId="31" borderId="0" xfId="0" applyNumberFormat="1" applyFont="1" applyFill="1" applyAlignment="1">
      <alignment vertical="center"/>
    </xf>
    <xf numFmtId="176" fontId="12" fillId="31" borderId="0" xfId="0" applyNumberFormat="1" applyFont="1" applyFill="1" applyAlignment="1">
      <alignment horizontal="center" vertical="center"/>
    </xf>
    <xf numFmtId="175" fontId="12" fillId="31" borderId="0" xfId="0" applyNumberFormat="1" applyFont="1" applyFill="1" applyAlignment="1">
      <alignment horizontal="center" vertical="center"/>
    </xf>
    <xf numFmtId="0" fontId="12" fillId="0" borderId="19" xfId="0" applyFont="1" applyBorder="1" applyAlignment="1">
      <alignment vertical="center"/>
    </xf>
    <xf numFmtId="0" fontId="12" fillId="0" borderId="19" xfId="0" applyFont="1" applyBorder="1" applyAlignment="1">
      <alignment horizontal="left" vertical="center"/>
    </xf>
    <xf numFmtId="164" fontId="17" fillId="0" borderId="0" xfId="0" applyNumberFormat="1" applyFont="1" applyAlignment="1" applyProtection="1">
      <alignment horizontal="center" vertical="center"/>
      <protection locked="0"/>
    </xf>
    <xf numFmtId="0" fontId="16" fillId="28" borderId="0" xfId="0" applyFont="1" applyFill="1" applyAlignment="1" applyProtection="1">
      <alignment vertical="center"/>
      <protection locked="0"/>
    </xf>
    <xf numFmtId="0" fontId="44" fillId="0" borderId="0" xfId="0" applyFont="1" applyAlignment="1">
      <alignment horizontal="center" vertical="center"/>
    </xf>
    <xf numFmtId="177" fontId="13" fillId="26" borderId="0" xfId="0" applyNumberFormat="1" applyFont="1" applyFill="1" applyAlignment="1">
      <alignment horizontal="center" vertical="center"/>
    </xf>
    <xf numFmtId="0" fontId="12" fillId="0" borderId="17" xfId="0" applyFont="1" applyBorder="1" applyAlignment="1">
      <alignment horizontal="left" vertical="center"/>
    </xf>
    <xf numFmtId="0" fontId="7" fillId="0" borderId="0" xfId="0" applyFont="1"/>
    <xf numFmtId="0" fontId="12" fillId="0" borderId="17" xfId="0" applyFont="1" applyBorder="1" applyAlignment="1">
      <alignment horizontal="center" vertical="center"/>
    </xf>
    <xf numFmtId="0" fontId="12" fillId="0" borderId="26" xfId="0" applyFont="1" applyBorder="1" applyAlignment="1">
      <alignment horizontal="left" vertical="center"/>
    </xf>
    <xf numFmtId="3" fontId="12" fillId="0" borderId="0" xfId="0" applyNumberFormat="1" applyFont="1" applyAlignment="1">
      <alignment horizontal="center" vertical="center"/>
    </xf>
    <xf numFmtId="0" fontId="12" fillId="0" borderId="27" xfId="0" applyFont="1" applyBorder="1" applyAlignment="1">
      <alignment vertical="center"/>
    </xf>
    <xf numFmtId="176" fontId="12" fillId="0" borderId="26" xfId="0" applyNumberFormat="1" applyFont="1" applyBorder="1" applyAlignment="1">
      <alignment horizontal="left" vertical="center"/>
    </xf>
    <xf numFmtId="0" fontId="13" fillId="29" borderId="0" xfId="0" applyFont="1" applyFill="1" applyAlignment="1">
      <alignment horizontal="right" vertical="center"/>
    </xf>
    <xf numFmtId="0" fontId="13" fillId="0" borderId="28" xfId="0" applyFont="1" applyBorder="1" applyAlignment="1">
      <alignment horizontal="right" vertical="center"/>
    </xf>
    <xf numFmtId="164" fontId="12" fillId="0" borderId="28" xfId="0" applyNumberFormat="1" applyFont="1" applyBorder="1" applyAlignment="1">
      <alignment horizontal="left" vertical="center"/>
    </xf>
    <xf numFmtId="0" fontId="14" fillId="0" borderId="13" xfId="0" applyFont="1" applyBorder="1" applyAlignment="1">
      <alignment horizontal="center" vertical="center"/>
    </xf>
    <xf numFmtId="165" fontId="12" fillId="0" borderId="13" xfId="0" applyNumberFormat="1" applyFont="1" applyBorder="1" applyAlignment="1">
      <alignment horizontal="center" vertical="center"/>
    </xf>
    <xf numFmtId="0" fontId="13" fillId="26" borderId="17" xfId="0" applyFont="1" applyFill="1" applyBorder="1" applyAlignment="1">
      <alignment vertical="center"/>
    </xf>
    <xf numFmtId="0" fontId="12" fillId="26" borderId="17" xfId="0" applyFont="1" applyFill="1" applyBorder="1" applyAlignment="1">
      <alignment horizontal="center" vertical="center"/>
    </xf>
    <xf numFmtId="0" fontId="12" fillId="26" borderId="17" xfId="0" applyFont="1" applyFill="1" applyBorder="1" applyAlignment="1">
      <alignment horizontal="left" vertical="center"/>
    </xf>
    <xf numFmtId="0" fontId="41" fillId="0" borderId="0" xfId="0" applyFont="1" applyAlignment="1">
      <alignment horizontal="right" vertical="center"/>
    </xf>
    <xf numFmtId="0" fontId="12" fillId="0" borderId="28" xfId="0" applyFont="1" applyBorder="1" applyAlignment="1">
      <alignment horizontal="center" vertical="center"/>
    </xf>
    <xf numFmtId="44" fontId="12" fillId="0" borderId="0" xfId="28" applyFont="1" applyFill="1" applyBorder="1" applyAlignment="1">
      <alignment horizontal="center" vertical="center"/>
    </xf>
    <xf numFmtId="44" fontId="13" fillId="0" borderId="0" xfId="28" applyFont="1" applyFill="1" applyBorder="1" applyAlignment="1">
      <alignment horizontal="center" vertical="center"/>
    </xf>
    <xf numFmtId="0" fontId="16" fillId="0" borderId="0" xfId="0" applyFont="1" applyAlignment="1" applyProtection="1">
      <alignment horizontal="right" vertical="center"/>
      <protection locked="0"/>
    </xf>
    <xf numFmtId="0" fontId="13" fillId="0" borderId="0" xfId="0" applyFont="1" applyAlignment="1" applyProtection="1">
      <alignment vertical="center"/>
      <protection locked="0"/>
    </xf>
    <xf numFmtId="0" fontId="13" fillId="0" borderId="21" xfId="0" applyFont="1" applyBorder="1" applyAlignment="1">
      <alignment vertical="center"/>
    </xf>
    <xf numFmtId="0" fontId="12" fillId="0" borderId="21" xfId="0" applyFont="1" applyBorder="1" applyAlignment="1">
      <alignment horizontal="center" vertical="center"/>
    </xf>
    <xf numFmtId="175" fontId="12" fillId="0" borderId="21" xfId="0" applyNumberFormat="1" applyFont="1" applyBorder="1" applyAlignment="1">
      <alignment horizontal="center" vertical="center"/>
    </xf>
    <xf numFmtId="0" fontId="12" fillId="0" borderId="17" xfId="0" applyFont="1" applyBorder="1" applyAlignment="1">
      <alignment vertical="center"/>
    </xf>
    <xf numFmtId="0" fontId="51" fillId="0" borderId="0" xfId="0" applyFont="1" applyAlignment="1">
      <alignment horizontal="center" vertical="center"/>
    </xf>
    <xf numFmtId="0" fontId="52" fillId="0" borderId="0" xfId="0" applyFont="1" applyAlignment="1">
      <alignment vertical="center"/>
    </xf>
    <xf numFmtId="170" fontId="55" fillId="0" borderId="0" xfId="0" applyNumberFormat="1" applyFont="1" applyAlignment="1" applyProtection="1">
      <alignment horizontal="center" vertical="center"/>
      <protection locked="0"/>
    </xf>
    <xf numFmtId="0" fontId="56" fillId="0" borderId="0" xfId="0" applyFont="1" applyAlignment="1" applyProtection="1">
      <alignment vertical="center"/>
      <protection locked="0"/>
    </xf>
    <xf numFmtId="14" fontId="56" fillId="28" borderId="0" xfId="0" applyNumberFormat="1" applyFont="1" applyFill="1" applyAlignment="1">
      <alignment horizontal="center" vertical="center"/>
    </xf>
    <xf numFmtId="14" fontId="56" fillId="0" borderId="0" xfId="0" applyNumberFormat="1" applyFont="1" applyAlignment="1">
      <alignment horizontal="center" vertical="center"/>
    </xf>
    <xf numFmtId="0" fontId="13" fillId="0" borderId="0" xfId="0" applyFont="1" applyAlignment="1">
      <alignment horizontal="center" vertical="center" wrapText="1"/>
    </xf>
    <xf numFmtId="0" fontId="13" fillId="27" borderId="31" xfId="0" applyFont="1" applyFill="1" applyBorder="1" applyAlignment="1">
      <alignment horizontal="left" vertical="center"/>
    </xf>
    <xf numFmtId="0" fontId="13" fillId="27" borderId="17" xfId="0" applyFont="1" applyFill="1" applyBorder="1" applyAlignment="1">
      <alignment vertical="center"/>
    </xf>
    <xf numFmtId="0" fontId="13" fillId="27" borderId="17" xfId="0" applyFont="1" applyFill="1" applyBorder="1" applyAlignment="1">
      <alignment horizontal="center" vertical="center"/>
    </xf>
    <xf numFmtId="164" fontId="13" fillId="27" borderId="17" xfId="0" applyNumberFormat="1" applyFont="1" applyFill="1" applyBorder="1" applyAlignment="1">
      <alignment horizontal="center" vertical="center"/>
    </xf>
    <xf numFmtId="174" fontId="12" fillId="27" borderId="17" xfId="0" applyNumberFormat="1" applyFont="1" applyFill="1" applyBorder="1" applyAlignment="1">
      <alignment horizontal="center" vertical="center"/>
    </xf>
    <xf numFmtId="0" fontId="12" fillId="27" borderId="17" xfId="0" applyFont="1" applyFill="1" applyBorder="1" applyAlignment="1">
      <alignment horizontal="center" vertical="center"/>
    </xf>
    <xf numFmtId="176" fontId="13" fillId="27" borderId="17" xfId="0" applyNumberFormat="1" applyFont="1" applyFill="1" applyBorder="1" applyAlignment="1">
      <alignment horizontal="center" vertical="center"/>
    </xf>
    <xf numFmtId="175" fontId="13" fillId="27" borderId="17" xfId="0" applyNumberFormat="1" applyFont="1" applyFill="1" applyBorder="1" applyAlignment="1">
      <alignment horizontal="center" vertical="center"/>
    </xf>
    <xf numFmtId="164" fontId="12" fillId="33" borderId="0" xfId="0" applyNumberFormat="1" applyFont="1" applyFill="1" applyAlignment="1">
      <alignment horizontal="center" vertical="center"/>
    </xf>
    <xf numFmtId="0" fontId="16" fillId="0" borderId="0" xfId="0" applyFont="1" applyAlignment="1">
      <alignment vertical="center"/>
    </xf>
    <xf numFmtId="0" fontId="13" fillId="27" borderId="0" xfId="0" applyFont="1" applyFill="1" applyAlignment="1">
      <alignment horizontal="left" vertical="center"/>
    </xf>
    <xf numFmtId="0" fontId="13" fillId="27" borderId="0" xfId="0" applyFont="1" applyFill="1" applyAlignment="1">
      <alignment horizontal="center" vertical="center"/>
    </xf>
    <xf numFmtId="164" fontId="13" fillId="27" borderId="0" xfId="0" applyNumberFormat="1" applyFont="1" applyFill="1" applyAlignment="1">
      <alignment horizontal="center" vertical="center"/>
    </xf>
    <xf numFmtId="175" fontId="13" fillId="27" borderId="0" xfId="0" applyNumberFormat="1" applyFont="1" applyFill="1" applyAlignment="1">
      <alignment horizontal="center" vertical="center"/>
    </xf>
    <xf numFmtId="180" fontId="38" fillId="32" borderId="0" xfId="0" applyNumberFormat="1" applyFont="1" applyFill="1" applyAlignment="1" applyProtection="1">
      <alignment vertical="center"/>
      <protection locked="0"/>
    </xf>
    <xf numFmtId="0" fontId="23" fillId="26" borderId="0" xfId="0" applyFont="1" applyFill="1" applyAlignment="1" applyProtection="1">
      <alignment vertical="center"/>
      <protection locked="0"/>
    </xf>
    <xf numFmtId="0" fontId="20" fillId="26" borderId="0" xfId="0" applyFont="1" applyFill="1" applyAlignment="1" applyProtection="1">
      <alignment vertical="center"/>
      <protection locked="0"/>
    </xf>
    <xf numFmtId="0" fontId="12" fillId="26" borderId="0" xfId="0" applyFont="1" applyFill="1" applyAlignment="1">
      <alignment vertical="center"/>
    </xf>
    <xf numFmtId="0" fontId="38" fillId="26" borderId="0" xfId="0" applyFont="1" applyFill="1" applyAlignment="1" applyProtection="1">
      <alignment vertical="center"/>
      <protection locked="0"/>
    </xf>
    <xf numFmtId="0" fontId="38" fillId="26" borderId="0" xfId="0" applyFont="1" applyFill="1" applyAlignment="1" applyProtection="1">
      <alignment horizontal="center" vertical="center"/>
      <protection locked="0"/>
    </xf>
    <xf numFmtId="0" fontId="12" fillId="26" borderId="0" xfId="0" applyFont="1" applyFill="1" applyAlignment="1" applyProtection="1">
      <alignment horizontal="center" vertical="center"/>
      <protection locked="0"/>
    </xf>
    <xf numFmtId="0" fontId="13" fillId="26" borderId="0" xfId="0" applyFont="1" applyFill="1" applyAlignment="1" applyProtection="1">
      <alignment horizontal="center" vertical="center"/>
      <protection locked="0"/>
    </xf>
    <xf numFmtId="0" fontId="15" fillId="26" borderId="0" xfId="0" applyFont="1" applyFill="1" applyAlignment="1" applyProtection="1">
      <alignment horizontal="center" vertical="center"/>
      <protection locked="0"/>
    </xf>
    <xf numFmtId="164" fontId="12" fillId="26" borderId="0" xfId="0" applyNumberFormat="1" applyFont="1" applyFill="1" applyAlignment="1" applyProtection="1">
      <alignment horizontal="center" vertical="center"/>
      <protection locked="0"/>
    </xf>
    <xf numFmtId="171" fontId="16" fillId="26" borderId="0" xfId="0" applyNumberFormat="1" applyFont="1" applyFill="1" applyAlignment="1">
      <alignment vertical="center"/>
    </xf>
    <xf numFmtId="0" fontId="39" fillId="26" borderId="0" xfId="0" applyFont="1" applyFill="1" applyAlignment="1" applyProtection="1">
      <alignment horizontal="center" vertical="center"/>
      <protection locked="0"/>
    </xf>
    <xf numFmtId="164" fontId="38" fillId="26" borderId="0" xfId="0" applyNumberFormat="1" applyFont="1" applyFill="1" applyAlignment="1" applyProtection="1">
      <alignment horizontal="center" vertical="center"/>
      <protection locked="0"/>
    </xf>
    <xf numFmtId="0" fontId="13" fillId="0" borderId="17" xfId="0" applyFont="1" applyBorder="1" applyAlignment="1">
      <alignment vertical="center"/>
    </xf>
    <xf numFmtId="0" fontId="16" fillId="0" borderId="17" xfId="0" applyFont="1" applyBorder="1" applyAlignment="1">
      <alignment horizontal="left" vertical="center"/>
    </xf>
    <xf numFmtId="0" fontId="13" fillId="24" borderId="17" xfId="0" applyFont="1" applyFill="1" applyBorder="1" applyAlignment="1">
      <alignment horizontal="center" vertical="center"/>
    </xf>
    <xf numFmtId="164" fontId="12" fillId="31" borderId="17" xfId="0" applyNumberFormat="1" applyFont="1" applyFill="1" applyBorder="1" applyAlignment="1">
      <alignment horizontal="center" vertical="center"/>
    </xf>
    <xf numFmtId="164" fontId="12" fillId="0" borderId="17" xfId="0" applyNumberFormat="1" applyFont="1" applyBorder="1" applyAlignment="1">
      <alignment horizontal="center" vertical="center"/>
    </xf>
    <xf numFmtId="164" fontId="13" fillId="0" borderId="17" xfId="0" applyNumberFormat="1" applyFont="1" applyBorder="1" applyAlignment="1">
      <alignment horizontal="center" vertical="center"/>
    </xf>
    <xf numFmtId="0" fontId="12" fillId="0" borderId="17" xfId="0" quotePrefix="1" applyFont="1" applyBorder="1" applyAlignment="1">
      <alignment horizontal="center" vertical="center"/>
    </xf>
    <xf numFmtId="175" fontId="12" fillId="0" borderId="17" xfId="0" applyNumberFormat="1" applyFont="1" applyBorder="1" applyAlignment="1">
      <alignment horizontal="center" vertical="center"/>
    </xf>
    <xf numFmtId="0" fontId="13" fillId="0" borderId="17" xfId="0" applyFont="1" applyBorder="1" applyAlignment="1">
      <alignment horizontal="left" vertical="center"/>
    </xf>
    <xf numFmtId="0" fontId="16" fillId="0" borderId="17" xfId="0" applyFont="1" applyBorder="1" applyAlignment="1">
      <alignment vertical="center"/>
    </xf>
    <xf numFmtId="164" fontId="12" fillId="33" borderId="17" xfId="0" applyNumberFormat="1" applyFont="1" applyFill="1" applyBorder="1" applyAlignment="1">
      <alignment horizontal="center" vertical="center"/>
    </xf>
    <xf numFmtId="173" fontId="12" fillId="0" borderId="17" xfId="0" applyNumberFormat="1" applyFont="1" applyBorder="1" applyAlignment="1">
      <alignment horizontal="center" vertical="center"/>
    </xf>
    <xf numFmtId="176" fontId="12" fillId="0" borderId="17" xfId="0" applyNumberFormat="1" applyFont="1" applyBorder="1" applyAlignment="1">
      <alignment horizontal="center" vertical="center"/>
    </xf>
    <xf numFmtId="0" fontId="30" fillId="26" borderId="17" xfId="0" applyFont="1" applyFill="1" applyBorder="1" applyAlignment="1">
      <alignment horizontal="left" vertical="center"/>
    </xf>
    <xf numFmtId="0" fontId="13" fillId="26" borderId="17" xfId="0" applyFont="1" applyFill="1" applyBorder="1" applyAlignment="1">
      <alignment horizontal="center" vertical="center"/>
    </xf>
    <xf numFmtId="164" fontId="13" fillId="26" borderId="17" xfId="0" applyNumberFormat="1" applyFont="1" applyFill="1" applyBorder="1" applyAlignment="1">
      <alignment horizontal="center" vertical="center"/>
    </xf>
    <xf numFmtId="174" fontId="12" fillId="26" borderId="17" xfId="0" applyNumberFormat="1" applyFont="1" applyFill="1" applyBorder="1" applyAlignment="1">
      <alignment horizontal="center" vertical="center"/>
    </xf>
    <xf numFmtId="176" fontId="13" fillId="26" borderId="17" xfId="0" applyNumberFormat="1" applyFont="1" applyFill="1" applyBorder="1" applyAlignment="1">
      <alignment horizontal="center" vertical="center"/>
    </xf>
    <xf numFmtId="177" fontId="13" fillId="26" borderId="17" xfId="0" applyNumberFormat="1" applyFont="1" applyFill="1" applyBorder="1" applyAlignment="1">
      <alignment horizontal="center" vertical="center"/>
    </xf>
    <xf numFmtId="0" fontId="16" fillId="0" borderId="17" xfId="0" applyFont="1" applyBorder="1" applyAlignment="1" applyProtection="1">
      <alignment vertical="center"/>
      <protection locked="0"/>
    </xf>
    <xf numFmtId="0" fontId="12" fillId="24" borderId="17" xfId="0" applyFont="1" applyFill="1" applyBorder="1" applyAlignment="1">
      <alignment horizontal="center" vertical="center"/>
    </xf>
    <xf numFmtId="175" fontId="13" fillId="27" borderId="21" xfId="0" applyNumberFormat="1" applyFont="1" applyFill="1" applyBorder="1" applyAlignment="1">
      <alignment horizontal="center" vertical="center"/>
    </xf>
    <xf numFmtId="0" fontId="16" fillId="0" borderId="17" xfId="0" applyFont="1" applyBorder="1" applyAlignment="1" applyProtection="1">
      <alignment horizontal="right" vertical="center"/>
      <protection locked="0"/>
    </xf>
    <xf numFmtId="180" fontId="38" fillId="32" borderId="17" xfId="0" applyNumberFormat="1" applyFont="1" applyFill="1" applyBorder="1" applyAlignment="1" applyProtection="1">
      <alignment vertical="center"/>
      <protection locked="0"/>
    </xf>
    <xf numFmtId="0" fontId="50" fillId="0" borderId="17" xfId="0" quotePrefix="1" applyFont="1" applyBorder="1" applyAlignment="1" applyProtection="1">
      <alignment vertical="center"/>
      <protection locked="0"/>
    </xf>
    <xf numFmtId="1" fontId="12" fillId="0" borderId="17" xfId="0" applyNumberFormat="1" applyFont="1" applyBorder="1" applyAlignment="1">
      <alignment horizontal="center" vertical="center"/>
    </xf>
    <xf numFmtId="0" fontId="13" fillId="28" borderId="17" xfId="0" applyFont="1" applyFill="1" applyBorder="1" applyAlignment="1" applyProtection="1">
      <alignment vertical="center"/>
      <protection locked="0"/>
    </xf>
    <xf numFmtId="175" fontId="12" fillId="0" borderId="17" xfId="28" applyNumberFormat="1" applyFont="1" applyFill="1" applyBorder="1" applyAlignment="1">
      <alignment horizontal="center" vertical="center"/>
    </xf>
    <xf numFmtId="0" fontId="12" fillId="0" borderId="0" xfId="0" quotePrefix="1" applyFont="1" applyAlignment="1">
      <alignment horizontal="left" vertical="center"/>
    </xf>
    <xf numFmtId="175" fontId="12" fillId="26" borderId="20" xfId="0" applyNumberFormat="1" applyFont="1" applyFill="1" applyBorder="1" applyAlignment="1">
      <alignment horizontal="center" vertical="center"/>
    </xf>
    <xf numFmtId="0" fontId="20" fillId="0" borderId="0" xfId="0" applyFont="1" applyAlignment="1">
      <alignment horizontal="right"/>
    </xf>
    <xf numFmtId="164" fontId="20" fillId="0" borderId="0" xfId="0" applyNumberFormat="1" applyFont="1" applyAlignment="1" applyProtection="1">
      <alignment horizontal="right" vertical="center"/>
      <protection locked="0"/>
    </xf>
    <xf numFmtId="0" fontId="20" fillId="0" borderId="0" xfId="0" applyFont="1" applyAlignment="1">
      <alignment horizontal="right" vertical="center"/>
    </xf>
    <xf numFmtId="1" fontId="57" fillId="0" borderId="0" xfId="62" applyNumberFormat="1" applyFont="1" applyAlignment="1">
      <alignment horizontal="center" wrapText="1"/>
    </xf>
    <xf numFmtId="164" fontId="30" fillId="32" borderId="30" xfId="0" applyNumberFormat="1" applyFont="1" applyFill="1" applyBorder="1" applyAlignment="1">
      <alignment horizontal="center" vertical="center"/>
    </xf>
    <xf numFmtId="0" fontId="46" fillId="25" borderId="27" xfId="0" applyFont="1" applyFill="1" applyBorder="1" applyAlignment="1">
      <alignment horizontal="center" vertical="center"/>
    </xf>
    <xf numFmtId="0" fontId="43" fillId="25" borderId="17" xfId="0" applyFont="1" applyFill="1" applyBorder="1" applyAlignment="1">
      <alignment horizontal="right" vertical="center"/>
    </xf>
    <xf numFmtId="0" fontId="11" fillId="25" borderId="11" xfId="0" applyFont="1" applyFill="1" applyBorder="1" applyAlignment="1">
      <alignment horizontal="center" vertical="center"/>
    </xf>
    <xf numFmtId="0" fontId="13" fillId="29" borderId="26" xfId="0" applyFont="1" applyFill="1" applyBorder="1" applyAlignment="1">
      <alignment vertical="center"/>
    </xf>
    <xf numFmtId="0" fontId="13" fillId="29" borderId="0" xfId="0" applyFont="1" applyFill="1" applyAlignment="1">
      <alignment vertical="center"/>
    </xf>
    <xf numFmtId="0" fontId="0" fillId="0" borderId="0" xfId="0" applyAlignment="1">
      <alignment vertical="center"/>
    </xf>
    <xf numFmtId="0" fontId="0" fillId="0" borderId="0" xfId="0" applyAlignment="1">
      <alignment horizontal="left" vertical="center"/>
    </xf>
    <xf numFmtId="49" fontId="13" fillId="0" borderId="0" xfId="0" applyNumberFormat="1" applyFont="1" applyAlignment="1">
      <alignment horizontal="right" vertical="center"/>
    </xf>
    <xf numFmtId="0" fontId="15" fillId="0" borderId="0" xfId="0" applyFont="1" applyAlignment="1">
      <alignment horizontal="center" vertical="center"/>
    </xf>
    <xf numFmtId="0" fontId="47" fillId="0" borderId="0" xfId="0" applyFont="1" applyAlignment="1">
      <alignment vertical="center"/>
    </xf>
    <xf numFmtId="0" fontId="61" fillId="0" borderId="0" xfId="0" applyFont="1" applyAlignment="1">
      <alignment vertical="center"/>
    </xf>
    <xf numFmtId="0" fontId="12" fillId="0" borderId="22" xfId="0" applyFont="1" applyBorder="1" applyAlignment="1">
      <alignment horizontal="center" vertical="center"/>
    </xf>
    <xf numFmtId="0" fontId="13" fillId="0" borderId="22" xfId="0" applyFont="1" applyBorder="1" applyAlignment="1">
      <alignment horizontal="right" vertical="center"/>
    </xf>
    <xf numFmtId="0" fontId="13" fillId="0" borderId="10" xfId="0" applyFont="1" applyBorder="1" applyAlignment="1">
      <alignment vertical="center"/>
    </xf>
    <xf numFmtId="0" fontId="13" fillId="0" borderId="10" xfId="0" applyFont="1" applyBorder="1" applyAlignment="1">
      <alignment horizontal="right" vertical="center"/>
    </xf>
    <xf numFmtId="0" fontId="13" fillId="0" borderId="10" xfId="0" applyFont="1" applyBorder="1" applyAlignment="1">
      <alignment horizontal="center" vertical="center"/>
    </xf>
    <xf numFmtId="172" fontId="16" fillId="0" borderId="0" xfId="0" applyNumberFormat="1" applyFont="1" applyAlignment="1">
      <alignment vertical="center"/>
    </xf>
    <xf numFmtId="2" fontId="12" fillId="0" borderId="13" xfId="0" quotePrefix="1" applyNumberFormat="1" applyFont="1" applyBorder="1" applyAlignment="1">
      <alignment horizontal="center" vertical="center"/>
    </xf>
    <xf numFmtId="0" fontId="11" fillId="25" borderId="26" xfId="0" applyFont="1" applyFill="1" applyBorder="1" applyAlignment="1">
      <alignment horizontal="center" vertical="center"/>
    </xf>
    <xf numFmtId="0" fontId="12" fillId="25" borderId="0" xfId="0" applyFont="1" applyFill="1" applyAlignment="1">
      <alignment horizontal="center" vertical="center"/>
    </xf>
    <xf numFmtId="0" fontId="62" fillId="25" borderId="36" xfId="0" applyFont="1" applyFill="1" applyBorder="1" applyAlignment="1">
      <alignment horizontal="center" vertical="center"/>
    </xf>
    <xf numFmtId="0" fontId="62" fillId="25" borderId="21" xfId="0" applyFont="1" applyFill="1" applyBorder="1" applyAlignment="1">
      <alignment horizontal="center" vertical="center"/>
    </xf>
    <xf numFmtId="0" fontId="63" fillId="25" borderId="21" xfId="0" applyFont="1" applyFill="1" applyBorder="1" applyAlignment="1">
      <alignment horizontal="center" vertical="center"/>
    </xf>
    <xf numFmtId="0" fontId="62" fillId="25" borderId="35" xfId="0" applyFont="1" applyFill="1" applyBorder="1" applyAlignment="1">
      <alignment horizontal="center" vertical="center"/>
    </xf>
    <xf numFmtId="0" fontId="48" fillId="34" borderId="36" xfId="0" applyFont="1" applyFill="1" applyBorder="1" applyAlignment="1">
      <alignment horizontal="left" vertical="center"/>
    </xf>
    <xf numFmtId="0" fontId="11" fillId="34" borderId="21" xfId="0" applyFont="1" applyFill="1" applyBorder="1" applyAlignment="1">
      <alignment horizontal="center" vertical="center"/>
    </xf>
    <xf numFmtId="0" fontId="10" fillId="34" borderId="21" xfId="0" applyFont="1" applyFill="1" applyBorder="1" applyAlignment="1">
      <alignment horizontal="center" vertical="center"/>
    </xf>
    <xf numFmtId="0" fontId="48" fillId="34" borderId="21" xfId="0" applyFont="1" applyFill="1" applyBorder="1" applyAlignment="1">
      <alignment horizontal="center" vertical="center"/>
    </xf>
    <xf numFmtId="0" fontId="0" fillId="34" borderId="21" xfId="0" applyFill="1" applyBorder="1" applyAlignment="1">
      <alignment horizontal="left" vertical="center"/>
    </xf>
    <xf numFmtId="0" fontId="0" fillId="34" borderId="35" xfId="0" applyFill="1" applyBorder="1" applyAlignment="1">
      <alignment horizontal="left" vertical="center"/>
    </xf>
    <xf numFmtId="0" fontId="64" fillId="0" borderId="0" xfId="0" applyFont="1"/>
    <xf numFmtId="0" fontId="29" fillId="0" borderId="38" xfId="64" applyFont="1" applyBorder="1"/>
    <xf numFmtId="0" fontId="12" fillId="0" borderId="38" xfId="0" applyFont="1" applyBorder="1" applyAlignment="1">
      <alignment horizontal="center" vertical="center"/>
    </xf>
    <xf numFmtId="0" fontId="29" fillId="25" borderId="39" xfId="64" applyFont="1" applyFill="1" applyBorder="1" applyAlignment="1">
      <alignment horizontal="center"/>
    </xf>
    <xf numFmtId="0" fontId="29" fillId="25" borderId="40" xfId="64" applyFont="1" applyFill="1" applyBorder="1" applyAlignment="1">
      <alignment horizontal="center"/>
    </xf>
    <xf numFmtId="0" fontId="29" fillId="25" borderId="41" xfId="64" applyFont="1" applyFill="1" applyBorder="1" applyAlignment="1">
      <alignment horizontal="center"/>
    </xf>
    <xf numFmtId="0" fontId="20" fillId="0" borderId="38" xfId="0" applyFont="1" applyBorder="1"/>
    <xf numFmtId="164" fontId="21" fillId="0" borderId="0" xfId="0" applyNumberFormat="1" applyFont="1" applyAlignment="1">
      <alignment horizontal="center"/>
    </xf>
    <xf numFmtId="0" fontId="65" fillId="0" borderId="0" xfId="0" applyFont="1" applyAlignment="1">
      <alignment horizontal="center"/>
    </xf>
    <xf numFmtId="0" fontId="65" fillId="0" borderId="0" xfId="0" applyFont="1"/>
    <xf numFmtId="0" fontId="65" fillId="0" borderId="0" xfId="0" applyFont="1" applyAlignment="1">
      <alignment horizontal="left"/>
    </xf>
    <xf numFmtId="0" fontId="20" fillId="0" borderId="38" xfId="0" applyFont="1" applyBorder="1" applyAlignment="1">
      <alignment horizontal="center"/>
    </xf>
    <xf numFmtId="0" fontId="28" fillId="0" borderId="0" xfId="0" quotePrefix="1" applyFont="1"/>
    <xf numFmtId="0" fontId="20" fillId="0" borderId="0" xfId="0" quotePrefix="1" applyFont="1"/>
    <xf numFmtId="0" fontId="28" fillId="0" borderId="0" xfId="0" applyFont="1" applyAlignment="1">
      <alignment horizontal="left"/>
    </xf>
    <xf numFmtId="0" fontId="66" fillId="0" borderId="0" xfId="0" applyFont="1"/>
    <xf numFmtId="0" fontId="66" fillId="0" borderId="0" xfId="0" applyFont="1" applyAlignment="1">
      <alignment horizontal="right"/>
    </xf>
    <xf numFmtId="0" fontId="66" fillId="25" borderId="44" xfId="0" quotePrefix="1" applyFont="1" applyFill="1" applyBorder="1"/>
    <xf numFmtId="0" fontId="66" fillId="25" borderId="24" xfId="0" quotePrefix="1" applyFont="1" applyFill="1" applyBorder="1"/>
    <xf numFmtId="0" fontId="66" fillId="25" borderId="48" xfId="0" quotePrefix="1" applyFont="1" applyFill="1" applyBorder="1"/>
    <xf numFmtId="170" fontId="68" fillId="0" borderId="0" xfId="0" applyNumberFormat="1" applyFont="1" applyAlignment="1" applyProtection="1">
      <alignment horizontal="center" vertical="center"/>
      <protection locked="0"/>
    </xf>
    <xf numFmtId="164" fontId="16" fillId="0" borderId="0" xfId="0" applyNumberFormat="1" applyFont="1" applyAlignment="1" applyProtection="1">
      <alignment horizontal="center" vertical="center"/>
      <protection locked="0"/>
    </xf>
    <xf numFmtId="0" fontId="67" fillId="0" borderId="0" xfId="0" applyFont="1" applyAlignment="1" applyProtection="1">
      <alignment vertical="center"/>
      <protection locked="0"/>
    </xf>
    <xf numFmtId="14" fontId="67" fillId="0" borderId="0" xfId="0" applyNumberFormat="1" applyFont="1" applyAlignment="1">
      <alignment horizontal="center" vertical="center"/>
    </xf>
    <xf numFmtId="14" fontId="16" fillId="0" borderId="0" xfId="0" applyNumberFormat="1" applyFont="1" applyAlignment="1">
      <alignment horizontal="center" vertical="center"/>
    </xf>
    <xf numFmtId="0" fontId="12" fillId="0" borderId="40" xfId="0" applyFont="1" applyBorder="1" applyAlignment="1">
      <alignment vertical="center"/>
    </xf>
    <xf numFmtId="0" fontId="13" fillId="0" borderId="40" xfId="0" applyFont="1" applyBorder="1" applyAlignment="1">
      <alignment horizontal="right" vertical="center"/>
    </xf>
    <xf numFmtId="164" fontId="12" fillId="0" borderId="40" xfId="0" applyNumberFormat="1" applyFont="1" applyBorder="1" applyAlignment="1">
      <alignment horizontal="left" vertical="center"/>
    </xf>
    <xf numFmtId="0" fontId="12" fillId="0" borderId="40" xfId="0" applyFont="1" applyBorder="1" applyAlignment="1">
      <alignment horizontal="center" vertical="center"/>
    </xf>
    <xf numFmtId="0" fontId="14" fillId="0" borderId="40" xfId="0" applyFont="1" applyBorder="1" applyAlignment="1">
      <alignment horizontal="center" vertical="center"/>
    </xf>
    <xf numFmtId="2" fontId="12" fillId="0" borderId="40" xfId="0" applyNumberFormat="1" applyFont="1" applyBorder="1" applyAlignment="1">
      <alignment horizontal="center" vertical="center"/>
    </xf>
    <xf numFmtId="164" fontId="12" fillId="0" borderId="40" xfId="0" applyNumberFormat="1" applyFont="1" applyBorder="1" applyAlignment="1">
      <alignment horizontal="center" vertical="center"/>
    </xf>
    <xf numFmtId="0" fontId="13" fillId="0" borderId="24" xfId="0" applyFont="1" applyBorder="1" applyAlignment="1">
      <alignment horizontal="right" vertical="center"/>
    </xf>
    <xf numFmtId="0" fontId="13" fillId="0" borderId="48" xfId="0" applyFont="1" applyBorder="1" applyAlignment="1">
      <alignment horizontal="right" vertical="center"/>
    </xf>
    <xf numFmtId="0" fontId="13" fillId="0" borderId="23" xfId="0" applyFont="1" applyBorder="1" applyAlignment="1">
      <alignment horizontal="right" vertical="center"/>
    </xf>
    <xf numFmtId="0" fontId="13" fillId="0" borderId="49" xfId="0" applyFont="1" applyBorder="1" applyAlignment="1">
      <alignment horizontal="right" vertical="center"/>
    </xf>
    <xf numFmtId="0" fontId="44" fillId="0" borderId="0" xfId="0" applyFont="1" applyAlignment="1">
      <alignment vertical="center"/>
    </xf>
    <xf numFmtId="0" fontId="44" fillId="0" borderId="0" xfId="0" applyFont="1" applyAlignment="1">
      <alignment horizontal="left" vertical="center"/>
    </xf>
    <xf numFmtId="0" fontId="44" fillId="24" borderId="0" xfId="0" applyFont="1" applyFill="1" applyAlignment="1">
      <alignment horizontal="center" vertical="center"/>
    </xf>
    <xf numFmtId="164" fontId="44" fillId="0" borderId="0" xfId="0" applyNumberFormat="1" applyFont="1" applyAlignment="1">
      <alignment horizontal="center" vertical="center"/>
    </xf>
    <xf numFmtId="1" fontId="44" fillId="0" borderId="0" xfId="0" applyNumberFormat="1" applyFont="1" applyAlignment="1">
      <alignment horizontal="center" vertical="center"/>
    </xf>
    <xf numFmtId="0" fontId="44" fillId="0" borderId="0" xfId="0" quotePrefix="1" applyFont="1" applyAlignment="1">
      <alignment horizontal="center" vertical="center"/>
    </xf>
    <xf numFmtId="176" fontId="44" fillId="0" borderId="0" xfId="28" applyNumberFormat="1" applyFont="1" applyFill="1" applyBorder="1" applyAlignment="1">
      <alignment horizontal="center" vertical="center"/>
    </xf>
    <xf numFmtId="175" fontId="44" fillId="0" borderId="0" xfId="28" applyNumberFormat="1" applyFont="1" applyFill="1" applyBorder="1" applyAlignment="1">
      <alignment horizontal="center" vertical="center"/>
    </xf>
    <xf numFmtId="175" fontId="44" fillId="0" borderId="0" xfId="0" applyNumberFormat="1" applyFont="1" applyAlignment="1">
      <alignment horizontal="center" vertical="center"/>
    </xf>
    <xf numFmtId="0" fontId="11" fillId="29" borderId="0" xfId="0" applyFont="1" applyFill="1" applyAlignment="1">
      <alignment horizontal="center" vertical="center"/>
    </xf>
    <xf numFmtId="0" fontId="12" fillId="29" borderId="0" xfId="0" applyFont="1" applyFill="1" applyAlignment="1">
      <alignment horizontal="center" vertical="center"/>
    </xf>
    <xf numFmtId="0" fontId="10" fillId="29" borderId="0" xfId="0" applyFont="1" applyFill="1" applyAlignment="1">
      <alignment horizontal="center" vertical="center"/>
    </xf>
    <xf numFmtId="164" fontId="12" fillId="29" borderId="0" xfId="0" applyNumberFormat="1" applyFont="1" applyFill="1" applyAlignment="1">
      <alignment horizontal="center" vertical="center"/>
    </xf>
    <xf numFmtId="0" fontId="12" fillId="29" borderId="29" xfId="0" applyFont="1" applyFill="1" applyBorder="1" applyAlignment="1">
      <alignment horizontal="center" vertical="center"/>
    </xf>
    <xf numFmtId="0" fontId="12" fillId="29" borderId="26" xfId="0" applyFont="1" applyFill="1" applyBorder="1" applyAlignment="1">
      <alignment horizontal="center" vertical="center"/>
    </xf>
    <xf numFmtId="0" fontId="18" fillId="0" borderId="0" xfId="0" applyFont="1" applyAlignment="1">
      <alignment horizontal="center"/>
    </xf>
    <xf numFmtId="0" fontId="18" fillId="0" borderId="0" xfId="0" applyFont="1"/>
    <xf numFmtId="164" fontId="18" fillId="0" borderId="0" xfId="0" applyNumberFormat="1" applyFont="1" applyAlignment="1">
      <alignment horizontal="center" vertical="center"/>
    </xf>
    <xf numFmtId="164" fontId="18" fillId="0" borderId="0" xfId="0" applyNumberFormat="1" applyFont="1" applyAlignment="1" applyProtection="1">
      <alignment horizontal="center" vertical="center"/>
      <protection locked="0"/>
    </xf>
    <xf numFmtId="164" fontId="18" fillId="0" borderId="0" xfId="0" applyNumberFormat="1" applyFont="1" applyAlignment="1" applyProtection="1">
      <alignment vertical="center"/>
      <protection locked="0"/>
    </xf>
    <xf numFmtId="164" fontId="18" fillId="0" borderId="0" xfId="0" applyNumberFormat="1" applyFont="1" applyAlignment="1" applyProtection="1">
      <alignment horizontal="right" vertical="center"/>
      <protection locked="0"/>
    </xf>
    <xf numFmtId="0" fontId="18" fillId="0" borderId="0" xfId="63" applyFont="1"/>
    <xf numFmtId="0" fontId="18" fillId="0" borderId="13" xfId="63" applyFont="1" applyBorder="1" applyAlignment="1">
      <alignment horizontal="left" indent="1"/>
    </xf>
    <xf numFmtId="0" fontId="18" fillId="0" borderId="13" xfId="63" applyFont="1" applyBorder="1"/>
    <xf numFmtId="0" fontId="18" fillId="0" borderId="28" xfId="63" applyFont="1" applyBorder="1" applyAlignment="1">
      <alignment horizontal="left"/>
    </xf>
    <xf numFmtId="0" fontId="18" fillId="0" borderId="0" xfId="63" applyFont="1" applyAlignment="1">
      <alignment horizontal="left" indent="1"/>
    </xf>
    <xf numFmtId="0" fontId="18" fillId="0" borderId="28" xfId="63" applyFont="1" applyBorder="1" applyAlignment="1">
      <alignment horizontal="left" indent="1"/>
    </xf>
    <xf numFmtId="0" fontId="18" fillId="0" borderId="10" xfId="63" applyFont="1" applyBorder="1" applyAlignment="1">
      <alignment horizontal="left" indent="1"/>
    </xf>
    <xf numFmtId="0" fontId="18" fillId="0" borderId="22" xfId="63" applyFont="1" applyBorder="1" applyAlignment="1">
      <alignment horizontal="left"/>
    </xf>
    <xf numFmtId="0" fontId="18" fillId="0" borderId="0" xfId="63" applyFont="1" applyAlignment="1">
      <alignment horizontal="left"/>
    </xf>
    <xf numFmtId="164" fontId="12" fillId="33" borderId="22" xfId="0" applyNumberFormat="1" applyFont="1" applyFill="1" applyBorder="1" applyAlignment="1">
      <alignment horizontal="center" vertical="center"/>
    </xf>
    <xf numFmtId="0" fontId="11" fillId="25" borderId="27" xfId="0" applyFont="1" applyFill="1" applyBorder="1" applyAlignment="1">
      <alignment horizontal="center" vertical="center"/>
    </xf>
    <xf numFmtId="0" fontId="12" fillId="25" borderId="17" xfId="0" applyFont="1" applyFill="1" applyBorder="1" applyAlignment="1">
      <alignment horizontal="center" vertical="center"/>
    </xf>
    <xf numFmtId="0" fontId="29" fillId="25" borderId="52" xfId="64" applyFont="1" applyFill="1" applyBorder="1" applyAlignment="1">
      <alignment horizontal="center"/>
    </xf>
    <xf numFmtId="0" fontId="29" fillId="25" borderId="53" xfId="64" applyFont="1" applyFill="1" applyBorder="1" applyAlignment="1">
      <alignment horizontal="center"/>
    </xf>
    <xf numFmtId="0" fontId="18" fillId="25" borderId="42" xfId="64" applyFont="1" applyFill="1" applyBorder="1" applyAlignment="1">
      <alignment horizontal="left"/>
    </xf>
    <xf numFmtId="164" fontId="13" fillId="35" borderId="34" xfId="0" applyNumberFormat="1" applyFont="1" applyFill="1" applyBorder="1" applyAlignment="1" applyProtection="1">
      <alignment horizontal="center" vertical="center"/>
      <protection locked="0"/>
    </xf>
    <xf numFmtId="175" fontId="12" fillId="0" borderId="28" xfId="28" applyNumberFormat="1" applyFont="1" applyFill="1" applyBorder="1" applyAlignment="1">
      <alignment horizontal="center" vertical="center"/>
    </xf>
    <xf numFmtId="175" fontId="12" fillId="0" borderId="10" xfId="28" applyNumberFormat="1" applyFont="1" applyFill="1" applyBorder="1" applyAlignment="1">
      <alignment horizontal="center" vertical="center"/>
    </xf>
    <xf numFmtId="49" fontId="13" fillId="29" borderId="60" xfId="0" applyNumberFormat="1" applyFont="1" applyFill="1" applyBorder="1" applyAlignment="1">
      <alignment horizontal="right" vertical="center"/>
    </xf>
    <xf numFmtId="164" fontId="13" fillId="28" borderId="54" xfId="63" applyNumberFormat="1" applyFont="1" applyFill="1" applyBorder="1" applyAlignment="1">
      <alignment horizontal="center" vertical="center"/>
    </xf>
    <xf numFmtId="0" fontId="18" fillId="0" borderId="0" xfId="0" applyFont="1" applyAlignment="1">
      <alignment horizontal="left" vertical="center"/>
    </xf>
    <xf numFmtId="0" fontId="20"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1" fontId="18" fillId="0" borderId="0" xfId="58" applyNumberFormat="1" applyAlignment="1">
      <alignment horizontal="center" vertical="center"/>
    </xf>
    <xf numFmtId="0" fontId="20" fillId="0" borderId="0" xfId="59" applyFont="1" applyAlignment="1">
      <alignment vertical="center"/>
    </xf>
    <xf numFmtId="0" fontId="18" fillId="0" borderId="0" xfId="44" applyAlignment="1">
      <alignment vertical="center"/>
    </xf>
    <xf numFmtId="164" fontId="18" fillId="0" borderId="0" xfId="0" applyNumberFormat="1" applyFont="1" applyAlignment="1">
      <alignment horizontal="center"/>
    </xf>
    <xf numFmtId="0" fontId="18" fillId="0" borderId="63" xfId="0" applyFont="1" applyBorder="1"/>
    <xf numFmtId="167" fontId="18" fillId="0" borderId="0" xfId="0" applyNumberFormat="1" applyFont="1" applyAlignment="1">
      <alignment horizontal="left"/>
    </xf>
    <xf numFmtId="14" fontId="18" fillId="0" borderId="0" xfId="0" applyNumberFormat="1" applyFont="1" applyAlignment="1">
      <alignment horizontal="center" vertical="center"/>
    </xf>
    <xf numFmtId="0" fontId="18" fillId="0" borderId="0" xfId="0" quotePrefix="1" applyFont="1" applyAlignment="1">
      <alignment horizontal="center" vertical="center"/>
    </xf>
    <xf numFmtId="14" fontId="18" fillId="0" borderId="0" xfId="0" applyNumberFormat="1" applyFont="1" applyAlignment="1">
      <alignment vertical="center"/>
    </xf>
    <xf numFmtId="0" fontId="20" fillId="0" borderId="67" xfId="0" applyFont="1" applyBorder="1" applyAlignment="1">
      <alignment horizontal="center" vertical="center"/>
    </xf>
    <xf numFmtId="0" fontId="20" fillId="0" borderId="68" xfId="0" applyFont="1" applyBorder="1" applyAlignment="1">
      <alignment horizontal="center" vertical="center"/>
    </xf>
    <xf numFmtId="0" fontId="20" fillId="0" borderId="70" xfId="0" applyFont="1" applyBorder="1" applyAlignment="1">
      <alignment horizontal="center" vertical="center"/>
    </xf>
    <xf numFmtId="0" fontId="20" fillId="0" borderId="71" xfId="0" applyFont="1" applyBorder="1" applyAlignment="1">
      <alignment horizontal="center" vertical="center"/>
    </xf>
    <xf numFmtId="0" fontId="18" fillId="0" borderId="11" xfId="0" applyFont="1" applyBorder="1" applyAlignment="1">
      <alignment horizontal="center" vertical="center"/>
    </xf>
    <xf numFmtId="0" fontId="18" fillId="0" borderId="26" xfId="0" applyFont="1" applyBorder="1" applyAlignment="1">
      <alignment horizontal="center" vertical="center"/>
    </xf>
    <xf numFmtId="0" fontId="20" fillId="0" borderId="52" xfId="0" applyFont="1" applyBorder="1" applyAlignment="1">
      <alignment horizontal="center" vertical="center"/>
    </xf>
    <xf numFmtId="0" fontId="20" fillId="0" borderId="53" xfId="0" applyFont="1" applyBorder="1" applyAlignment="1">
      <alignment horizontal="center" vertical="center"/>
    </xf>
    <xf numFmtId="164" fontId="18" fillId="25" borderId="40" xfId="0" applyNumberFormat="1" applyFont="1" applyFill="1" applyBorder="1" applyAlignment="1">
      <alignment horizontal="center" vertical="center"/>
    </xf>
    <xf numFmtId="0" fontId="104" fillId="0" borderId="0" xfId="0" applyFont="1" applyAlignment="1">
      <alignment horizontal="left" vertical="center"/>
    </xf>
    <xf numFmtId="0" fontId="20" fillId="0" borderId="69" xfId="0" applyFont="1" applyBorder="1" applyAlignment="1">
      <alignment horizontal="left" vertical="center" wrapText="1"/>
    </xf>
    <xf numFmtId="0" fontId="20" fillId="0" borderId="70" xfId="0" applyFont="1" applyBorder="1" applyAlignment="1">
      <alignment horizontal="left" vertical="center" wrapText="1"/>
    </xf>
    <xf numFmtId="0" fontId="20" fillId="25" borderId="0" xfId="0" applyFont="1" applyFill="1" applyAlignment="1">
      <alignment vertical="center"/>
    </xf>
    <xf numFmtId="0" fontId="18" fillId="0" borderId="72" xfId="0" applyFont="1" applyBorder="1" applyAlignment="1">
      <alignment horizontal="center" vertical="center"/>
    </xf>
    <xf numFmtId="0" fontId="18" fillId="0" borderId="28" xfId="0" applyFont="1" applyBorder="1" applyAlignment="1">
      <alignment horizontal="center" vertical="center"/>
    </xf>
    <xf numFmtId="14" fontId="18" fillId="0" borderId="28" xfId="0" applyNumberFormat="1" applyFont="1" applyBorder="1" applyAlignment="1">
      <alignment horizontal="center" vertical="center"/>
    </xf>
    <xf numFmtId="0" fontId="18" fillId="0" borderId="28" xfId="0" quotePrefix="1" applyFont="1" applyBorder="1" applyAlignment="1">
      <alignment horizontal="center" vertical="center"/>
    </xf>
    <xf numFmtId="0" fontId="18" fillId="0" borderId="73" xfId="0" applyFont="1" applyBorder="1" applyAlignment="1">
      <alignment horizontal="center" vertical="center"/>
    </xf>
    <xf numFmtId="0" fontId="18" fillId="0" borderId="0" xfId="0" applyFont="1" applyAlignment="1">
      <alignment horizontal="left" vertical="center" wrapText="1"/>
    </xf>
    <xf numFmtId="0" fontId="18" fillId="25" borderId="0" xfId="0" applyFont="1" applyFill="1" applyAlignment="1">
      <alignment horizontal="left" vertical="center" wrapText="1"/>
    </xf>
    <xf numFmtId="0" fontId="18" fillId="0" borderId="28" xfId="0" applyFont="1" applyBorder="1" applyAlignment="1">
      <alignment horizontal="left" vertical="center" wrapText="1"/>
    </xf>
    <xf numFmtId="0" fontId="18" fillId="0" borderId="13" xfId="63" applyFont="1" applyBorder="1" applyAlignment="1">
      <alignment horizontal="right" indent="1"/>
    </xf>
    <xf numFmtId="167" fontId="12" fillId="0" borderId="0" xfId="63" applyNumberFormat="1" applyFont="1" applyAlignment="1">
      <alignment horizontal="center" vertical="center"/>
    </xf>
    <xf numFmtId="0" fontId="12" fillId="0" borderId="26" xfId="64" applyFont="1" applyBorder="1" applyAlignment="1">
      <alignment horizontal="left" vertical="center"/>
    </xf>
    <xf numFmtId="0" fontId="12" fillId="0" borderId="0" xfId="64" applyFont="1" applyAlignment="1">
      <alignment horizontal="left" vertical="center"/>
    </xf>
    <xf numFmtId="176" fontId="12" fillId="41" borderId="0" xfId="0" applyNumberFormat="1" applyFont="1" applyFill="1" applyAlignment="1">
      <alignment horizontal="center" vertical="center"/>
    </xf>
    <xf numFmtId="0" fontId="12" fillId="0" borderId="0" xfId="0" applyFont="1"/>
    <xf numFmtId="0" fontId="109" fillId="0" borderId="0" xfId="97" applyFont="1" applyAlignment="1">
      <alignment vertical="center" wrapText="1"/>
    </xf>
    <xf numFmtId="167" fontId="12" fillId="0" borderId="0" xfId="63" applyNumberFormat="1" applyFont="1" applyAlignment="1">
      <alignment horizontal="center"/>
    </xf>
    <xf numFmtId="167" fontId="12" fillId="0" borderId="17" xfId="63" applyNumberFormat="1" applyFont="1" applyBorder="1" applyAlignment="1">
      <alignment horizontal="center"/>
    </xf>
    <xf numFmtId="0" fontId="18" fillId="0" borderId="13" xfId="63" applyFont="1" applyBorder="1" applyAlignment="1">
      <alignment horizontal="left"/>
    </xf>
    <xf numFmtId="0" fontId="18" fillId="0" borderId="40" xfId="63" applyFont="1" applyBorder="1" applyAlignment="1">
      <alignment horizontal="left"/>
    </xf>
    <xf numFmtId="0" fontId="87" fillId="0" borderId="0" xfId="63" applyFont="1" applyAlignment="1">
      <alignment horizontal="left"/>
    </xf>
    <xf numFmtId="0" fontId="18" fillId="0" borderId="27" xfId="64" applyFont="1" applyBorder="1"/>
    <xf numFmtId="0" fontId="18" fillId="0" borderId="17" xfId="64" applyFont="1" applyBorder="1"/>
    <xf numFmtId="0" fontId="18" fillId="0" borderId="26" xfId="64" applyFont="1" applyBorder="1"/>
    <xf numFmtId="0" fontId="18" fillId="0" borderId="0" xfId="64" applyFont="1"/>
    <xf numFmtId="0" fontId="85" fillId="0" borderId="0" xfId="0" applyFont="1" applyAlignment="1">
      <alignment vertical="center"/>
    </xf>
    <xf numFmtId="0" fontId="36" fillId="0" borderId="0" xfId="0" applyFont="1"/>
    <xf numFmtId="0" fontId="13" fillId="42" borderId="0" xfId="0" applyFont="1" applyFill="1" applyAlignment="1">
      <alignment horizontal="center"/>
    </xf>
    <xf numFmtId="0" fontId="13" fillId="42" borderId="0" xfId="0" applyFont="1" applyFill="1" applyAlignment="1">
      <alignment horizontal="left"/>
    </xf>
    <xf numFmtId="0" fontId="13" fillId="42" borderId="0" xfId="0" quotePrefix="1" applyFont="1" applyFill="1" applyAlignment="1">
      <alignment horizontal="center"/>
    </xf>
    <xf numFmtId="0" fontId="12" fillId="42" borderId="0" xfId="0" applyFont="1" applyFill="1" applyAlignment="1">
      <alignment horizontal="center" vertical="center"/>
    </xf>
    <xf numFmtId="164" fontId="13" fillId="42" borderId="0" xfId="0" applyNumberFormat="1" applyFont="1" applyFill="1" applyAlignment="1">
      <alignment horizontal="center"/>
    </xf>
    <xf numFmtId="2" fontId="12" fillId="42" borderId="0" xfId="0" quotePrefix="1" applyNumberFormat="1" applyFont="1" applyFill="1" applyAlignment="1">
      <alignment horizontal="center" vertical="center"/>
    </xf>
    <xf numFmtId="0" fontId="12" fillId="42" borderId="0" xfId="0" applyFont="1" applyFill="1" applyAlignment="1">
      <alignment horizontal="center"/>
    </xf>
    <xf numFmtId="176" fontId="13" fillId="42" borderId="0" xfId="0" applyNumberFormat="1" applyFont="1" applyFill="1" applyAlignment="1">
      <alignment horizontal="center"/>
    </xf>
    <xf numFmtId="175" fontId="13" fillId="42" borderId="0" xfId="0" applyNumberFormat="1" applyFont="1" applyFill="1" applyAlignment="1">
      <alignment horizontal="center"/>
    </xf>
    <xf numFmtId="2" fontId="12" fillId="0" borderId="0" xfId="0" applyNumberFormat="1" applyFont="1" applyAlignment="1">
      <alignment horizontal="center" vertical="center"/>
    </xf>
    <xf numFmtId="0" fontId="21" fillId="0" borderId="25" xfId="0" applyFont="1" applyBorder="1"/>
    <xf numFmtId="0" fontId="20" fillId="0" borderId="17" xfId="0" applyFont="1" applyBorder="1"/>
    <xf numFmtId="0" fontId="21" fillId="0" borderId="17" xfId="0" applyFont="1" applyBorder="1"/>
    <xf numFmtId="0" fontId="18" fillId="0" borderId="17" xfId="0" quotePrefix="1" applyFont="1" applyBorder="1" applyAlignment="1">
      <alignment horizontal="center"/>
    </xf>
    <xf numFmtId="2" fontId="12" fillId="0" borderId="17" xfId="0" applyNumberFormat="1" applyFont="1" applyBorder="1" applyAlignment="1">
      <alignment horizontal="center" vertical="center"/>
    </xf>
    <xf numFmtId="0" fontId="36" fillId="27" borderId="17" xfId="0" applyFont="1" applyFill="1" applyBorder="1"/>
    <xf numFmtId="0" fontId="12" fillId="39" borderId="17" xfId="0" quotePrefix="1" applyFont="1" applyFill="1" applyBorder="1" applyAlignment="1">
      <alignment horizontal="center" vertical="center"/>
    </xf>
    <xf numFmtId="164" fontId="12" fillId="27" borderId="17" xfId="0" applyNumberFormat="1" applyFont="1" applyFill="1" applyBorder="1" applyAlignment="1">
      <alignment horizontal="center" vertical="center"/>
    </xf>
    <xf numFmtId="175" fontId="12" fillId="27" borderId="17" xfId="0" applyNumberFormat="1" applyFont="1" applyFill="1" applyBorder="1" applyAlignment="1">
      <alignment horizontal="center" vertical="center"/>
    </xf>
    <xf numFmtId="176" fontId="36" fillId="0" borderId="0" xfId="0" applyNumberFormat="1" applyFont="1"/>
    <xf numFmtId="0" fontId="21" fillId="24" borderId="0" xfId="0" applyFont="1" applyFill="1"/>
    <xf numFmtId="0" fontId="36" fillId="0" borderId="0" xfId="0" applyFont="1" applyAlignment="1">
      <alignment horizontal="left"/>
    </xf>
    <xf numFmtId="0" fontId="36" fillId="0" borderId="0" xfId="0" applyFont="1" applyAlignment="1">
      <alignment horizontal="center"/>
    </xf>
    <xf numFmtId="0" fontId="36" fillId="0" borderId="15" xfId="0" applyFont="1" applyBorder="1"/>
    <xf numFmtId="0" fontId="36" fillId="24" borderId="0" xfId="0" applyFont="1" applyFill="1"/>
    <xf numFmtId="14" fontId="0" fillId="0" borderId="0" xfId="0" applyNumberFormat="1" applyAlignment="1">
      <alignment horizontal="left"/>
    </xf>
    <xf numFmtId="176" fontId="30" fillId="0" borderId="0" xfId="0" applyNumberFormat="1" applyFont="1"/>
    <xf numFmtId="0" fontId="35" fillId="0" borderId="0" xfId="0" applyFont="1" applyAlignment="1">
      <alignment horizontal="left"/>
    </xf>
    <xf numFmtId="2" fontId="30" fillId="0" borderId="0" xfId="0" applyNumberFormat="1" applyFont="1" applyAlignment="1">
      <alignment horizontal="center"/>
    </xf>
    <xf numFmtId="0" fontId="20" fillId="0" borderId="0" xfId="0" applyFont="1" applyAlignment="1">
      <alignment horizontal="center"/>
    </xf>
    <xf numFmtId="164" fontId="30" fillId="36" borderId="58" xfId="0" applyNumberFormat="1" applyFont="1" applyFill="1" applyBorder="1" applyAlignment="1">
      <alignment horizontal="center"/>
    </xf>
    <xf numFmtId="0" fontId="30" fillId="0" borderId="0" xfId="0" applyFont="1" applyAlignment="1">
      <alignment horizontal="right"/>
    </xf>
    <xf numFmtId="176" fontId="20" fillId="0" borderId="0" xfId="0" applyNumberFormat="1" applyFont="1" applyAlignment="1">
      <alignment horizontal="center"/>
    </xf>
    <xf numFmtId="0" fontId="20" fillId="0" borderId="59" xfId="0" applyFont="1" applyBorder="1"/>
    <xf numFmtId="0" fontId="20" fillId="24" borderId="0" xfId="0" applyFont="1" applyFill="1" applyAlignment="1">
      <alignment horizontal="right"/>
    </xf>
    <xf numFmtId="0" fontId="20" fillId="24" borderId="0" xfId="0" applyFont="1" applyFill="1" applyAlignment="1">
      <alignment horizontal="center"/>
    </xf>
    <xf numFmtId="0" fontId="20" fillId="27" borderId="0" xfId="0" applyFont="1" applyFill="1" applyAlignment="1">
      <alignment horizontal="center"/>
    </xf>
    <xf numFmtId="0" fontId="20" fillId="35" borderId="0" xfId="0" applyFont="1" applyFill="1" applyAlignment="1">
      <alignment horizontal="center"/>
    </xf>
    <xf numFmtId="0" fontId="20" fillId="44" borderId="0" xfId="0" applyFont="1" applyFill="1" applyAlignment="1">
      <alignment horizontal="center"/>
    </xf>
    <xf numFmtId="0" fontId="20" fillId="36" borderId="0" xfId="0" applyFont="1" applyFill="1" applyAlignment="1">
      <alignment horizontal="center"/>
    </xf>
    <xf numFmtId="0" fontId="20" fillId="29" borderId="0" xfId="0" applyFont="1" applyFill="1" applyAlignment="1">
      <alignment horizontal="center"/>
    </xf>
    <xf numFmtId="0" fontId="18" fillId="0" borderId="0" xfId="0" quotePrefix="1" applyFont="1" applyAlignment="1">
      <alignment horizontal="center"/>
    </xf>
    <xf numFmtId="164" fontId="18" fillId="0" borderId="0" xfId="0" quotePrefix="1" applyNumberFormat="1" applyFont="1" applyAlignment="1">
      <alignment horizontal="center"/>
    </xf>
    <xf numFmtId="0" fontId="20" fillId="29" borderId="17" xfId="0" applyFont="1" applyFill="1" applyBorder="1" applyAlignment="1">
      <alignment horizontal="center"/>
    </xf>
    <xf numFmtId="0" fontId="20" fillId="24" borderId="17" xfId="0" applyFont="1" applyFill="1" applyBorder="1" applyAlignment="1">
      <alignment horizontal="center"/>
    </xf>
    <xf numFmtId="1" fontId="20" fillId="0" borderId="0" xfId="0" applyNumberFormat="1" applyFont="1" applyAlignment="1">
      <alignment horizontal="center"/>
    </xf>
    <xf numFmtId="0" fontId="20" fillId="0" borderId="13" xfId="0" applyFont="1" applyBorder="1" applyAlignment="1">
      <alignment horizontal="center"/>
    </xf>
    <xf numFmtId="0" fontId="20" fillId="0" borderId="51" xfId="0" applyFont="1" applyBorder="1" applyAlignment="1">
      <alignment horizontal="center"/>
    </xf>
    <xf numFmtId="0" fontId="20" fillId="29" borderId="21" xfId="0" applyFont="1" applyFill="1" applyBorder="1" applyAlignment="1">
      <alignment horizontal="center"/>
    </xf>
    <xf numFmtId="175" fontId="20" fillId="39" borderId="30" xfId="0" applyNumberFormat="1" applyFont="1" applyFill="1" applyBorder="1" applyAlignment="1">
      <alignment horizontal="center"/>
    </xf>
    <xf numFmtId="175" fontId="20" fillId="46" borderId="30" xfId="0" applyNumberFormat="1" applyFont="1" applyFill="1" applyBorder="1" applyAlignment="1">
      <alignment horizontal="center"/>
    </xf>
    <xf numFmtId="175" fontId="20" fillId="45" borderId="30" xfId="0" applyNumberFormat="1" applyFont="1" applyFill="1" applyBorder="1" applyAlignment="1">
      <alignment horizontal="center"/>
    </xf>
    <xf numFmtId="0" fontId="21" fillId="29" borderId="0" xfId="0" applyFont="1" applyFill="1"/>
    <xf numFmtId="176" fontId="21" fillId="0" borderId="0" xfId="0" applyNumberFormat="1" applyFont="1"/>
    <xf numFmtId="0" fontId="61" fillId="0" borderId="0" xfId="0" applyFont="1" applyAlignment="1">
      <alignment horizontal="left" vertical="center"/>
    </xf>
    <xf numFmtId="0" fontId="0" fillId="0" borderId="0" xfId="0" applyAlignment="1">
      <alignment horizontal="left"/>
    </xf>
    <xf numFmtId="0" fontId="69" fillId="0" borderId="0" xfId="0" applyFont="1" applyAlignment="1">
      <alignment vertical="center"/>
    </xf>
    <xf numFmtId="0" fontId="81" fillId="0" borderId="0" xfId="0" applyFont="1"/>
    <xf numFmtId="164" fontId="83" fillId="0" borderId="0" xfId="0" applyNumberFormat="1" applyFont="1" applyAlignment="1">
      <alignment horizontal="center"/>
    </xf>
    <xf numFmtId="164" fontId="82" fillId="0" borderId="0" xfId="0" applyNumberFormat="1" applyFont="1" applyAlignment="1">
      <alignment horizontal="center"/>
    </xf>
    <xf numFmtId="0" fontId="0" fillId="42" borderId="0" xfId="0" applyFill="1" applyAlignment="1">
      <alignment horizontal="left"/>
    </xf>
    <xf numFmtId="0" fontId="0" fillId="42" borderId="0" xfId="0" applyFill="1"/>
    <xf numFmtId="0" fontId="0" fillId="42" borderId="0" xfId="0" applyFill="1" applyAlignment="1">
      <alignment horizontal="right"/>
    </xf>
    <xf numFmtId="0" fontId="16" fillId="0" borderId="17" xfId="0" applyFont="1" applyBorder="1" applyAlignment="1">
      <alignment horizontal="right" vertical="center"/>
    </xf>
    <xf numFmtId="180" fontId="38" fillId="32" borderId="17" xfId="0" applyNumberFormat="1" applyFont="1" applyFill="1" applyBorder="1" applyAlignment="1">
      <alignment vertical="center"/>
    </xf>
    <xf numFmtId="0" fontId="50" fillId="0" borderId="17" xfId="0" quotePrefix="1" applyFont="1" applyBorder="1" applyAlignment="1">
      <alignment vertical="center"/>
    </xf>
    <xf numFmtId="44" fontId="12" fillId="0" borderId="17" xfId="28" applyFont="1" applyFill="1" applyBorder="1" applyAlignment="1" applyProtection="1">
      <alignment horizontal="center" vertical="center"/>
    </xf>
    <xf numFmtId="0" fontId="16" fillId="0" borderId="0" xfId="0" applyFont="1" applyAlignment="1">
      <alignment horizontal="right" vertical="center"/>
    </xf>
    <xf numFmtId="180" fontId="38" fillId="32" borderId="0" xfId="0" applyNumberFormat="1" applyFont="1" applyFill="1" applyAlignment="1">
      <alignment vertical="center"/>
    </xf>
    <xf numFmtId="0" fontId="50" fillId="0" borderId="0" xfId="0" quotePrefix="1" applyFont="1" applyAlignment="1">
      <alignment vertical="center"/>
    </xf>
    <xf numFmtId="164" fontId="13" fillId="0" borderId="0" xfId="0" applyNumberFormat="1" applyFont="1" applyAlignment="1">
      <alignment horizontal="right" vertical="center"/>
    </xf>
    <xf numFmtId="0" fontId="12" fillId="0" borderId="13" xfId="0" applyFont="1" applyBorder="1" applyAlignment="1">
      <alignment horizontal="center" vertical="center"/>
    </xf>
    <xf numFmtId="164" fontId="13" fillId="32" borderId="0" xfId="0" applyNumberFormat="1" applyFont="1" applyFill="1" applyAlignment="1">
      <alignment horizontal="center" vertical="center"/>
    </xf>
    <xf numFmtId="180" fontId="12" fillId="0" borderId="0" xfId="0" applyNumberFormat="1" applyFont="1" applyAlignment="1">
      <alignment horizontal="center" vertical="center"/>
    </xf>
    <xf numFmtId="1" fontId="12" fillId="0" borderId="0" xfId="0" quotePrefix="1" applyNumberFormat="1" applyFont="1" applyAlignment="1">
      <alignment horizontal="center" vertical="center"/>
    </xf>
    <xf numFmtId="0" fontId="42" fillId="0" borderId="0" xfId="0" applyFont="1" applyAlignment="1">
      <alignment horizontal="left" vertical="center"/>
    </xf>
    <xf numFmtId="0" fontId="14" fillId="0" borderId="0" xfId="0" applyFont="1" applyAlignment="1">
      <alignment horizontal="left" vertical="center"/>
    </xf>
    <xf numFmtId="175" fontId="51" fillId="0" borderId="0" xfId="0" applyNumberFormat="1" applyFont="1" applyAlignment="1">
      <alignment horizontal="center" vertical="center"/>
    </xf>
    <xf numFmtId="176" fontId="51" fillId="0" borderId="0" xfId="0" applyNumberFormat="1" applyFont="1" applyAlignment="1">
      <alignment horizontal="center" vertical="center"/>
    </xf>
    <xf numFmtId="175" fontId="53" fillId="0" borderId="0" xfId="0" quotePrefix="1" applyNumberFormat="1" applyFont="1" applyAlignment="1">
      <alignment vertical="center"/>
    </xf>
    <xf numFmtId="0" fontId="16" fillId="28" borderId="0" xfId="0" applyFont="1" applyFill="1" applyAlignment="1">
      <alignment vertical="center"/>
    </xf>
    <xf numFmtId="0" fontId="13" fillId="0" borderId="17" xfId="0" applyFont="1" applyBorder="1" applyAlignment="1">
      <alignment horizontal="center" vertical="center"/>
    </xf>
    <xf numFmtId="0" fontId="13" fillId="0" borderId="17" xfId="0" applyFont="1" applyBorder="1" applyAlignment="1">
      <alignment horizontal="right" vertical="center"/>
    </xf>
    <xf numFmtId="0" fontId="54" fillId="0" borderId="0" xfId="0" applyFont="1" applyAlignment="1">
      <alignment horizontal="center" vertical="center"/>
    </xf>
    <xf numFmtId="0" fontId="16" fillId="0" borderId="0" xfId="0" applyFont="1" applyAlignment="1">
      <alignment horizontal="center" vertical="center"/>
    </xf>
    <xf numFmtId="0" fontId="13" fillId="0" borderId="0" xfId="0" applyFont="1" applyAlignment="1">
      <alignment horizontal="right" vertical="center"/>
    </xf>
    <xf numFmtId="164" fontId="12" fillId="0" borderId="0" xfId="0" applyNumberFormat="1" applyFont="1" applyAlignment="1">
      <alignment horizontal="left" vertical="center"/>
    </xf>
    <xf numFmtId="0" fontId="13" fillId="0" borderId="28" xfId="0" applyFont="1" applyBorder="1" applyAlignment="1">
      <alignment vertical="center"/>
    </xf>
    <xf numFmtId="164" fontId="0" fillId="40" borderId="40" xfId="0" applyNumberFormat="1" applyFill="1" applyBorder="1" applyAlignment="1" applyProtection="1">
      <alignment horizontal="center"/>
      <protection locked="0"/>
    </xf>
    <xf numFmtId="0" fontId="120" fillId="0" borderId="0" xfId="0" applyFont="1" applyAlignment="1">
      <alignment vertical="center"/>
    </xf>
    <xf numFmtId="44" fontId="12" fillId="0" borderId="0" xfId="28" applyFont="1" applyFill="1" applyBorder="1" applyAlignment="1" applyProtection="1">
      <alignment horizontal="center" vertical="center"/>
    </xf>
    <xf numFmtId="0" fontId="46" fillId="39" borderId="27" xfId="0" applyFont="1" applyFill="1" applyBorder="1" applyAlignment="1">
      <alignment horizontal="center" vertical="center"/>
    </xf>
    <xf numFmtId="0" fontId="43" fillId="39" borderId="17" xfId="0" applyFont="1" applyFill="1" applyBorder="1" applyAlignment="1">
      <alignment horizontal="right" vertical="center"/>
    </xf>
    <xf numFmtId="0" fontId="18" fillId="29" borderId="29" xfId="0" applyFont="1" applyFill="1" applyBorder="1" applyAlignment="1">
      <alignment vertical="center"/>
    </xf>
    <xf numFmtId="164" fontId="12" fillId="0" borderId="0" xfId="0" applyNumberFormat="1" applyFont="1" applyAlignment="1">
      <alignment horizontal="right" vertical="center"/>
    </xf>
    <xf numFmtId="44" fontId="13" fillId="0" borderId="0" xfId="28" applyFont="1" applyFill="1" applyBorder="1" applyAlignment="1" applyProtection="1">
      <alignment horizontal="center" vertical="center"/>
    </xf>
    <xf numFmtId="0" fontId="12" fillId="39" borderId="11" xfId="0" applyFont="1" applyFill="1" applyBorder="1" applyAlignment="1">
      <alignment vertical="center"/>
    </xf>
    <xf numFmtId="0" fontId="43" fillId="39" borderId="26" xfId="0" applyFont="1" applyFill="1" applyBorder="1" applyAlignment="1">
      <alignment horizontal="right" vertical="center"/>
    </xf>
    <xf numFmtId="0" fontId="18" fillId="29" borderId="29" xfId="0" applyFont="1" applyFill="1" applyBorder="1" applyAlignment="1">
      <alignment horizontal="left" vertical="center"/>
    </xf>
    <xf numFmtId="0" fontId="47" fillId="39" borderId="26" xfId="0" applyFont="1" applyFill="1" applyBorder="1" applyAlignment="1">
      <alignment vertical="center"/>
    </xf>
    <xf numFmtId="1" fontId="43" fillId="39" borderId="0" xfId="63" applyNumberFormat="1" applyFont="1" applyFill="1" applyAlignment="1">
      <alignment vertical="center"/>
    </xf>
    <xf numFmtId="1" fontId="43" fillId="39" borderId="11" xfId="63" applyNumberFormat="1" applyFont="1" applyFill="1" applyBorder="1" applyAlignment="1">
      <alignment horizontal="right" vertical="center"/>
    </xf>
    <xf numFmtId="164" fontId="43" fillId="39" borderId="11" xfId="0" applyNumberFormat="1" applyFont="1" applyFill="1" applyBorder="1" applyAlignment="1">
      <alignment horizontal="right" vertical="center"/>
    </xf>
    <xf numFmtId="49" fontId="13" fillId="0" borderId="0" xfId="0" applyNumberFormat="1" applyFont="1" applyAlignment="1">
      <alignment horizontal="left" vertical="center"/>
    </xf>
    <xf numFmtId="0" fontId="12" fillId="29" borderId="11" xfId="0" applyFont="1" applyFill="1" applyBorder="1" applyAlignment="1">
      <alignment horizontal="center" vertical="center"/>
    </xf>
    <xf numFmtId="164" fontId="20" fillId="0" borderId="0" xfId="0" applyNumberFormat="1" applyFont="1" applyAlignment="1">
      <alignment vertical="center"/>
    </xf>
    <xf numFmtId="164" fontId="18" fillId="0" borderId="0" xfId="0" applyNumberFormat="1" applyFont="1" applyAlignment="1">
      <alignment vertical="center"/>
    </xf>
    <xf numFmtId="164" fontId="18" fillId="0" borderId="0" xfId="0" applyNumberFormat="1" applyFont="1" applyAlignment="1">
      <alignment horizontal="right" vertical="center"/>
    </xf>
    <xf numFmtId="176" fontId="12" fillId="0" borderId="21" xfId="0" applyNumberFormat="1" applyFont="1" applyBorder="1" applyAlignment="1">
      <alignment horizontal="center" vertical="center"/>
    </xf>
    <xf numFmtId="0" fontId="13" fillId="28" borderId="17" xfId="0" applyFont="1" applyFill="1" applyBorder="1" applyAlignment="1">
      <alignment vertical="center"/>
    </xf>
    <xf numFmtId="175" fontId="12" fillId="0" borderId="0" xfId="28" applyNumberFormat="1" applyFont="1" applyFill="1" applyBorder="1" applyAlignment="1" applyProtection="1">
      <alignment horizontal="center" vertical="center"/>
    </xf>
    <xf numFmtId="176" fontId="13" fillId="0" borderId="0" xfId="0" applyNumberFormat="1" applyFont="1" applyAlignment="1">
      <alignment horizontal="center" vertical="center"/>
    </xf>
    <xf numFmtId="175" fontId="13" fillId="26" borderId="0" xfId="0" applyNumberFormat="1" applyFont="1" applyFill="1" applyAlignment="1">
      <alignment horizontal="center" vertical="center"/>
    </xf>
    <xf numFmtId="0" fontId="12" fillId="0" borderId="17" xfId="0" applyFont="1" applyBorder="1" applyAlignment="1">
      <alignment horizontal="right" vertical="center"/>
    </xf>
    <xf numFmtId="175" fontId="12" fillId="0" borderId="17" xfId="28" applyNumberFormat="1" applyFont="1" applyFill="1" applyBorder="1" applyAlignment="1" applyProtection="1">
      <alignment horizontal="center" vertical="center"/>
    </xf>
    <xf numFmtId="164" fontId="12" fillId="0" borderId="0" xfId="94" applyNumberFormat="1" applyFont="1" applyAlignment="1">
      <alignment horizontal="center" vertical="center"/>
    </xf>
    <xf numFmtId="0" fontId="13" fillId="27" borderId="21" xfId="0" applyFont="1" applyFill="1" applyBorder="1" applyAlignment="1">
      <alignment horizontal="left" vertical="center"/>
    </xf>
    <xf numFmtId="0" fontId="13" fillId="27" borderId="21" xfId="0" applyFont="1" applyFill="1" applyBorder="1" applyAlignment="1">
      <alignment vertical="center"/>
    </xf>
    <xf numFmtId="0" fontId="13" fillId="27" borderId="21" xfId="0" applyFont="1" applyFill="1" applyBorder="1" applyAlignment="1">
      <alignment horizontal="center" vertical="center"/>
    </xf>
    <xf numFmtId="164" fontId="13" fillId="27" borderId="21" xfId="0" applyNumberFormat="1" applyFont="1" applyFill="1" applyBorder="1" applyAlignment="1">
      <alignment horizontal="center" vertical="center"/>
    </xf>
    <xf numFmtId="0" fontId="12" fillId="27" borderId="21" xfId="0" applyFont="1" applyFill="1" applyBorder="1" applyAlignment="1">
      <alignment horizontal="center" vertical="center"/>
    </xf>
    <xf numFmtId="0" fontId="12" fillId="0" borderId="37" xfId="0" applyFont="1" applyBorder="1" applyAlignment="1">
      <alignment horizontal="center" vertical="center"/>
    </xf>
    <xf numFmtId="2" fontId="12" fillId="0" borderId="31" xfId="0" applyNumberFormat="1" applyFont="1" applyBorder="1" applyAlignment="1">
      <alignment horizontal="center" vertical="center"/>
    </xf>
    <xf numFmtId="0" fontId="13" fillId="0" borderId="17" xfId="0" applyFont="1" applyBorder="1" applyAlignment="1">
      <alignment vertical="top"/>
    </xf>
    <xf numFmtId="0" fontId="12" fillId="24" borderId="21" xfId="0" applyFont="1" applyFill="1" applyBorder="1" applyAlignment="1">
      <alignment horizontal="center" vertical="center"/>
    </xf>
    <xf numFmtId="176" fontId="12" fillId="0" borderId="0" xfId="28" applyNumberFormat="1" applyFont="1" applyFill="1" applyBorder="1" applyAlignment="1" applyProtection="1">
      <alignment horizontal="center" vertical="center"/>
    </xf>
    <xf numFmtId="176" fontId="12" fillId="0" borderId="17" xfId="28" applyNumberFormat="1" applyFont="1" applyFill="1" applyBorder="1" applyAlignment="1" applyProtection="1">
      <alignment horizontal="center" vertical="center"/>
    </xf>
    <xf numFmtId="0" fontId="13" fillId="0" borderId="0" xfId="0" applyFont="1" applyAlignment="1">
      <alignment vertical="top"/>
    </xf>
    <xf numFmtId="0" fontId="70" fillId="0" borderId="0" xfId="0" applyFont="1" applyAlignment="1">
      <alignment horizontal="center" vertical="center"/>
    </xf>
    <xf numFmtId="164" fontId="13" fillId="0" borderId="21" xfId="0" applyNumberFormat="1" applyFont="1" applyBorder="1" applyAlignment="1">
      <alignment horizontal="center" vertical="center"/>
    </xf>
    <xf numFmtId="167" fontId="12" fillId="0" borderId="17" xfId="0" applyNumberFormat="1" applyFont="1" applyBorder="1" applyAlignment="1">
      <alignment horizontal="center" vertical="center"/>
    </xf>
    <xf numFmtId="180" fontId="38" fillId="0" borderId="0" xfId="0" applyNumberFormat="1" applyFont="1" applyAlignment="1">
      <alignment vertical="center"/>
    </xf>
    <xf numFmtId="175" fontId="12" fillId="0" borderId="17" xfId="0" applyNumberFormat="1" applyFont="1" applyBorder="1" applyAlignment="1">
      <alignment vertical="center" textRotation="180"/>
    </xf>
    <xf numFmtId="0" fontId="13" fillId="0" borderId="0" xfId="0" applyFont="1" applyAlignment="1">
      <alignment horizontal="center" vertical="center"/>
    </xf>
    <xf numFmtId="175" fontId="12" fillId="0" borderId="0" xfId="0" applyNumberFormat="1" applyFont="1" applyAlignment="1">
      <alignment vertical="center" textRotation="180"/>
    </xf>
    <xf numFmtId="181" fontId="16" fillId="32" borderId="0" xfId="0" applyNumberFormat="1" applyFont="1" applyFill="1" applyAlignment="1">
      <alignment horizontal="center" vertical="center"/>
    </xf>
    <xf numFmtId="0" fontId="38" fillId="0" borderId="17" xfId="0" quotePrefix="1" applyFont="1" applyBorder="1" applyAlignment="1">
      <alignment vertical="center"/>
    </xf>
    <xf numFmtId="2" fontId="13" fillId="0" borderId="17" xfId="0" applyNumberFormat="1" applyFont="1" applyBorder="1" applyAlignment="1">
      <alignment horizontal="center" vertical="center"/>
    </xf>
    <xf numFmtId="181" fontId="16" fillId="0" borderId="0" xfId="0" applyNumberFormat="1" applyFont="1" applyAlignment="1">
      <alignment horizontal="center" vertical="center"/>
    </xf>
    <xf numFmtId="164" fontId="12" fillId="0" borderId="21" xfId="0" applyNumberFormat="1" applyFont="1" applyBorder="1" applyAlignment="1">
      <alignment horizontal="center" vertical="center"/>
    </xf>
    <xf numFmtId="1" fontId="12" fillId="0" borderId="21" xfId="0" applyNumberFormat="1" applyFont="1" applyBorder="1" applyAlignment="1">
      <alignment horizontal="center" vertical="center"/>
    </xf>
    <xf numFmtId="2" fontId="12" fillId="0" borderId="21" xfId="0" applyNumberFormat="1" applyFont="1" applyBorder="1" applyAlignment="1">
      <alignment horizontal="center" vertical="center"/>
    </xf>
    <xf numFmtId="0" fontId="13" fillId="28" borderId="0" xfId="0" applyFont="1" applyFill="1" applyAlignment="1">
      <alignment vertical="center"/>
    </xf>
    <xf numFmtId="0" fontId="20" fillId="26" borderId="0" xfId="0" applyFont="1" applyFill="1" applyAlignment="1">
      <alignment vertical="center"/>
    </xf>
    <xf numFmtId="0" fontId="38" fillId="26" borderId="0" xfId="0" applyFont="1" applyFill="1" applyAlignment="1">
      <alignment vertical="center"/>
    </xf>
    <xf numFmtId="0" fontId="38" fillId="26" borderId="0" xfId="0" applyFont="1" applyFill="1" applyAlignment="1">
      <alignment horizontal="center" vertical="center"/>
    </xf>
    <xf numFmtId="164" fontId="12" fillId="26" borderId="0" xfId="0" applyNumberFormat="1" applyFont="1" applyFill="1" applyAlignment="1">
      <alignment horizontal="center" vertical="center"/>
    </xf>
    <xf numFmtId="175" fontId="12" fillId="26" borderId="0" xfId="0" applyNumberFormat="1" applyFont="1" applyFill="1" applyAlignment="1">
      <alignment horizontal="center" vertical="center"/>
    </xf>
    <xf numFmtId="0" fontId="13" fillId="30" borderId="0" xfId="0" applyFont="1" applyFill="1" applyAlignment="1">
      <alignment vertical="center"/>
    </xf>
    <xf numFmtId="0" fontId="13" fillId="24" borderId="0" xfId="0" applyFont="1" applyFill="1" applyAlignment="1">
      <alignment vertical="center"/>
    </xf>
    <xf numFmtId="0" fontId="12" fillId="0" borderId="0" xfId="0" applyFont="1" applyAlignment="1">
      <alignment vertical="center" wrapText="1"/>
    </xf>
    <xf numFmtId="0" fontId="51" fillId="0" borderId="0" xfId="0" applyFont="1" applyAlignment="1">
      <alignment vertical="center"/>
    </xf>
    <xf numFmtId="164" fontId="16" fillId="0" borderId="0" xfId="0" applyNumberFormat="1" applyFont="1" applyAlignment="1">
      <alignment horizontal="center" vertical="center"/>
    </xf>
    <xf numFmtId="170" fontId="68" fillId="0" borderId="0" xfId="0" applyNumberFormat="1" applyFont="1" applyAlignment="1">
      <alignment horizontal="center" vertical="center"/>
    </xf>
    <xf numFmtId="0" fontId="67" fillId="0" borderId="0" xfId="0" applyFont="1" applyAlignment="1">
      <alignment vertical="center"/>
    </xf>
    <xf numFmtId="14" fontId="67" fillId="28" borderId="0" xfId="0" applyNumberFormat="1" applyFont="1" applyFill="1" applyAlignment="1">
      <alignment horizontal="center" vertical="center"/>
    </xf>
    <xf numFmtId="14" fontId="16" fillId="28" borderId="0" xfId="0" applyNumberFormat="1" applyFont="1" applyFill="1" applyAlignment="1">
      <alignment horizontal="center" vertical="center"/>
    </xf>
    <xf numFmtId="164" fontId="38" fillId="26" borderId="0" xfId="0" applyNumberFormat="1" applyFont="1" applyFill="1" applyAlignment="1">
      <alignment horizontal="center" vertical="center"/>
    </xf>
    <xf numFmtId="0" fontId="12" fillId="0" borderId="13" xfId="0" applyFont="1" applyBorder="1" applyAlignment="1">
      <alignment horizontal="left" vertical="center"/>
    </xf>
    <xf numFmtId="0" fontId="13" fillId="0" borderId="13" xfId="0" applyFont="1" applyBorder="1" applyAlignment="1">
      <alignment horizontal="right" vertical="center"/>
    </xf>
    <xf numFmtId="164" fontId="12" fillId="0" borderId="13" xfId="0" applyNumberFormat="1" applyFont="1" applyBorder="1" applyAlignment="1">
      <alignment horizontal="left" vertical="center"/>
    </xf>
    <xf numFmtId="2" fontId="12" fillId="0" borderId="13" xfId="0" applyNumberFormat="1" applyFont="1" applyBorder="1" applyAlignment="1">
      <alignment horizontal="center" vertical="center"/>
    </xf>
    <xf numFmtId="164" fontId="12" fillId="33" borderId="13" xfId="0" applyNumberFormat="1" applyFont="1" applyFill="1" applyBorder="1" applyAlignment="1">
      <alignment horizontal="center" vertical="center"/>
    </xf>
    <xf numFmtId="164" fontId="12" fillId="0" borderId="13" xfId="0" applyNumberFormat="1" applyFont="1" applyBorder="1" applyAlignment="1">
      <alignment horizontal="center" vertical="center"/>
    </xf>
    <xf numFmtId="0" fontId="20" fillId="27" borderId="0" xfId="0" applyFont="1" applyFill="1" applyAlignment="1">
      <alignment vertical="center"/>
    </xf>
    <xf numFmtId="176" fontId="12" fillId="27" borderId="0" xfId="28" applyNumberFormat="1" applyFont="1" applyFill="1" applyBorder="1" applyAlignment="1" applyProtection="1">
      <alignment horizontal="center" vertical="center"/>
    </xf>
    <xf numFmtId="175" fontId="12" fillId="27" borderId="0" xfId="28" applyNumberFormat="1" applyFont="1" applyFill="1" applyBorder="1" applyAlignment="1" applyProtection="1">
      <alignment horizontal="center" vertical="center"/>
    </xf>
    <xf numFmtId="0" fontId="14" fillId="0" borderId="13" xfId="0" applyFont="1" applyBorder="1" applyAlignment="1">
      <alignment horizontal="left" vertical="center"/>
    </xf>
    <xf numFmtId="164" fontId="13" fillId="0" borderId="13" xfId="0" applyNumberFormat="1" applyFont="1" applyBorder="1" applyAlignment="1">
      <alignment horizontal="center" vertical="center"/>
    </xf>
    <xf numFmtId="0" fontId="20" fillId="0" borderId="22" xfId="61" applyFont="1" applyBorder="1" applyAlignment="1">
      <alignment horizontal="center"/>
    </xf>
    <xf numFmtId="0" fontId="18" fillId="33" borderId="22" xfId="61" applyFont="1" applyFill="1" applyBorder="1"/>
    <xf numFmtId="0" fontId="18" fillId="28" borderId="0" xfId="61" applyFont="1" applyFill="1"/>
    <xf numFmtId="0" fontId="32" fillId="0" borderId="13" xfId="0" applyFont="1" applyBorder="1" applyAlignment="1">
      <alignment horizontal="left" vertical="center"/>
    </xf>
    <xf numFmtId="0" fontId="12" fillId="0" borderId="13" xfId="0" quotePrefix="1" applyFont="1" applyBorder="1" applyAlignment="1">
      <alignment horizontal="left" vertical="center"/>
    </xf>
    <xf numFmtId="164" fontId="32" fillId="0" borderId="13" xfId="0" quotePrefix="1" applyNumberFormat="1" applyFont="1" applyBorder="1" applyAlignment="1">
      <alignment horizontal="center" vertical="center"/>
    </xf>
    <xf numFmtId="164" fontId="30" fillId="40" borderId="26" xfId="0" applyNumberFormat="1" applyFont="1" applyFill="1" applyBorder="1" applyAlignment="1" applyProtection="1">
      <alignment horizontal="center" vertical="center"/>
      <protection locked="0"/>
    </xf>
    <xf numFmtId="164" fontId="30" fillId="40" borderId="30" xfId="0" applyNumberFormat="1" applyFont="1" applyFill="1" applyBorder="1" applyAlignment="1" applyProtection="1">
      <alignment horizontal="center" vertical="center"/>
      <protection locked="0"/>
    </xf>
    <xf numFmtId="164" fontId="12" fillId="0" borderId="0" xfId="95" applyNumberFormat="1" applyFont="1" applyAlignment="1">
      <alignment horizontal="center" vertical="center"/>
    </xf>
    <xf numFmtId="164" fontId="72" fillId="32" borderId="0" xfId="0" applyNumberFormat="1" applyFont="1" applyFill="1" applyAlignment="1">
      <alignment horizontal="center" vertical="center"/>
    </xf>
    <xf numFmtId="180" fontId="44" fillId="0" borderId="0" xfId="0" applyNumberFormat="1" applyFont="1" applyAlignment="1">
      <alignment horizontal="center" vertical="center"/>
    </xf>
    <xf numFmtId="1" fontId="44" fillId="0" borderId="0" xfId="0" quotePrefix="1" applyNumberFormat="1" applyFont="1" applyAlignment="1">
      <alignment horizontal="center" vertical="center"/>
    </xf>
    <xf numFmtId="164" fontId="38" fillId="0" borderId="0" xfId="0" applyNumberFormat="1" applyFont="1" applyAlignment="1">
      <alignment horizontal="center" vertical="center"/>
    </xf>
    <xf numFmtId="0" fontId="11" fillId="34" borderId="17" xfId="0" applyFont="1" applyFill="1" applyBorder="1" applyAlignment="1">
      <alignment horizontal="center" vertical="center"/>
    </xf>
    <xf numFmtId="0" fontId="11" fillId="34" borderId="12" xfId="0" applyFont="1" applyFill="1" applyBorder="1" applyAlignment="1">
      <alignment horizontal="center" vertical="center"/>
    </xf>
    <xf numFmtId="164" fontId="13" fillId="28" borderId="0" xfId="0" applyNumberFormat="1" applyFont="1" applyFill="1" applyAlignment="1">
      <alignment vertical="center"/>
    </xf>
    <xf numFmtId="164" fontId="13" fillId="29" borderId="0" xfId="0" applyNumberFormat="1" applyFont="1" applyFill="1" applyAlignment="1">
      <alignment horizontal="right" vertical="center"/>
    </xf>
    <xf numFmtId="49" fontId="13" fillId="29" borderId="0" xfId="0" applyNumberFormat="1" applyFont="1" applyFill="1" applyAlignment="1">
      <alignment horizontal="right" vertical="center"/>
    </xf>
    <xf numFmtId="164" fontId="12" fillId="0" borderId="0" xfId="72" applyNumberFormat="1" applyFont="1" applyAlignment="1">
      <alignment horizontal="center" vertical="center"/>
    </xf>
    <xf numFmtId="164" fontId="12" fillId="0" borderId="0" xfId="96" applyNumberFormat="1" applyFont="1" applyAlignment="1">
      <alignment horizontal="center" vertical="center"/>
    </xf>
    <xf numFmtId="0" fontId="12" fillId="0" borderId="21" xfId="0" applyFont="1" applyBorder="1" applyAlignment="1">
      <alignment horizontal="left" vertical="center"/>
    </xf>
    <xf numFmtId="0" fontId="12" fillId="0" borderId="21" xfId="0" quotePrefix="1" applyFont="1" applyBorder="1" applyAlignment="1">
      <alignment horizontal="center" vertical="center"/>
    </xf>
    <xf numFmtId="171" fontId="15" fillId="24" borderId="0" xfId="0" applyNumberFormat="1" applyFont="1" applyFill="1" applyAlignment="1">
      <alignment vertical="center"/>
    </xf>
    <xf numFmtId="164" fontId="12" fillId="33" borderId="28" xfId="0" applyNumberFormat="1" applyFont="1" applyFill="1" applyBorder="1" applyAlignment="1">
      <alignment horizontal="left" vertical="center"/>
    </xf>
    <xf numFmtId="0" fontId="12" fillId="0" borderId="50" xfId="0" applyFont="1" applyBorder="1" applyAlignment="1">
      <alignment horizontal="center" vertical="center"/>
    </xf>
    <xf numFmtId="0" fontId="109" fillId="0" borderId="0" xfId="0" applyFont="1" applyAlignment="1">
      <alignment vertical="center"/>
    </xf>
    <xf numFmtId="0" fontId="63" fillId="39" borderId="27" xfId="0" applyFont="1" applyFill="1" applyBorder="1" applyAlignment="1">
      <alignment horizontal="left" vertical="center"/>
    </xf>
    <xf numFmtId="0" fontId="0" fillId="39" borderId="17" xfId="0" applyFill="1" applyBorder="1"/>
    <xf numFmtId="0" fontId="0" fillId="39" borderId="12" xfId="0" applyFill="1" applyBorder="1"/>
    <xf numFmtId="0" fontId="11" fillId="39" borderId="26" xfId="0" applyFont="1" applyFill="1" applyBorder="1" applyAlignment="1">
      <alignment horizontal="center" vertical="center"/>
    </xf>
    <xf numFmtId="0" fontId="12" fillId="39" borderId="0" xfId="0" applyFont="1" applyFill="1" applyAlignment="1">
      <alignment horizontal="center" vertical="center"/>
    </xf>
    <xf numFmtId="0" fontId="18" fillId="39" borderId="0" xfId="0" applyFont="1" applyFill="1" applyAlignment="1">
      <alignment horizontal="right" vertical="center"/>
    </xf>
    <xf numFmtId="164" fontId="12" fillId="29" borderId="61" xfId="0" applyNumberFormat="1" applyFont="1" applyFill="1" applyBorder="1" applyAlignment="1">
      <alignment vertical="center"/>
    </xf>
    <xf numFmtId="164" fontId="12" fillId="29" borderId="62" xfId="0" applyNumberFormat="1" applyFont="1" applyFill="1" applyBorder="1" applyAlignment="1">
      <alignment vertical="center"/>
    </xf>
    <xf numFmtId="0" fontId="108" fillId="0" borderId="0" xfId="0" applyFont="1" applyAlignment="1">
      <alignment vertical="center" wrapText="1"/>
    </xf>
    <xf numFmtId="0" fontId="111" fillId="0" borderId="0" xfId="0" quotePrefix="1" applyFont="1" applyAlignment="1">
      <alignment horizontal="center" vertical="center"/>
    </xf>
    <xf numFmtId="0" fontId="111" fillId="0" borderId="0" xfId="0" applyFont="1" applyAlignment="1">
      <alignment horizontal="center" vertical="center"/>
    </xf>
    <xf numFmtId="0" fontId="12" fillId="0" borderId="10" xfId="0" applyFont="1" applyBorder="1" applyAlignment="1">
      <alignment vertical="center"/>
    </xf>
    <xf numFmtId="0" fontId="12" fillId="24" borderId="10" xfId="0" applyFont="1" applyFill="1" applyBorder="1" applyAlignment="1">
      <alignment horizontal="center" vertical="center"/>
    </xf>
    <xf numFmtId="164" fontId="12" fillId="0" borderId="10" xfId="0" applyNumberFormat="1" applyFont="1" applyBorder="1" applyAlignment="1">
      <alignment horizontal="center" vertical="center"/>
    </xf>
    <xf numFmtId="1" fontId="12" fillId="0" borderId="10" xfId="0" applyNumberFormat="1" applyFont="1" applyBorder="1" applyAlignment="1">
      <alignment horizontal="center" vertical="center"/>
    </xf>
    <xf numFmtId="0" fontId="12" fillId="0" borderId="10" xfId="0" applyFont="1" applyBorder="1" applyAlignment="1">
      <alignment horizontal="center" vertical="center"/>
    </xf>
    <xf numFmtId="2" fontId="12" fillId="0" borderId="10" xfId="0" applyNumberFormat="1" applyFont="1" applyBorder="1" applyAlignment="1">
      <alignment horizontal="center" vertical="center"/>
    </xf>
    <xf numFmtId="0" fontId="12" fillId="0" borderId="10" xfId="0" quotePrefix="1" applyFont="1" applyBorder="1" applyAlignment="1">
      <alignment horizontal="center" vertical="center"/>
    </xf>
    <xf numFmtId="175" fontId="12" fillId="0" borderId="10" xfId="28" applyNumberFormat="1" applyFont="1" applyFill="1" applyBorder="1" applyAlignment="1" applyProtection="1">
      <alignment horizontal="center" vertical="center"/>
    </xf>
    <xf numFmtId="175" fontId="12" fillId="0" borderId="10" xfId="0" applyNumberFormat="1" applyFont="1" applyBorder="1" applyAlignment="1">
      <alignment horizontal="center" vertical="center"/>
    </xf>
    <xf numFmtId="0" fontId="12" fillId="0" borderId="28" xfId="0" applyFont="1" applyBorder="1" applyAlignment="1">
      <alignment vertical="center"/>
    </xf>
    <xf numFmtId="0" fontId="12" fillId="24" borderId="28" xfId="0" applyFont="1" applyFill="1" applyBorder="1" applyAlignment="1">
      <alignment horizontal="center" vertical="center"/>
    </xf>
    <xf numFmtId="164" fontId="12" fillId="0" borderId="28" xfId="0" applyNumberFormat="1" applyFont="1" applyBorder="1" applyAlignment="1">
      <alignment horizontal="center" vertical="center"/>
    </xf>
    <xf numFmtId="1" fontId="12" fillId="0" borderId="28" xfId="0" applyNumberFormat="1" applyFont="1" applyBorder="1" applyAlignment="1">
      <alignment horizontal="center" vertical="center"/>
    </xf>
    <xf numFmtId="2" fontId="12" fillId="0" borderId="28" xfId="0" applyNumberFormat="1" applyFont="1" applyBorder="1" applyAlignment="1">
      <alignment horizontal="center" vertical="center"/>
    </xf>
    <xf numFmtId="0" fontId="12" fillId="0" borderId="28" xfId="0" quotePrefix="1" applyFont="1" applyBorder="1" applyAlignment="1">
      <alignment horizontal="center" vertical="center"/>
    </xf>
    <xf numFmtId="175" fontId="12" fillId="0" borderId="28" xfId="28" applyNumberFormat="1" applyFont="1" applyFill="1" applyBorder="1" applyAlignment="1" applyProtection="1">
      <alignment horizontal="center" vertical="center"/>
    </xf>
    <xf numFmtId="175" fontId="12" fillId="0" borderId="28" xfId="0" applyNumberFormat="1" applyFont="1" applyBorder="1" applyAlignment="1">
      <alignment horizontal="center" vertical="center"/>
    </xf>
    <xf numFmtId="176" fontId="12" fillId="0" borderId="0" xfId="28" applyNumberFormat="1" applyFont="1" applyFill="1" applyBorder="1" applyAlignment="1" applyProtection="1">
      <alignment horizontal="right" vertical="center"/>
    </xf>
    <xf numFmtId="164" fontId="12" fillId="33" borderId="40" xfId="0" applyNumberFormat="1" applyFont="1" applyFill="1" applyBorder="1" applyAlignment="1">
      <alignment horizontal="center" vertical="center"/>
    </xf>
    <xf numFmtId="0" fontId="121" fillId="0" borderId="0" xfId="0" applyFont="1" applyAlignment="1">
      <alignment vertical="center"/>
    </xf>
    <xf numFmtId="176" fontId="11" fillId="0" borderId="0" xfId="0" applyNumberFormat="1" applyFont="1" applyAlignment="1">
      <alignment horizontal="center" vertical="center"/>
    </xf>
    <xf numFmtId="0" fontId="46" fillId="27" borderId="27" xfId="0" applyFont="1" applyFill="1" applyBorder="1" applyAlignment="1">
      <alignment horizontal="center" vertical="center"/>
    </xf>
    <xf numFmtId="0" fontId="43" fillId="27" borderId="17" xfId="0" applyFont="1" applyFill="1" applyBorder="1" applyAlignment="1">
      <alignment horizontal="right" vertical="center"/>
    </xf>
    <xf numFmtId="44" fontId="12" fillId="0" borderId="0" xfId="28" applyFont="1" applyFill="1" applyBorder="1" applyAlignment="1" applyProtection="1">
      <alignment vertical="center"/>
    </xf>
    <xf numFmtId="0" fontId="47" fillId="27" borderId="26" xfId="0" applyFont="1" applyFill="1" applyBorder="1" applyAlignment="1">
      <alignment vertical="center"/>
    </xf>
    <xf numFmtId="1" fontId="43" fillId="27" borderId="0" xfId="63" applyNumberFormat="1" applyFont="1" applyFill="1" applyAlignment="1">
      <alignment vertical="center"/>
    </xf>
    <xf numFmtId="1" fontId="43" fillId="27" borderId="11" xfId="63" applyNumberFormat="1" applyFont="1" applyFill="1" applyBorder="1" applyAlignment="1">
      <alignment horizontal="right" vertical="center"/>
    </xf>
    <xf numFmtId="176" fontId="13" fillId="0" borderId="0" xfId="28" applyNumberFormat="1" applyFont="1" applyFill="1" applyBorder="1" applyAlignment="1" applyProtection="1">
      <alignment horizontal="center" vertical="center"/>
    </xf>
    <xf numFmtId="0" fontId="47" fillId="27" borderId="0" xfId="0" applyFont="1" applyFill="1" applyAlignment="1">
      <alignment horizontal="left" vertical="center"/>
    </xf>
    <xf numFmtId="0" fontId="43" fillId="27" borderId="0" xfId="0" applyFont="1" applyFill="1" applyAlignment="1">
      <alignment horizontal="right" vertical="center"/>
    </xf>
    <xf numFmtId="0" fontId="45" fillId="27" borderId="27" xfId="0" applyFont="1" applyFill="1" applyBorder="1" applyAlignment="1">
      <alignment horizontal="left" vertical="center"/>
    </xf>
    <xf numFmtId="0" fontId="12" fillId="27" borderId="12" xfId="0" applyFont="1" applyFill="1" applyBorder="1" applyAlignment="1">
      <alignment vertical="center"/>
    </xf>
    <xf numFmtId="2" fontId="13" fillId="0" borderId="0" xfId="0" applyNumberFormat="1" applyFont="1" applyAlignment="1">
      <alignment horizontal="center" vertical="center" wrapText="1"/>
    </xf>
    <xf numFmtId="175" fontId="13" fillId="0" borderId="0" xfId="0" applyNumberFormat="1" applyFont="1" applyAlignment="1">
      <alignment horizontal="center" vertical="center" wrapText="1"/>
    </xf>
    <xf numFmtId="0" fontId="13" fillId="0" borderId="13" xfId="0" applyFont="1" applyBorder="1" applyAlignment="1">
      <alignment horizontal="center"/>
    </xf>
    <xf numFmtId="0" fontId="13" fillId="0" borderId="13" xfId="0" quotePrefix="1" applyFont="1" applyBorder="1" applyAlignment="1">
      <alignment horizontal="center"/>
    </xf>
    <xf numFmtId="164" fontId="13" fillId="0" borderId="13" xfId="0" applyNumberFormat="1" applyFont="1" applyBorder="1" applyAlignment="1">
      <alignment horizontal="center"/>
    </xf>
    <xf numFmtId="49" fontId="13" fillId="0" borderId="13" xfId="0" applyNumberFormat="1" applyFont="1" applyBorder="1" applyAlignment="1">
      <alignment horizontal="center"/>
    </xf>
    <xf numFmtId="176" fontId="114" fillId="0" borderId="0" xfId="0" applyNumberFormat="1" applyFont="1" applyAlignment="1">
      <alignment horizontal="right" vertical="center"/>
    </xf>
    <xf numFmtId="0" fontId="30" fillId="49" borderId="0" xfId="0" applyFont="1" applyFill="1" applyAlignment="1">
      <alignment horizontal="left" vertical="center"/>
    </xf>
    <xf numFmtId="0" fontId="12" fillId="49" borderId="0" xfId="0" applyFont="1" applyFill="1" applyAlignment="1">
      <alignment horizontal="left" vertical="center"/>
    </xf>
    <xf numFmtId="0" fontId="13" fillId="49" borderId="0" xfId="0" applyFont="1" applyFill="1" applyAlignment="1">
      <alignment vertical="center"/>
    </xf>
    <xf numFmtId="0" fontId="13" fillId="49" borderId="0" xfId="0" applyFont="1" applyFill="1" applyAlignment="1">
      <alignment horizontal="center" vertical="center"/>
    </xf>
    <xf numFmtId="164" fontId="13" fillId="49" borderId="0" xfId="0" applyNumberFormat="1" applyFont="1" applyFill="1" applyAlignment="1">
      <alignment horizontal="center" vertical="center"/>
    </xf>
    <xf numFmtId="174" fontId="12" fillId="49" borderId="0" xfId="0" applyNumberFormat="1" applyFont="1" applyFill="1" applyAlignment="1">
      <alignment horizontal="center" vertical="center"/>
    </xf>
    <xf numFmtId="0" fontId="12" fillId="49" borderId="0" xfId="0" applyFont="1" applyFill="1" applyAlignment="1">
      <alignment horizontal="center" vertical="center"/>
    </xf>
    <xf numFmtId="176" fontId="13" fillId="49" borderId="0" xfId="0" applyNumberFormat="1" applyFont="1" applyFill="1" applyAlignment="1">
      <alignment horizontal="center" vertical="center"/>
    </xf>
    <xf numFmtId="176" fontId="12" fillId="49" borderId="0" xfId="0" applyNumberFormat="1" applyFont="1" applyFill="1" applyAlignment="1">
      <alignment horizontal="right" vertical="center"/>
    </xf>
    <xf numFmtId="177" fontId="12" fillId="49" borderId="0" xfId="0" applyNumberFormat="1" applyFont="1" applyFill="1" applyAlignment="1">
      <alignment horizontal="center" vertical="center"/>
    </xf>
    <xf numFmtId="0" fontId="13" fillId="0" borderId="10" xfId="0" applyFont="1" applyBorder="1" applyAlignment="1">
      <alignment horizontal="left" vertical="center"/>
    </xf>
    <xf numFmtId="0" fontId="16" fillId="0" borderId="10" xfId="0" applyFont="1" applyBorder="1" applyAlignment="1">
      <alignment vertical="center"/>
    </xf>
    <xf numFmtId="0" fontId="13" fillId="24" borderId="10" xfId="0" applyFont="1" applyFill="1" applyBorder="1" applyAlignment="1">
      <alignment horizontal="center" vertical="center"/>
    </xf>
    <xf numFmtId="164" fontId="13" fillId="0" borderId="10" xfId="0" applyNumberFormat="1" applyFont="1" applyBorder="1" applyAlignment="1">
      <alignment horizontal="center" vertical="center"/>
    </xf>
    <xf numFmtId="176" fontId="12" fillId="0" borderId="10" xfId="0" applyNumberFormat="1" applyFont="1" applyBorder="1" applyAlignment="1">
      <alignment horizontal="center" vertical="center"/>
    </xf>
    <xf numFmtId="164" fontId="12" fillId="0" borderId="17" xfId="0" quotePrefix="1" applyNumberFormat="1" applyFont="1" applyBorder="1" applyAlignment="1">
      <alignment horizontal="center" vertical="center"/>
    </xf>
    <xf numFmtId="164" fontId="12" fillId="0" borderId="17" xfId="0" applyNumberFormat="1" applyFont="1" applyBorder="1" applyAlignment="1">
      <alignment horizontal="left" vertical="center"/>
    </xf>
    <xf numFmtId="0" fontId="30" fillId="49" borderId="17" xfId="0" applyFont="1" applyFill="1" applyBorder="1" applyAlignment="1">
      <alignment horizontal="left" vertical="center"/>
    </xf>
    <xf numFmtId="0" fontId="12" fillId="49" borderId="17" xfId="0" applyFont="1" applyFill="1" applyBorder="1" applyAlignment="1">
      <alignment horizontal="left" vertical="center"/>
    </xf>
    <xf numFmtId="0" fontId="13" fillId="49" borderId="17" xfId="0" applyFont="1" applyFill="1" applyBorder="1" applyAlignment="1">
      <alignment vertical="center"/>
    </xf>
    <xf numFmtId="0" fontId="13" fillId="49" borderId="17" xfId="0" applyFont="1" applyFill="1" applyBorder="1" applyAlignment="1">
      <alignment horizontal="center" vertical="center"/>
    </xf>
    <xf numFmtId="164" fontId="13" fillId="49" borderId="17" xfId="0" applyNumberFormat="1" applyFont="1" applyFill="1" applyBorder="1" applyAlignment="1">
      <alignment horizontal="center" vertical="center"/>
    </xf>
    <xf numFmtId="174" fontId="12" fillId="49" borderId="17" xfId="0" applyNumberFormat="1" applyFont="1" applyFill="1" applyBorder="1" applyAlignment="1">
      <alignment horizontal="center" vertical="center"/>
    </xf>
    <xf numFmtId="0" fontId="12" fillId="49" borderId="17" xfId="0" applyFont="1" applyFill="1" applyBorder="1" applyAlignment="1">
      <alignment horizontal="center" vertical="center"/>
    </xf>
    <xf numFmtId="176" fontId="13" fillId="49" borderId="17" xfId="0" applyNumberFormat="1" applyFont="1" applyFill="1" applyBorder="1" applyAlignment="1">
      <alignment horizontal="center" vertical="center"/>
    </xf>
    <xf numFmtId="176" fontId="12" fillId="49" borderId="17" xfId="0" applyNumberFormat="1" applyFont="1" applyFill="1" applyBorder="1" applyAlignment="1">
      <alignment horizontal="right" vertical="center"/>
    </xf>
    <xf numFmtId="177" fontId="12" fillId="49" borderId="17" xfId="0" applyNumberFormat="1" applyFont="1" applyFill="1" applyBorder="1" applyAlignment="1">
      <alignment horizontal="center" vertical="center"/>
    </xf>
    <xf numFmtId="0" fontId="13" fillId="0" borderId="0" xfId="0" quotePrefix="1" applyFont="1" applyAlignment="1">
      <alignment horizontal="center" vertical="center"/>
    </xf>
    <xf numFmtId="175" fontId="13" fillId="49" borderId="0" xfId="0" applyNumberFormat="1" applyFont="1" applyFill="1" applyAlignment="1">
      <alignment horizontal="center" vertical="center"/>
    </xf>
    <xf numFmtId="0" fontId="13" fillId="50" borderId="0" xfId="0" applyFont="1" applyFill="1" applyAlignment="1">
      <alignment horizontal="left" vertical="center"/>
    </xf>
    <xf numFmtId="0" fontId="13" fillId="50" borderId="0" xfId="0" applyFont="1" applyFill="1" applyAlignment="1">
      <alignment vertical="center"/>
    </xf>
    <xf numFmtId="0" fontId="13" fillId="50" borderId="0" xfId="0" applyFont="1" applyFill="1" applyAlignment="1">
      <alignment horizontal="center" vertical="center"/>
    </xf>
    <xf numFmtId="164" fontId="13" fillId="50" borderId="0" xfId="0" applyNumberFormat="1" applyFont="1" applyFill="1" applyAlignment="1">
      <alignment horizontal="center" vertical="center"/>
    </xf>
    <xf numFmtId="0" fontId="12" fillId="50" borderId="0" xfId="0" applyFont="1" applyFill="1" applyAlignment="1">
      <alignment horizontal="center" vertical="center"/>
    </xf>
    <xf numFmtId="176" fontId="13" fillId="50" borderId="0" xfId="0" applyNumberFormat="1" applyFont="1" applyFill="1" applyAlignment="1">
      <alignment horizontal="center" vertical="center"/>
    </xf>
    <xf numFmtId="175" fontId="13" fillId="50" borderId="0" xfId="0" applyNumberFormat="1" applyFont="1" applyFill="1" applyAlignment="1">
      <alignment horizontal="center" vertical="center"/>
    </xf>
    <xf numFmtId="175" fontId="12" fillId="50" borderId="0" xfId="0" applyNumberFormat="1" applyFont="1" applyFill="1" applyAlignment="1">
      <alignment horizontal="right" vertical="center"/>
    </xf>
    <xf numFmtId="177" fontId="12" fillId="50" borderId="0" xfId="0" applyNumberFormat="1" applyFont="1" applyFill="1" applyAlignment="1">
      <alignment horizontal="center" vertical="center"/>
    </xf>
    <xf numFmtId="0" fontId="71" fillId="0" borderId="0" xfId="0" applyFont="1" applyAlignment="1">
      <alignment horizontal="right" vertical="center"/>
    </xf>
    <xf numFmtId="0" fontId="86" fillId="0" borderId="0" xfId="0" applyFont="1" applyAlignment="1">
      <alignment horizontal="left" vertical="center"/>
    </xf>
    <xf numFmtId="0" fontId="13" fillId="50" borderId="21" xfId="0" applyFont="1" applyFill="1" applyBorder="1" applyAlignment="1">
      <alignment horizontal="left" vertical="center"/>
    </xf>
    <xf numFmtId="0" fontId="13" fillId="50" borderId="21" xfId="0" applyFont="1" applyFill="1" applyBorder="1" applyAlignment="1">
      <alignment vertical="center"/>
    </xf>
    <xf numFmtId="0" fontId="13" fillId="50" borderId="21" xfId="0" applyFont="1" applyFill="1" applyBorder="1" applyAlignment="1">
      <alignment horizontal="center" vertical="center"/>
    </xf>
    <xf numFmtId="164" fontId="13" fillId="50" borderId="21" xfId="0" applyNumberFormat="1" applyFont="1" applyFill="1" applyBorder="1" applyAlignment="1">
      <alignment horizontal="center" vertical="center"/>
    </xf>
    <xf numFmtId="0" fontId="12" fillId="50" borderId="21" xfId="0" applyFont="1" applyFill="1" applyBorder="1" applyAlignment="1">
      <alignment horizontal="center" vertical="center"/>
    </xf>
    <xf numFmtId="176" fontId="13" fillId="50" borderId="21" xfId="0" applyNumberFormat="1" applyFont="1" applyFill="1" applyBorder="1" applyAlignment="1">
      <alignment horizontal="center" vertical="center"/>
    </xf>
    <xf numFmtId="175" fontId="13" fillId="50" borderId="21" xfId="0" applyNumberFormat="1" applyFont="1" applyFill="1" applyBorder="1" applyAlignment="1">
      <alignment horizontal="center" vertical="center"/>
    </xf>
    <xf numFmtId="175" fontId="12" fillId="50" borderId="21" xfId="0" applyNumberFormat="1" applyFont="1" applyFill="1" applyBorder="1" applyAlignment="1">
      <alignment horizontal="right" vertical="center"/>
    </xf>
    <xf numFmtId="177" fontId="12" fillId="50" borderId="21" xfId="0" applyNumberFormat="1" applyFont="1" applyFill="1" applyBorder="1" applyAlignment="1">
      <alignment horizontal="center" vertical="center"/>
    </xf>
    <xf numFmtId="180" fontId="38" fillId="44" borderId="17" xfId="0" applyNumberFormat="1" applyFont="1" applyFill="1" applyBorder="1" applyAlignment="1">
      <alignment horizontal="center" vertical="center"/>
    </xf>
    <xf numFmtId="180" fontId="38" fillId="44" borderId="0" xfId="0" applyNumberFormat="1" applyFont="1" applyFill="1" applyAlignment="1">
      <alignment horizontal="center" vertical="center"/>
    </xf>
    <xf numFmtId="0" fontId="38" fillId="0" borderId="0" xfId="0" quotePrefix="1" applyFont="1" applyAlignment="1">
      <alignment horizontal="left" vertical="center"/>
    </xf>
    <xf numFmtId="180" fontId="38" fillId="0" borderId="17" xfId="0" applyNumberFormat="1" applyFont="1" applyBorder="1" applyAlignment="1">
      <alignment vertical="center"/>
    </xf>
    <xf numFmtId="164" fontId="12" fillId="44" borderId="17" xfId="0" quotePrefix="1" applyNumberFormat="1" applyFont="1" applyFill="1" applyBorder="1" applyAlignment="1">
      <alignment vertical="center"/>
    </xf>
    <xf numFmtId="0" fontId="12" fillId="0" borderId="17" xfId="0" quotePrefix="1" applyFont="1" applyBorder="1" applyAlignment="1">
      <alignment horizontal="left" vertical="center"/>
    </xf>
    <xf numFmtId="176" fontId="12" fillId="0" borderId="40" xfId="0" applyNumberFormat="1" applyFont="1" applyBorder="1" applyAlignment="1">
      <alignment horizontal="center" vertical="center"/>
    </xf>
    <xf numFmtId="2" fontId="115" fillId="0" borderId="31" xfId="0" applyNumberFormat="1" applyFont="1" applyBorder="1" applyAlignment="1">
      <alignment horizontal="left" vertical="center"/>
    </xf>
    <xf numFmtId="164" fontId="12" fillId="44" borderId="0" xfId="0" quotePrefix="1" applyNumberFormat="1" applyFont="1" applyFill="1" applyAlignment="1">
      <alignment vertical="center"/>
    </xf>
    <xf numFmtId="176" fontId="12" fillId="0" borderId="13" xfId="0" applyNumberFormat="1" applyFont="1" applyBorder="1" applyAlignment="1">
      <alignment horizontal="center" vertical="center"/>
    </xf>
    <xf numFmtId="175" fontId="12" fillId="50" borderId="17" xfId="0" applyNumberFormat="1" applyFont="1" applyFill="1" applyBorder="1" applyAlignment="1">
      <alignment horizontal="right" vertical="center"/>
    </xf>
    <xf numFmtId="177" fontId="12" fillId="50" borderId="17" xfId="0" applyNumberFormat="1" applyFont="1" applyFill="1" applyBorder="1" applyAlignment="1">
      <alignment horizontal="center" vertical="center"/>
    </xf>
    <xf numFmtId="176" fontId="12" fillId="0" borderId="10" xfId="28" applyNumberFormat="1" applyFont="1" applyFill="1" applyBorder="1" applyAlignment="1" applyProtection="1">
      <alignment horizontal="center" vertical="center"/>
    </xf>
    <xf numFmtId="176" fontId="12" fillId="0" borderId="28" xfId="28" applyNumberFormat="1" applyFont="1" applyFill="1" applyBorder="1" applyAlignment="1" applyProtection="1">
      <alignment horizontal="center" vertical="center"/>
    </xf>
    <xf numFmtId="0" fontId="38" fillId="28" borderId="0" xfId="0" applyFont="1" applyFill="1" applyAlignment="1">
      <alignment vertical="center"/>
    </xf>
    <xf numFmtId="176" fontId="13" fillId="0" borderId="17" xfId="0" applyNumberFormat="1" applyFont="1" applyBorder="1" applyAlignment="1">
      <alignment horizontal="center" vertical="center"/>
    </xf>
    <xf numFmtId="175" fontId="13" fillId="0" borderId="17" xfId="0" applyNumberFormat="1" applyFont="1" applyBorder="1" applyAlignment="1">
      <alignment horizontal="center" vertical="center"/>
    </xf>
    <xf numFmtId="0" fontId="71" fillId="0" borderId="0" xfId="0" applyFont="1" applyAlignment="1">
      <alignment horizontal="left" vertical="center"/>
    </xf>
    <xf numFmtId="2" fontId="12" fillId="0" borderId="74" xfId="0" applyNumberFormat="1" applyFont="1" applyBorder="1" applyAlignment="1">
      <alignment horizontal="center" vertical="center"/>
    </xf>
    <xf numFmtId="164" fontId="20" fillId="0" borderId="0" xfId="0" applyNumberFormat="1" applyFont="1" applyAlignment="1">
      <alignment vertical="center" wrapText="1"/>
    </xf>
    <xf numFmtId="0" fontId="12" fillId="37" borderId="0" xfId="0" applyFont="1" applyFill="1" applyAlignment="1">
      <alignment horizontal="center" vertical="center"/>
    </xf>
    <xf numFmtId="0" fontId="30" fillId="0" borderId="0" xfId="0" applyFont="1"/>
    <xf numFmtId="0" fontId="84" fillId="0" borderId="0" xfId="0" applyFont="1"/>
    <xf numFmtId="0" fontId="37" fillId="0" borderId="0" xfId="0" quotePrefix="1" applyFont="1" applyAlignment="1">
      <alignment horizontal="left"/>
    </xf>
    <xf numFmtId="1" fontId="16" fillId="0" borderId="0" xfId="0" applyNumberFormat="1" applyFont="1" applyAlignment="1">
      <alignment horizontal="center"/>
    </xf>
    <xf numFmtId="165" fontId="16" fillId="0" borderId="0" xfId="0" applyNumberFormat="1" applyFont="1" applyAlignment="1">
      <alignment horizontal="center"/>
    </xf>
    <xf numFmtId="0" fontId="67" fillId="0" borderId="0" xfId="65" applyFont="1" applyAlignment="1">
      <alignment horizontal="center" wrapText="1"/>
    </xf>
    <xf numFmtId="0" fontId="52" fillId="0" borderId="0" xfId="65" applyFont="1" applyAlignment="1">
      <alignment horizontal="center" wrapText="1"/>
    </xf>
    <xf numFmtId="0" fontId="12" fillId="48" borderId="0" xfId="0" applyFont="1" applyFill="1" applyAlignment="1">
      <alignment horizontal="center" vertical="center"/>
    </xf>
    <xf numFmtId="0" fontId="20" fillId="0" borderId="29" xfId="0" applyFont="1" applyBorder="1" applyAlignment="1">
      <alignment horizontal="center"/>
    </xf>
    <xf numFmtId="0" fontId="12" fillId="0" borderId="10" xfId="0" applyFont="1" applyBorder="1" applyAlignment="1">
      <alignment horizontal="right" vertical="center"/>
    </xf>
    <xf numFmtId="0" fontId="12" fillId="0" borderId="10" xfId="0" applyFont="1" applyBorder="1" applyAlignment="1">
      <alignment horizontal="center"/>
    </xf>
    <xf numFmtId="1" fontId="16" fillId="0" borderId="10" xfId="0" applyNumberFormat="1" applyFont="1" applyBorder="1" applyAlignment="1">
      <alignment horizontal="center"/>
    </xf>
    <xf numFmtId="0" fontId="12" fillId="0" borderId="10" xfId="0" applyFont="1" applyBorder="1" applyAlignment="1">
      <alignment horizontal="left" vertical="center"/>
    </xf>
    <xf numFmtId="0" fontId="12" fillId="42" borderId="10" xfId="0" applyFont="1" applyFill="1" applyBorder="1" applyAlignment="1">
      <alignment horizontal="center" vertical="center"/>
    </xf>
    <xf numFmtId="1" fontId="16" fillId="0" borderId="13" xfId="0" applyNumberFormat="1" applyFont="1" applyBorder="1" applyAlignment="1">
      <alignment horizontal="center"/>
    </xf>
    <xf numFmtId="0" fontId="18" fillId="0" borderId="0" xfId="59"/>
    <xf numFmtId="0" fontId="16" fillId="0" borderId="10" xfId="0" applyFont="1" applyBorder="1" applyAlignment="1">
      <alignment horizontal="left" vertical="center"/>
    </xf>
    <xf numFmtId="176" fontId="12" fillId="43" borderId="0" xfId="28" applyNumberFormat="1" applyFont="1" applyFill="1" applyBorder="1" applyAlignment="1" applyProtection="1">
      <alignment horizontal="center" vertical="center"/>
    </xf>
    <xf numFmtId="0" fontId="36" fillId="49" borderId="38" xfId="0" applyFont="1" applyFill="1" applyBorder="1" applyAlignment="1">
      <alignment horizontal="left" vertical="center"/>
    </xf>
    <xf numFmtId="0" fontId="12" fillId="49" borderId="38" xfId="0" applyFont="1" applyFill="1" applyBorder="1" applyAlignment="1">
      <alignment horizontal="left" vertical="center"/>
    </xf>
    <xf numFmtId="0" fontId="13" fillId="49" borderId="38" xfId="0" applyFont="1" applyFill="1" applyBorder="1" applyAlignment="1">
      <alignment vertical="center"/>
    </xf>
    <xf numFmtId="0" fontId="12" fillId="49" borderId="38" xfId="0" applyFont="1" applyFill="1" applyBorder="1" applyAlignment="1">
      <alignment horizontal="center" vertical="center"/>
    </xf>
    <xf numFmtId="164" fontId="12" fillId="49" borderId="38" xfId="0" applyNumberFormat="1" applyFont="1" applyFill="1" applyBorder="1" applyAlignment="1">
      <alignment horizontal="center" vertical="center"/>
    </xf>
    <xf numFmtId="0" fontId="12" fillId="49" borderId="38" xfId="0" quotePrefix="1" applyFont="1" applyFill="1" applyBorder="1" applyAlignment="1">
      <alignment horizontal="center" vertical="center"/>
    </xf>
    <xf numFmtId="176" fontId="12" fillId="49" borderId="38" xfId="0" applyNumberFormat="1" applyFont="1" applyFill="1" applyBorder="1" applyAlignment="1">
      <alignment horizontal="center" vertical="center"/>
    </xf>
    <xf numFmtId="175" fontId="12" fillId="49" borderId="38" xfId="0" applyNumberFormat="1" applyFont="1" applyFill="1" applyBorder="1" applyAlignment="1">
      <alignment horizontal="center" vertical="center"/>
    </xf>
    <xf numFmtId="175" fontId="12" fillId="49" borderId="38" xfId="0" applyNumberFormat="1" applyFont="1" applyFill="1" applyBorder="1" applyAlignment="1">
      <alignment horizontal="right" vertical="center"/>
    </xf>
    <xf numFmtId="164" fontId="113" fillId="0" borderId="17" xfId="0" applyNumberFormat="1" applyFont="1" applyBorder="1" applyAlignment="1">
      <alignment horizontal="center" vertical="center"/>
    </xf>
    <xf numFmtId="0" fontId="12" fillId="0" borderId="61" xfId="0" applyFont="1" applyBorder="1" applyAlignment="1">
      <alignment horizontal="center" vertical="center"/>
    </xf>
    <xf numFmtId="180" fontId="16" fillId="44" borderId="0" xfId="0" applyNumberFormat="1" applyFont="1" applyFill="1" applyAlignment="1">
      <alignment horizontal="center" vertical="center"/>
    </xf>
    <xf numFmtId="180" fontId="16" fillId="0" borderId="0" xfId="0" applyNumberFormat="1" applyFont="1" applyAlignment="1">
      <alignment horizontal="center" vertical="center"/>
    </xf>
    <xf numFmtId="0" fontId="71" fillId="0" borderId="0" xfId="0" quotePrefix="1" applyFont="1" applyAlignment="1">
      <alignment vertical="center"/>
    </xf>
    <xf numFmtId="183" fontId="16" fillId="44" borderId="0" xfId="0" applyNumberFormat="1" applyFont="1" applyFill="1" applyAlignment="1">
      <alignment horizontal="center" vertical="center"/>
    </xf>
    <xf numFmtId="0" fontId="12" fillId="0" borderId="0" xfId="0" applyFont="1" applyAlignment="1">
      <alignment horizontal="center" vertical="top"/>
    </xf>
    <xf numFmtId="0" fontId="12" fillId="0" borderId="17" xfId="0" applyFont="1" applyBorder="1" applyAlignment="1">
      <alignment horizontal="right" vertical="center" wrapText="1"/>
    </xf>
    <xf numFmtId="0" fontId="13" fillId="0" borderId="0" xfId="0" applyFont="1" applyAlignment="1">
      <alignment horizontal="left" vertical="top" indent="1"/>
    </xf>
    <xf numFmtId="0" fontId="13" fillId="0" borderId="0" xfId="0" applyFont="1" applyAlignment="1">
      <alignment horizontal="left" vertical="top" wrapText="1"/>
    </xf>
    <xf numFmtId="0" fontId="12" fillId="0" borderId="0" xfId="0" applyFont="1" applyAlignment="1">
      <alignment horizontal="right" vertical="center" wrapText="1"/>
    </xf>
    <xf numFmtId="0" fontId="16" fillId="0" borderId="10" xfId="0" applyFont="1" applyBorder="1" applyAlignment="1">
      <alignment horizontal="right" vertical="center"/>
    </xf>
    <xf numFmtId="180" fontId="38" fillId="0" borderId="10" xfId="0" applyNumberFormat="1" applyFont="1" applyBorder="1" applyAlignment="1">
      <alignment vertical="center"/>
    </xf>
    <xf numFmtId="0" fontId="38" fillId="0" borderId="0" xfId="0" quotePrefix="1" applyFont="1" applyAlignment="1">
      <alignment vertical="center"/>
    </xf>
    <xf numFmtId="176" fontId="12" fillId="0" borderId="0" xfId="0" quotePrefix="1" applyNumberFormat="1" applyFont="1" applyAlignment="1">
      <alignment horizontal="center" vertical="center"/>
    </xf>
    <xf numFmtId="164" fontId="110" fillId="0" borderId="0" xfId="0" applyNumberFormat="1" applyFont="1" applyAlignment="1">
      <alignment horizontal="center" vertical="center"/>
    </xf>
    <xf numFmtId="0" fontId="119" fillId="0" borderId="0" xfId="0" applyFont="1" applyAlignment="1">
      <alignment horizontal="center" vertical="center"/>
    </xf>
    <xf numFmtId="0" fontId="110" fillId="0" borderId="0" xfId="0" applyFont="1" applyAlignment="1">
      <alignment horizontal="center" vertical="center"/>
    </xf>
    <xf numFmtId="0" fontId="13" fillId="0" borderId="0" xfId="0" applyFont="1" applyAlignment="1">
      <alignment horizontal="left" vertical="center" indent="1"/>
    </xf>
    <xf numFmtId="0" fontId="20" fillId="49" borderId="0" xfId="0" applyFont="1" applyFill="1" applyAlignment="1">
      <alignment vertical="center"/>
    </xf>
    <xf numFmtId="0" fontId="12" fillId="49" borderId="0" xfId="0" applyFont="1" applyFill="1" applyAlignment="1">
      <alignment vertical="center"/>
    </xf>
    <xf numFmtId="0" fontId="38" fillId="49" borderId="0" xfId="0" applyFont="1" applyFill="1" applyAlignment="1">
      <alignment vertical="center"/>
    </xf>
    <xf numFmtId="0" fontId="38" fillId="49" borderId="0" xfId="0" applyFont="1" applyFill="1" applyAlignment="1">
      <alignment horizontal="center" vertical="center"/>
    </xf>
    <xf numFmtId="0" fontId="15" fillId="49" borderId="0" xfId="0" applyFont="1" applyFill="1" applyAlignment="1">
      <alignment horizontal="center" vertical="center"/>
    </xf>
    <xf numFmtId="176" fontId="12" fillId="49" borderId="0" xfId="0" applyNumberFormat="1" applyFont="1" applyFill="1" applyAlignment="1">
      <alignment horizontal="center" vertical="center"/>
    </xf>
    <xf numFmtId="164" fontId="12" fillId="49" borderId="0" xfId="0" applyNumberFormat="1" applyFont="1" applyFill="1" applyAlignment="1">
      <alignment horizontal="center" vertical="center"/>
    </xf>
    <xf numFmtId="175" fontId="12" fillId="49" borderId="0" xfId="0" applyNumberFormat="1" applyFont="1" applyFill="1" applyAlignment="1">
      <alignment horizontal="right" vertical="center"/>
    </xf>
    <xf numFmtId="175" fontId="12" fillId="49" borderId="0" xfId="0" applyNumberFormat="1" applyFont="1" applyFill="1" applyAlignment="1">
      <alignment horizontal="center" vertical="center"/>
    </xf>
    <xf numFmtId="2" fontId="12" fillId="0" borderId="10" xfId="0" quotePrefix="1" applyNumberFormat="1" applyFont="1" applyBorder="1" applyAlignment="1">
      <alignment horizontal="center" vertical="center"/>
    </xf>
    <xf numFmtId="171" fontId="15" fillId="24" borderId="10" xfId="0" applyNumberFormat="1" applyFont="1" applyFill="1" applyBorder="1" applyAlignment="1">
      <alignment vertical="center"/>
    </xf>
    <xf numFmtId="164" fontId="67" fillId="28" borderId="0" xfId="0" applyNumberFormat="1" applyFont="1" applyFill="1" applyAlignment="1">
      <alignment horizontal="center" vertical="center"/>
    </xf>
    <xf numFmtId="170" fontId="51" fillId="0" borderId="0" xfId="0" applyNumberFormat="1" applyFont="1" applyAlignment="1">
      <alignment horizontal="center" vertical="center"/>
    </xf>
    <xf numFmtId="14" fontId="51" fillId="28" borderId="0" xfId="0" applyNumberFormat="1" applyFont="1" applyFill="1" applyAlignment="1">
      <alignment horizontal="center" vertical="center"/>
    </xf>
    <xf numFmtId="14" fontId="12" fillId="28" borderId="0" xfId="0" applyNumberFormat="1" applyFont="1" applyFill="1" applyAlignment="1">
      <alignment horizontal="center" vertical="center"/>
    </xf>
    <xf numFmtId="0" fontId="12" fillId="24" borderId="10" xfId="0" applyFont="1" applyFill="1" applyBorder="1" applyAlignment="1">
      <alignment vertical="center"/>
    </xf>
    <xf numFmtId="0" fontId="15" fillId="0" borderId="10" xfId="0" applyFont="1" applyBorder="1" applyAlignment="1">
      <alignment horizontal="center" vertical="center"/>
    </xf>
    <xf numFmtId="171" fontId="16" fillId="49" borderId="0" xfId="0" applyNumberFormat="1" applyFont="1" applyFill="1" applyAlignment="1">
      <alignment vertical="center"/>
    </xf>
    <xf numFmtId="0" fontId="39" fillId="49" borderId="0" xfId="0" applyFont="1" applyFill="1" applyAlignment="1">
      <alignment horizontal="center" vertical="center"/>
    </xf>
    <xf numFmtId="176" fontId="38" fillId="49" borderId="0" xfId="0" applyNumberFormat="1" applyFont="1" applyFill="1" applyAlignment="1">
      <alignment horizontal="center" vertical="center"/>
    </xf>
    <xf numFmtId="164" fontId="38" fillId="49" borderId="0" xfId="0" applyNumberFormat="1" applyFont="1" applyFill="1" applyAlignment="1">
      <alignment horizontal="center" vertical="center"/>
    </xf>
    <xf numFmtId="0" fontId="12" fillId="50" borderId="0" xfId="0" applyFont="1" applyFill="1" applyAlignment="1">
      <alignment vertical="center"/>
    </xf>
    <xf numFmtId="0" fontId="16" fillId="50" borderId="0" xfId="0" applyFont="1" applyFill="1" applyAlignment="1">
      <alignment horizontal="center" vertical="center"/>
    </xf>
    <xf numFmtId="164" fontId="40" fillId="50" borderId="0" xfId="0" applyNumberFormat="1" applyFont="1" applyFill="1" applyAlignment="1">
      <alignment horizontal="center" vertical="center"/>
    </xf>
    <xf numFmtId="167" fontId="16" fillId="50" borderId="0" xfId="0" applyNumberFormat="1" applyFont="1" applyFill="1" applyAlignment="1">
      <alignment horizontal="center" vertical="center"/>
    </xf>
    <xf numFmtId="176" fontId="16" fillId="50" borderId="0" xfId="0" applyNumberFormat="1" applyFont="1" applyFill="1" applyAlignment="1">
      <alignment horizontal="center" vertical="center"/>
    </xf>
    <xf numFmtId="164" fontId="16" fillId="50" borderId="0" xfId="0" applyNumberFormat="1" applyFont="1" applyFill="1" applyAlignment="1">
      <alignment horizontal="center" vertical="center"/>
    </xf>
    <xf numFmtId="175" fontId="12" fillId="50" borderId="0" xfId="0" applyNumberFormat="1" applyFont="1" applyFill="1" applyAlignment="1">
      <alignment horizontal="center" vertical="center"/>
    </xf>
    <xf numFmtId="164" fontId="12" fillId="44" borderId="0" xfId="0" applyNumberFormat="1" applyFont="1" applyFill="1" applyAlignment="1">
      <alignment horizontal="center" vertical="center"/>
    </xf>
    <xf numFmtId="164" fontId="68" fillId="0" borderId="0" xfId="0" applyNumberFormat="1" applyFont="1" applyAlignment="1">
      <alignment horizontal="center" vertical="center"/>
    </xf>
    <xf numFmtId="165" fontId="12" fillId="0" borderId="0" xfId="0" applyNumberFormat="1" applyFont="1" applyAlignment="1">
      <alignment horizontal="center" vertical="center"/>
    </xf>
    <xf numFmtId="0" fontId="12" fillId="0" borderId="74" xfId="0" applyFont="1" applyBorder="1" applyAlignment="1">
      <alignment vertical="center"/>
    </xf>
    <xf numFmtId="0" fontId="13" fillId="0" borderId="74" xfId="0" applyFont="1" applyBorder="1" applyAlignment="1">
      <alignment horizontal="right" vertical="center"/>
    </xf>
    <xf numFmtId="164" fontId="12" fillId="0" borderId="74" xfId="0" applyNumberFormat="1" applyFont="1" applyBorder="1" applyAlignment="1">
      <alignment horizontal="left" vertical="center"/>
    </xf>
    <xf numFmtId="0" fontId="12" fillId="0" borderId="74" xfId="0" applyFont="1" applyBorder="1" applyAlignment="1">
      <alignment horizontal="center" vertical="center"/>
    </xf>
    <xf numFmtId="0" fontId="14" fillId="0" borderId="74" xfId="0" applyFont="1" applyBorder="1" applyAlignment="1">
      <alignment horizontal="left" vertical="center"/>
    </xf>
    <xf numFmtId="164" fontId="12" fillId="33" borderId="74" xfId="0" applyNumberFormat="1" applyFont="1" applyFill="1" applyBorder="1" applyAlignment="1">
      <alignment horizontal="center" vertical="center"/>
    </xf>
    <xf numFmtId="164" fontId="12" fillId="0" borderId="74" xfId="0" applyNumberFormat="1" applyFont="1" applyBorder="1" applyAlignment="1">
      <alignment horizontal="center" vertical="center"/>
    </xf>
    <xf numFmtId="0" fontId="14" fillId="0" borderId="40" xfId="0" applyFont="1" applyBorder="1" applyAlignment="1">
      <alignment horizontal="left" vertical="center"/>
    </xf>
    <xf numFmtId="2" fontId="12" fillId="0" borderId="0" xfId="0" quotePrefix="1" applyNumberFormat="1" applyFont="1" applyAlignment="1">
      <alignment vertical="center"/>
    </xf>
    <xf numFmtId="164" fontId="12" fillId="31" borderId="13" xfId="0" applyNumberFormat="1" applyFont="1" applyFill="1" applyBorder="1" applyAlignment="1">
      <alignment horizontal="center" vertical="center"/>
    </xf>
    <xf numFmtId="164" fontId="12" fillId="31" borderId="13" xfId="0" quotePrefix="1" applyNumberFormat="1" applyFont="1" applyFill="1" applyBorder="1" applyAlignment="1">
      <alignment horizontal="center" vertical="center"/>
    </xf>
    <xf numFmtId="164" fontId="12" fillId="0" borderId="13" xfId="0" quotePrefix="1" applyNumberFormat="1" applyFont="1" applyBorder="1" applyAlignment="1">
      <alignment horizontal="center" vertical="center"/>
    </xf>
    <xf numFmtId="0" fontId="110" fillId="0" borderId="0" xfId="0" applyFont="1" applyAlignment="1">
      <alignment horizontal="left" vertical="center"/>
    </xf>
    <xf numFmtId="164" fontId="12" fillId="0" borderId="32" xfId="0" applyNumberFormat="1" applyFont="1" applyBorder="1" applyAlignment="1">
      <alignment horizontal="center" vertical="center"/>
    </xf>
    <xf numFmtId="0" fontId="12" fillId="0" borderId="12" xfId="0" applyFont="1" applyBorder="1" applyAlignment="1">
      <alignment horizontal="left" vertical="center"/>
    </xf>
    <xf numFmtId="164" fontId="12" fillId="0" borderId="33" xfId="0" applyNumberFormat="1" applyFont="1" applyBorder="1" applyAlignment="1">
      <alignment horizontal="center" vertical="center"/>
    </xf>
    <xf numFmtId="0" fontId="12" fillId="0" borderId="11" xfId="0" applyFont="1" applyBorder="1" applyAlignment="1">
      <alignment horizontal="left" vertical="center"/>
    </xf>
    <xf numFmtId="0" fontId="38" fillId="0" borderId="36" xfId="0" applyFont="1" applyBorder="1" applyAlignment="1">
      <alignment horizontal="center" vertical="center" wrapText="1"/>
    </xf>
    <xf numFmtId="0" fontId="38" fillId="0" borderId="21" xfId="0" applyFont="1" applyBorder="1" applyAlignment="1">
      <alignment horizontal="center" vertical="center" wrapText="1"/>
    </xf>
    <xf numFmtId="164" fontId="38" fillId="0" borderId="21" xfId="0" applyNumberFormat="1" applyFont="1" applyBorder="1" applyAlignment="1">
      <alignment horizontal="center" vertical="center" wrapText="1"/>
    </xf>
    <xf numFmtId="164" fontId="38" fillId="0" borderId="35" xfId="0" applyNumberFormat="1" applyFont="1" applyBorder="1" applyAlignment="1">
      <alignment horizontal="center" vertical="center" wrapText="1"/>
    </xf>
    <xf numFmtId="0" fontId="12" fillId="0" borderId="26" xfId="0" applyFont="1" applyBorder="1" applyAlignment="1">
      <alignment horizontal="center" vertical="center"/>
    </xf>
    <xf numFmtId="0" fontId="12" fillId="0" borderId="26" xfId="0" applyFont="1" applyBorder="1" applyAlignment="1">
      <alignment vertical="center"/>
    </xf>
    <xf numFmtId="164" fontId="12" fillId="0" borderId="11" xfId="0" applyNumberFormat="1" applyFont="1" applyBorder="1" applyAlignment="1">
      <alignment horizontal="center" vertical="center"/>
    </xf>
    <xf numFmtId="0" fontId="12" fillId="0" borderId="36" xfId="0" applyFont="1" applyBorder="1" applyAlignment="1">
      <alignment horizontal="center" vertical="center"/>
    </xf>
    <xf numFmtId="0" fontId="12" fillId="0" borderId="35" xfId="0" applyFont="1" applyBorder="1" applyAlignment="1">
      <alignment horizontal="center" vertical="center"/>
    </xf>
    <xf numFmtId="164" fontId="13" fillId="25" borderId="34" xfId="0" applyNumberFormat="1" applyFont="1" applyFill="1" applyBorder="1" applyAlignment="1" applyProtection="1">
      <alignment horizontal="center" vertical="center"/>
      <protection locked="0"/>
    </xf>
    <xf numFmtId="0" fontId="32" fillId="0" borderId="13" xfId="0" applyFont="1" applyBorder="1" applyAlignment="1">
      <alignment horizontal="center" vertical="center"/>
    </xf>
    <xf numFmtId="0" fontId="14" fillId="0" borderId="0" xfId="0" applyFont="1" applyAlignment="1">
      <alignment horizontal="center" vertical="center"/>
    </xf>
    <xf numFmtId="0" fontId="32" fillId="0" borderId="13" xfId="0" quotePrefix="1" applyFont="1" applyBorder="1" applyAlignment="1">
      <alignment horizontal="center" vertical="center"/>
    </xf>
    <xf numFmtId="0" fontId="16" fillId="28" borderId="10" xfId="0" applyFont="1" applyFill="1" applyBorder="1" applyAlignment="1">
      <alignment vertical="center"/>
    </xf>
    <xf numFmtId="164" fontId="12" fillId="0" borderId="10" xfId="90" applyNumberFormat="1" applyFont="1" applyBorder="1" applyAlignment="1">
      <alignment horizontal="center" vertical="center"/>
    </xf>
    <xf numFmtId="164" fontId="12" fillId="0" borderId="10" xfId="91" applyNumberFormat="1" applyFont="1" applyBorder="1" applyAlignment="1">
      <alignment horizontal="center" vertical="center"/>
    </xf>
    <xf numFmtId="167" fontId="12" fillId="0" borderId="17" xfId="63" applyNumberFormat="1" applyFont="1" applyBorder="1" applyAlignment="1">
      <alignment horizontal="center" vertical="center"/>
    </xf>
    <xf numFmtId="0" fontId="36" fillId="49" borderId="20" xfId="0" applyFont="1" applyFill="1" applyBorder="1" applyAlignment="1">
      <alignment horizontal="left" vertical="center"/>
    </xf>
    <xf numFmtId="0" fontId="12" fillId="49" borderId="20" xfId="0" applyFont="1" applyFill="1" applyBorder="1" applyAlignment="1">
      <alignment horizontal="left" vertical="center"/>
    </xf>
    <xf numFmtId="0" fontId="13" fillId="49" borderId="20" xfId="0" applyFont="1" applyFill="1" applyBorder="1" applyAlignment="1">
      <alignment vertical="center"/>
    </xf>
    <xf numFmtId="0" fontId="12" fillId="49" borderId="20" xfId="0" applyFont="1" applyFill="1" applyBorder="1" applyAlignment="1">
      <alignment horizontal="center" vertical="center"/>
    </xf>
    <xf numFmtId="164" fontId="12" fillId="49" borderId="20" xfId="0" applyNumberFormat="1" applyFont="1" applyFill="1" applyBorder="1" applyAlignment="1">
      <alignment horizontal="center" vertical="center"/>
    </xf>
    <xf numFmtId="0" fontId="12" fillId="49" borderId="20" xfId="0" quotePrefix="1" applyFont="1" applyFill="1" applyBorder="1" applyAlignment="1">
      <alignment horizontal="center" vertical="center"/>
    </xf>
    <xf numFmtId="175" fontId="12" fillId="49" borderId="20" xfId="0" applyNumberFormat="1" applyFont="1" applyFill="1" applyBorder="1" applyAlignment="1">
      <alignment horizontal="center" vertical="center"/>
    </xf>
    <xf numFmtId="0" fontId="13" fillId="50" borderId="17" xfId="0" applyFont="1" applyFill="1" applyBorder="1" applyAlignment="1">
      <alignment vertical="center"/>
    </xf>
    <xf numFmtId="0" fontId="13" fillId="50" borderId="17" xfId="0" applyFont="1" applyFill="1" applyBorder="1" applyAlignment="1">
      <alignment horizontal="center" vertical="center"/>
    </xf>
    <xf numFmtId="164" fontId="13" fillId="50" borderId="17" xfId="0" applyNumberFormat="1" applyFont="1" applyFill="1" applyBorder="1" applyAlignment="1">
      <alignment horizontal="center" vertical="center"/>
    </xf>
    <xf numFmtId="0" fontId="12" fillId="50" borderId="17" xfId="0" applyFont="1" applyFill="1" applyBorder="1" applyAlignment="1">
      <alignment horizontal="center" vertical="center"/>
    </xf>
    <xf numFmtId="176" fontId="13" fillId="50" borderId="17" xfId="0" applyNumberFormat="1" applyFont="1" applyFill="1" applyBorder="1" applyAlignment="1">
      <alignment horizontal="center" vertical="center"/>
    </xf>
    <xf numFmtId="175" fontId="13" fillId="50" borderId="17" xfId="0" applyNumberFormat="1" applyFont="1" applyFill="1" applyBorder="1" applyAlignment="1">
      <alignment horizontal="center" vertical="center"/>
    </xf>
    <xf numFmtId="175" fontId="13" fillId="0" borderId="0" xfId="0" applyNumberFormat="1" applyFont="1" applyAlignment="1">
      <alignment horizontal="right" vertical="center"/>
    </xf>
    <xf numFmtId="175" fontId="13" fillId="50" borderId="17" xfId="0" applyNumberFormat="1" applyFont="1" applyFill="1" applyBorder="1" applyAlignment="1">
      <alignment horizontal="right" vertical="center"/>
    </xf>
    <xf numFmtId="167" fontId="12" fillId="0" borderId="10" xfId="63" applyNumberFormat="1" applyFont="1" applyBorder="1" applyAlignment="1">
      <alignment horizontal="center" vertical="center"/>
    </xf>
    <xf numFmtId="164" fontId="119" fillId="0" borderId="0" xfId="0" applyNumberFormat="1" applyFont="1" applyAlignment="1">
      <alignment horizontal="center" vertical="center"/>
    </xf>
    <xf numFmtId="0" fontId="119" fillId="24" borderId="0" xfId="0" applyFont="1" applyFill="1" applyAlignment="1">
      <alignment horizontal="center" vertical="center"/>
    </xf>
    <xf numFmtId="0" fontId="119" fillId="0" borderId="0" xfId="0" applyFont="1" applyAlignment="1">
      <alignment vertical="center"/>
    </xf>
    <xf numFmtId="3" fontId="12" fillId="0" borderId="13" xfId="0" applyNumberFormat="1" applyFont="1" applyBorder="1" applyAlignment="1">
      <alignment horizontal="center" vertical="center"/>
    </xf>
    <xf numFmtId="0" fontId="16" fillId="0" borderId="13" xfId="0" applyFont="1" applyBorder="1" applyAlignment="1">
      <alignment horizontal="center" vertical="top" wrapText="1"/>
    </xf>
    <xf numFmtId="0" fontId="16" fillId="0" borderId="13" xfId="0" applyFont="1" applyBorder="1" applyAlignment="1">
      <alignment horizontal="center" wrapText="1"/>
    </xf>
    <xf numFmtId="177" fontId="13" fillId="49" borderId="30" xfId="0" applyNumberFormat="1" applyFont="1" applyFill="1" applyBorder="1" applyAlignment="1">
      <alignment horizontal="center" vertical="center"/>
    </xf>
    <xf numFmtId="164" fontId="30" fillId="40" borderId="34" xfId="0" applyNumberFormat="1" applyFont="1" applyFill="1" applyBorder="1" applyAlignment="1" applyProtection="1">
      <alignment horizontal="center" vertical="center"/>
      <protection locked="0"/>
    </xf>
    <xf numFmtId="0" fontId="48" fillId="34" borderId="27" xfId="0" applyFont="1" applyFill="1" applyBorder="1" applyAlignment="1">
      <alignment horizontal="left" vertical="center"/>
    </xf>
    <xf numFmtId="0" fontId="10" fillId="34" borderId="17" xfId="0" applyFont="1" applyFill="1" applyBorder="1" applyAlignment="1">
      <alignment horizontal="center" vertical="center"/>
    </xf>
    <xf numFmtId="0" fontId="18" fillId="34" borderId="17" xfId="0" applyFont="1" applyFill="1" applyBorder="1" applyAlignment="1">
      <alignment horizontal="left" vertical="center"/>
    </xf>
    <xf numFmtId="0" fontId="48" fillId="34" borderId="17" xfId="0" applyFont="1" applyFill="1" applyBorder="1" applyAlignment="1">
      <alignment horizontal="center" vertical="center"/>
    </xf>
    <xf numFmtId="0" fontId="11" fillId="29" borderId="17" xfId="0" applyFont="1" applyFill="1" applyBorder="1" applyAlignment="1">
      <alignment horizontal="center" vertical="center"/>
    </xf>
    <xf numFmtId="0" fontId="13" fillId="29" borderId="17" xfId="0" applyFont="1" applyFill="1" applyBorder="1" applyAlignment="1">
      <alignment horizontal="right" vertical="center"/>
    </xf>
    <xf numFmtId="164" fontId="12" fillId="29" borderId="30" xfId="63" applyNumberFormat="1" applyFont="1" applyFill="1" applyBorder="1" applyAlignment="1">
      <alignment horizontal="center" vertical="center"/>
    </xf>
    <xf numFmtId="175" fontId="12" fillId="24" borderId="0" xfId="0" applyNumberFormat="1" applyFont="1" applyFill="1" applyAlignment="1">
      <alignment horizontal="left" vertical="center"/>
    </xf>
    <xf numFmtId="175" fontId="13" fillId="51" borderId="0" xfId="0" applyNumberFormat="1" applyFont="1" applyFill="1" applyAlignment="1">
      <alignment horizontal="center" vertical="center"/>
    </xf>
    <xf numFmtId="0" fontId="12" fillId="0" borderId="0" xfId="0" applyFont="1" applyAlignment="1">
      <alignment horizontal="left" vertical="top"/>
    </xf>
    <xf numFmtId="0" fontId="16" fillId="0" borderId="21" xfId="0" applyFont="1" applyBorder="1" applyAlignment="1">
      <alignment vertical="center"/>
    </xf>
    <xf numFmtId="0" fontId="13" fillId="24" borderId="21" xfId="0" applyFont="1" applyFill="1" applyBorder="1" applyAlignment="1">
      <alignment horizontal="center" vertical="center"/>
    </xf>
    <xf numFmtId="173" fontId="12" fillId="0" borderId="21" xfId="0" applyNumberFormat="1" applyFont="1" applyBorder="1" applyAlignment="1">
      <alignment horizontal="center" vertical="center"/>
    </xf>
    <xf numFmtId="176" fontId="0" fillId="0" borderId="0" xfId="0" applyNumberFormat="1"/>
    <xf numFmtId="176" fontId="0" fillId="42" borderId="0" xfId="0" applyNumberFormat="1" applyFill="1"/>
    <xf numFmtId="2" fontId="13" fillId="0" borderId="13" xfId="0" applyNumberFormat="1" applyFont="1" applyBorder="1" applyAlignment="1">
      <alignment horizontal="center" vertical="center"/>
    </xf>
    <xf numFmtId="164" fontId="0" fillId="40" borderId="13" xfId="0" applyNumberFormat="1" applyFill="1" applyBorder="1" applyAlignment="1" applyProtection="1">
      <alignment horizontal="center"/>
      <protection locked="0"/>
    </xf>
    <xf numFmtId="180" fontId="38" fillId="0" borderId="17" xfId="0" applyNumberFormat="1" applyFont="1" applyBorder="1" applyAlignment="1">
      <alignment horizontal="center" vertical="center"/>
    </xf>
    <xf numFmtId="0" fontId="83" fillId="0" borderId="0" xfId="0" applyFont="1" applyAlignment="1">
      <alignment horizontal="left"/>
    </xf>
    <xf numFmtId="0" fontId="123" fillId="0" borderId="0" xfId="0" applyFont="1" applyAlignment="1">
      <alignment horizontal="left"/>
    </xf>
    <xf numFmtId="164" fontId="7" fillId="40" borderId="13" xfId="0" applyNumberFormat="1" applyFont="1" applyFill="1" applyBorder="1" applyAlignment="1" applyProtection="1">
      <alignment horizontal="center"/>
      <protection locked="0"/>
    </xf>
    <xf numFmtId="176" fontId="7" fillId="0" borderId="0" xfId="0" applyNumberFormat="1" applyFont="1"/>
    <xf numFmtId="164" fontId="7" fillId="0" borderId="0" xfId="0" applyNumberFormat="1" applyFont="1" applyAlignment="1">
      <alignment horizontal="center"/>
    </xf>
    <xf numFmtId="164" fontId="18" fillId="32" borderId="0" xfId="63" applyNumberFormat="1" applyFont="1" applyFill="1" applyAlignment="1">
      <alignment horizontal="center" vertical="center"/>
    </xf>
    <xf numFmtId="14" fontId="18" fillId="0" borderId="0" xfId="0" applyNumberFormat="1" applyFont="1"/>
    <xf numFmtId="175" fontId="12" fillId="0" borderId="0" xfId="0" applyNumberFormat="1" applyFont="1" applyAlignment="1">
      <alignment horizontal="right" vertical="center"/>
    </xf>
    <xf numFmtId="2" fontId="125" fillId="0" borderId="0" xfId="0" applyNumberFormat="1" applyFont="1" applyAlignment="1">
      <alignment horizontal="center" vertical="center"/>
    </xf>
    <xf numFmtId="176" fontId="125" fillId="0" borderId="0" xfId="0" applyNumberFormat="1" applyFont="1" applyAlignment="1">
      <alignment horizontal="center" vertical="center"/>
    </xf>
    <xf numFmtId="0" fontId="13" fillId="0" borderId="0" xfId="0" applyFont="1"/>
    <xf numFmtId="176" fontId="13" fillId="0" borderId="0" xfId="0" applyNumberFormat="1" applyFont="1"/>
    <xf numFmtId="175" fontId="13" fillId="0" borderId="0" xfId="0" applyNumberFormat="1" applyFont="1"/>
    <xf numFmtId="0" fontId="34" fillId="0" borderId="17" xfId="0" applyFont="1" applyBorder="1" applyAlignment="1">
      <alignment horizontal="center" vertical="center"/>
    </xf>
    <xf numFmtId="0" fontId="20" fillId="0" borderId="17" xfId="0" applyFont="1" applyBorder="1" applyAlignment="1">
      <alignment vertical="top"/>
    </xf>
    <xf numFmtId="0" fontId="126" fillId="0" borderId="0" xfId="0" applyFont="1" applyAlignment="1">
      <alignment vertical="center" wrapText="1"/>
    </xf>
    <xf numFmtId="164" fontId="15" fillId="0" borderId="0" xfId="0" applyNumberFormat="1" applyFont="1" applyAlignment="1">
      <alignment horizontal="center" vertical="center"/>
    </xf>
    <xf numFmtId="177" fontId="13" fillId="49" borderId="34" xfId="0" applyNumberFormat="1" applyFont="1" applyFill="1" applyBorder="1" applyAlignment="1">
      <alignment horizontal="center" vertical="center"/>
    </xf>
    <xf numFmtId="0" fontId="0" fillId="0" borderId="10" xfId="0" applyBorder="1"/>
    <xf numFmtId="177" fontId="13" fillId="49" borderId="17" xfId="0" applyNumberFormat="1" applyFont="1" applyFill="1" applyBorder="1" applyAlignment="1">
      <alignment horizontal="center" vertical="center"/>
    </xf>
    <xf numFmtId="0" fontId="23" fillId="49" borderId="0" xfId="0" applyFont="1" applyFill="1" applyAlignment="1">
      <alignment vertical="center"/>
    </xf>
    <xf numFmtId="165" fontId="12" fillId="0" borderId="10" xfId="0" applyNumberFormat="1" applyFont="1" applyBorder="1" applyAlignment="1">
      <alignment horizontal="center" vertical="center"/>
    </xf>
    <xf numFmtId="177" fontId="13" fillId="49" borderId="0" xfId="0" applyNumberFormat="1" applyFont="1" applyFill="1" applyAlignment="1">
      <alignment horizontal="center" vertical="center"/>
    </xf>
    <xf numFmtId="175" fontId="13" fillId="49" borderId="20" xfId="0" applyNumberFormat="1" applyFont="1" applyFill="1" applyBorder="1" applyAlignment="1">
      <alignment horizontal="center" vertical="center"/>
    </xf>
    <xf numFmtId="180" fontId="38" fillId="0" borderId="10" xfId="0" applyNumberFormat="1" applyFont="1" applyBorder="1" applyAlignment="1">
      <alignment horizontal="center" vertical="center"/>
    </xf>
    <xf numFmtId="0" fontId="50" fillId="0" borderId="10" xfId="0" quotePrefix="1" applyFont="1" applyBorder="1" applyAlignment="1">
      <alignment vertical="center"/>
    </xf>
    <xf numFmtId="0" fontId="127" fillId="0" borderId="0" xfId="109" applyFont="1" applyAlignment="1">
      <alignment horizontal="center" vertical="center"/>
    </xf>
    <xf numFmtId="184" fontId="127" fillId="0" borderId="0" xfId="109" applyNumberFormat="1" applyFont="1" applyAlignment="1">
      <alignment horizontal="center" vertical="center"/>
    </xf>
    <xf numFmtId="184" fontId="128" fillId="0" borderId="0" xfId="109" applyNumberFormat="1" applyFont="1" applyAlignment="1">
      <alignment horizontal="left" vertical="center"/>
    </xf>
    <xf numFmtId="173" fontId="12" fillId="0" borderId="10" xfId="0" applyNumberFormat="1" applyFont="1" applyBorder="1" applyAlignment="1">
      <alignment horizontal="center" vertical="center"/>
    </xf>
    <xf numFmtId="0" fontId="53" fillId="0" borderId="0" xfId="62" applyFont="1" applyAlignment="1">
      <alignment horizontal="center" wrapText="1"/>
    </xf>
    <xf numFmtId="165" fontId="51" fillId="0" borderId="0" xfId="62" applyNumberFormat="1" applyFont="1" applyAlignment="1">
      <alignment horizontal="center" wrapText="1"/>
    </xf>
    <xf numFmtId="164" fontId="16" fillId="0" borderId="10" xfId="0" applyNumberFormat="1" applyFont="1" applyBorder="1" applyAlignment="1">
      <alignment horizontal="center" vertical="center" shrinkToFit="1"/>
    </xf>
    <xf numFmtId="164" fontId="12" fillId="53" borderId="0" xfId="0" applyNumberFormat="1" applyFont="1" applyFill="1" applyAlignment="1">
      <alignment horizontal="center" vertical="center"/>
    </xf>
    <xf numFmtId="164" fontId="12" fillId="53" borderId="10" xfId="0" applyNumberFormat="1" applyFont="1" applyFill="1" applyBorder="1" applyAlignment="1">
      <alignment horizontal="center" vertical="center"/>
    </xf>
    <xf numFmtId="0" fontId="12" fillId="0" borderId="22" xfId="0" applyFont="1" applyBorder="1" applyAlignment="1">
      <alignment vertical="center"/>
    </xf>
    <xf numFmtId="0" fontId="13" fillId="0" borderId="22" xfId="0" applyFont="1" applyBorder="1" applyAlignment="1">
      <alignment vertical="center"/>
    </xf>
    <xf numFmtId="0" fontId="13" fillId="24" borderId="22" xfId="0" applyFont="1" applyFill="1" applyBorder="1" applyAlignment="1">
      <alignment horizontal="center" vertical="center"/>
    </xf>
    <xf numFmtId="0" fontId="12" fillId="0" borderId="22" xfId="0" quotePrefix="1" applyFont="1" applyBorder="1" applyAlignment="1">
      <alignment horizontal="center" vertical="center"/>
    </xf>
    <xf numFmtId="164" fontId="12" fillId="0" borderId="22" xfId="0" applyNumberFormat="1" applyFont="1" applyBorder="1" applyAlignment="1">
      <alignment horizontal="center" vertical="center"/>
    </xf>
    <xf numFmtId="0" fontId="18" fillId="0" borderId="0" xfId="0" applyFont="1" applyAlignment="1">
      <alignment horizontal="left"/>
    </xf>
    <xf numFmtId="0" fontId="18" fillId="0" borderId="0" xfId="0" quotePrefix="1" applyFont="1"/>
    <xf numFmtId="164" fontId="29" fillId="0" borderId="0" xfId="0" applyNumberFormat="1" applyFont="1" applyAlignment="1">
      <alignment horizontal="center"/>
    </xf>
    <xf numFmtId="0" fontId="18" fillId="0" borderId="38" xfId="0" applyFont="1" applyBorder="1" applyAlignment="1">
      <alignment horizontal="center"/>
    </xf>
    <xf numFmtId="2" fontId="18" fillId="0" borderId="0" xfId="0" applyNumberFormat="1" applyFont="1" applyAlignment="1">
      <alignment horizontal="center"/>
    </xf>
    <xf numFmtId="2" fontId="115" fillId="0" borderId="0" xfId="0" applyNumberFormat="1" applyFont="1" applyAlignment="1">
      <alignment horizontal="left" vertical="center"/>
    </xf>
    <xf numFmtId="164" fontId="129" fillId="0" borderId="17" xfId="0" applyNumberFormat="1" applyFont="1" applyBorder="1" applyAlignment="1">
      <alignment horizontal="center" vertical="center"/>
    </xf>
    <xf numFmtId="2" fontId="18" fillId="0" borderId="0" xfId="0" quotePrefix="1" applyNumberFormat="1" applyFont="1" applyAlignment="1">
      <alignment horizontal="center"/>
    </xf>
    <xf numFmtId="164" fontId="131" fillId="0" borderId="0" xfId="0" applyNumberFormat="1" applyFont="1" applyAlignment="1">
      <alignment horizontal="center"/>
    </xf>
    <xf numFmtId="164" fontId="131" fillId="0" borderId="13" xfId="0" applyNumberFormat="1" applyFont="1" applyBorder="1" applyAlignment="1">
      <alignment horizontal="center"/>
    </xf>
    <xf numFmtId="0" fontId="13" fillId="0" borderId="82" xfId="0" applyFont="1" applyBorder="1" applyAlignment="1">
      <alignment horizontal="center"/>
    </xf>
    <xf numFmtId="0" fontId="13" fillId="0" borderId="82" xfId="0" applyFont="1" applyBorder="1" applyAlignment="1">
      <alignment horizontal="left"/>
    </xf>
    <xf numFmtId="0" fontId="13" fillId="24" borderId="82" xfId="0" applyFont="1" applyFill="1" applyBorder="1" applyAlignment="1">
      <alignment horizontal="center" vertical="center"/>
    </xf>
    <xf numFmtId="0" fontId="12" fillId="0" borderId="82" xfId="0" quotePrefix="1" applyFont="1" applyBorder="1" applyAlignment="1">
      <alignment horizontal="center" vertical="center"/>
    </xf>
    <xf numFmtId="0" fontId="12" fillId="0" borderId="82" xfId="0" applyFont="1" applyBorder="1" applyAlignment="1">
      <alignment horizontal="center" vertical="center"/>
    </xf>
    <xf numFmtId="164" fontId="13" fillId="0" borderId="82" xfId="0" applyNumberFormat="1" applyFont="1" applyBorder="1" applyAlignment="1">
      <alignment horizontal="center"/>
    </xf>
    <xf numFmtId="176" fontId="13" fillId="0" borderId="82" xfId="0" applyNumberFormat="1" applyFont="1" applyBorder="1" applyAlignment="1">
      <alignment horizontal="center"/>
    </xf>
    <xf numFmtId="175" fontId="13" fillId="0" borderId="82" xfId="0" applyNumberFormat="1" applyFont="1" applyBorder="1" applyAlignment="1">
      <alignment horizontal="center"/>
    </xf>
    <xf numFmtId="0" fontId="12" fillId="0" borderId="82" xfId="0" applyFont="1" applyBorder="1" applyAlignment="1">
      <alignment horizontal="center"/>
    </xf>
    <xf numFmtId="0" fontId="18" fillId="0" borderId="82" xfId="0" applyFont="1" applyBorder="1" applyAlignment="1">
      <alignment horizontal="center"/>
    </xf>
    <xf numFmtId="0" fontId="18" fillId="0" borderId="17" xfId="0" applyFont="1" applyBorder="1" applyAlignment="1">
      <alignment horizontal="center"/>
    </xf>
    <xf numFmtId="0" fontId="29" fillId="0" borderId="0" xfId="0" applyFont="1"/>
    <xf numFmtId="0" fontId="18" fillId="0" borderId="0" xfId="0" applyFont="1" applyAlignment="1">
      <alignment horizontal="left" indent="1"/>
    </xf>
    <xf numFmtId="0" fontId="18" fillId="0" borderId="0" xfId="0" applyFont="1" applyAlignment="1">
      <alignment horizontal="right"/>
    </xf>
    <xf numFmtId="0" fontId="29" fillId="0" borderId="0" xfId="0" applyFont="1" applyAlignment="1">
      <alignment horizontal="center"/>
    </xf>
    <xf numFmtId="164" fontId="20" fillId="0" borderId="0" xfId="0" applyNumberFormat="1" applyFont="1" applyAlignment="1">
      <alignment horizontal="center"/>
    </xf>
    <xf numFmtId="164" fontId="66" fillId="0" borderId="43" xfId="0" applyNumberFormat="1" applyFont="1" applyBorder="1" applyAlignment="1">
      <alignment horizontal="center"/>
    </xf>
    <xf numFmtId="164" fontId="66" fillId="0" borderId="46" xfId="0" applyNumberFormat="1" applyFont="1" applyBorder="1" applyAlignment="1">
      <alignment horizontal="center"/>
    </xf>
    <xf numFmtId="164" fontId="66" fillId="0" borderId="47" xfId="0" applyNumberFormat="1" applyFont="1" applyBorder="1" applyAlignment="1">
      <alignment horizontal="center"/>
    </xf>
    <xf numFmtId="175" fontId="13" fillId="50" borderId="82" xfId="0" applyNumberFormat="1" applyFont="1" applyFill="1" applyBorder="1" applyAlignment="1">
      <alignment horizontal="center" vertical="center"/>
    </xf>
    <xf numFmtId="0" fontId="13" fillId="51" borderId="0" xfId="0" applyFont="1" applyFill="1" applyAlignment="1">
      <alignment vertical="center"/>
    </xf>
    <xf numFmtId="0" fontId="13" fillId="51" borderId="0" xfId="0" applyFont="1" applyFill="1" applyAlignment="1">
      <alignment horizontal="center" vertical="center"/>
    </xf>
    <xf numFmtId="0" fontId="12" fillId="51" borderId="0" xfId="0" applyFont="1" applyFill="1" applyAlignment="1">
      <alignment horizontal="left" vertical="center"/>
    </xf>
    <xf numFmtId="164" fontId="13" fillId="51" borderId="0" xfId="0" applyNumberFormat="1" applyFont="1" applyFill="1" applyAlignment="1">
      <alignment horizontal="center" vertical="center"/>
    </xf>
    <xf numFmtId="0" fontId="12" fillId="51" borderId="0" xfId="0" applyFont="1" applyFill="1" applyAlignment="1">
      <alignment horizontal="center" vertical="center"/>
    </xf>
    <xf numFmtId="176" fontId="13" fillId="51" borderId="0" xfId="0" applyNumberFormat="1" applyFont="1" applyFill="1" applyAlignment="1">
      <alignment horizontal="center" vertical="center"/>
    </xf>
    <xf numFmtId="0" fontId="30" fillId="49" borderId="82" xfId="0" applyFont="1" applyFill="1" applyBorder="1" applyAlignment="1">
      <alignment horizontal="left" vertical="center"/>
    </xf>
    <xf numFmtId="0" fontId="12" fillId="49" borderId="82" xfId="0" applyFont="1" applyFill="1" applyBorder="1" applyAlignment="1">
      <alignment horizontal="left" vertical="center"/>
    </xf>
    <xf numFmtId="0" fontId="13" fillId="49" borderId="82" xfId="0" applyFont="1" applyFill="1" applyBorder="1" applyAlignment="1">
      <alignment vertical="center"/>
    </xf>
    <xf numFmtId="0" fontId="13" fillId="49" borderId="82" xfId="0" applyFont="1" applyFill="1" applyBorder="1" applyAlignment="1">
      <alignment horizontal="center" vertical="center"/>
    </xf>
    <xf numFmtId="164" fontId="13" fillId="49" borderId="82" xfId="0" applyNumberFormat="1" applyFont="1" applyFill="1" applyBorder="1" applyAlignment="1">
      <alignment horizontal="center" vertical="center"/>
    </xf>
    <xf numFmtId="174" fontId="12" fillId="49" borderId="82" xfId="0" applyNumberFormat="1" applyFont="1" applyFill="1" applyBorder="1" applyAlignment="1">
      <alignment horizontal="center" vertical="center"/>
    </xf>
    <xf numFmtId="0" fontId="12" fillId="49" borderId="82" xfId="0" applyFont="1" applyFill="1" applyBorder="1" applyAlignment="1">
      <alignment horizontal="center" vertical="center"/>
    </xf>
    <xf numFmtId="176" fontId="13" fillId="49" borderId="82" xfId="0" applyNumberFormat="1" applyFont="1" applyFill="1" applyBorder="1" applyAlignment="1">
      <alignment horizontal="center" vertical="center"/>
    </xf>
    <xf numFmtId="176" fontId="12" fillId="49" borderId="82" xfId="0" applyNumberFormat="1" applyFont="1" applyFill="1" applyBorder="1" applyAlignment="1">
      <alignment horizontal="right" vertical="center"/>
    </xf>
    <xf numFmtId="177" fontId="13" fillId="49" borderId="82" xfId="0" applyNumberFormat="1" applyFont="1" applyFill="1" applyBorder="1" applyAlignment="1">
      <alignment horizontal="center" vertical="center"/>
    </xf>
    <xf numFmtId="175" fontId="13" fillId="49" borderId="82" xfId="0" applyNumberFormat="1" applyFont="1" applyFill="1" applyBorder="1" applyAlignment="1">
      <alignment horizontal="center" vertical="center"/>
    </xf>
    <xf numFmtId="164" fontId="18" fillId="0" borderId="0" xfId="0" applyNumberFormat="1" applyFont="1" applyAlignment="1">
      <alignment horizontal="left"/>
    </xf>
    <xf numFmtId="164" fontId="18" fillId="0" borderId="0" xfId="0" applyNumberFormat="1" applyFont="1"/>
    <xf numFmtId="0" fontId="13" fillId="0" borderId="82" xfId="0" applyFont="1" applyBorder="1" applyAlignment="1">
      <alignment vertical="center"/>
    </xf>
    <xf numFmtId="0" fontId="16" fillId="0" borderId="82" xfId="0" applyFont="1" applyBorder="1" applyAlignment="1">
      <alignment vertical="center"/>
    </xf>
    <xf numFmtId="177" fontId="12" fillId="41" borderId="13" xfId="28" applyNumberFormat="1" applyFont="1" applyFill="1" applyBorder="1" applyAlignment="1" applyProtection="1">
      <alignment horizontal="center" vertical="center"/>
    </xf>
    <xf numFmtId="164" fontId="7" fillId="0" borderId="0" xfId="0" applyNumberFormat="1" applyFont="1"/>
    <xf numFmtId="164" fontId="12" fillId="31" borderId="0" xfId="0" applyNumberFormat="1" applyFont="1" applyFill="1" applyAlignment="1">
      <alignment vertical="center"/>
    </xf>
    <xf numFmtId="164" fontId="12" fillId="24" borderId="0" xfId="0" applyNumberFormat="1" applyFont="1" applyFill="1" applyAlignment="1">
      <alignment vertical="center"/>
    </xf>
    <xf numFmtId="164" fontId="12" fillId="0" borderId="0" xfId="0" quotePrefix="1" applyNumberFormat="1" applyFont="1" applyAlignment="1">
      <alignment horizontal="center" vertical="center"/>
    </xf>
    <xf numFmtId="164" fontId="12" fillId="0" borderId="10" xfId="0" quotePrefix="1" applyNumberFormat="1" applyFont="1" applyBorder="1" applyAlignment="1">
      <alignment horizontal="center" vertical="center"/>
    </xf>
    <xf numFmtId="164" fontId="12" fillId="0" borderId="28" xfId="0" quotePrefix="1" applyNumberFormat="1" applyFont="1" applyBorder="1" applyAlignment="1">
      <alignment horizontal="center" vertical="center"/>
    </xf>
    <xf numFmtId="164" fontId="15" fillId="49" borderId="0" xfId="0" applyNumberFormat="1" applyFont="1" applyFill="1" applyAlignment="1">
      <alignment horizontal="center" vertical="center"/>
    </xf>
    <xf numFmtId="164" fontId="39" fillId="49" borderId="0" xfId="0" applyNumberFormat="1" applyFont="1" applyFill="1" applyAlignment="1">
      <alignment horizontal="center" vertical="center"/>
    </xf>
    <xf numFmtId="176" fontId="125" fillId="53" borderId="17" xfId="0" applyNumberFormat="1" applyFont="1" applyFill="1" applyBorder="1" applyAlignment="1">
      <alignment horizontal="center" vertical="center"/>
    </xf>
    <xf numFmtId="167" fontId="12" fillId="41" borderId="13" xfId="0" applyNumberFormat="1" applyFont="1" applyFill="1" applyBorder="1" applyAlignment="1">
      <alignment horizontal="center" vertical="center"/>
    </xf>
    <xf numFmtId="176" fontId="12" fillId="0" borderId="82" xfId="0" applyNumberFormat="1" applyFont="1" applyBorder="1" applyAlignment="1">
      <alignment horizontal="center" vertical="center"/>
    </xf>
    <xf numFmtId="3" fontId="12" fillId="0" borderId="74" xfId="0" applyNumberFormat="1" applyFont="1" applyBorder="1" applyAlignment="1">
      <alignment horizontal="center" vertical="center"/>
    </xf>
    <xf numFmtId="0" fontId="12" fillId="0" borderId="86" xfId="0" applyFont="1" applyBorder="1" applyAlignment="1">
      <alignment vertical="center"/>
    </xf>
    <xf numFmtId="0" fontId="12" fillId="0" borderId="85" xfId="0" applyFont="1" applyBorder="1" applyAlignment="1">
      <alignment horizontal="center" vertical="center"/>
    </xf>
    <xf numFmtId="0" fontId="16" fillId="0" borderId="13" xfId="0" applyFont="1" applyBorder="1" applyAlignment="1">
      <alignment vertical="top" wrapText="1"/>
    </xf>
    <xf numFmtId="176" fontId="12" fillId="0" borderId="82" xfId="28" applyNumberFormat="1" applyFont="1" applyFill="1" applyBorder="1" applyAlignment="1" applyProtection="1">
      <alignment horizontal="center" vertical="center"/>
    </xf>
    <xf numFmtId="0" fontId="13" fillId="0" borderId="82" xfId="0" applyFont="1" applyBorder="1" applyAlignment="1">
      <alignment horizontal="left" vertical="center"/>
    </xf>
    <xf numFmtId="0" fontId="16" fillId="28" borderId="82" xfId="0" applyFont="1" applyFill="1" applyBorder="1" applyAlignment="1">
      <alignment vertical="center"/>
    </xf>
    <xf numFmtId="164" fontId="12" fillId="0" borderId="82" xfId="0" applyNumberFormat="1" applyFont="1" applyBorder="1" applyAlignment="1">
      <alignment horizontal="center" vertical="center"/>
    </xf>
    <xf numFmtId="173" fontId="12" fillId="0" borderId="82" xfId="0" applyNumberFormat="1" applyFont="1" applyBorder="1" applyAlignment="1">
      <alignment horizontal="center" vertical="center"/>
    </xf>
    <xf numFmtId="175" fontId="12" fillId="0" borderId="82" xfId="0" applyNumberFormat="1" applyFont="1" applyBorder="1" applyAlignment="1">
      <alignment horizontal="center" vertical="center"/>
    </xf>
    <xf numFmtId="0" fontId="12" fillId="24" borderId="82" xfId="0" applyFont="1" applyFill="1" applyBorder="1" applyAlignment="1">
      <alignment horizontal="center" vertical="center"/>
    </xf>
    <xf numFmtId="0" fontId="12" fillId="0" borderId="82" xfId="0" applyFont="1" applyBorder="1" applyAlignment="1">
      <alignment horizontal="left" vertical="center"/>
    </xf>
    <xf numFmtId="167" fontId="12" fillId="0" borderId="82" xfId="63" applyNumberFormat="1" applyFont="1" applyBorder="1" applyAlignment="1">
      <alignment horizontal="center" vertical="center"/>
    </xf>
    <xf numFmtId="0" fontId="16" fillId="0" borderId="28" xfId="0" applyFont="1" applyBorder="1" applyAlignment="1">
      <alignment vertical="center"/>
    </xf>
    <xf numFmtId="0" fontId="20" fillId="39" borderId="0" xfId="0" applyFont="1" applyFill="1" applyAlignment="1">
      <alignment horizontal="center"/>
    </xf>
    <xf numFmtId="0" fontId="20" fillId="46" borderId="0" xfId="0" applyFont="1" applyFill="1" applyAlignment="1">
      <alignment horizontal="center"/>
    </xf>
    <xf numFmtId="175" fontId="20" fillId="44" borderId="34" xfId="0" applyNumberFormat="1" applyFont="1" applyFill="1" applyBorder="1" applyAlignment="1">
      <alignment horizontal="center"/>
    </xf>
    <xf numFmtId="176" fontId="125" fillId="53" borderId="0" xfId="0" applyNumberFormat="1" applyFont="1" applyFill="1" applyAlignment="1">
      <alignment horizontal="center" vertical="center"/>
    </xf>
    <xf numFmtId="0" fontId="20" fillId="0" borderId="10" xfId="0" applyFont="1" applyBorder="1" applyAlignment="1">
      <alignment vertical="center"/>
    </xf>
    <xf numFmtId="164" fontId="15" fillId="0" borderId="10" xfId="0" applyNumberFormat="1" applyFont="1" applyBorder="1" applyAlignment="1">
      <alignment horizontal="center" vertical="center"/>
    </xf>
    <xf numFmtId="0" fontId="116" fillId="0" borderId="0" xfId="0" applyFont="1"/>
    <xf numFmtId="0" fontId="116" fillId="0" borderId="10" xfId="0" applyFont="1" applyBorder="1"/>
    <xf numFmtId="164" fontId="132" fillId="49" borderId="0" xfId="0" applyNumberFormat="1" applyFont="1" applyFill="1" applyAlignment="1">
      <alignment horizontal="center" vertical="center"/>
    </xf>
    <xf numFmtId="164" fontId="132" fillId="0" borderId="0" xfId="0" applyNumberFormat="1" applyFont="1" applyAlignment="1">
      <alignment horizontal="center" vertical="center"/>
    </xf>
    <xf numFmtId="164" fontId="132" fillId="0" borderId="10" xfId="0" applyNumberFormat="1" applyFont="1" applyBorder="1" applyAlignment="1">
      <alignment horizontal="center" vertical="center"/>
    </xf>
    <xf numFmtId="176" fontId="12" fillId="50" borderId="0" xfId="0" applyNumberFormat="1" applyFont="1" applyFill="1" applyAlignment="1">
      <alignment horizontal="center" vertical="center"/>
    </xf>
    <xf numFmtId="0" fontId="16" fillId="28" borderId="17" xfId="0" applyFont="1" applyFill="1" applyBorder="1" applyAlignment="1">
      <alignment vertical="center"/>
    </xf>
    <xf numFmtId="0" fontId="12" fillId="0" borderId="0" xfId="0" applyFont="1" applyAlignment="1">
      <alignment horizontal="left" vertical="center" indent="1"/>
    </xf>
    <xf numFmtId="0" fontId="12" fillId="0" borderId="0" xfId="0" applyFont="1" applyAlignment="1">
      <alignment horizontal="left" vertical="center" indent="2"/>
    </xf>
    <xf numFmtId="0" fontId="12" fillId="0" borderId="82" xfId="0" applyFont="1" applyBorder="1" applyAlignment="1">
      <alignment horizontal="left" vertical="center" indent="1"/>
    </xf>
    <xf numFmtId="0" fontId="12" fillId="0" borderId="82" xfId="0" applyFont="1" applyBorder="1" applyAlignment="1">
      <alignment vertical="center"/>
    </xf>
    <xf numFmtId="2" fontId="12" fillId="0" borderId="82" xfId="0" quotePrefix="1" applyNumberFormat="1" applyFont="1" applyBorder="1" applyAlignment="1">
      <alignment horizontal="center" vertical="center"/>
    </xf>
    <xf numFmtId="2" fontId="12" fillId="0" borderId="82" xfId="0" applyNumberFormat="1" applyFont="1" applyBorder="1" applyAlignment="1">
      <alignment horizontal="center" vertical="center"/>
    </xf>
    <xf numFmtId="0" fontId="18" fillId="25" borderId="39" xfId="64" applyFont="1" applyFill="1" applyBorder="1" applyAlignment="1">
      <alignment horizontal="left"/>
    </xf>
    <xf numFmtId="0" fontId="13" fillId="0" borderId="82" xfId="0" applyFont="1" applyBorder="1" applyAlignment="1">
      <alignment horizontal="left" vertical="top"/>
    </xf>
    <xf numFmtId="0" fontId="12" fillId="0" borderId="82" xfId="0" applyFont="1" applyBorder="1" applyAlignment="1">
      <alignment horizontal="center" vertical="top"/>
    </xf>
    <xf numFmtId="175" fontId="12" fillId="0" borderId="82" xfId="0" applyNumberFormat="1" applyFont="1" applyBorder="1" applyAlignment="1">
      <alignment horizontal="center" vertical="top"/>
    </xf>
    <xf numFmtId="175" fontId="12" fillId="0" borderId="0" xfId="0" applyNumberFormat="1" applyFont="1" applyAlignment="1">
      <alignment horizontal="center" vertical="top"/>
    </xf>
    <xf numFmtId="0" fontId="12" fillId="0" borderId="0" xfId="0" applyFont="1" applyAlignment="1">
      <alignment horizontal="left" vertical="center" wrapText="1"/>
    </xf>
    <xf numFmtId="176" fontId="57" fillId="0" borderId="10" xfId="62" applyNumberFormat="1" applyFont="1" applyBorder="1" applyAlignment="1">
      <alignment horizontal="center" wrapText="1"/>
    </xf>
    <xf numFmtId="1" fontId="57" fillId="0" borderId="10" xfId="62" applyNumberFormat="1" applyFont="1" applyBorder="1" applyAlignment="1">
      <alignment horizontal="center" wrapText="1"/>
    </xf>
    <xf numFmtId="0" fontId="57" fillId="0" borderId="10" xfId="62" applyFont="1" applyBorder="1" applyAlignment="1">
      <alignment horizontal="center" wrapText="1"/>
    </xf>
    <xf numFmtId="165" fontId="57" fillId="0" borderId="10" xfId="62" applyNumberFormat="1" applyFont="1" applyBorder="1" applyAlignment="1">
      <alignment horizontal="center" wrapText="1"/>
    </xf>
    <xf numFmtId="0" fontId="20" fillId="0" borderId="10" xfId="0" applyFont="1" applyBorder="1"/>
    <xf numFmtId="1" fontId="12" fillId="0" borderId="0" xfId="0" applyNumberFormat="1" applyFont="1" applyAlignment="1">
      <alignment horizontal="center"/>
    </xf>
    <xf numFmtId="1" fontId="12" fillId="0" borderId="10" xfId="0" applyNumberFormat="1" applyFont="1" applyBorder="1" applyAlignment="1">
      <alignment horizontal="center"/>
    </xf>
    <xf numFmtId="1" fontId="12" fillId="0" borderId="0" xfId="0" applyNumberFormat="1" applyFont="1" applyAlignment="1">
      <alignment horizontal="left"/>
    </xf>
    <xf numFmtId="1" fontId="12" fillId="0" borderId="10" xfId="0" applyNumberFormat="1" applyFont="1" applyBorder="1" applyAlignment="1">
      <alignment horizontal="left"/>
    </xf>
    <xf numFmtId="1" fontId="12" fillId="0" borderId="82" xfId="0" applyNumberFormat="1" applyFont="1" applyBorder="1" applyAlignment="1">
      <alignment horizontal="left"/>
    </xf>
    <xf numFmtId="2" fontId="115" fillId="0" borderId="17" xfId="0" applyNumberFormat="1" applyFont="1" applyBorder="1" applyAlignment="1">
      <alignment horizontal="left" vertical="center"/>
    </xf>
    <xf numFmtId="164" fontId="30" fillId="25" borderId="30" xfId="0" applyNumberFormat="1" applyFont="1" applyFill="1" applyBorder="1" applyAlignment="1" applyProtection="1">
      <alignment horizontal="center" vertical="center"/>
      <protection locked="0"/>
    </xf>
    <xf numFmtId="176" fontId="12" fillId="54" borderId="40" xfId="0" applyNumberFormat="1" applyFont="1" applyFill="1" applyBorder="1" applyAlignment="1">
      <alignment horizontal="center" vertical="center"/>
    </xf>
    <xf numFmtId="176" fontId="12" fillId="54" borderId="13" xfId="0" applyNumberFormat="1" applyFont="1" applyFill="1" applyBorder="1" applyAlignment="1">
      <alignment horizontal="center" vertical="center"/>
    </xf>
    <xf numFmtId="0" fontId="12" fillId="54" borderId="13" xfId="0" applyFont="1" applyFill="1" applyBorder="1" applyAlignment="1">
      <alignment vertical="center"/>
    </xf>
    <xf numFmtId="0" fontId="12" fillId="54" borderId="13" xfId="0" applyFont="1" applyFill="1" applyBorder="1" applyAlignment="1">
      <alignment horizontal="center" vertical="center"/>
    </xf>
    <xf numFmtId="0" fontId="12" fillId="54" borderId="51" xfId="0" applyFont="1" applyFill="1" applyBorder="1" applyAlignment="1">
      <alignment horizontal="center" vertical="center"/>
    </xf>
    <xf numFmtId="176" fontId="115" fillId="0" borderId="0" xfId="0" applyNumberFormat="1" applyFont="1" applyAlignment="1">
      <alignment horizontal="center" vertical="center"/>
    </xf>
    <xf numFmtId="0" fontId="12" fillId="0" borderId="10" xfId="0" applyFont="1" applyBorder="1" applyAlignment="1">
      <alignment horizontal="left" vertical="center" indent="1"/>
    </xf>
    <xf numFmtId="164" fontId="12" fillId="0" borderId="0" xfId="0" quotePrefix="1" applyNumberFormat="1" applyFont="1" applyAlignment="1">
      <alignment horizontal="left" vertical="center"/>
    </xf>
    <xf numFmtId="176" fontId="12" fillId="0" borderId="10" xfId="0" applyNumberFormat="1" applyFont="1" applyBorder="1" applyAlignment="1">
      <alignment horizontal="right" vertical="center"/>
    </xf>
    <xf numFmtId="176" fontId="125" fillId="0" borderId="82" xfId="0" applyNumberFormat="1" applyFont="1" applyBorder="1" applyAlignment="1">
      <alignment horizontal="center" vertical="center"/>
    </xf>
    <xf numFmtId="176" fontId="125" fillId="0" borderId="10" xfId="0" applyNumberFormat="1" applyFont="1" applyBorder="1" applyAlignment="1">
      <alignment horizontal="center" vertical="center"/>
    </xf>
    <xf numFmtId="176" fontId="125" fillId="0" borderId="10" xfId="28" applyNumberFormat="1" applyFont="1" applyFill="1" applyBorder="1" applyAlignment="1" applyProtection="1">
      <alignment horizontal="center" vertical="center"/>
    </xf>
    <xf numFmtId="0" fontId="12" fillId="33" borderId="13" xfId="0" applyFont="1" applyFill="1" applyBorder="1" applyAlignment="1">
      <alignment horizontal="center" vertical="center"/>
    </xf>
    <xf numFmtId="0" fontId="7" fillId="0" borderId="0" xfId="0" applyFont="1" applyAlignment="1">
      <alignment horizontal="center"/>
    </xf>
    <xf numFmtId="0" fontId="13" fillId="42" borderId="0" xfId="0" applyFont="1" applyFill="1" applyAlignment="1">
      <alignment horizontal="center" vertical="center"/>
    </xf>
    <xf numFmtId="0" fontId="12" fillId="42" borderId="17" xfId="0" applyFont="1" applyFill="1" applyBorder="1" applyAlignment="1">
      <alignment horizontal="center" vertical="center"/>
    </xf>
    <xf numFmtId="180" fontId="12" fillId="0" borderId="82" xfId="0" applyNumberFormat="1" applyFont="1" applyBorder="1" applyAlignment="1">
      <alignment horizontal="center" vertical="center"/>
    </xf>
    <xf numFmtId="1" fontId="12" fillId="0" borderId="82" xfId="0" quotePrefix="1" applyNumberFormat="1" applyFont="1" applyBorder="1" applyAlignment="1">
      <alignment horizontal="center" vertical="center"/>
    </xf>
    <xf numFmtId="176" fontId="12" fillId="0" borderId="24" xfId="0" applyNumberFormat="1" applyFont="1" applyBorder="1" applyAlignment="1">
      <alignment horizontal="center" vertical="center"/>
    </xf>
    <xf numFmtId="167" fontId="30" fillId="27" borderId="16" xfId="0" applyNumberFormat="1" applyFont="1" applyFill="1" applyBorder="1" applyAlignment="1">
      <alignment horizontal="center"/>
    </xf>
    <xf numFmtId="167" fontId="30" fillId="35" borderId="58" xfId="0" applyNumberFormat="1" applyFont="1" applyFill="1" applyBorder="1" applyAlignment="1">
      <alignment horizontal="center"/>
    </xf>
    <xf numFmtId="167" fontId="30" fillId="44" borderId="58" xfId="0" applyNumberFormat="1" applyFont="1" applyFill="1" applyBorder="1" applyAlignment="1">
      <alignment horizontal="center"/>
    </xf>
    <xf numFmtId="175" fontId="12" fillId="49" borderId="20" xfId="0" applyNumberFormat="1" applyFont="1" applyFill="1" applyBorder="1" applyAlignment="1">
      <alignment horizontal="right" vertical="center"/>
    </xf>
    <xf numFmtId="0" fontId="18" fillId="0" borderId="87" xfId="0" applyFont="1" applyBorder="1" applyAlignment="1">
      <alignment horizontal="center" vertical="center"/>
    </xf>
    <xf numFmtId="0" fontId="18" fillId="0" borderId="10" xfId="0" applyFont="1" applyBorder="1" applyAlignment="1">
      <alignment horizontal="center" vertical="center"/>
    </xf>
    <xf numFmtId="0" fontId="18" fillId="0" borderId="10" xfId="0" applyFont="1" applyBorder="1" applyAlignment="1">
      <alignment horizontal="left" vertical="center" wrapText="1"/>
    </xf>
    <xf numFmtId="14" fontId="18" fillId="0" borderId="10" xfId="0" applyNumberFormat="1" applyFont="1" applyBorder="1" applyAlignment="1">
      <alignment horizontal="center" vertical="center"/>
    </xf>
    <xf numFmtId="0" fontId="18" fillId="0" borderId="88" xfId="0" applyFont="1" applyBorder="1" applyAlignment="1">
      <alignment horizontal="center" vertical="center"/>
    </xf>
    <xf numFmtId="0" fontId="18" fillId="0" borderId="10" xfId="0" quotePrefix="1" applyFont="1" applyBorder="1" applyAlignment="1">
      <alignment horizontal="center" vertical="center"/>
    </xf>
    <xf numFmtId="0" fontId="18" fillId="0" borderId="10" xfId="0" quotePrefix="1" applyFont="1" applyBorder="1" applyAlignment="1">
      <alignment horizontal="center"/>
    </xf>
    <xf numFmtId="0" fontId="18" fillId="0" borderId="10" xfId="0" applyFont="1" applyBorder="1" applyAlignment="1">
      <alignment vertical="center"/>
    </xf>
    <xf numFmtId="164" fontId="13" fillId="0" borderId="82" xfId="0" applyNumberFormat="1" applyFont="1" applyBorder="1" applyAlignment="1">
      <alignment horizontal="center" vertical="center"/>
    </xf>
    <xf numFmtId="175" fontId="12" fillId="0" borderId="0" xfId="0" applyNumberFormat="1" applyFont="1" applyAlignment="1">
      <alignment horizontal="left" vertical="center"/>
    </xf>
    <xf numFmtId="176" fontId="134" fillId="0" borderId="0" xfId="0" applyNumberFormat="1" applyFont="1" applyAlignment="1">
      <alignment horizontal="center" vertical="center"/>
    </xf>
    <xf numFmtId="0" fontId="16" fillId="28" borderId="0" xfId="0" applyFont="1" applyFill="1" applyAlignment="1">
      <alignment horizontal="left" vertical="center" indent="1"/>
    </xf>
    <xf numFmtId="0" fontId="16" fillId="28" borderId="82" xfId="0" applyFont="1" applyFill="1" applyBorder="1" applyAlignment="1">
      <alignment horizontal="left" vertical="center" indent="1"/>
    </xf>
    <xf numFmtId="176" fontId="13" fillId="49" borderId="34" xfId="0" applyNumberFormat="1" applyFont="1" applyFill="1" applyBorder="1" applyAlignment="1">
      <alignment horizontal="center" vertical="center"/>
    </xf>
    <xf numFmtId="176" fontId="12" fillId="49" borderId="82" xfId="0" applyNumberFormat="1" applyFont="1" applyFill="1" applyBorder="1" applyAlignment="1">
      <alignment horizontal="center" vertical="center"/>
    </xf>
    <xf numFmtId="176" fontId="12" fillId="50" borderId="17" xfId="0" applyNumberFormat="1" applyFont="1" applyFill="1" applyBorder="1" applyAlignment="1">
      <alignment horizontal="center" vertical="center"/>
    </xf>
    <xf numFmtId="176" fontId="12" fillId="0" borderId="0" xfId="0" applyNumberFormat="1" applyFont="1" applyAlignment="1">
      <alignment vertical="center"/>
    </xf>
    <xf numFmtId="164" fontId="12" fillId="0" borderId="22" xfId="0" quotePrefix="1" applyNumberFormat="1" applyFont="1" applyBorder="1" applyAlignment="1">
      <alignment horizontal="center" vertical="center"/>
    </xf>
    <xf numFmtId="176" fontId="125" fillId="0" borderId="0" xfId="28" applyNumberFormat="1" applyFont="1" applyFill="1" applyBorder="1" applyAlignment="1" applyProtection="1">
      <alignment horizontal="center" vertical="center"/>
    </xf>
    <xf numFmtId="0" fontId="16" fillId="28" borderId="28" xfId="0" applyFont="1" applyFill="1" applyBorder="1" applyAlignment="1">
      <alignment vertical="center"/>
    </xf>
    <xf numFmtId="0" fontId="13" fillId="24" borderId="28" xfId="0" applyFont="1" applyFill="1" applyBorder="1" applyAlignment="1">
      <alignment horizontal="center" vertical="center"/>
    </xf>
    <xf numFmtId="0" fontId="13" fillId="0" borderId="28" xfId="0" applyFont="1" applyBorder="1" applyAlignment="1">
      <alignment horizontal="center" vertical="center"/>
    </xf>
    <xf numFmtId="164" fontId="13" fillId="0" borderId="28" xfId="0" applyNumberFormat="1" applyFont="1" applyBorder="1" applyAlignment="1">
      <alignment horizontal="center" vertical="center"/>
    </xf>
    <xf numFmtId="173" fontId="12" fillId="0" borderId="28" xfId="0" applyNumberFormat="1" applyFont="1" applyBorder="1" applyAlignment="1">
      <alignment horizontal="center" vertical="center"/>
    </xf>
    <xf numFmtId="175" fontId="125" fillId="0" borderId="0" xfId="0" applyNumberFormat="1" applyFont="1" applyAlignment="1">
      <alignment horizontal="center" vertical="center"/>
    </xf>
    <xf numFmtId="0" fontId="13" fillId="0" borderId="61" xfId="0" applyFont="1" applyBorder="1" applyAlignment="1">
      <alignment horizontal="left" vertical="center"/>
    </xf>
    <xf numFmtId="0" fontId="16" fillId="0" borderId="61" xfId="0" applyFont="1" applyBorder="1" applyAlignment="1">
      <alignment vertical="center"/>
    </xf>
    <xf numFmtId="0" fontId="13" fillId="0" borderId="61" xfId="0" applyFont="1" applyBorder="1" applyAlignment="1">
      <alignment vertical="center"/>
    </xf>
    <xf numFmtId="0" fontId="13" fillId="24" borderId="61" xfId="0" applyFont="1" applyFill="1" applyBorder="1" applyAlignment="1">
      <alignment horizontal="center" vertical="center"/>
    </xf>
    <xf numFmtId="164" fontId="12" fillId="0" borderId="61" xfId="0" applyNumberFormat="1" applyFont="1" applyBorder="1" applyAlignment="1">
      <alignment horizontal="center" vertical="center"/>
    </xf>
    <xf numFmtId="164" fontId="13" fillId="0" borderId="61" xfId="0" applyNumberFormat="1" applyFont="1" applyBorder="1" applyAlignment="1">
      <alignment horizontal="center" vertical="center"/>
    </xf>
    <xf numFmtId="0" fontId="12" fillId="0" borderId="61" xfId="0" quotePrefix="1" applyFont="1" applyBorder="1" applyAlignment="1">
      <alignment horizontal="center" vertical="center"/>
    </xf>
    <xf numFmtId="175" fontId="12" fillId="0" borderId="61" xfId="0" applyNumberFormat="1" applyFont="1" applyBorder="1" applyAlignment="1">
      <alignment horizontal="center" vertical="center"/>
    </xf>
    <xf numFmtId="175" fontId="125" fillId="0" borderId="0" xfId="28" applyNumberFormat="1" applyFont="1" applyFill="1" applyBorder="1" applyAlignment="1" applyProtection="1">
      <alignment horizontal="center" vertical="center"/>
    </xf>
    <xf numFmtId="176" fontId="12" fillId="0" borderId="28" xfId="0" applyNumberFormat="1" applyFont="1" applyBorder="1" applyAlignment="1">
      <alignment horizontal="center" vertical="center"/>
    </xf>
    <xf numFmtId="175" fontId="135" fillId="46" borderId="30" xfId="0" applyNumberFormat="1" applyFont="1" applyFill="1" applyBorder="1" applyAlignment="1">
      <alignment horizontal="center"/>
    </xf>
    <xf numFmtId="176" fontId="12" fillId="0" borderId="0" xfId="73" applyNumberFormat="1" applyFont="1" applyFill="1" applyBorder="1" applyAlignment="1" applyProtection="1">
      <alignment horizontal="center" vertical="center"/>
    </xf>
    <xf numFmtId="0" fontId="12" fillId="0" borderId="0" xfId="139" quotePrefix="1" applyFont="1" applyAlignment="1">
      <alignment horizontal="center" vertical="center"/>
    </xf>
    <xf numFmtId="0" fontId="12" fillId="0" borderId="0" xfId="139" applyFont="1" applyAlignment="1">
      <alignment horizontal="center" vertical="center"/>
    </xf>
    <xf numFmtId="1" fontId="12" fillId="0" borderId="0" xfId="139" applyNumberFormat="1" applyFont="1" applyAlignment="1">
      <alignment horizontal="center" vertical="center"/>
    </xf>
    <xf numFmtId="0" fontId="13" fillId="0" borderId="0" xfId="139" applyFont="1" applyAlignment="1">
      <alignment vertical="center"/>
    </xf>
    <xf numFmtId="2" fontId="12" fillId="0" borderId="17" xfId="139" applyNumberFormat="1" applyFont="1" applyBorder="1" applyAlignment="1">
      <alignment horizontal="center" vertical="center"/>
    </xf>
    <xf numFmtId="1" fontId="12" fillId="0" borderId="17" xfId="139" applyNumberFormat="1" applyFont="1" applyBorder="1" applyAlignment="1">
      <alignment horizontal="center" vertical="center"/>
    </xf>
    <xf numFmtId="164" fontId="12" fillId="0" borderId="17" xfId="139" applyNumberFormat="1" applyFont="1" applyBorder="1" applyAlignment="1">
      <alignment horizontal="center" vertical="center"/>
    </xf>
    <xf numFmtId="0" fontId="13" fillId="0" borderId="17" xfId="139" applyFont="1" applyBorder="1" applyAlignment="1">
      <alignment vertical="center"/>
    </xf>
    <xf numFmtId="2" fontId="12" fillId="0" borderId="0" xfId="141" applyNumberFormat="1" applyFont="1" applyAlignment="1">
      <alignment horizontal="center" vertical="center"/>
    </xf>
    <xf numFmtId="1" fontId="12" fillId="0" borderId="0" xfId="141" applyNumberFormat="1" applyFont="1" applyAlignment="1">
      <alignment horizontal="center" vertical="center"/>
    </xf>
    <xf numFmtId="0" fontId="12" fillId="0" borderId="82" xfId="141" quotePrefix="1" applyFont="1" applyBorder="1" applyAlignment="1">
      <alignment horizontal="center" vertical="center"/>
    </xf>
    <xf numFmtId="0" fontId="12" fillId="0" borderId="82" xfId="141" applyFont="1" applyBorder="1" applyAlignment="1">
      <alignment horizontal="center" vertical="center"/>
    </xf>
    <xf numFmtId="0" fontId="13" fillId="0" borderId="0" xfId="141" applyFont="1" applyAlignment="1">
      <alignment vertical="center"/>
    </xf>
    <xf numFmtId="0" fontId="12" fillId="0" borderId="0" xfId="141" quotePrefix="1" applyFont="1" applyAlignment="1">
      <alignment horizontal="center" vertical="center"/>
    </xf>
    <xf numFmtId="0" fontId="12" fillId="0" borderId="0" xfId="141" applyFont="1" applyAlignment="1">
      <alignment horizontal="center" vertical="center"/>
    </xf>
    <xf numFmtId="175" fontId="13" fillId="0" borderId="82" xfId="142" applyNumberFormat="1" applyFont="1" applyBorder="1" applyAlignment="1">
      <alignment horizontal="center"/>
    </xf>
    <xf numFmtId="176" fontId="13" fillId="0" borderId="82" xfId="142" applyNumberFormat="1" applyFont="1" applyBorder="1" applyAlignment="1">
      <alignment horizontal="center"/>
    </xf>
    <xf numFmtId="164" fontId="13" fillId="0" borderId="82" xfId="142" applyNumberFormat="1" applyFont="1" applyBorder="1" applyAlignment="1">
      <alignment horizontal="center"/>
    </xf>
    <xf numFmtId="0" fontId="13" fillId="0" borderId="82" xfId="142" applyFont="1" applyBorder="1" applyAlignment="1">
      <alignment horizontal="center"/>
    </xf>
    <xf numFmtId="0" fontId="0" fillId="0" borderId="82" xfId="0" applyBorder="1"/>
    <xf numFmtId="176" fontId="13" fillId="0" borderId="0" xfId="142" applyNumberFormat="1" applyFont="1" applyAlignment="1">
      <alignment horizontal="center"/>
    </xf>
    <xf numFmtId="0" fontId="12" fillId="0" borderId="0" xfId="142" applyFont="1" applyAlignment="1">
      <alignment horizontal="center" vertical="center"/>
    </xf>
    <xf numFmtId="0" fontId="12" fillId="0" borderId="0" xfId="140" applyFont="1" applyAlignment="1">
      <alignment horizontal="center"/>
    </xf>
    <xf numFmtId="0" fontId="12" fillId="0" borderId="0" xfId="140" quotePrefix="1" applyFont="1" applyAlignment="1">
      <alignment horizontal="center" vertical="center"/>
    </xf>
    <xf numFmtId="0" fontId="12" fillId="0" borderId="0" xfId="140" applyFont="1" applyAlignment="1">
      <alignment horizontal="center" vertical="center"/>
    </xf>
    <xf numFmtId="0" fontId="13" fillId="0" borderId="0" xfId="140" applyFont="1" applyAlignment="1">
      <alignment horizontal="center"/>
    </xf>
    <xf numFmtId="175" fontId="12" fillId="0" borderId="0" xfId="142" applyNumberFormat="1" applyFont="1" applyAlignment="1">
      <alignment horizontal="center" vertical="center"/>
    </xf>
    <xf numFmtId="0" fontId="13" fillId="0" borderId="0" xfId="143" applyFont="1" applyAlignment="1">
      <alignment vertical="center"/>
    </xf>
    <xf numFmtId="0" fontId="14" fillId="0" borderId="0" xfId="143" applyFont="1" applyAlignment="1">
      <alignment horizontal="left" vertical="center"/>
    </xf>
    <xf numFmtId="0" fontId="12" fillId="0" borderId="0" xfId="143" applyFont="1" applyAlignment="1">
      <alignment horizontal="center" vertical="center"/>
    </xf>
    <xf numFmtId="0" fontId="13" fillId="0" borderId="0" xfId="144" applyFont="1" applyAlignment="1">
      <alignment vertical="center"/>
    </xf>
    <xf numFmtId="0" fontId="13" fillId="0" borderId="0" xfId="144" applyFont="1" applyAlignment="1">
      <alignment horizontal="left" vertical="top"/>
    </xf>
    <xf numFmtId="0" fontId="12" fillId="0" borderId="0" xfId="140" applyFont="1" applyAlignment="1">
      <alignment horizontal="left"/>
    </xf>
    <xf numFmtId="0" fontId="13" fillId="39" borderId="82" xfId="0" applyFont="1" applyFill="1" applyBorder="1" applyAlignment="1">
      <alignment horizontal="center" vertical="center"/>
    </xf>
    <xf numFmtId="0" fontId="12" fillId="39" borderId="82" xfId="0" quotePrefix="1" applyFont="1" applyFill="1" applyBorder="1" applyAlignment="1">
      <alignment horizontal="center" vertical="center"/>
    </xf>
    <xf numFmtId="0" fontId="12" fillId="39" borderId="82" xfId="0" applyFont="1" applyFill="1" applyBorder="1" applyAlignment="1">
      <alignment horizontal="center" vertical="center"/>
    </xf>
    <xf numFmtId="0" fontId="13" fillId="39" borderId="82" xfId="0" applyFont="1" applyFill="1" applyBorder="1" applyAlignment="1">
      <alignment horizontal="center"/>
    </xf>
    <xf numFmtId="164" fontId="13" fillId="39" borderId="82" xfId="0" applyNumberFormat="1" applyFont="1" applyFill="1" applyBorder="1" applyAlignment="1">
      <alignment horizontal="center"/>
    </xf>
    <xf numFmtId="176" fontId="13" fillId="39" borderId="82" xfId="0" applyNumberFormat="1" applyFont="1" applyFill="1" applyBorder="1" applyAlignment="1">
      <alignment horizontal="center"/>
    </xf>
    <xf numFmtId="175" fontId="13" fillId="39" borderId="82" xfId="0" applyNumberFormat="1" applyFont="1" applyFill="1" applyBorder="1" applyAlignment="1">
      <alignment horizontal="center"/>
    </xf>
    <xf numFmtId="0" fontId="12" fillId="0" borderId="0" xfId="143" quotePrefix="1" applyFont="1" applyAlignment="1">
      <alignment horizontal="center" vertical="center"/>
    </xf>
    <xf numFmtId="0" fontId="12" fillId="0" borderId="0" xfId="144" quotePrefix="1" applyFont="1" applyAlignment="1">
      <alignment horizontal="center" vertical="top"/>
    </xf>
    <xf numFmtId="0" fontId="12" fillId="0" borderId="0" xfId="144" applyFont="1" applyAlignment="1">
      <alignment horizontal="center" vertical="top"/>
    </xf>
    <xf numFmtId="0" fontId="13" fillId="0" borderId="0" xfId="140" applyFont="1"/>
    <xf numFmtId="0" fontId="13" fillId="0" borderId="82" xfId="140" applyFont="1" applyBorder="1" applyAlignment="1">
      <alignment horizontal="center"/>
    </xf>
    <xf numFmtId="0" fontId="12" fillId="0" borderId="82" xfId="140" applyFont="1" applyBorder="1" applyAlignment="1">
      <alignment horizontal="left"/>
    </xf>
    <xf numFmtId="0" fontId="12" fillId="0" borderId="82" xfId="140" applyFont="1" applyBorder="1" applyAlignment="1">
      <alignment horizontal="center"/>
    </xf>
    <xf numFmtId="0" fontId="13" fillId="0" borderId="17" xfId="143" applyFont="1" applyBorder="1" applyAlignment="1">
      <alignment vertical="center"/>
    </xf>
    <xf numFmtId="0" fontId="12" fillId="0" borderId="17" xfId="143" applyFont="1" applyBorder="1" applyAlignment="1">
      <alignment horizontal="center" vertical="center"/>
    </xf>
    <xf numFmtId="0" fontId="18" fillId="0" borderId="82" xfId="0" applyFont="1" applyBorder="1"/>
    <xf numFmtId="0" fontId="116" fillId="0" borderId="0" xfId="0" quotePrefix="1" applyFont="1" applyAlignment="1">
      <alignment horizontal="center"/>
    </xf>
    <xf numFmtId="0" fontId="116" fillId="0" borderId="82" xfId="0" applyFont="1" applyBorder="1" applyAlignment="1">
      <alignment horizontal="center"/>
    </xf>
    <xf numFmtId="0" fontId="116" fillId="0" borderId="0" xfId="0" applyFont="1" applyAlignment="1">
      <alignment horizontal="center"/>
    </xf>
    <xf numFmtId="0" fontId="12" fillId="0" borderId="82" xfId="0" applyFont="1" applyBorder="1"/>
    <xf numFmtId="0" fontId="116" fillId="0" borderId="0" xfId="141" applyFont="1"/>
    <xf numFmtId="0" fontId="116" fillId="0" borderId="82" xfId="0" applyFont="1" applyBorder="1"/>
    <xf numFmtId="0" fontId="116" fillId="0" borderId="17" xfId="0" applyFont="1" applyBorder="1"/>
    <xf numFmtId="0" fontId="136" fillId="0" borderId="0" xfId="0" applyFont="1"/>
    <xf numFmtId="0" fontId="136" fillId="0" borderId="82" xfId="0" applyFont="1" applyBorder="1"/>
    <xf numFmtId="0" fontId="12" fillId="0" borderId="17" xfId="143" applyFont="1" applyBorder="1" applyAlignment="1">
      <alignment vertical="center"/>
    </xf>
    <xf numFmtId="0" fontId="12" fillId="0" borderId="0" xfId="143" applyFont="1" applyAlignment="1">
      <alignment horizontal="left" vertical="center"/>
    </xf>
    <xf numFmtId="176" fontId="12" fillId="0" borderId="0" xfId="143" applyNumberFormat="1" applyFont="1" applyAlignment="1">
      <alignment horizontal="center" vertical="center"/>
    </xf>
    <xf numFmtId="164" fontId="12" fillId="0" borderId="0" xfId="143" applyNumberFormat="1" applyFont="1" applyAlignment="1">
      <alignment horizontal="center" vertical="center"/>
    </xf>
    <xf numFmtId="49" fontId="12" fillId="0" borderId="0" xfId="143" applyNumberFormat="1" applyFont="1" applyAlignment="1">
      <alignment horizontal="center" vertical="center"/>
    </xf>
    <xf numFmtId="176" fontId="12" fillId="0" borderId="0" xfId="144" applyNumberFormat="1" applyFont="1" applyAlignment="1">
      <alignment horizontal="center" vertical="center"/>
    </xf>
    <xf numFmtId="1" fontId="12" fillId="0" borderId="0" xfId="144" applyNumberFormat="1" applyFont="1" applyAlignment="1">
      <alignment horizontal="center" vertical="top"/>
    </xf>
    <xf numFmtId="0" fontId="12" fillId="0" borderId="82" xfId="143" applyFont="1" applyBorder="1" applyAlignment="1">
      <alignment horizontal="left" vertical="center"/>
    </xf>
    <xf numFmtId="0" fontId="13" fillId="0" borderId="82" xfId="143" applyFont="1" applyBorder="1" applyAlignment="1">
      <alignment horizontal="left" vertical="center"/>
    </xf>
    <xf numFmtId="0" fontId="13" fillId="0" borderId="82" xfId="143" applyFont="1" applyBorder="1" applyAlignment="1">
      <alignment vertical="center"/>
    </xf>
    <xf numFmtId="0" fontId="12" fillId="0" borderId="82" xfId="143" quotePrefix="1" applyFont="1" applyBorder="1" applyAlignment="1">
      <alignment horizontal="center" vertical="center"/>
    </xf>
    <xf numFmtId="0" fontId="12" fillId="0" borderId="82" xfId="143" applyFont="1" applyBorder="1" applyAlignment="1">
      <alignment horizontal="center" vertical="center"/>
    </xf>
    <xf numFmtId="49" fontId="12" fillId="0" borderId="82" xfId="143" applyNumberFormat="1" applyFont="1" applyBorder="1" applyAlignment="1">
      <alignment horizontal="center" vertical="center"/>
    </xf>
    <xf numFmtId="164" fontId="12" fillId="0" borderId="82" xfId="143" applyNumberFormat="1" applyFont="1" applyBorder="1" applyAlignment="1">
      <alignment horizontal="center" vertical="center"/>
    </xf>
    <xf numFmtId="176" fontId="12" fillId="0" borderId="82" xfId="143" applyNumberFormat="1" applyFont="1" applyBorder="1" applyAlignment="1">
      <alignment horizontal="center" vertical="center"/>
    </xf>
    <xf numFmtId="0" fontId="36" fillId="39" borderId="82" xfId="0" applyFont="1" applyFill="1" applyBorder="1"/>
    <xf numFmtId="0" fontId="137" fillId="0" borderId="0" xfId="0" applyFont="1" applyAlignment="1">
      <alignment horizontal="center"/>
    </xf>
    <xf numFmtId="164" fontId="137" fillId="0" borderId="0" xfId="0" applyNumberFormat="1" applyFont="1" applyAlignment="1">
      <alignment horizontal="center"/>
    </xf>
    <xf numFmtId="0" fontId="137" fillId="0" borderId="0" xfId="0" quotePrefix="1" applyFont="1" applyAlignment="1">
      <alignment horizontal="center"/>
    </xf>
    <xf numFmtId="0" fontId="137" fillId="0" borderId="0" xfId="0" applyFont="1" applyAlignment="1">
      <alignment horizontal="left"/>
    </xf>
    <xf numFmtId="167" fontId="137" fillId="0" borderId="0" xfId="0" applyNumberFormat="1" applyFont="1" applyAlignment="1">
      <alignment horizontal="center"/>
    </xf>
    <xf numFmtId="0" fontId="18" fillId="0" borderId="86" xfId="0" applyFont="1" applyBorder="1" applyAlignment="1">
      <alignment horizontal="center" vertical="center"/>
    </xf>
    <xf numFmtId="0" fontId="18" fillId="0" borderId="82" xfId="0" applyFont="1" applyBorder="1" applyAlignment="1">
      <alignment horizontal="center" vertical="center"/>
    </xf>
    <xf numFmtId="0" fontId="18" fillId="0" borderId="82" xfId="0" applyFont="1" applyBorder="1" applyAlignment="1">
      <alignment horizontal="left" vertical="center" wrapText="1"/>
    </xf>
    <xf numFmtId="14" fontId="18" fillId="0" borderId="82" xfId="0" applyNumberFormat="1" applyFont="1" applyBorder="1" applyAlignment="1">
      <alignment horizontal="center" vertical="center"/>
    </xf>
    <xf numFmtId="0" fontId="18" fillId="0" borderId="85" xfId="0" applyFont="1" applyBorder="1" applyAlignment="1">
      <alignment horizontal="center" vertical="center"/>
    </xf>
    <xf numFmtId="49" fontId="13" fillId="0" borderId="0" xfId="0" quotePrefix="1" applyNumberFormat="1" applyFont="1" applyAlignment="1">
      <alignment horizontal="left" vertical="center"/>
    </xf>
    <xf numFmtId="0" fontId="18" fillId="0" borderId="22" xfId="0" applyFont="1" applyBorder="1" applyAlignment="1">
      <alignment vertical="center"/>
    </xf>
    <xf numFmtId="0" fontId="18" fillId="0" borderId="22" xfId="0" applyFont="1" applyBorder="1" applyAlignment="1">
      <alignment horizontal="left" vertical="center" wrapText="1"/>
    </xf>
    <xf numFmtId="14" fontId="18" fillId="0" borderId="22" xfId="0" applyNumberFormat="1" applyFont="1" applyBorder="1" applyAlignment="1">
      <alignment horizontal="center" vertical="center"/>
    </xf>
    <xf numFmtId="0" fontId="18" fillId="0" borderId="22" xfId="0" applyFont="1" applyBorder="1" applyAlignment="1">
      <alignment horizontal="center" vertical="center"/>
    </xf>
    <xf numFmtId="0" fontId="18" fillId="0" borderId="50" xfId="0" applyFont="1" applyBorder="1" applyAlignment="1">
      <alignment horizontal="center" vertical="center"/>
    </xf>
    <xf numFmtId="0" fontId="18" fillId="0" borderId="89" xfId="0" applyFont="1" applyBorder="1" applyAlignment="1">
      <alignment horizontal="center" vertical="center"/>
    </xf>
    <xf numFmtId="14" fontId="18" fillId="0" borderId="10" xfId="0" applyNumberFormat="1" applyFont="1" applyBorder="1" applyAlignment="1">
      <alignment vertical="center"/>
    </xf>
    <xf numFmtId="0" fontId="18" fillId="0" borderId="87" xfId="0" applyFont="1" applyBorder="1" applyAlignment="1">
      <alignment vertical="center"/>
    </xf>
    <xf numFmtId="0" fontId="18" fillId="0" borderId="22" xfId="0" quotePrefix="1"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left" vertical="center" wrapText="1"/>
    </xf>
    <xf numFmtId="177" fontId="12" fillId="0" borderId="0" xfId="0" applyNumberFormat="1" applyFont="1" applyAlignment="1">
      <alignment horizontal="center" vertical="center"/>
    </xf>
    <xf numFmtId="0" fontId="13" fillId="0" borderId="32" xfId="0" applyFont="1" applyBorder="1" applyAlignment="1">
      <alignment vertical="center"/>
    </xf>
    <xf numFmtId="0" fontId="13" fillId="0" borderId="34" xfId="0" applyFont="1" applyBorder="1" applyAlignment="1">
      <alignment vertical="center"/>
    </xf>
    <xf numFmtId="0" fontId="139" fillId="0" borderId="26" xfId="0" applyFont="1" applyBorder="1" applyAlignment="1">
      <alignment horizontal="center" vertical="center"/>
    </xf>
    <xf numFmtId="0" fontId="139" fillId="0" borderId="0" xfId="0" applyFont="1" applyAlignment="1">
      <alignment horizontal="center" vertical="center"/>
    </xf>
    <xf numFmtId="0" fontId="139" fillId="0" borderId="0" xfId="0" applyFont="1" applyAlignment="1">
      <alignment horizontal="left" vertical="center" wrapText="1"/>
    </xf>
    <xf numFmtId="14" fontId="139" fillId="0" borderId="0" xfId="0" applyNumberFormat="1" applyFont="1" applyAlignment="1">
      <alignment horizontal="center" vertical="center"/>
    </xf>
    <xf numFmtId="0" fontId="139" fillId="0" borderId="11" xfId="0" applyFont="1" applyBorder="1" applyAlignment="1">
      <alignment horizontal="center" vertical="center"/>
    </xf>
    <xf numFmtId="0" fontId="12" fillId="0" borderId="82" xfId="0" applyFont="1" applyBorder="1" applyAlignment="1">
      <alignment horizontal="right" vertical="center"/>
    </xf>
    <xf numFmtId="0" fontId="13" fillId="28" borderId="82" xfId="0" applyFont="1" applyFill="1" applyBorder="1" applyAlignment="1">
      <alignment vertical="top"/>
    </xf>
    <xf numFmtId="1" fontId="12" fillId="0" borderId="82" xfId="0" applyNumberFormat="1" applyFont="1" applyBorder="1" applyAlignment="1">
      <alignment horizontal="center" vertical="center"/>
    </xf>
    <xf numFmtId="175" fontId="12" fillId="0" borderId="82" xfId="28" applyNumberFormat="1" applyFont="1" applyFill="1" applyBorder="1" applyAlignment="1" applyProtection="1">
      <alignment horizontal="center" vertical="center"/>
    </xf>
    <xf numFmtId="0" fontId="13" fillId="0" borderId="21" xfId="0" applyFont="1" applyBorder="1" applyAlignment="1">
      <alignment vertical="top"/>
    </xf>
    <xf numFmtId="176" fontId="12" fillId="0" borderId="21" xfId="28" applyNumberFormat="1" applyFont="1" applyFill="1" applyBorder="1" applyAlignment="1" applyProtection="1">
      <alignment horizontal="center" vertical="center"/>
    </xf>
    <xf numFmtId="175" fontId="12" fillId="0" borderId="21" xfId="28" applyNumberFormat="1" applyFont="1" applyFill="1" applyBorder="1" applyAlignment="1" applyProtection="1">
      <alignment horizontal="center" vertical="center"/>
    </xf>
    <xf numFmtId="0" fontId="12" fillId="0" borderId="21" xfId="0" applyFont="1" applyBorder="1" applyAlignment="1">
      <alignment vertical="center"/>
    </xf>
    <xf numFmtId="0" fontId="13" fillId="28" borderId="21" xfId="0" applyFont="1" applyFill="1" applyBorder="1" applyAlignment="1">
      <alignment vertical="top"/>
    </xf>
    <xf numFmtId="0" fontId="51" fillId="0" borderId="82" xfId="0" applyFont="1" applyBorder="1" applyAlignment="1">
      <alignment horizontal="center" vertical="center"/>
    </xf>
    <xf numFmtId="0" fontId="51" fillId="0" borderId="0" xfId="0" applyFont="1" applyAlignment="1">
      <alignment horizontal="center" vertical="top"/>
    </xf>
    <xf numFmtId="0" fontId="12" fillId="0" borderId="10" xfId="0" applyFont="1" applyBorder="1" applyAlignment="1">
      <alignment horizontal="left" vertical="center" wrapText="1"/>
    </xf>
    <xf numFmtId="164" fontId="30" fillId="27" borderId="58" xfId="0" applyNumberFormat="1" applyFont="1" applyFill="1" applyBorder="1" applyAlignment="1">
      <alignment horizontal="center"/>
    </xf>
    <xf numFmtId="164" fontId="30" fillId="27" borderId="16" xfId="0" applyNumberFormat="1" applyFont="1" applyFill="1" applyBorder="1" applyAlignment="1">
      <alignment horizontal="center"/>
    </xf>
    <xf numFmtId="164" fontId="30" fillId="36" borderId="16" xfId="0" applyNumberFormat="1" applyFont="1" applyFill="1" applyBorder="1" applyAlignment="1">
      <alignment horizontal="center"/>
    </xf>
    <xf numFmtId="164" fontId="30" fillId="35" borderId="16" xfId="0" applyNumberFormat="1" applyFont="1" applyFill="1" applyBorder="1" applyAlignment="1">
      <alignment horizontal="center"/>
    </xf>
    <xf numFmtId="164" fontId="30" fillId="44" borderId="16" xfId="0" applyNumberFormat="1" applyFont="1" applyFill="1" applyBorder="1" applyAlignment="1">
      <alignment horizontal="center"/>
    </xf>
    <xf numFmtId="0" fontId="20" fillId="0" borderId="86" xfId="0" applyFont="1" applyBorder="1" applyAlignment="1">
      <alignment horizontal="left" vertical="center"/>
    </xf>
    <xf numFmtId="0" fontId="18" fillId="0" borderId="82" xfId="0" quotePrefix="1" applyFont="1" applyBorder="1" applyAlignment="1">
      <alignment horizontal="center" vertical="center"/>
    </xf>
    <xf numFmtId="176" fontId="18" fillId="0" borderId="0" xfId="0" applyNumberFormat="1" applyFont="1"/>
    <xf numFmtId="0" fontId="18" fillId="29" borderId="0" xfId="0" applyFont="1" applyFill="1" applyAlignment="1">
      <alignment horizontal="left" vertical="center"/>
    </xf>
    <xf numFmtId="0" fontId="47" fillId="27" borderId="86" xfId="0" applyFont="1" applyFill="1" applyBorder="1" applyAlignment="1">
      <alignment vertical="center"/>
    </xf>
    <xf numFmtId="0" fontId="47" fillId="27" borderId="82" xfId="0" applyFont="1" applyFill="1" applyBorder="1" applyAlignment="1">
      <alignment vertical="center"/>
    </xf>
    <xf numFmtId="0" fontId="43" fillId="27" borderId="82" xfId="0" applyFont="1" applyFill="1" applyBorder="1" applyAlignment="1">
      <alignment horizontal="right" vertical="center"/>
    </xf>
    <xf numFmtId="164" fontId="30" fillId="25" borderId="86" xfId="0" applyNumberFormat="1" applyFont="1" applyFill="1" applyBorder="1" applyAlignment="1" applyProtection="1">
      <alignment horizontal="center" vertical="center"/>
      <protection locked="0"/>
    </xf>
    <xf numFmtId="0" fontId="43" fillId="27" borderId="86" xfId="0" applyFont="1" applyFill="1" applyBorder="1" applyAlignment="1">
      <alignment horizontal="right" vertical="center"/>
    </xf>
    <xf numFmtId="0" fontId="12" fillId="29" borderId="86" xfId="0" applyFont="1" applyFill="1" applyBorder="1" applyAlignment="1">
      <alignment vertical="center" wrapText="1"/>
    </xf>
    <xf numFmtId="0" fontId="12" fillId="29" borderId="82" xfId="0" applyFont="1" applyFill="1" applyBorder="1" applyAlignment="1">
      <alignment vertical="center" wrapText="1"/>
    </xf>
    <xf numFmtId="164" fontId="12" fillId="29" borderId="82" xfId="0" applyNumberFormat="1" applyFont="1" applyFill="1" applyBorder="1" applyAlignment="1">
      <alignment horizontal="center" vertical="center"/>
    </xf>
    <xf numFmtId="0" fontId="18" fillId="29" borderId="82" xfId="0" applyFont="1" applyFill="1" applyBorder="1" applyAlignment="1">
      <alignment horizontal="left" vertical="center"/>
    </xf>
    <xf numFmtId="0" fontId="18" fillId="29" borderId="82" xfId="0" applyFont="1" applyFill="1" applyBorder="1" applyAlignment="1">
      <alignment vertical="center"/>
    </xf>
    <xf numFmtId="2" fontId="12" fillId="29" borderId="82" xfId="0" applyNumberFormat="1" applyFont="1" applyFill="1" applyBorder="1" applyAlignment="1">
      <alignment horizontal="center" vertical="center"/>
    </xf>
    <xf numFmtId="164" fontId="20" fillId="29" borderId="85" xfId="0" applyNumberFormat="1" applyFont="1" applyFill="1" applyBorder="1" applyAlignment="1">
      <alignment vertical="center"/>
    </xf>
    <xf numFmtId="176" fontId="18" fillId="0" borderId="0" xfId="0" applyNumberFormat="1" applyFont="1" applyAlignment="1">
      <alignment vertical="center"/>
    </xf>
    <xf numFmtId="0" fontId="111" fillId="0" borderId="82" xfId="0" quotePrefix="1" applyFont="1" applyBorder="1" applyAlignment="1">
      <alignment horizontal="center" vertical="center"/>
    </xf>
    <xf numFmtId="0" fontId="111" fillId="0" borderId="82" xfId="0" applyFont="1" applyBorder="1" applyAlignment="1">
      <alignment horizontal="center" vertical="center"/>
    </xf>
    <xf numFmtId="173" fontId="111" fillId="0" borderId="82" xfId="0" applyNumberFormat="1" applyFont="1" applyBorder="1" applyAlignment="1">
      <alignment horizontal="center" vertical="center"/>
    </xf>
    <xf numFmtId="0" fontId="13" fillId="28" borderId="82" xfId="0" applyFont="1" applyFill="1" applyBorder="1" applyAlignment="1">
      <alignment vertical="center"/>
    </xf>
    <xf numFmtId="164" fontId="13" fillId="32" borderId="82" xfId="0" applyNumberFormat="1" applyFont="1" applyFill="1" applyBorder="1" applyAlignment="1">
      <alignment horizontal="center" vertical="center"/>
    </xf>
    <xf numFmtId="0" fontId="13" fillId="0" borderId="82" xfId="0" applyFont="1" applyBorder="1" applyAlignment="1">
      <alignment vertical="top"/>
    </xf>
    <xf numFmtId="0" fontId="13" fillId="50" borderId="82" xfId="0" applyFont="1" applyFill="1" applyBorder="1" applyAlignment="1">
      <alignment horizontal="left" vertical="center"/>
    </xf>
    <xf numFmtId="0" fontId="13" fillId="50" borderId="82" xfId="0" applyFont="1" applyFill="1" applyBorder="1" applyAlignment="1">
      <alignment vertical="center"/>
    </xf>
    <xf numFmtId="0" fontId="13" fillId="50" borderId="82" xfId="0" applyFont="1" applyFill="1" applyBorder="1" applyAlignment="1">
      <alignment horizontal="center" vertical="center"/>
    </xf>
    <xf numFmtId="164" fontId="13" fillId="50" borderId="82" xfId="0" applyNumberFormat="1" applyFont="1" applyFill="1" applyBorder="1" applyAlignment="1">
      <alignment horizontal="center" vertical="center"/>
    </xf>
    <xf numFmtId="0" fontId="12" fillId="50" borderId="82" xfId="0" applyFont="1" applyFill="1" applyBorder="1" applyAlignment="1">
      <alignment horizontal="center" vertical="center"/>
    </xf>
    <xf numFmtId="176" fontId="13" fillId="50" borderId="82" xfId="0" applyNumberFormat="1" applyFont="1" applyFill="1" applyBorder="1" applyAlignment="1">
      <alignment horizontal="center" vertical="center"/>
    </xf>
    <xf numFmtId="0" fontId="18" fillId="37" borderId="0" xfId="0" applyFont="1" applyFill="1"/>
    <xf numFmtId="0" fontId="18" fillId="0" borderId="10" xfId="0" applyFont="1" applyBorder="1"/>
    <xf numFmtId="0" fontId="18" fillId="37" borderId="82" xfId="0" applyFont="1" applyFill="1" applyBorder="1"/>
    <xf numFmtId="0" fontId="34" fillId="0" borderId="82" xfId="0" applyFont="1" applyBorder="1" applyAlignment="1">
      <alignment horizontal="center" vertical="center"/>
    </xf>
    <xf numFmtId="1" fontId="12" fillId="0" borderId="82" xfId="0" applyNumberFormat="1" applyFont="1" applyBorder="1" applyAlignment="1">
      <alignment horizontal="center"/>
    </xf>
    <xf numFmtId="1" fontId="16" fillId="0" borderId="82" xfId="0" applyNumberFormat="1" applyFont="1" applyBorder="1" applyAlignment="1">
      <alignment horizontal="center"/>
    </xf>
    <xf numFmtId="0" fontId="12" fillId="42" borderId="82" xfId="0" applyFont="1" applyFill="1" applyBorder="1" applyAlignment="1">
      <alignment horizontal="center" vertical="center"/>
    </xf>
    <xf numFmtId="0" fontId="18" fillId="0" borderId="82" xfId="59" applyBorder="1" applyAlignment="1">
      <alignment vertical="center"/>
    </xf>
    <xf numFmtId="0" fontId="18" fillId="0" borderId="82" xfId="44" applyBorder="1" applyAlignment="1">
      <alignment vertical="center"/>
    </xf>
    <xf numFmtId="1" fontId="18" fillId="0" borderId="82" xfId="58" applyNumberFormat="1" applyBorder="1" applyAlignment="1">
      <alignment horizontal="center" vertical="center"/>
    </xf>
    <xf numFmtId="175" fontId="12" fillId="50" borderId="82" xfId="0" applyNumberFormat="1" applyFont="1" applyFill="1" applyBorder="1" applyAlignment="1">
      <alignment horizontal="right" vertical="center"/>
    </xf>
    <xf numFmtId="177" fontId="12" fillId="50" borderId="82" xfId="0" applyNumberFormat="1" applyFont="1" applyFill="1" applyBorder="1" applyAlignment="1">
      <alignment horizontal="center" vertical="center"/>
    </xf>
    <xf numFmtId="176" fontId="13" fillId="0" borderId="82" xfId="0" applyNumberFormat="1" applyFont="1" applyBorder="1" applyAlignment="1">
      <alignment horizontal="center" vertical="center"/>
    </xf>
    <xf numFmtId="175" fontId="13" fillId="0" borderId="82" xfId="0" applyNumberFormat="1" applyFont="1" applyBorder="1" applyAlignment="1">
      <alignment horizontal="center" vertical="center"/>
    </xf>
    <xf numFmtId="0" fontId="13" fillId="0" borderId="82" xfId="0" applyFont="1" applyBorder="1" applyAlignment="1">
      <alignment horizontal="left" vertical="top" wrapText="1"/>
    </xf>
    <xf numFmtId="0" fontId="18" fillId="0" borderId="0" xfId="63" applyFont="1" applyAlignment="1">
      <alignment horizontal="right"/>
    </xf>
    <xf numFmtId="0" fontId="18" fillId="0" borderId="74" xfId="63" applyFont="1" applyBorder="1" applyAlignment="1">
      <alignment horizontal="left"/>
    </xf>
    <xf numFmtId="0" fontId="12" fillId="0" borderId="86" xfId="64" applyFont="1" applyBorder="1" applyAlignment="1">
      <alignment horizontal="left" vertical="center"/>
    </xf>
    <xf numFmtId="0" fontId="12" fillId="0" borderId="85" xfId="0" applyFont="1" applyBorder="1" applyAlignment="1">
      <alignment horizontal="left" vertical="center"/>
    </xf>
    <xf numFmtId="0" fontId="13" fillId="0" borderId="86" xfId="0" applyFont="1" applyBorder="1" applyAlignment="1">
      <alignment horizontal="left" vertical="center"/>
    </xf>
    <xf numFmtId="0" fontId="13" fillId="0" borderId="82" xfId="0" applyFont="1" applyBorder="1" applyAlignment="1">
      <alignment horizontal="right" vertical="center"/>
    </xf>
    <xf numFmtId="164" fontId="13" fillId="0" borderId="86" xfId="0" applyNumberFormat="1" applyFont="1" applyBorder="1" applyAlignment="1">
      <alignment horizontal="center" vertical="center" wrapText="1"/>
    </xf>
    <xf numFmtId="0" fontId="12" fillId="0" borderId="86" xfId="0" applyFont="1" applyBorder="1" applyAlignment="1">
      <alignment horizontal="center" vertical="center"/>
    </xf>
    <xf numFmtId="164" fontId="12" fillId="0" borderId="85" xfId="0" applyNumberFormat="1" applyFont="1" applyBorder="1" applyAlignment="1">
      <alignment horizontal="center" vertical="center"/>
    </xf>
    <xf numFmtId="0" fontId="63" fillId="39" borderId="86" xfId="0" applyFont="1" applyFill="1" applyBorder="1" applyAlignment="1">
      <alignment horizontal="left" vertical="center"/>
    </xf>
    <xf numFmtId="0" fontId="62" fillId="39" borderId="82" xfId="0" applyFont="1" applyFill="1" applyBorder="1" applyAlignment="1">
      <alignment horizontal="center" vertical="center"/>
    </xf>
    <xf numFmtId="0" fontId="11" fillId="39" borderId="82" xfId="0" applyFont="1" applyFill="1" applyBorder="1" applyAlignment="1">
      <alignment horizontal="center" vertical="center"/>
    </xf>
    <xf numFmtId="0" fontId="62" fillId="39" borderId="85" xfId="0" applyFont="1" applyFill="1" applyBorder="1" applyAlignment="1">
      <alignment horizontal="center" vertical="center"/>
    </xf>
    <xf numFmtId="164" fontId="30" fillId="40" borderId="86" xfId="0" applyNumberFormat="1" applyFont="1" applyFill="1" applyBorder="1" applyAlignment="1" applyProtection="1">
      <alignment horizontal="center" vertical="center"/>
      <protection locked="0"/>
    </xf>
    <xf numFmtId="0" fontId="43" fillId="39" borderId="86" xfId="0" applyFont="1" applyFill="1" applyBorder="1" applyAlignment="1">
      <alignment horizontal="center" vertical="center"/>
    </xf>
    <xf numFmtId="164" fontId="13" fillId="29" borderId="86" xfId="0" applyNumberFormat="1" applyFont="1" applyFill="1" applyBorder="1" applyAlignment="1">
      <alignment vertical="center"/>
    </xf>
    <xf numFmtId="0" fontId="0" fillId="29" borderId="82" xfId="0" applyFill="1" applyBorder="1" applyAlignment="1">
      <alignment vertical="center"/>
    </xf>
    <xf numFmtId="0" fontId="11" fillId="39" borderId="86" xfId="0" applyFont="1" applyFill="1" applyBorder="1" applyAlignment="1">
      <alignment horizontal="center" vertical="center"/>
    </xf>
    <xf numFmtId="0" fontId="18" fillId="39" borderId="82" xfId="0" applyFont="1" applyFill="1" applyBorder="1" applyAlignment="1">
      <alignment horizontal="right" vertical="center"/>
    </xf>
    <xf numFmtId="164" fontId="12" fillId="0" borderId="82" xfId="0" quotePrefix="1" applyNumberFormat="1" applyFont="1" applyBorder="1" applyAlignment="1">
      <alignment horizontal="center" vertical="center"/>
    </xf>
    <xf numFmtId="0" fontId="47" fillId="39" borderId="86" xfId="0" applyFont="1" applyFill="1" applyBorder="1" applyAlignment="1">
      <alignment vertical="center"/>
    </xf>
    <xf numFmtId="0" fontId="47" fillId="39" borderId="82" xfId="0" applyFont="1" applyFill="1" applyBorder="1" applyAlignment="1">
      <alignment horizontal="left" vertical="center"/>
    </xf>
    <xf numFmtId="0" fontId="43" fillId="39" borderId="82" xfId="0" applyFont="1" applyFill="1" applyBorder="1" applyAlignment="1">
      <alignment horizontal="right" vertical="center"/>
    </xf>
    <xf numFmtId="0" fontId="45" fillId="39" borderId="86" xfId="0" applyFont="1" applyFill="1" applyBorder="1" applyAlignment="1">
      <alignment horizontal="left" vertical="center"/>
    </xf>
    <xf numFmtId="0" fontId="12" fillId="39" borderId="85" xfId="0" applyFont="1" applyFill="1" applyBorder="1" applyAlignment="1">
      <alignment vertical="center"/>
    </xf>
    <xf numFmtId="0" fontId="12" fillId="29" borderId="86" xfId="0" applyFont="1" applyFill="1" applyBorder="1" applyAlignment="1">
      <alignment horizontal="left" vertical="center"/>
    </xf>
    <xf numFmtId="0" fontId="12" fillId="29" borderId="82" xfId="0" applyFont="1" applyFill="1" applyBorder="1" applyAlignment="1">
      <alignment horizontal="center" vertical="center"/>
    </xf>
    <xf numFmtId="0" fontId="12" fillId="29" borderId="85" xfId="0" applyFont="1" applyFill="1" applyBorder="1" applyAlignment="1">
      <alignment horizontal="center" vertical="center"/>
    </xf>
    <xf numFmtId="0" fontId="16" fillId="0" borderId="82" xfId="0" applyFont="1" applyBorder="1" applyAlignment="1">
      <alignment horizontal="right" vertical="center"/>
    </xf>
    <xf numFmtId="180" fontId="38" fillId="44" borderId="82" xfId="0" applyNumberFormat="1" applyFont="1" applyFill="1" applyBorder="1" applyAlignment="1">
      <alignment horizontal="center" vertical="center"/>
    </xf>
    <xf numFmtId="0" fontId="50" fillId="0" borderId="82" xfId="0" quotePrefix="1" applyFont="1" applyBorder="1" applyAlignment="1">
      <alignment vertical="center"/>
    </xf>
    <xf numFmtId="180" fontId="38" fillId="0" borderId="82" xfId="0" applyNumberFormat="1" applyFont="1" applyBorder="1" applyAlignment="1">
      <alignment vertical="center"/>
    </xf>
    <xf numFmtId="175" fontId="12" fillId="0" borderId="82" xfId="0" applyNumberFormat="1" applyFont="1" applyBorder="1" applyAlignment="1">
      <alignment vertical="center" textRotation="180"/>
    </xf>
    <xf numFmtId="0" fontId="18" fillId="0" borderId="86" xfId="64" applyFont="1" applyBorder="1"/>
    <xf numFmtId="164" fontId="12" fillId="29" borderId="82" xfId="0" applyNumberFormat="1" applyFont="1" applyFill="1" applyBorder="1" applyAlignment="1">
      <alignment horizontal="right" vertical="center"/>
    </xf>
    <xf numFmtId="164" fontId="44" fillId="0" borderId="82" xfId="0" applyNumberFormat="1" applyFont="1" applyBorder="1" applyAlignment="1">
      <alignment horizontal="center" vertical="center"/>
    </xf>
    <xf numFmtId="164" fontId="72" fillId="32" borderId="82" xfId="0" applyNumberFormat="1" applyFont="1" applyFill="1" applyBorder="1" applyAlignment="1">
      <alignment horizontal="center" vertical="center"/>
    </xf>
    <xf numFmtId="180" fontId="44" fillId="0" borderId="82" xfId="0" applyNumberFormat="1" applyFont="1" applyBorder="1" applyAlignment="1">
      <alignment horizontal="center" vertical="center"/>
    </xf>
    <xf numFmtId="1" fontId="44" fillId="0" borderId="82" xfId="0" quotePrefix="1" applyNumberFormat="1" applyFont="1" applyBorder="1" applyAlignment="1">
      <alignment horizontal="center" vertical="center"/>
    </xf>
    <xf numFmtId="164" fontId="43" fillId="39" borderId="85" xfId="0" applyNumberFormat="1" applyFont="1" applyFill="1" applyBorder="1" applyAlignment="1">
      <alignment horizontal="right" vertical="center"/>
    </xf>
    <xf numFmtId="0" fontId="12" fillId="29" borderId="86" xfId="0" applyFont="1" applyFill="1" applyBorder="1" applyAlignment="1">
      <alignment horizontal="center" vertical="center"/>
    </xf>
    <xf numFmtId="0" fontId="13" fillId="29" borderId="82" xfId="0" applyFont="1" applyFill="1" applyBorder="1" applyAlignment="1">
      <alignment horizontal="right" vertical="center"/>
    </xf>
    <xf numFmtId="0" fontId="13" fillId="27" borderId="82" xfId="0" applyFont="1" applyFill="1" applyBorder="1" applyAlignment="1">
      <alignment horizontal="left" vertical="center"/>
    </xf>
    <xf numFmtId="0" fontId="13" fillId="27" borderId="82" xfId="0" applyFont="1" applyFill="1" applyBorder="1" applyAlignment="1">
      <alignment vertical="center"/>
    </xf>
    <xf numFmtId="0" fontId="13" fillId="27" borderId="82" xfId="0" applyFont="1" applyFill="1" applyBorder="1" applyAlignment="1">
      <alignment horizontal="center" vertical="center"/>
    </xf>
    <xf numFmtId="164" fontId="13" fillId="27" borderId="82" xfId="0" applyNumberFormat="1" applyFont="1" applyFill="1" applyBorder="1" applyAlignment="1">
      <alignment horizontal="center" vertical="center"/>
    </xf>
    <xf numFmtId="174" fontId="12" fillId="27" borderId="82" xfId="0" applyNumberFormat="1" applyFont="1" applyFill="1" applyBorder="1" applyAlignment="1">
      <alignment horizontal="center" vertical="center"/>
    </xf>
    <xf numFmtId="0" fontId="12" fillId="27" borderId="82" xfId="0" applyFont="1" applyFill="1" applyBorder="1" applyAlignment="1">
      <alignment horizontal="center" vertical="center"/>
    </xf>
    <xf numFmtId="176" fontId="13" fillId="27" borderId="82" xfId="0" applyNumberFormat="1" applyFont="1" applyFill="1" applyBorder="1" applyAlignment="1">
      <alignment horizontal="center" vertical="center"/>
    </xf>
    <xf numFmtId="175" fontId="13" fillId="27" borderId="82" xfId="0" applyNumberFormat="1" applyFont="1" applyFill="1" applyBorder="1" applyAlignment="1">
      <alignment horizontal="center" vertical="center"/>
    </xf>
    <xf numFmtId="0" fontId="12" fillId="41" borderId="82" xfId="0" applyFont="1" applyFill="1" applyBorder="1" applyAlignment="1">
      <alignment horizontal="left" vertical="center"/>
    </xf>
    <xf numFmtId="0" fontId="13" fillId="41" borderId="82" xfId="0" applyFont="1" applyFill="1" applyBorder="1" applyAlignment="1">
      <alignment vertical="center"/>
    </xf>
    <xf numFmtId="0" fontId="16" fillId="41" borderId="82" xfId="0" applyFont="1" applyFill="1" applyBorder="1" applyAlignment="1">
      <alignment vertical="center"/>
    </xf>
    <xf numFmtId="164" fontId="13" fillId="0" borderId="82" xfId="0" applyNumberFormat="1" applyFont="1" applyBorder="1" applyAlignment="1">
      <alignment horizontal="center" vertical="center" wrapText="1"/>
    </xf>
    <xf numFmtId="2" fontId="13" fillId="0" borderId="82" xfId="0" applyNumberFormat="1" applyFont="1" applyBorder="1" applyAlignment="1">
      <alignment horizontal="center" vertical="center"/>
    </xf>
    <xf numFmtId="0" fontId="20" fillId="32" borderId="30" xfId="0" applyFont="1" applyFill="1" applyBorder="1" applyAlignment="1">
      <alignment horizontal="center"/>
    </xf>
    <xf numFmtId="0" fontId="18" fillId="24" borderId="0" xfId="0" applyFont="1" applyFill="1"/>
    <xf numFmtId="0" fontId="19" fillId="27" borderId="59" xfId="0" applyFont="1" applyFill="1" applyBorder="1" applyAlignment="1">
      <alignment horizontal="left"/>
    </xf>
    <xf numFmtId="0" fontId="19" fillId="35" borderId="57" xfId="0" applyFont="1" applyFill="1" applyBorder="1" applyAlignment="1">
      <alignment horizontal="left"/>
    </xf>
    <xf numFmtId="0" fontId="19" fillId="44" borderId="57" xfId="0" applyFont="1" applyFill="1" applyBorder="1" applyAlignment="1">
      <alignment horizontal="left"/>
    </xf>
    <xf numFmtId="0" fontId="19" fillId="36" borderId="57" xfId="0" applyFont="1" applyFill="1" applyBorder="1" applyAlignment="1">
      <alignment horizontal="left"/>
    </xf>
    <xf numFmtId="0" fontId="19" fillId="27" borderId="15" xfId="0" applyFont="1" applyFill="1" applyBorder="1" applyAlignment="1">
      <alignment horizontal="left"/>
    </xf>
    <xf numFmtId="0" fontId="19" fillId="35" borderId="14" xfId="0" applyFont="1" applyFill="1" applyBorder="1" applyAlignment="1">
      <alignment horizontal="left"/>
    </xf>
    <xf numFmtId="0" fontId="19" fillId="44" borderId="14" xfId="0" applyFont="1" applyFill="1" applyBorder="1" applyAlignment="1">
      <alignment horizontal="left"/>
    </xf>
    <xf numFmtId="0" fontId="19" fillId="36" borderId="14" xfId="0" applyFont="1" applyFill="1" applyBorder="1" applyAlignment="1">
      <alignment horizontal="left"/>
    </xf>
    <xf numFmtId="176" fontId="18" fillId="24" borderId="0" xfId="0" applyNumberFormat="1" applyFont="1" applyFill="1"/>
    <xf numFmtId="176" fontId="18" fillId="0" borderId="0" xfId="0" applyNumberFormat="1" applyFont="1" applyAlignment="1">
      <alignment horizontal="center"/>
    </xf>
    <xf numFmtId="182" fontId="18" fillId="0" borderId="0" xfId="0" quotePrefix="1" applyNumberFormat="1" applyFont="1" applyAlignment="1">
      <alignment horizontal="center"/>
    </xf>
    <xf numFmtId="177" fontId="18" fillId="0" borderId="0" xfId="0" applyNumberFormat="1" applyFont="1" applyAlignment="1">
      <alignment horizontal="center"/>
    </xf>
    <xf numFmtId="185" fontId="18" fillId="0" borderId="0" xfId="0" quotePrefix="1" applyNumberFormat="1" applyFont="1" applyAlignment="1">
      <alignment horizontal="center"/>
    </xf>
    <xf numFmtId="168" fontId="18" fillId="0" borderId="0" xfId="0" applyNumberFormat="1" applyFont="1" applyAlignment="1">
      <alignment horizontal="center"/>
    </xf>
    <xf numFmtId="0" fontId="18" fillId="29" borderId="0" xfId="0" applyFont="1" applyFill="1"/>
    <xf numFmtId="186" fontId="18" fillId="0" borderId="0" xfId="0" applyNumberFormat="1" applyFont="1" applyAlignment="1">
      <alignment horizontal="center"/>
    </xf>
    <xf numFmtId="0" fontId="20" fillId="0" borderId="82" xfId="0" applyFont="1" applyBorder="1"/>
    <xf numFmtId="176" fontId="18" fillId="0" borderId="82" xfId="0" applyNumberFormat="1" applyFont="1" applyBorder="1" applyAlignment="1">
      <alignment horizontal="center"/>
    </xf>
    <xf numFmtId="0" fontId="18" fillId="24" borderId="82" xfId="0" applyFont="1" applyFill="1" applyBorder="1"/>
    <xf numFmtId="0" fontId="18" fillId="0" borderId="82" xfId="0" quotePrefix="1" applyFont="1" applyBorder="1" applyAlignment="1">
      <alignment horizontal="center"/>
    </xf>
    <xf numFmtId="185" fontId="18" fillId="0" borderId="82" xfId="0" quotePrefix="1" applyNumberFormat="1" applyFont="1" applyBorder="1" applyAlignment="1">
      <alignment horizontal="center"/>
    </xf>
    <xf numFmtId="164" fontId="18" fillId="0" borderId="82" xfId="0" quotePrefix="1" applyNumberFormat="1" applyFont="1" applyBorder="1" applyAlignment="1">
      <alignment horizontal="center"/>
    </xf>
    <xf numFmtId="186" fontId="18" fillId="0" borderId="82" xfId="0" applyNumberFormat="1" applyFont="1" applyBorder="1" applyAlignment="1">
      <alignment horizontal="center"/>
    </xf>
    <xf numFmtId="168" fontId="18" fillId="0" borderId="82" xfId="0" applyNumberFormat="1" applyFont="1" applyBorder="1" applyAlignment="1">
      <alignment horizontal="center"/>
    </xf>
    <xf numFmtId="177" fontId="18" fillId="0" borderId="82" xfId="0" applyNumberFormat="1" applyFont="1" applyBorder="1" applyAlignment="1">
      <alignment horizontal="center"/>
    </xf>
    <xf numFmtId="0" fontId="20" fillId="29" borderId="82" xfId="0" applyFont="1" applyFill="1" applyBorder="1" applyAlignment="1">
      <alignment horizontal="center"/>
    </xf>
    <xf numFmtId="182" fontId="18" fillId="0" borderId="82" xfId="0" quotePrefix="1" applyNumberFormat="1" applyFont="1" applyBorder="1" applyAlignment="1">
      <alignment horizontal="center"/>
    </xf>
    <xf numFmtId="164" fontId="18" fillId="0" borderId="82" xfId="0" applyNumberFormat="1" applyFont="1" applyBorder="1" applyAlignment="1">
      <alignment horizontal="center"/>
    </xf>
    <xf numFmtId="0" fontId="18" fillId="29" borderId="82" xfId="0" applyFont="1" applyFill="1" applyBorder="1"/>
    <xf numFmtId="0" fontId="18" fillId="0" borderId="17" xfId="0" applyFont="1" applyBorder="1"/>
    <xf numFmtId="176" fontId="18" fillId="0" borderId="17" xfId="0" applyNumberFormat="1" applyFont="1" applyBorder="1" applyAlignment="1">
      <alignment horizontal="center"/>
    </xf>
    <xf numFmtId="0" fontId="18" fillId="24" borderId="17" xfId="0" applyFont="1" applyFill="1" applyBorder="1"/>
    <xf numFmtId="182" fontId="18" fillId="0" borderId="17" xfId="0" quotePrefix="1" applyNumberFormat="1" applyFont="1" applyBorder="1" applyAlignment="1">
      <alignment horizontal="center"/>
    </xf>
    <xf numFmtId="164" fontId="18" fillId="0" borderId="17" xfId="0" applyNumberFormat="1" applyFont="1" applyBorder="1" applyAlignment="1">
      <alignment horizontal="center"/>
    </xf>
    <xf numFmtId="3" fontId="18" fillId="0" borderId="17" xfId="0" applyNumberFormat="1" applyFont="1" applyBorder="1" applyAlignment="1">
      <alignment horizontal="center"/>
    </xf>
    <xf numFmtId="185" fontId="18" fillId="0" borderId="17" xfId="0" quotePrefix="1" applyNumberFormat="1" applyFont="1" applyBorder="1" applyAlignment="1">
      <alignment horizontal="center"/>
    </xf>
    <xf numFmtId="177" fontId="18" fillId="0" borderId="17" xfId="0" applyNumberFormat="1" applyFont="1" applyBorder="1" applyAlignment="1">
      <alignment horizontal="center"/>
    </xf>
    <xf numFmtId="178" fontId="18" fillId="0" borderId="17" xfId="0" quotePrefix="1" applyNumberFormat="1" applyFont="1" applyBorder="1" applyAlignment="1">
      <alignment horizontal="center"/>
    </xf>
    <xf numFmtId="178" fontId="18" fillId="0" borderId="0" xfId="0" quotePrefix="1" applyNumberFormat="1" applyFont="1" applyAlignment="1">
      <alignment horizontal="center"/>
    </xf>
    <xf numFmtId="178" fontId="18" fillId="0" borderId="0" xfId="0" applyNumberFormat="1" applyFont="1" applyAlignment="1">
      <alignment horizontal="center"/>
    </xf>
    <xf numFmtId="167" fontId="18" fillId="0" borderId="0" xfId="0" applyNumberFormat="1" applyFont="1" applyAlignment="1">
      <alignment horizontal="center"/>
    </xf>
    <xf numFmtId="3" fontId="18" fillId="0" borderId="0" xfId="0" applyNumberFormat="1" applyFont="1" applyAlignment="1">
      <alignment horizontal="center"/>
    </xf>
    <xf numFmtId="0" fontId="20" fillId="24" borderId="82" xfId="0" applyFont="1" applyFill="1" applyBorder="1" applyAlignment="1">
      <alignment horizontal="center"/>
    </xf>
    <xf numFmtId="178" fontId="18" fillId="0" borderId="82" xfId="0" quotePrefix="1" applyNumberFormat="1" applyFont="1" applyBorder="1" applyAlignment="1">
      <alignment horizontal="center"/>
    </xf>
    <xf numFmtId="165" fontId="18" fillId="0" borderId="0" xfId="0" applyNumberFormat="1" applyFont="1" applyAlignment="1">
      <alignment horizontal="center"/>
    </xf>
    <xf numFmtId="179" fontId="18" fillId="0" borderId="0" xfId="0" applyNumberFormat="1" applyFont="1" applyAlignment="1">
      <alignment horizontal="left"/>
    </xf>
    <xf numFmtId="175" fontId="18" fillId="0" borderId="0" xfId="0" applyNumberFormat="1" applyFont="1" applyAlignment="1">
      <alignment horizontal="center"/>
    </xf>
    <xf numFmtId="2" fontId="18" fillId="0" borderId="17" xfId="0" applyNumberFormat="1" applyFont="1" applyBorder="1" applyAlignment="1">
      <alignment horizontal="center"/>
    </xf>
    <xf numFmtId="2" fontId="18" fillId="0" borderId="82" xfId="0" applyNumberFormat="1" applyFont="1" applyBorder="1" applyAlignment="1">
      <alignment horizontal="center"/>
    </xf>
    <xf numFmtId="0" fontId="18" fillId="0" borderId="21" xfId="0" applyFont="1" applyBorder="1" applyAlignment="1">
      <alignment horizontal="center"/>
    </xf>
    <xf numFmtId="177" fontId="18" fillId="0" borderId="21" xfId="0" applyNumberFormat="1" applyFont="1" applyBorder="1" applyAlignment="1">
      <alignment horizontal="center"/>
    </xf>
    <xf numFmtId="0" fontId="18" fillId="0" borderId="21" xfId="0" applyFont="1" applyBorder="1"/>
    <xf numFmtId="0" fontId="18" fillId="24" borderId="21" xfId="0" applyFont="1" applyFill="1" applyBorder="1"/>
    <xf numFmtId="0" fontId="13" fillId="0" borderId="82" xfId="0" quotePrefix="1" applyFont="1" applyBorder="1" applyAlignment="1">
      <alignment horizontal="center"/>
    </xf>
    <xf numFmtId="0" fontId="36" fillId="27" borderId="82" xfId="0" applyFont="1" applyFill="1" applyBorder="1"/>
    <xf numFmtId="0" fontId="12" fillId="27" borderId="82" xfId="0" quotePrefix="1" applyFont="1" applyFill="1" applyBorder="1" applyAlignment="1">
      <alignment horizontal="center" vertical="center"/>
    </xf>
    <xf numFmtId="164" fontId="12" fillId="27" borderId="82" xfId="0" applyNumberFormat="1" applyFont="1" applyFill="1" applyBorder="1" applyAlignment="1">
      <alignment horizontal="center" vertical="center"/>
    </xf>
    <xf numFmtId="175" fontId="12" fillId="27" borderId="82" xfId="0" applyNumberFormat="1" applyFont="1" applyFill="1" applyBorder="1" applyAlignment="1">
      <alignment horizontal="center" vertical="center"/>
    </xf>
    <xf numFmtId="164" fontId="12" fillId="39" borderId="82" xfId="0" applyNumberFormat="1" applyFont="1" applyFill="1" applyBorder="1" applyAlignment="1">
      <alignment horizontal="center" vertical="center"/>
    </xf>
    <xf numFmtId="0" fontId="13" fillId="24" borderId="82" xfId="0" applyFont="1" applyFill="1" applyBorder="1" applyAlignment="1">
      <alignment horizontal="center"/>
    </xf>
    <xf numFmtId="0" fontId="18" fillId="42" borderId="0" xfId="0" applyFont="1" applyFill="1"/>
    <xf numFmtId="0" fontId="18" fillId="0" borderId="38" xfId="0" applyFont="1" applyBorder="1"/>
    <xf numFmtId="0" fontId="18" fillId="32" borderId="13" xfId="0" applyFont="1" applyFill="1" applyBorder="1"/>
    <xf numFmtId="0" fontId="18" fillId="25" borderId="13" xfId="0" applyFont="1" applyFill="1" applyBorder="1"/>
    <xf numFmtId="164" fontId="18" fillId="53" borderId="0" xfId="0" applyNumberFormat="1" applyFont="1" applyFill="1" applyAlignment="1">
      <alignment horizontal="center"/>
    </xf>
    <xf numFmtId="0" fontId="18" fillId="0" borderId="0" xfId="0" applyFont="1" applyAlignment="1">
      <alignment horizontal="left" wrapText="1"/>
    </xf>
    <xf numFmtId="0" fontId="18" fillId="0" borderId="0" xfId="0" applyFont="1" applyAlignment="1">
      <alignment wrapText="1"/>
    </xf>
    <xf numFmtId="167" fontId="18" fillId="53" borderId="0" xfId="0" applyNumberFormat="1" applyFont="1" applyFill="1" applyAlignment="1">
      <alignment horizontal="center"/>
    </xf>
    <xf numFmtId="164" fontId="18" fillId="32" borderId="13" xfId="0" applyNumberFormat="1" applyFont="1" applyFill="1" applyBorder="1" applyAlignment="1">
      <alignment horizontal="center"/>
    </xf>
    <xf numFmtId="167" fontId="18" fillId="47" borderId="0" xfId="0" applyNumberFormat="1" applyFont="1" applyFill="1" applyAlignment="1">
      <alignment horizontal="center"/>
    </xf>
    <xf numFmtId="164" fontId="18" fillId="0" borderId="13" xfId="0" applyNumberFormat="1" applyFont="1" applyBorder="1" applyAlignment="1">
      <alignment horizontal="center"/>
    </xf>
    <xf numFmtId="164" fontId="18" fillId="42" borderId="0" xfId="0" applyNumberFormat="1" applyFont="1" applyFill="1"/>
    <xf numFmtId="10" fontId="18" fillId="0" borderId="0" xfId="68" applyNumberFormat="1" applyFont="1" applyBorder="1" applyAlignment="1">
      <alignment horizontal="center"/>
    </xf>
    <xf numFmtId="0" fontId="18" fillId="42" borderId="0" xfId="0" applyFont="1" applyFill="1" applyAlignment="1">
      <alignment horizontal="center"/>
    </xf>
    <xf numFmtId="167" fontId="18" fillId="42" borderId="0" xfId="0" applyNumberFormat="1" applyFont="1" applyFill="1" applyAlignment="1">
      <alignment horizontal="center"/>
    </xf>
    <xf numFmtId="0" fontId="18" fillId="42" borderId="0" xfId="0" applyFont="1" applyFill="1" applyAlignment="1">
      <alignment horizontal="right"/>
    </xf>
    <xf numFmtId="0" fontId="18" fillId="0" borderId="63" xfId="0" applyFont="1" applyBorder="1" applyAlignment="1">
      <alignment horizontal="center"/>
    </xf>
    <xf numFmtId="0" fontId="18" fillId="25" borderId="45" xfId="0" quotePrefix="1" applyFont="1" applyFill="1" applyBorder="1"/>
    <xf numFmtId="0" fontId="18" fillId="25" borderId="23" xfId="0" quotePrefix="1" applyFont="1" applyFill="1" applyBorder="1"/>
    <xf numFmtId="0" fontId="18" fillId="25" borderId="49" xfId="0" quotePrefix="1" applyFont="1" applyFill="1" applyBorder="1"/>
    <xf numFmtId="164" fontId="18" fillId="25" borderId="13" xfId="0" applyNumberFormat="1" applyFont="1" applyFill="1" applyBorder="1" applyAlignment="1">
      <alignment horizontal="center" vertical="center"/>
    </xf>
    <xf numFmtId="167" fontId="18" fillId="0" borderId="0" xfId="0" applyNumberFormat="1" applyFont="1"/>
    <xf numFmtId="0" fontId="18" fillId="25" borderId="50" xfId="0" applyFont="1" applyFill="1" applyBorder="1"/>
    <xf numFmtId="2" fontId="18" fillId="25" borderId="54" xfId="64" applyNumberFormat="1" applyFont="1" applyFill="1" applyBorder="1" applyAlignment="1">
      <alignment horizontal="center"/>
    </xf>
    <xf numFmtId="0" fontId="18" fillId="25" borderId="55" xfId="64" applyFont="1" applyFill="1" applyBorder="1" applyAlignment="1">
      <alignment horizontal="left"/>
    </xf>
    <xf numFmtId="2" fontId="18" fillId="25" borderId="56" xfId="64" applyNumberFormat="1" applyFont="1" applyFill="1" applyBorder="1" applyAlignment="1">
      <alignment horizontal="center"/>
    </xf>
    <xf numFmtId="0" fontId="18" fillId="41" borderId="0" xfId="0" applyFont="1" applyFill="1"/>
    <xf numFmtId="0" fontId="18" fillId="25" borderId="17" xfId="0" applyFont="1" applyFill="1" applyBorder="1" applyAlignment="1">
      <alignment horizontal="right" vertical="center"/>
    </xf>
    <xf numFmtId="0" fontId="7" fillId="0" borderId="0" xfId="0" applyFont="1" applyAlignment="1">
      <alignment vertical="center"/>
    </xf>
    <xf numFmtId="0" fontId="18" fillId="25" borderId="0" xfId="0" applyFont="1" applyFill="1" applyAlignment="1">
      <alignment horizontal="right" vertical="center"/>
    </xf>
    <xf numFmtId="164" fontId="30" fillId="32" borderId="86" xfId="0" applyNumberFormat="1" applyFont="1" applyFill="1" applyBorder="1" applyAlignment="1">
      <alignment horizontal="center" vertical="center"/>
    </xf>
    <xf numFmtId="0" fontId="43" fillId="25" borderId="86" xfId="0" applyFont="1" applyFill="1" applyBorder="1" applyAlignment="1">
      <alignment horizontal="right" vertical="center"/>
    </xf>
    <xf numFmtId="0" fontId="7" fillId="0" borderId="0" xfId="0" applyFont="1" applyAlignment="1">
      <alignment horizontal="left" vertical="center"/>
    </xf>
    <xf numFmtId="0" fontId="11" fillId="25" borderId="86" xfId="0" applyFont="1" applyFill="1" applyBorder="1" applyAlignment="1">
      <alignment horizontal="center" vertical="center"/>
    </xf>
    <xf numFmtId="0" fontId="12" fillId="25" borderId="82" xfId="0" applyFont="1" applyFill="1" applyBorder="1" applyAlignment="1">
      <alignment horizontal="center" vertical="center"/>
    </xf>
    <xf numFmtId="0" fontId="18" fillId="25" borderId="82" xfId="0" applyFont="1" applyFill="1" applyBorder="1" applyAlignment="1">
      <alignment horizontal="right" vertical="center"/>
    </xf>
    <xf numFmtId="0" fontId="16" fillId="0" borderId="82" xfId="0" applyFont="1" applyBorder="1" applyAlignment="1" applyProtection="1">
      <alignment vertical="center"/>
      <protection locked="0"/>
    </xf>
    <xf numFmtId="0" fontId="13" fillId="0" borderId="82" xfId="0" applyFont="1" applyBorder="1" applyAlignment="1" applyProtection="1">
      <alignment vertical="center"/>
      <protection locked="0"/>
    </xf>
    <xf numFmtId="175" fontId="12" fillId="0" borderId="82" xfId="28" applyNumberFormat="1" applyFont="1" applyFill="1" applyBorder="1" applyAlignment="1">
      <alignment horizontal="center" vertical="center"/>
    </xf>
    <xf numFmtId="175" fontId="125" fillId="0" borderId="10" xfId="0" applyNumberFormat="1" applyFont="1" applyBorder="1" applyAlignment="1">
      <alignment horizontal="center" vertical="center"/>
    </xf>
    <xf numFmtId="0" fontId="51" fillId="0" borderId="10" xfId="0" applyFont="1" applyBorder="1" applyAlignment="1">
      <alignment horizontal="center" vertical="center"/>
    </xf>
    <xf numFmtId="0" fontId="13" fillId="0" borderId="0" xfId="143" applyFont="1" applyAlignment="1">
      <alignment horizontal="left" vertical="center"/>
    </xf>
    <xf numFmtId="0" fontId="38" fillId="0" borderId="63" xfId="0" applyFont="1" applyBorder="1" applyAlignment="1">
      <alignment vertical="center"/>
    </xf>
    <xf numFmtId="0" fontId="12" fillId="0" borderId="63" xfId="0" applyFont="1" applyBorder="1" applyAlignment="1">
      <alignment horizontal="left" vertical="center"/>
    </xf>
    <xf numFmtId="0" fontId="16" fillId="0" borderId="63" xfId="0" applyFont="1" applyBorder="1" applyAlignment="1">
      <alignment vertical="center"/>
    </xf>
    <xf numFmtId="0" fontId="13" fillId="0" borderId="63" xfId="0" applyFont="1" applyBorder="1" applyAlignment="1">
      <alignment vertical="center"/>
    </xf>
    <xf numFmtId="0" fontId="13" fillId="24" borderId="63" xfId="0" applyFont="1" applyFill="1" applyBorder="1" applyAlignment="1">
      <alignment horizontal="center" vertical="center"/>
    </xf>
    <xf numFmtId="0" fontId="13" fillId="0" borderId="63" xfId="0" applyFont="1" applyBorder="1" applyAlignment="1">
      <alignment horizontal="center" vertical="center"/>
    </xf>
    <xf numFmtId="164" fontId="13" fillId="0" borderId="63" xfId="0" applyNumberFormat="1" applyFont="1" applyBorder="1" applyAlignment="1">
      <alignment horizontal="center" vertical="center"/>
    </xf>
    <xf numFmtId="0" fontId="12" fillId="0" borderId="63" xfId="0" applyFont="1" applyBorder="1" applyAlignment="1">
      <alignment horizontal="center" vertical="center"/>
    </xf>
    <xf numFmtId="1" fontId="12" fillId="0" borderId="63" xfId="0" applyNumberFormat="1" applyFont="1" applyBorder="1" applyAlignment="1">
      <alignment horizontal="center" vertical="center"/>
    </xf>
    <xf numFmtId="0" fontId="12" fillId="0" borderId="63" xfId="0" quotePrefix="1" applyFont="1" applyBorder="1" applyAlignment="1">
      <alignment horizontal="center" vertical="center"/>
    </xf>
    <xf numFmtId="173" fontId="12" fillId="0" borderId="63" xfId="0" applyNumberFormat="1" applyFont="1" applyBorder="1" applyAlignment="1">
      <alignment horizontal="center" vertical="center"/>
    </xf>
    <xf numFmtId="176" fontId="12" fillId="0" borderId="63" xfId="0" applyNumberFormat="1" applyFont="1" applyBorder="1" applyAlignment="1">
      <alignment horizontal="center" vertical="center"/>
    </xf>
    <xf numFmtId="175" fontId="12" fillId="0" borderId="63" xfId="0" applyNumberFormat="1" applyFont="1" applyBorder="1" applyAlignment="1">
      <alignment horizontal="center" vertical="center"/>
    </xf>
    <xf numFmtId="0" fontId="13" fillId="0" borderId="0" xfId="0" applyFont="1" applyAlignment="1">
      <alignment horizontal="left" vertical="top"/>
    </xf>
    <xf numFmtId="0" fontId="12" fillId="24" borderId="28" xfId="0" applyFont="1" applyFill="1" applyBorder="1" applyAlignment="1">
      <alignment vertical="center"/>
    </xf>
    <xf numFmtId="171" fontId="15" fillId="24" borderId="28" xfId="0" applyNumberFormat="1" applyFont="1" applyFill="1" applyBorder="1" applyAlignment="1">
      <alignment vertical="center"/>
    </xf>
    <xf numFmtId="0" fontId="15" fillId="0" borderId="28" xfId="0" applyFont="1" applyBorder="1" applyAlignment="1">
      <alignment horizontal="center" vertical="center"/>
    </xf>
    <xf numFmtId="14" fontId="18" fillId="0" borderId="0" xfId="0" applyNumberFormat="1" applyFont="1" applyAlignment="1">
      <alignment horizontal="center"/>
    </xf>
    <xf numFmtId="0" fontId="18" fillId="0" borderId="11" xfId="0" applyFont="1" applyBorder="1" applyAlignment="1">
      <alignment horizontal="center"/>
    </xf>
    <xf numFmtId="0" fontId="18" fillId="0" borderId="90" xfId="64" applyFont="1" applyBorder="1" applyAlignment="1">
      <alignment horizontal="left"/>
    </xf>
    <xf numFmtId="167" fontId="18" fillId="0" borderId="91" xfId="64" applyNumberFormat="1" applyFont="1" applyBorder="1" applyAlignment="1">
      <alignment horizontal="center"/>
    </xf>
    <xf numFmtId="167" fontId="18" fillId="0" borderId="92" xfId="64" applyNumberFormat="1" applyFont="1" applyBorder="1" applyAlignment="1">
      <alignment horizontal="center"/>
    </xf>
    <xf numFmtId="184" fontId="127" fillId="0" borderId="33" xfId="109" applyNumberFormat="1" applyFont="1" applyBorder="1" applyAlignment="1">
      <alignment horizontal="center" vertical="center"/>
    </xf>
    <xf numFmtId="184" fontId="127" fillId="0" borderId="30" xfId="109" applyNumberFormat="1" applyFont="1" applyBorder="1" applyAlignment="1">
      <alignment horizontal="center" vertical="center"/>
    </xf>
    <xf numFmtId="0" fontId="18" fillId="0" borderId="93" xfId="0" applyFont="1" applyBorder="1" applyAlignment="1">
      <alignment horizontal="center" vertical="center"/>
    </xf>
    <xf numFmtId="0" fontId="18" fillId="0" borderId="61" xfId="0" applyFont="1" applyBorder="1" applyAlignment="1">
      <alignment horizontal="center" vertical="center"/>
    </xf>
    <xf numFmtId="0" fontId="18" fillId="0" borderId="61" xfId="0" applyFont="1" applyBorder="1" applyAlignment="1">
      <alignment horizontal="left" vertical="center" wrapText="1"/>
    </xf>
    <xf numFmtId="14" fontId="18" fillId="0" borderId="61" xfId="0" applyNumberFormat="1" applyFont="1" applyBorder="1" applyAlignment="1">
      <alignment horizontal="center" vertical="center"/>
    </xf>
    <xf numFmtId="0" fontId="18" fillId="0" borderId="61" xfId="0" quotePrefix="1" applyFont="1" applyBorder="1" applyAlignment="1">
      <alignment horizontal="center" vertical="center"/>
    </xf>
    <xf numFmtId="0" fontId="18" fillId="0" borderId="62" xfId="0" applyFont="1" applyBorder="1" applyAlignment="1">
      <alignment horizontal="center" vertical="center"/>
    </xf>
    <xf numFmtId="164" fontId="128" fillId="0" borderId="0" xfId="109" applyNumberFormat="1" applyFont="1" applyAlignment="1">
      <alignment horizontal="left" vertical="center"/>
    </xf>
    <xf numFmtId="164" fontId="127" fillId="0" borderId="0" xfId="109" applyNumberFormat="1" applyFont="1" applyAlignment="1">
      <alignment horizontal="center" vertical="center"/>
    </xf>
    <xf numFmtId="164" fontId="127" fillId="0" borderId="30" xfId="109" applyNumberFormat="1" applyFont="1" applyBorder="1" applyAlignment="1">
      <alignment horizontal="center" vertical="center"/>
    </xf>
    <xf numFmtId="0" fontId="12" fillId="0" borderId="22" xfId="0" applyFont="1" applyBorder="1" applyAlignment="1">
      <alignment horizontal="left" vertical="center"/>
    </xf>
    <xf numFmtId="0" fontId="12" fillId="42" borderId="22" xfId="0" applyFont="1" applyFill="1" applyBorder="1" applyAlignment="1">
      <alignment horizontal="center" vertical="center"/>
    </xf>
    <xf numFmtId="0" fontId="16" fillId="0" borderId="22" xfId="0" applyFont="1" applyBorder="1" applyAlignment="1">
      <alignment horizontal="left" vertical="center"/>
    </xf>
    <xf numFmtId="0" fontId="12" fillId="24" borderId="22" xfId="0" applyFont="1" applyFill="1" applyBorder="1" applyAlignment="1">
      <alignment horizontal="center" vertical="center"/>
    </xf>
    <xf numFmtId="175" fontId="12" fillId="0" borderId="22" xfId="28" applyNumberFormat="1" applyFont="1" applyFill="1" applyBorder="1" applyAlignment="1" applyProtection="1">
      <alignment horizontal="center" vertical="center"/>
    </xf>
    <xf numFmtId="176" fontId="12" fillId="0" borderId="22" xfId="0" applyNumberFormat="1" applyFont="1" applyBorder="1" applyAlignment="1">
      <alignment horizontal="center" vertical="center"/>
    </xf>
    <xf numFmtId="0" fontId="13" fillId="41" borderId="0" xfId="0" applyFont="1" applyFill="1" applyAlignment="1">
      <alignment horizontal="center" vertical="center"/>
    </xf>
    <xf numFmtId="0" fontId="12" fillId="41" borderId="0" xfId="0" applyFont="1" applyFill="1" applyAlignment="1">
      <alignment horizontal="center" vertical="center"/>
    </xf>
    <xf numFmtId="0" fontId="20" fillId="0" borderId="22" xfId="57" applyFont="1" applyBorder="1" applyAlignment="1">
      <alignment vertical="center"/>
    </xf>
    <xf numFmtId="1" fontId="12" fillId="0" borderId="22" xfId="0" applyNumberFormat="1" applyFont="1" applyBorder="1" applyAlignment="1">
      <alignment horizontal="center" vertical="center"/>
    </xf>
    <xf numFmtId="175" fontId="12" fillId="0" borderId="22" xfId="0" applyNumberFormat="1" applyFont="1" applyBorder="1" applyAlignment="1">
      <alignment horizontal="center" vertical="center"/>
    </xf>
    <xf numFmtId="164" fontId="18" fillId="0" borderId="10" xfId="0" applyNumberFormat="1" applyFont="1" applyBorder="1" applyAlignment="1">
      <alignment horizontal="center" vertical="center"/>
    </xf>
    <xf numFmtId="0" fontId="18" fillId="24" borderId="10" xfId="0" applyFont="1" applyFill="1" applyBorder="1" applyAlignment="1">
      <alignment horizontal="center" vertical="center"/>
    </xf>
    <xf numFmtId="0" fontId="12" fillId="0" borderId="10" xfId="0" applyFont="1" applyBorder="1" applyAlignment="1">
      <alignment horizontal="left" vertical="center" indent="2"/>
    </xf>
    <xf numFmtId="165" fontId="12" fillId="0" borderId="82" xfId="0" applyNumberFormat="1" applyFont="1" applyBorder="1" applyAlignment="1">
      <alignment horizontal="center" vertical="center"/>
    </xf>
    <xf numFmtId="0" fontId="12" fillId="24" borderId="82" xfId="0" applyFont="1" applyFill="1" applyBorder="1" applyAlignment="1">
      <alignment vertical="center"/>
    </xf>
    <xf numFmtId="0" fontId="110" fillId="0" borderId="0" xfId="0" applyFont="1" applyAlignment="1">
      <alignment horizontal="left" vertical="center" indent="1"/>
    </xf>
    <xf numFmtId="176" fontId="12" fillId="41" borderId="82" xfId="0" applyNumberFormat="1" applyFont="1" applyFill="1" applyBorder="1" applyAlignment="1">
      <alignment horizontal="center" vertical="center"/>
    </xf>
    <xf numFmtId="176" fontId="12" fillId="41" borderId="10" xfId="0" applyNumberFormat="1" applyFont="1" applyFill="1" applyBorder="1" applyAlignment="1">
      <alignment horizontal="center" vertical="center"/>
    </xf>
    <xf numFmtId="176" fontId="12" fillId="41" borderId="17" xfId="0" applyNumberFormat="1" applyFont="1" applyFill="1" applyBorder="1" applyAlignment="1">
      <alignment horizontal="center" vertical="center"/>
    </xf>
    <xf numFmtId="176" fontId="12" fillId="41" borderId="0" xfId="28" applyNumberFormat="1" applyFont="1" applyFill="1" applyBorder="1" applyAlignment="1" applyProtection="1">
      <alignment horizontal="center" vertical="center"/>
    </xf>
    <xf numFmtId="176" fontId="12" fillId="41" borderId="82" xfId="28" applyNumberFormat="1" applyFont="1" applyFill="1" applyBorder="1" applyAlignment="1" applyProtection="1">
      <alignment horizontal="center" vertical="center"/>
    </xf>
    <xf numFmtId="176" fontId="115" fillId="0" borderId="82" xfId="0" applyNumberFormat="1" applyFont="1" applyBorder="1" applyAlignment="1">
      <alignment horizontal="center" vertical="center"/>
    </xf>
    <xf numFmtId="176" fontId="12" fillId="41" borderId="28" xfId="28" applyNumberFormat="1" applyFont="1" applyFill="1" applyBorder="1" applyAlignment="1" applyProtection="1">
      <alignment horizontal="center" vertical="center"/>
    </xf>
    <xf numFmtId="176" fontId="126" fillId="41" borderId="82" xfId="0" applyNumberFormat="1" applyFont="1" applyFill="1" applyBorder="1" applyAlignment="1">
      <alignment horizontal="center" vertical="center"/>
    </xf>
    <xf numFmtId="176" fontId="12" fillId="41" borderId="10" xfId="28" applyNumberFormat="1" applyFont="1" applyFill="1" applyBorder="1" applyAlignment="1" applyProtection="1">
      <alignment horizontal="center" vertical="center"/>
    </xf>
    <xf numFmtId="176" fontId="12" fillId="41" borderId="21" xfId="0" applyNumberFormat="1" applyFont="1" applyFill="1" applyBorder="1" applyAlignment="1">
      <alignment horizontal="center" vertical="center"/>
    </xf>
    <xf numFmtId="176" fontId="18" fillId="41" borderId="0" xfId="0" applyNumberFormat="1" applyFont="1" applyFill="1" applyAlignment="1">
      <alignment horizontal="center"/>
    </xf>
    <xf numFmtId="176" fontId="18" fillId="41" borderId="0" xfId="28" applyNumberFormat="1" applyFont="1" applyFill="1" applyBorder="1" applyAlignment="1" applyProtection="1">
      <alignment horizontal="center"/>
    </xf>
    <xf numFmtId="176" fontId="18" fillId="41" borderId="17" xfId="0" applyNumberFormat="1" applyFont="1" applyFill="1" applyBorder="1" applyAlignment="1">
      <alignment horizontal="center"/>
    </xf>
    <xf numFmtId="176" fontId="12" fillId="41" borderId="22" xfId="0" applyNumberFormat="1" applyFont="1" applyFill="1" applyBorder="1" applyAlignment="1">
      <alignment horizontal="center" vertical="center"/>
    </xf>
    <xf numFmtId="176" fontId="12" fillId="41" borderId="22" xfId="28" applyNumberFormat="1" applyFont="1" applyFill="1" applyBorder="1" applyAlignment="1" applyProtection="1">
      <alignment horizontal="center" vertical="center"/>
    </xf>
    <xf numFmtId="176" fontId="18" fillId="41" borderId="82" xfId="0" applyNumberFormat="1" applyFont="1" applyFill="1" applyBorder="1" applyAlignment="1">
      <alignment horizontal="center"/>
    </xf>
    <xf numFmtId="176" fontId="122" fillId="0" borderId="82" xfId="0" applyNumberFormat="1" applyFont="1" applyBorder="1" applyAlignment="1">
      <alignment horizontal="center"/>
    </xf>
    <xf numFmtId="175" fontId="12" fillId="41" borderId="0" xfId="0" applyNumberFormat="1" applyFont="1" applyFill="1" applyAlignment="1">
      <alignment horizontal="center" vertical="center"/>
    </xf>
    <xf numFmtId="176" fontId="12" fillId="41" borderId="28" xfId="0" applyNumberFormat="1" applyFont="1" applyFill="1" applyBorder="1" applyAlignment="1">
      <alignment horizontal="center" vertical="center"/>
    </xf>
    <xf numFmtId="171" fontId="12" fillId="0" borderId="0" xfId="0" applyNumberFormat="1" applyFont="1" applyAlignment="1">
      <alignment horizontal="center" vertical="center"/>
    </xf>
    <xf numFmtId="171" fontId="12" fillId="0" borderId="82" xfId="0" applyNumberFormat="1" applyFont="1" applyBorder="1" applyAlignment="1">
      <alignment horizontal="center" vertical="center"/>
    </xf>
    <xf numFmtId="172" fontId="12" fillId="0" borderId="0" xfId="0" applyNumberFormat="1" applyFont="1" applyAlignment="1">
      <alignment horizontal="center" vertical="center"/>
    </xf>
    <xf numFmtId="171" fontId="12" fillId="0" borderId="10" xfId="0" applyNumberFormat="1" applyFont="1" applyBorder="1" applyAlignment="1">
      <alignment horizontal="center" vertical="center"/>
    </xf>
    <xf numFmtId="171" fontId="111" fillId="0" borderId="0" xfId="0" applyNumberFormat="1" applyFont="1" applyAlignment="1">
      <alignment horizontal="center" vertical="center"/>
    </xf>
    <xf numFmtId="171" fontId="111" fillId="0" borderId="82" xfId="0" applyNumberFormat="1" applyFont="1" applyBorder="1" applyAlignment="1">
      <alignment horizontal="center" vertical="center"/>
    </xf>
    <xf numFmtId="171" fontId="12" fillId="0" borderId="17" xfId="0" applyNumberFormat="1" applyFont="1" applyBorder="1" applyAlignment="1">
      <alignment horizontal="center" vertical="center"/>
    </xf>
    <xf numFmtId="172" fontId="12" fillId="0" borderId="17" xfId="0" applyNumberFormat="1" applyFont="1" applyBorder="1" applyAlignment="1">
      <alignment horizontal="center" vertical="center"/>
    </xf>
    <xf numFmtId="172" fontId="12" fillId="0" borderId="82" xfId="0" applyNumberFormat="1" applyFont="1" applyBorder="1" applyAlignment="1">
      <alignment horizontal="center" vertical="center"/>
    </xf>
    <xf numFmtId="171" fontId="12" fillId="0" borderId="28" xfId="0" applyNumberFormat="1" applyFont="1" applyBorder="1" applyAlignment="1">
      <alignment horizontal="center" vertical="center"/>
    </xf>
    <xf numFmtId="171" fontId="12" fillId="50" borderId="0" xfId="0" applyNumberFormat="1" applyFont="1" applyFill="1" applyAlignment="1">
      <alignment horizontal="center" vertical="center"/>
    </xf>
    <xf numFmtId="172" fontId="12" fillId="0" borderId="0" xfId="0" quotePrefix="1" applyNumberFormat="1" applyFont="1" applyAlignment="1">
      <alignment horizontal="center" vertical="center"/>
    </xf>
    <xf numFmtId="171" fontId="18" fillId="0" borderId="10" xfId="0" applyNumberFormat="1" applyFont="1" applyBorder="1" applyAlignment="1">
      <alignment horizontal="center" vertical="center"/>
    </xf>
    <xf numFmtId="171" fontId="18" fillId="0" borderId="0" xfId="0" applyNumberFormat="1" applyFont="1" applyAlignment="1">
      <alignment horizontal="center" vertical="center"/>
    </xf>
    <xf numFmtId="171" fontId="18" fillId="0" borderId="22" xfId="58" applyNumberFormat="1" applyBorder="1" applyAlignment="1">
      <alignment horizontal="center" vertical="center"/>
    </xf>
    <xf numFmtId="171" fontId="18" fillId="0" borderId="0" xfId="45" applyNumberFormat="1" applyAlignment="1">
      <alignment horizontal="center" vertical="center"/>
    </xf>
    <xf numFmtId="171" fontId="12" fillId="0" borderId="22" xfId="0" applyNumberFormat="1" applyFont="1" applyBorder="1" applyAlignment="1">
      <alignment horizontal="center" vertical="center"/>
    </xf>
    <xf numFmtId="172" fontId="12" fillId="0" borderId="10" xfId="0" applyNumberFormat="1" applyFont="1" applyBorder="1" applyAlignment="1">
      <alignment horizontal="center" vertical="center"/>
    </xf>
    <xf numFmtId="172" fontId="12" fillId="0" borderId="82" xfId="0" quotePrefix="1" applyNumberFormat="1" applyFont="1" applyBorder="1" applyAlignment="1">
      <alignment horizontal="center" vertical="center"/>
    </xf>
    <xf numFmtId="172" fontId="12" fillId="0" borderId="13" xfId="0" applyNumberFormat="1" applyFont="1" applyBorder="1" applyAlignment="1">
      <alignment horizontal="center" vertical="center"/>
    </xf>
    <xf numFmtId="171" fontId="12" fillId="0" borderId="21" xfId="0" applyNumberFormat="1" applyFont="1" applyBorder="1" applyAlignment="1">
      <alignment horizontal="center" vertical="center" wrapText="1"/>
    </xf>
    <xf numFmtId="164" fontId="12" fillId="0" borderId="34" xfId="0" applyNumberFormat="1" applyFont="1" applyBorder="1" applyAlignment="1">
      <alignment horizontal="center" vertical="center"/>
    </xf>
    <xf numFmtId="175" fontId="12" fillId="49" borderId="0" xfId="0" quotePrefix="1" applyNumberFormat="1" applyFont="1" applyFill="1" applyAlignment="1">
      <alignment horizontal="left" vertical="center"/>
    </xf>
    <xf numFmtId="175" fontId="12" fillId="49" borderId="38" xfId="0" quotePrefix="1" applyNumberFormat="1" applyFont="1" applyFill="1" applyBorder="1" applyAlignment="1">
      <alignment horizontal="left" vertical="center"/>
    </xf>
    <xf numFmtId="164" fontId="12" fillId="49" borderId="0" xfId="0" quotePrefix="1" applyNumberFormat="1" applyFont="1" applyFill="1" applyAlignment="1">
      <alignment horizontal="left" vertical="center"/>
    </xf>
    <xf numFmtId="164" fontId="15" fillId="50" borderId="0" xfId="0" applyNumberFormat="1" applyFont="1" applyFill="1" applyAlignment="1">
      <alignment horizontal="center" vertical="center"/>
    </xf>
    <xf numFmtId="167" fontId="12" fillId="50" borderId="0" xfId="0" applyNumberFormat="1" applyFont="1" applyFill="1" applyAlignment="1">
      <alignment horizontal="center" vertical="center"/>
    </xf>
    <xf numFmtId="164" fontId="12" fillId="50" borderId="0" xfId="0" applyNumberFormat="1" applyFont="1" applyFill="1" applyAlignment="1">
      <alignment horizontal="center" vertical="center"/>
    </xf>
    <xf numFmtId="0" fontId="18" fillId="0" borderId="22" xfId="0" applyFont="1" applyBorder="1"/>
    <xf numFmtId="188" fontId="127" fillId="0" borderId="0" xfId="109" applyNumberFormat="1" applyFont="1" applyAlignment="1">
      <alignment horizontal="center" vertical="center"/>
    </xf>
    <xf numFmtId="188" fontId="127" fillId="0" borderId="0" xfId="109" applyNumberFormat="1" applyFont="1" applyAlignment="1">
      <alignment horizontal="center" vertical="center" wrapText="1"/>
    </xf>
    <xf numFmtId="188" fontId="127" fillId="0" borderId="0" xfId="109" applyNumberFormat="1" applyFont="1" applyAlignment="1">
      <alignment horizontal="right" vertical="center"/>
    </xf>
    <xf numFmtId="188" fontId="127" fillId="0" borderId="30" xfId="109" applyNumberFormat="1" applyFont="1" applyBorder="1" applyAlignment="1">
      <alignment horizontal="center" vertical="center"/>
    </xf>
    <xf numFmtId="188" fontId="127" fillId="0" borderId="33" xfId="109" applyNumberFormat="1" applyFont="1" applyBorder="1" applyAlignment="1">
      <alignment horizontal="center" vertical="center"/>
    </xf>
    <xf numFmtId="176" fontId="127" fillId="0" borderId="0" xfId="109" applyNumberFormat="1" applyFont="1" applyAlignment="1">
      <alignment horizontal="center" vertical="center"/>
    </xf>
    <xf numFmtId="176" fontId="127" fillId="0" borderId="30" xfId="109" applyNumberFormat="1" applyFont="1" applyBorder="1" applyAlignment="1">
      <alignment horizontal="center" vertical="center"/>
    </xf>
    <xf numFmtId="176" fontId="127" fillId="0" borderId="0" xfId="109" applyNumberFormat="1" applyFont="1" applyAlignment="1">
      <alignment horizontal="left" vertical="center"/>
    </xf>
    <xf numFmtId="0" fontId="47" fillId="27" borderId="0" xfId="0" applyFont="1" applyFill="1" applyAlignment="1">
      <alignment vertical="center"/>
    </xf>
    <xf numFmtId="176" fontId="127" fillId="41" borderId="0" xfId="109" applyNumberFormat="1" applyFont="1" applyFill="1" applyAlignment="1">
      <alignment horizontal="center" vertical="center"/>
    </xf>
    <xf numFmtId="184" fontId="141" fillId="0" borderId="33" xfId="109" applyNumberFormat="1" applyFont="1" applyBorder="1" applyAlignment="1">
      <alignment horizontal="center" vertical="center"/>
    </xf>
    <xf numFmtId="164" fontId="127" fillId="0" borderId="33" xfId="109" applyNumberFormat="1" applyFont="1" applyBorder="1" applyAlignment="1">
      <alignment horizontal="center" vertical="center"/>
    </xf>
    <xf numFmtId="176" fontId="12" fillId="51" borderId="17" xfId="0" applyNumberFormat="1" applyFont="1" applyFill="1" applyBorder="1" applyAlignment="1">
      <alignment horizontal="center" vertical="center"/>
    </xf>
    <xf numFmtId="176" fontId="12" fillId="51" borderId="0" xfId="0" applyNumberFormat="1" applyFont="1" applyFill="1" applyAlignment="1">
      <alignment horizontal="center" vertical="center"/>
    </xf>
    <xf numFmtId="176" fontId="12" fillId="51" borderId="82" xfId="0" applyNumberFormat="1" applyFont="1" applyFill="1" applyBorder="1" applyAlignment="1">
      <alignment horizontal="center" vertical="center"/>
    </xf>
    <xf numFmtId="0" fontId="13" fillId="0" borderId="28" xfId="0" applyFont="1" applyBorder="1" applyAlignment="1">
      <alignment horizontal="left" vertical="center"/>
    </xf>
    <xf numFmtId="176" fontId="12" fillId="41" borderId="17" xfId="28" applyNumberFormat="1" applyFont="1" applyFill="1" applyBorder="1" applyAlignment="1" applyProtection="1">
      <alignment horizontal="center" vertical="center"/>
    </xf>
    <xf numFmtId="0" fontId="18" fillId="0" borderId="10" xfId="0" applyFont="1" applyBorder="1" applyAlignment="1">
      <alignment horizontal="center"/>
    </xf>
    <xf numFmtId="0" fontId="142" fillId="0" borderId="0" xfId="0" applyFont="1" applyAlignment="1">
      <alignment vertical="center"/>
    </xf>
    <xf numFmtId="0" fontId="64" fillId="25" borderId="0" xfId="0" applyFont="1" applyFill="1" applyAlignment="1">
      <alignment vertical="center"/>
    </xf>
    <xf numFmtId="0" fontId="143" fillId="25" borderId="0" xfId="0" applyFont="1" applyFill="1" applyAlignment="1">
      <alignment horizontal="left" vertical="center" wrapText="1"/>
    </xf>
    <xf numFmtId="0" fontId="143" fillId="0" borderId="0" xfId="0" applyFont="1"/>
    <xf numFmtId="0" fontId="13" fillId="0" borderId="82" xfId="0" applyFont="1" applyBorder="1" applyAlignment="1">
      <alignment horizontal="center" vertical="center"/>
    </xf>
    <xf numFmtId="0" fontId="37" fillId="0" borderId="0" xfId="0" applyFont="1" applyAlignment="1">
      <alignment horizontal="center"/>
    </xf>
    <xf numFmtId="0" fontId="13" fillId="0" borderId="21" xfId="0" applyFont="1" applyBorder="1" applyAlignment="1">
      <alignment horizontal="left" vertical="center"/>
    </xf>
    <xf numFmtId="164" fontId="13" fillId="29" borderId="26" xfId="0" applyNumberFormat="1" applyFont="1" applyFill="1" applyBorder="1" applyAlignment="1">
      <alignment horizontal="right" vertical="center"/>
    </xf>
    <xf numFmtId="164" fontId="43" fillId="27" borderId="0" xfId="0" applyNumberFormat="1" applyFont="1" applyFill="1" applyAlignment="1">
      <alignment horizontal="right" vertical="center"/>
    </xf>
    <xf numFmtId="164" fontId="43" fillId="27" borderId="11" xfId="0" applyNumberFormat="1" applyFont="1" applyFill="1" applyBorder="1" applyAlignment="1">
      <alignment horizontal="right" vertical="center"/>
    </xf>
    <xf numFmtId="164" fontId="43" fillId="39" borderId="0" xfId="0" applyNumberFormat="1" applyFont="1" applyFill="1" applyAlignment="1">
      <alignment horizontal="right" vertical="center"/>
    </xf>
    <xf numFmtId="0" fontId="13" fillId="0" borderId="85" xfId="0" applyFont="1" applyBorder="1" applyAlignment="1">
      <alignment horizontal="center" vertical="center"/>
    </xf>
    <xf numFmtId="164" fontId="43" fillId="39" borderId="82" xfId="0" applyNumberFormat="1" applyFont="1" applyFill="1" applyBorder="1" applyAlignment="1">
      <alignment horizontal="right" vertical="center"/>
    </xf>
    <xf numFmtId="0" fontId="0" fillId="40" borderId="13" xfId="0" applyFill="1" applyBorder="1" applyAlignment="1" applyProtection="1">
      <alignment horizontal="center"/>
      <protection locked="0"/>
    </xf>
    <xf numFmtId="164" fontId="13" fillId="32" borderId="34" xfId="0" applyNumberFormat="1" applyFont="1" applyFill="1" applyBorder="1" applyAlignment="1">
      <alignment horizontal="center" vertical="center"/>
    </xf>
    <xf numFmtId="166" fontId="12" fillId="0" borderId="0" xfId="0" applyNumberFormat="1" applyFont="1" applyAlignment="1">
      <alignment horizontal="center" vertical="center"/>
    </xf>
    <xf numFmtId="164" fontId="137" fillId="0" borderId="56" xfId="0" applyNumberFormat="1" applyFont="1" applyBorder="1" applyAlignment="1">
      <alignment horizontal="center" vertical="center"/>
    </xf>
    <xf numFmtId="164" fontId="137" fillId="0" borderId="13" xfId="0" applyNumberFormat="1" applyFont="1" applyBorder="1" applyAlignment="1">
      <alignment horizontal="center" vertical="center"/>
    </xf>
    <xf numFmtId="0" fontId="138" fillId="0" borderId="0" xfId="0" applyFont="1"/>
    <xf numFmtId="187" fontId="140" fillId="0" borderId="0" xfId="0" applyNumberFormat="1" applyFont="1" applyAlignment="1">
      <alignment vertical="top"/>
    </xf>
    <xf numFmtId="0" fontId="140" fillId="0" borderId="0" xfId="0" applyFont="1" applyAlignment="1">
      <alignment vertical="top"/>
    </xf>
    <xf numFmtId="0" fontId="137" fillId="0" borderId="24" xfId="0" quotePrefix="1" applyFont="1" applyBorder="1" applyAlignment="1">
      <alignment horizontal="center"/>
    </xf>
    <xf numFmtId="0" fontId="137" fillId="0" borderId="13" xfId="0" quotePrefix="1" applyFont="1" applyBorder="1" applyAlignment="1">
      <alignment horizontal="center"/>
    </xf>
    <xf numFmtId="0" fontId="12" fillId="55" borderId="24" xfId="0" applyFont="1" applyFill="1" applyBorder="1" applyAlignment="1" applyProtection="1">
      <alignment horizontal="center" vertical="center"/>
      <protection locked="0"/>
    </xf>
    <xf numFmtId="0" fontId="12" fillId="55" borderId="13" xfId="0" applyFont="1" applyFill="1" applyBorder="1" applyAlignment="1" applyProtection="1">
      <alignment horizontal="center" vertical="center"/>
      <protection locked="0"/>
    </xf>
    <xf numFmtId="171" fontId="12" fillId="50" borderId="21" xfId="0" applyNumberFormat="1" applyFont="1" applyFill="1" applyBorder="1" applyAlignment="1">
      <alignment horizontal="center" vertical="center"/>
    </xf>
    <xf numFmtId="171" fontId="12" fillId="0" borderId="21" xfId="0" applyNumberFormat="1" applyFont="1" applyBorder="1" applyAlignment="1">
      <alignment horizontal="center" vertical="center"/>
    </xf>
    <xf numFmtId="172" fontId="110" fillId="0" borderId="0" xfId="0" applyNumberFormat="1" applyFont="1" applyAlignment="1">
      <alignment horizontal="center" vertical="center"/>
    </xf>
    <xf numFmtId="171" fontId="12" fillId="50" borderId="82" xfId="0" applyNumberFormat="1" applyFont="1" applyFill="1" applyBorder="1" applyAlignment="1">
      <alignment horizontal="center" vertical="center"/>
    </xf>
    <xf numFmtId="172" fontId="12" fillId="0" borderId="10" xfId="0" quotePrefix="1" applyNumberFormat="1" applyFont="1" applyBorder="1" applyAlignment="1">
      <alignment horizontal="center" vertical="center"/>
    </xf>
    <xf numFmtId="171" fontId="18" fillId="0" borderId="0" xfId="0" applyNumberFormat="1" applyFont="1" applyAlignment="1">
      <alignment horizontal="center"/>
    </xf>
    <xf numFmtId="171" fontId="18" fillId="0" borderId="82" xfId="0" applyNumberFormat="1" applyFont="1" applyBorder="1" applyAlignment="1">
      <alignment horizontal="center"/>
    </xf>
    <xf numFmtId="171" fontId="18" fillId="0" borderId="17" xfId="0" applyNumberFormat="1" applyFont="1" applyBorder="1" applyAlignment="1">
      <alignment horizontal="center"/>
    </xf>
    <xf numFmtId="0" fontId="143" fillId="0" borderId="0" xfId="0" applyFont="1" applyAlignment="1">
      <alignment horizontal="center"/>
    </xf>
    <xf numFmtId="0" fontId="131" fillId="0" borderId="0" xfId="0" applyFont="1" applyAlignment="1">
      <alignment horizontal="left" vertical="center" wrapText="1"/>
    </xf>
    <xf numFmtId="0" fontId="21" fillId="0" borderId="0" xfId="0" applyFont="1" applyAlignment="1">
      <alignment horizontal="center" vertical="center"/>
    </xf>
    <xf numFmtId="0" fontId="29" fillId="0" borderId="38" xfId="64" applyFont="1" applyBorder="1" applyAlignment="1">
      <alignment horizontal="center"/>
    </xf>
    <xf numFmtId="0" fontId="18" fillId="25" borderId="88" xfId="0" applyFont="1" applyFill="1" applyBorder="1"/>
    <xf numFmtId="0" fontId="28" fillId="0" borderId="0" xfId="64" applyFont="1" applyAlignment="1">
      <alignment horizontal="left"/>
    </xf>
    <xf numFmtId="0" fontId="122" fillId="25" borderId="42" xfId="64" applyFont="1" applyFill="1" applyBorder="1" applyAlignment="1">
      <alignment horizontal="left"/>
    </xf>
    <xf numFmtId="2" fontId="18" fillId="25" borderId="64" xfId="64" applyNumberFormat="1" applyFont="1" applyFill="1" applyBorder="1" applyAlignment="1">
      <alignment horizontal="center"/>
    </xf>
    <xf numFmtId="2" fontId="122" fillId="25" borderId="54" xfId="64" applyNumberFormat="1" applyFont="1" applyFill="1" applyBorder="1" applyAlignment="1">
      <alignment horizontal="center"/>
    </xf>
    <xf numFmtId="0" fontId="18" fillId="40" borderId="42" xfId="64" applyFont="1" applyFill="1" applyBorder="1" applyAlignment="1">
      <alignment horizontal="left"/>
    </xf>
    <xf numFmtId="2" fontId="18" fillId="40" borderId="13" xfId="64" applyNumberFormat="1" applyFont="1" applyFill="1" applyBorder="1" applyAlignment="1">
      <alignment horizontal="center"/>
    </xf>
    <xf numFmtId="167" fontId="18" fillId="40" borderId="13" xfId="64" applyNumberFormat="1" applyFont="1" applyFill="1" applyBorder="1" applyAlignment="1">
      <alignment horizontal="center"/>
    </xf>
    <xf numFmtId="0" fontId="18" fillId="40" borderId="13" xfId="64" quotePrefix="1" applyFont="1" applyFill="1" applyBorder="1" applyAlignment="1">
      <alignment horizontal="center"/>
    </xf>
    <xf numFmtId="0" fontId="18" fillId="40" borderId="24" xfId="64" applyFont="1" applyFill="1" applyBorder="1"/>
    <xf numFmtId="0" fontId="18" fillId="40" borderId="42" xfId="0" applyFont="1" applyFill="1" applyBorder="1"/>
    <xf numFmtId="2" fontId="18" fillId="40" borderId="13" xfId="0" applyNumberFormat="1" applyFont="1" applyFill="1" applyBorder="1" applyAlignment="1">
      <alignment horizontal="center"/>
    </xf>
    <xf numFmtId="0" fontId="122" fillId="0" borderId="0" xfId="0" applyFont="1"/>
    <xf numFmtId="0" fontId="145" fillId="0" borderId="53" xfId="64" applyFont="1" applyBorder="1" applyAlignment="1">
      <alignment horizontal="center"/>
    </xf>
    <xf numFmtId="164" fontId="122" fillId="0" borderId="64" xfId="64" applyNumberFormat="1" applyFont="1" applyBorder="1" applyAlignment="1">
      <alignment horizontal="center"/>
    </xf>
    <xf numFmtId="0" fontId="122" fillId="0" borderId="39" xfId="64" applyFont="1" applyBorder="1" applyAlignment="1">
      <alignment horizontal="left"/>
    </xf>
    <xf numFmtId="164" fontId="122" fillId="0" borderId="54" xfId="64" applyNumberFormat="1" applyFont="1" applyBorder="1" applyAlignment="1">
      <alignment horizontal="center"/>
    </xf>
    <xf numFmtId="0" fontId="122" fillId="0" borderId="42" xfId="64" applyFont="1" applyBorder="1" applyAlignment="1">
      <alignment horizontal="left"/>
    </xf>
    <xf numFmtId="164" fontId="122" fillId="0" borderId="13" xfId="0" applyNumberFormat="1" applyFont="1" applyBorder="1" applyAlignment="1">
      <alignment horizontal="center"/>
    </xf>
    <xf numFmtId="2" fontId="122" fillId="0" borderId="13" xfId="0" applyNumberFormat="1" applyFont="1" applyBorder="1" applyAlignment="1">
      <alignment horizontal="center"/>
    </xf>
    <xf numFmtId="0" fontId="12" fillId="0" borderId="27" xfId="64" applyFont="1" applyBorder="1" applyAlignment="1">
      <alignment horizontal="left" vertical="center"/>
    </xf>
    <xf numFmtId="0" fontId="12" fillId="0" borderId="17" xfId="64" applyFont="1" applyBorder="1" applyAlignment="1">
      <alignment horizontal="left" vertical="center"/>
    </xf>
    <xf numFmtId="0" fontId="122" fillId="0" borderId="0" xfId="0" applyFont="1" applyAlignment="1">
      <alignment vertical="center"/>
    </xf>
    <xf numFmtId="172" fontId="125" fillId="0" borderId="0" xfId="0" applyNumberFormat="1" applyFont="1" applyAlignment="1">
      <alignment horizontal="center" vertical="center"/>
    </xf>
    <xf numFmtId="172" fontId="125" fillId="0" borderId="82" xfId="0" applyNumberFormat="1" applyFont="1" applyBorder="1" applyAlignment="1">
      <alignment horizontal="center" vertical="center"/>
    </xf>
    <xf numFmtId="0" fontId="86" fillId="0" borderId="0" xfId="0" quotePrefix="1" applyFont="1" applyAlignment="1">
      <alignment horizontal="left" vertical="center"/>
    </xf>
    <xf numFmtId="164" fontId="18" fillId="0" borderId="13" xfId="0" applyNumberFormat="1" applyFont="1" applyBorder="1" applyAlignment="1">
      <alignment vertical="center" wrapText="1"/>
    </xf>
    <xf numFmtId="164" fontId="108" fillId="0" borderId="0" xfId="0" applyNumberFormat="1" applyFont="1" applyAlignment="1">
      <alignment vertical="center" wrapText="1"/>
    </xf>
    <xf numFmtId="0" fontId="115" fillId="0" borderId="13" xfId="0" quotePrefix="1" applyFont="1" applyBorder="1" applyAlignment="1">
      <alignment horizontal="left" vertical="center"/>
    </xf>
    <xf numFmtId="0" fontId="115" fillId="0" borderId="13" xfId="0" applyFont="1" applyBorder="1" applyAlignment="1">
      <alignment horizontal="center" vertical="center"/>
    </xf>
    <xf numFmtId="0" fontId="115" fillId="0" borderId="0" xfId="0" applyFont="1" applyAlignment="1">
      <alignment horizontal="center" vertical="center"/>
    </xf>
    <xf numFmtId="0" fontId="13" fillId="0" borderId="94" xfId="0" applyFont="1" applyBorder="1" applyAlignment="1">
      <alignment horizontal="center" vertical="center" wrapText="1"/>
    </xf>
    <xf numFmtId="0" fontId="13" fillId="0" borderId="94" xfId="0" applyFont="1" applyBorder="1" applyAlignment="1">
      <alignment horizontal="center"/>
    </xf>
    <xf numFmtId="0" fontId="125" fillId="0" borderId="0" xfId="0" applyFont="1" applyAlignment="1">
      <alignment horizontal="center" vertical="center"/>
    </xf>
    <xf numFmtId="164" fontId="125" fillId="0" borderId="0" xfId="0" applyNumberFormat="1" applyFont="1" applyAlignment="1">
      <alignment horizontal="center" vertical="center"/>
    </xf>
    <xf numFmtId="1" fontId="125" fillId="0" borderId="0" xfId="0" applyNumberFormat="1" applyFont="1" applyAlignment="1">
      <alignment horizontal="center" vertical="center"/>
    </xf>
    <xf numFmtId="171" fontId="12" fillId="39" borderId="0" xfId="0" applyNumberFormat="1" applyFont="1" applyFill="1" applyAlignment="1">
      <alignment horizontal="center" vertical="center"/>
    </xf>
    <xf numFmtId="172" fontId="12" fillId="39" borderId="0" xfId="0" applyNumberFormat="1" applyFont="1" applyFill="1" applyAlignment="1">
      <alignment horizontal="center" vertical="center"/>
    </xf>
    <xf numFmtId="180" fontId="38" fillId="32" borderId="17" xfId="0" applyNumberFormat="1" applyFont="1" applyFill="1" applyBorder="1" applyAlignment="1">
      <alignment horizontal="center" vertical="center"/>
    </xf>
    <xf numFmtId="180" fontId="38" fillId="32" borderId="0" xfId="0" applyNumberFormat="1" applyFont="1" applyFill="1" applyAlignment="1">
      <alignment horizontal="center" vertical="center"/>
    </xf>
    <xf numFmtId="0" fontId="12" fillId="41" borderId="13" xfId="0" applyFont="1" applyFill="1" applyBorder="1" applyAlignment="1">
      <alignment horizontal="center" vertical="center"/>
    </xf>
    <xf numFmtId="2" fontId="12" fillId="41" borderId="51" xfId="0" applyNumberFormat="1" applyFont="1" applyFill="1" applyBorder="1" applyAlignment="1">
      <alignment horizontal="center" vertical="center"/>
    </xf>
    <xf numFmtId="0" fontId="85" fillId="0" borderId="0" xfId="0" applyFont="1" applyAlignment="1">
      <alignment horizontal="left" vertical="center"/>
    </xf>
    <xf numFmtId="176" fontId="126" fillId="0" borderId="82" xfId="0" applyNumberFormat="1" applyFont="1" applyBorder="1" applyAlignment="1">
      <alignment horizontal="center" vertical="center"/>
    </xf>
    <xf numFmtId="0" fontId="7" fillId="0" borderId="0" xfId="0" applyFont="1" applyAlignment="1">
      <alignment horizontal="right"/>
    </xf>
    <xf numFmtId="0" fontId="146" fillId="0" borderId="0" xfId="0" applyFont="1" applyAlignment="1">
      <alignment horizontal="left"/>
    </xf>
    <xf numFmtId="0" fontId="7" fillId="0" borderId="0" xfId="0" quotePrefix="1" applyFont="1" applyAlignment="1">
      <alignment horizontal="center"/>
    </xf>
    <xf numFmtId="171" fontId="12" fillId="0" borderId="0" xfId="0" applyNumberFormat="1" applyFont="1" applyAlignment="1">
      <alignment horizontal="center"/>
    </xf>
    <xf numFmtId="171" fontId="13" fillId="0" borderId="0" xfId="0" applyNumberFormat="1" applyFont="1" applyAlignment="1">
      <alignment horizontal="center"/>
    </xf>
    <xf numFmtId="171" fontId="13" fillId="42" borderId="0" xfId="0" applyNumberFormat="1" applyFont="1" applyFill="1" applyAlignment="1">
      <alignment horizontal="center"/>
    </xf>
    <xf numFmtId="171" fontId="12" fillId="0" borderId="0" xfId="0" quotePrefix="1" applyNumberFormat="1" applyFont="1" applyAlignment="1">
      <alignment horizontal="center" vertical="center"/>
    </xf>
    <xf numFmtId="171" fontId="12" fillId="0" borderId="82" xfId="0" quotePrefix="1" applyNumberFormat="1" applyFont="1" applyBorder="1" applyAlignment="1">
      <alignment horizontal="center" vertical="center"/>
    </xf>
    <xf numFmtId="164" fontId="147" fillId="0" borderId="0" xfId="0" applyNumberFormat="1" applyFont="1" applyAlignment="1">
      <alignment horizontal="center"/>
    </xf>
    <xf numFmtId="0" fontId="147" fillId="0" borderId="0" xfId="0" applyFont="1"/>
    <xf numFmtId="0" fontId="147" fillId="0" borderId="0" xfId="0" applyFont="1" applyAlignment="1">
      <alignment horizontal="left"/>
    </xf>
    <xf numFmtId="0" fontId="148" fillId="0" borderId="0" xfId="0" applyFont="1" applyAlignment="1">
      <alignment vertical="center"/>
    </xf>
    <xf numFmtId="164" fontId="146" fillId="0" borderId="0" xfId="0" applyNumberFormat="1" applyFont="1" applyAlignment="1">
      <alignment horizontal="center"/>
    </xf>
    <xf numFmtId="0" fontId="149" fillId="0" borderId="0" xfId="0" applyFont="1" applyAlignment="1">
      <alignment vertical="center"/>
    </xf>
    <xf numFmtId="0" fontId="18" fillId="0" borderId="28" xfId="0" applyFont="1" applyBorder="1"/>
    <xf numFmtId="172" fontId="12" fillId="41" borderId="0" xfId="0" applyNumberFormat="1" applyFont="1" applyFill="1" applyAlignment="1">
      <alignment horizontal="center" vertical="center"/>
    </xf>
    <xf numFmtId="175" fontId="12" fillId="0" borderId="10" xfId="0" applyNumberFormat="1" applyFont="1" applyBorder="1" applyAlignment="1">
      <alignment horizontal="right" vertical="center"/>
    </xf>
    <xf numFmtId="172" fontId="12" fillId="38" borderId="0" xfId="0" quotePrefix="1" applyNumberFormat="1" applyFont="1" applyFill="1" applyAlignment="1">
      <alignment horizontal="center" vertical="center"/>
    </xf>
    <xf numFmtId="164" fontId="12" fillId="0" borderId="82" xfId="0" applyNumberFormat="1" applyFont="1" applyBorder="1" applyAlignment="1">
      <alignment horizontal="left" vertical="center"/>
    </xf>
    <xf numFmtId="0" fontId="12" fillId="41" borderId="82" xfId="0" applyFont="1" applyFill="1" applyBorder="1" applyAlignment="1">
      <alignment horizontal="center" vertical="center"/>
    </xf>
    <xf numFmtId="172" fontId="125" fillId="0" borderId="0" xfId="0" quotePrefix="1" applyNumberFormat="1" applyFont="1" applyAlignment="1">
      <alignment horizontal="center" vertical="center"/>
    </xf>
    <xf numFmtId="164" fontId="19" fillId="0" borderId="0" xfId="0" applyNumberFormat="1" applyFont="1" applyAlignment="1">
      <alignment vertical="center" shrinkToFit="1"/>
    </xf>
    <xf numFmtId="0" fontId="12" fillId="0" borderId="0" xfId="0" applyFont="1" applyAlignment="1">
      <alignment vertical="top" wrapText="1"/>
    </xf>
    <xf numFmtId="0" fontId="12" fillId="0" borderId="10" xfId="0" applyFont="1" applyBorder="1" applyAlignment="1">
      <alignment vertical="top" wrapText="1"/>
    </xf>
    <xf numFmtId="0" fontId="12" fillId="0" borderId="82" xfId="0" applyFont="1" applyBorder="1" applyAlignment="1">
      <alignment horizontal="left" vertical="center" wrapText="1"/>
    </xf>
    <xf numFmtId="171" fontId="15" fillId="24" borderId="82" xfId="0" applyNumberFormat="1" applyFont="1" applyFill="1" applyBorder="1" applyAlignment="1">
      <alignment vertical="center"/>
    </xf>
    <xf numFmtId="0" fontId="15" fillId="0" borderId="82" xfId="0" applyFont="1" applyBorder="1" applyAlignment="1">
      <alignment horizontal="center" vertical="center"/>
    </xf>
    <xf numFmtId="164" fontId="132" fillId="0" borderId="82" xfId="0" applyNumberFormat="1" applyFont="1" applyBorder="1" applyAlignment="1">
      <alignment horizontal="center" vertical="center"/>
    </xf>
    <xf numFmtId="0" fontId="12" fillId="0" borderId="21" xfId="0" applyFont="1" applyBorder="1" applyAlignment="1">
      <alignment horizontal="left" vertical="center" wrapText="1"/>
    </xf>
    <xf numFmtId="0" fontId="12" fillId="24" borderId="21" xfId="0" applyFont="1" applyFill="1" applyBorder="1" applyAlignment="1">
      <alignment vertical="center"/>
    </xf>
    <xf numFmtId="0" fontId="0" fillId="0" borderId="21" xfId="0" applyBorder="1"/>
    <xf numFmtId="0" fontId="15" fillId="0" borderId="21" xfId="0" applyFont="1" applyBorder="1" applyAlignment="1">
      <alignment horizontal="center" vertical="center"/>
    </xf>
    <xf numFmtId="164" fontId="132" fillId="0" borderId="21" xfId="0" applyNumberFormat="1" applyFont="1" applyBorder="1" applyAlignment="1">
      <alignment horizontal="center" vertical="center"/>
    </xf>
    <xf numFmtId="0" fontId="12" fillId="0" borderId="61" xfId="0" applyFont="1" applyBorder="1" applyAlignment="1">
      <alignment horizontal="left" vertical="center" wrapText="1"/>
    </xf>
    <xf numFmtId="0" fontId="12" fillId="24" borderId="61" xfId="0" applyFont="1" applyFill="1" applyBorder="1" applyAlignment="1">
      <alignment vertical="center"/>
    </xf>
    <xf numFmtId="0" fontId="12" fillId="0" borderId="61" xfId="0" applyFont="1" applyBorder="1" applyAlignment="1">
      <alignment vertical="center"/>
    </xf>
    <xf numFmtId="0" fontId="12" fillId="24" borderId="61" xfId="0" applyFont="1" applyFill="1" applyBorder="1" applyAlignment="1">
      <alignment horizontal="center" vertical="center"/>
    </xf>
    <xf numFmtId="171" fontId="12" fillId="0" borderId="61" xfId="0" applyNumberFormat="1" applyFont="1" applyBorder="1" applyAlignment="1">
      <alignment horizontal="center" vertical="center"/>
    </xf>
    <xf numFmtId="0" fontId="0" fillId="0" borderId="61" xfId="0" applyBorder="1"/>
    <xf numFmtId="0" fontId="15" fillId="0" borderId="61" xfId="0" applyFont="1" applyBorder="1" applyAlignment="1">
      <alignment horizontal="center" vertical="center"/>
    </xf>
    <xf numFmtId="176" fontId="12" fillId="0" borderId="61" xfId="0" applyNumberFormat="1" applyFont="1" applyBorder="1" applyAlignment="1">
      <alignment horizontal="center" vertical="center"/>
    </xf>
    <xf numFmtId="164" fontId="132" fillId="0" borderId="61" xfId="0" applyNumberFormat="1" applyFont="1" applyBorder="1" applyAlignment="1">
      <alignment horizontal="center" vertical="center"/>
    </xf>
    <xf numFmtId="0" fontId="13" fillId="0" borderId="94" xfId="0" applyFont="1" applyBorder="1" applyAlignment="1">
      <alignment vertical="center"/>
    </xf>
    <xf numFmtId="173" fontId="111" fillId="0" borderId="0" xfId="0" applyNumberFormat="1" applyFont="1" applyAlignment="1">
      <alignment horizontal="center" vertical="center"/>
    </xf>
    <xf numFmtId="49" fontId="13" fillId="29" borderId="95" xfId="0" applyNumberFormat="1" applyFont="1" applyFill="1" applyBorder="1" applyAlignment="1">
      <alignment horizontal="right" vertical="center"/>
    </xf>
    <xf numFmtId="171" fontId="12" fillId="26" borderId="17" xfId="0" applyNumberFormat="1" applyFont="1" applyFill="1" applyBorder="1" applyAlignment="1">
      <alignment horizontal="center" vertical="center"/>
    </xf>
    <xf numFmtId="171" fontId="12" fillId="27" borderId="82" xfId="0" applyNumberFormat="1" applyFont="1" applyFill="1" applyBorder="1" applyAlignment="1">
      <alignment horizontal="center" vertical="center"/>
    </xf>
    <xf numFmtId="171" fontId="12" fillId="26" borderId="0" xfId="0" applyNumberFormat="1" applyFont="1" applyFill="1" applyAlignment="1">
      <alignment horizontal="center" vertical="center"/>
    </xf>
    <xf numFmtId="171" fontId="12" fillId="27" borderId="0" xfId="0" applyNumberFormat="1" applyFont="1" applyFill="1" applyAlignment="1">
      <alignment horizontal="center" vertical="center"/>
    </xf>
    <xf numFmtId="171" fontId="12" fillId="27" borderId="21" xfId="0" applyNumberFormat="1" applyFont="1" applyFill="1" applyBorder="1" applyAlignment="1">
      <alignment horizontal="center" vertical="center"/>
    </xf>
    <xf numFmtId="171" fontId="13" fillId="0" borderId="0" xfId="0" applyNumberFormat="1" applyFont="1" applyAlignment="1">
      <alignment horizontal="center" vertical="center"/>
    </xf>
    <xf numFmtId="0" fontId="12" fillId="39" borderId="86" xfId="0" applyFont="1" applyFill="1" applyBorder="1" applyAlignment="1">
      <alignment vertical="center"/>
    </xf>
    <xf numFmtId="2" fontId="12" fillId="0" borderId="94" xfId="0" applyNumberFormat="1" applyFont="1" applyBorder="1" applyAlignment="1">
      <alignment horizontal="center" vertical="center"/>
    </xf>
    <xf numFmtId="2" fontId="12" fillId="0" borderId="96" xfId="0" applyNumberFormat="1" applyFont="1" applyBorder="1" applyAlignment="1">
      <alignment horizontal="center" vertical="center"/>
    </xf>
    <xf numFmtId="164" fontId="111" fillId="0" borderId="0" xfId="0" applyNumberFormat="1" applyFont="1" applyAlignment="1">
      <alignment horizontal="center" vertical="center"/>
    </xf>
    <xf numFmtId="2" fontId="111" fillId="0" borderId="0" xfId="0" applyNumberFormat="1" applyFont="1" applyAlignment="1">
      <alignment horizontal="center" vertical="center"/>
    </xf>
    <xf numFmtId="2" fontId="111" fillId="0" borderId="82" xfId="0" applyNumberFormat="1" applyFont="1" applyBorder="1" applyAlignment="1">
      <alignment horizontal="center" vertical="center"/>
    </xf>
    <xf numFmtId="172" fontId="111" fillId="0" borderId="0" xfId="0" quotePrefix="1" applyNumberFormat="1" applyFont="1" applyAlignment="1">
      <alignment horizontal="center" vertical="center"/>
    </xf>
    <xf numFmtId="172" fontId="111" fillId="0" borderId="82" xfId="0" quotePrefix="1" applyNumberFormat="1" applyFont="1" applyBorder="1" applyAlignment="1">
      <alignment horizontal="center" vertical="center"/>
    </xf>
    <xf numFmtId="172" fontId="12" fillId="0" borderId="17" xfId="0" quotePrefix="1" applyNumberFormat="1" applyFont="1" applyBorder="1" applyAlignment="1">
      <alignment horizontal="center" vertical="center"/>
    </xf>
    <xf numFmtId="172" fontId="13" fillId="0" borderId="0" xfId="0" applyNumberFormat="1" applyFont="1" applyAlignment="1">
      <alignment horizontal="center" vertical="center"/>
    </xf>
    <xf numFmtId="164" fontId="151" fillId="32" borderId="0" xfId="0" applyNumberFormat="1" applyFont="1" applyFill="1" applyAlignment="1">
      <alignment horizontal="center" vertical="center"/>
    </xf>
    <xf numFmtId="0" fontId="111" fillId="24" borderId="0" xfId="0" applyFont="1" applyFill="1" applyAlignment="1">
      <alignment horizontal="center" vertical="center"/>
    </xf>
    <xf numFmtId="180" fontId="111" fillId="0" borderId="0" xfId="0" applyNumberFormat="1" applyFont="1" applyAlignment="1">
      <alignment horizontal="center" vertical="center"/>
    </xf>
    <xf numFmtId="164" fontId="111" fillId="0" borderId="82" xfId="0" applyNumberFormat="1" applyFont="1" applyBorder="1" applyAlignment="1">
      <alignment horizontal="center" vertical="center"/>
    </xf>
    <xf numFmtId="164" fontId="151" fillId="32" borderId="82" xfId="0" applyNumberFormat="1" applyFont="1" applyFill="1" applyBorder="1" applyAlignment="1">
      <alignment horizontal="center" vertical="center"/>
    </xf>
    <xf numFmtId="180" fontId="111" fillId="0" borderId="82" xfId="0" applyNumberFormat="1" applyFont="1" applyBorder="1" applyAlignment="1">
      <alignment horizontal="center" vertical="center"/>
    </xf>
    <xf numFmtId="0" fontId="111" fillId="24" borderId="82" xfId="0" applyFont="1" applyFill="1" applyBorder="1" applyAlignment="1">
      <alignment horizontal="center" vertical="center"/>
    </xf>
    <xf numFmtId="0" fontId="52" fillId="0" borderId="82" xfId="0" applyFont="1" applyBorder="1" applyAlignment="1">
      <alignment vertical="center"/>
    </xf>
    <xf numFmtId="0" fontId="12" fillId="57" borderId="0" xfId="0" applyFont="1" applyFill="1" applyAlignment="1">
      <alignment horizontal="center" vertical="center"/>
    </xf>
    <xf numFmtId="0" fontId="12" fillId="57" borderId="0" xfId="0" applyFont="1" applyFill="1" applyAlignment="1">
      <alignment vertical="center"/>
    </xf>
    <xf numFmtId="0" fontId="12" fillId="57" borderId="0" xfId="0" applyFont="1" applyFill="1" applyAlignment="1">
      <alignment horizontal="left" vertical="center"/>
    </xf>
    <xf numFmtId="0" fontId="13" fillId="57" borderId="0" xfId="0" applyFont="1" applyFill="1" applyAlignment="1">
      <alignment horizontal="right" vertical="center"/>
    </xf>
    <xf numFmtId="164" fontId="12" fillId="57" borderId="0" xfId="0" applyNumberFormat="1" applyFont="1" applyFill="1" applyAlignment="1">
      <alignment horizontal="left" vertical="center"/>
    </xf>
    <xf numFmtId="0" fontId="14" fillId="57" borderId="0" xfId="0" applyFont="1" applyFill="1" applyAlignment="1">
      <alignment horizontal="left" vertical="center"/>
    </xf>
    <xf numFmtId="2" fontId="12" fillId="57" borderId="0" xfId="0" applyNumberFormat="1" applyFont="1" applyFill="1" applyAlignment="1">
      <alignment horizontal="center" vertical="center"/>
    </xf>
    <xf numFmtId="164" fontId="12" fillId="57" borderId="0" xfId="0" applyNumberFormat="1" applyFont="1" applyFill="1" applyAlignment="1">
      <alignment horizontal="center" vertical="center"/>
    </xf>
    <xf numFmtId="2" fontId="12" fillId="57" borderId="0" xfId="0" applyNumberFormat="1" applyFont="1" applyFill="1" applyAlignment="1">
      <alignment vertical="center"/>
    </xf>
    <xf numFmtId="176" fontId="12" fillId="57" borderId="0" xfId="0" applyNumberFormat="1" applyFont="1" applyFill="1" applyAlignment="1">
      <alignment horizontal="center" vertical="center"/>
    </xf>
    <xf numFmtId="171" fontId="36" fillId="0" borderId="0" xfId="0" applyNumberFormat="1" applyFont="1"/>
    <xf numFmtId="171" fontId="18" fillId="0" borderId="0" xfId="0" applyNumberFormat="1" applyFont="1"/>
    <xf numFmtId="171" fontId="20" fillId="0" borderId="0" xfId="0" applyNumberFormat="1" applyFont="1"/>
    <xf numFmtId="171" fontId="18" fillId="24" borderId="0" xfId="0" applyNumberFormat="1" applyFont="1" applyFill="1"/>
    <xf numFmtId="171" fontId="20" fillId="0" borderId="0" xfId="0" applyNumberFormat="1" applyFont="1" applyAlignment="1">
      <alignment horizontal="center"/>
    </xf>
    <xf numFmtId="171" fontId="21" fillId="0" borderId="0" xfId="0" applyNumberFormat="1" applyFont="1"/>
    <xf numFmtId="172" fontId="20" fillId="0" borderId="0" xfId="0" applyNumberFormat="1" applyFont="1" applyAlignment="1">
      <alignment horizontal="center"/>
    </xf>
    <xf numFmtId="177" fontId="122" fillId="0" borderId="82" xfId="0" applyNumberFormat="1" applyFont="1" applyBorder="1" applyAlignment="1">
      <alignment horizontal="center"/>
    </xf>
    <xf numFmtId="184" fontId="127" fillId="44" borderId="0" xfId="109" applyNumberFormat="1" applyFont="1" applyFill="1" applyAlignment="1">
      <alignment horizontal="left" vertical="center"/>
    </xf>
    <xf numFmtId="188" fontId="127" fillId="44" borderId="0" xfId="109" applyNumberFormat="1" applyFont="1" applyFill="1" applyAlignment="1">
      <alignment horizontal="center" vertical="center"/>
    </xf>
    <xf numFmtId="171" fontId="13" fillId="0" borderId="82" xfId="0" applyNumberFormat="1" applyFont="1" applyBorder="1" applyAlignment="1">
      <alignment horizontal="center"/>
    </xf>
    <xf numFmtId="171" fontId="12" fillId="0" borderId="82" xfId="0" applyNumberFormat="1" applyFont="1" applyBorder="1" applyAlignment="1">
      <alignment horizontal="center"/>
    </xf>
    <xf numFmtId="171" fontId="12" fillId="0" borderId="0" xfId="141" applyNumberFormat="1" applyFont="1" applyAlignment="1">
      <alignment horizontal="center" vertical="center"/>
    </xf>
    <xf numFmtId="171" fontId="12" fillId="0" borderId="0" xfId="139" applyNumberFormat="1" applyFont="1" applyAlignment="1">
      <alignment horizontal="center" vertical="center"/>
    </xf>
    <xf numFmtId="171" fontId="12" fillId="0" borderId="82" xfId="141" applyNumberFormat="1" applyFont="1" applyBorder="1" applyAlignment="1">
      <alignment horizontal="center" vertical="center"/>
    </xf>
    <xf numFmtId="171" fontId="12" fillId="0" borderId="0" xfId="144" applyNumberFormat="1" applyFont="1" applyAlignment="1">
      <alignment horizontal="center" vertical="top"/>
    </xf>
    <xf numFmtId="171" fontId="12" fillId="0" borderId="0" xfId="143" applyNumberFormat="1" applyFont="1" applyAlignment="1">
      <alignment horizontal="center" vertical="center"/>
    </xf>
    <xf numFmtId="171" fontId="12" fillId="0" borderId="0" xfId="0" applyNumberFormat="1" applyFont="1"/>
    <xf numFmtId="0" fontId="12" fillId="27" borderId="82" xfId="0" applyFont="1" applyFill="1" applyBorder="1"/>
    <xf numFmtId="171" fontId="12" fillId="27" borderId="82" xfId="0" applyNumberFormat="1" applyFont="1" applyFill="1" applyBorder="1"/>
    <xf numFmtId="171" fontId="12" fillId="0" borderId="17" xfId="0" applyNumberFormat="1" applyFont="1" applyBorder="1" applyAlignment="1">
      <alignment horizontal="center"/>
    </xf>
    <xf numFmtId="171" fontId="13" fillId="39" borderId="82" xfId="0" applyNumberFormat="1" applyFont="1" applyFill="1" applyBorder="1" applyAlignment="1">
      <alignment horizontal="center"/>
    </xf>
    <xf numFmtId="171" fontId="12" fillId="0" borderId="0" xfId="140" applyNumberFormat="1" applyFont="1" applyAlignment="1">
      <alignment horizontal="center"/>
    </xf>
    <xf numFmtId="171" fontId="12" fillId="0" borderId="82" xfId="0" applyNumberFormat="1" applyFont="1" applyBorder="1"/>
    <xf numFmtId="171" fontId="12" fillId="0" borderId="17" xfId="0" applyNumberFormat="1" applyFont="1" applyBorder="1"/>
    <xf numFmtId="0" fontId="12" fillId="27" borderId="17" xfId="0" applyFont="1" applyFill="1" applyBorder="1"/>
    <xf numFmtId="171" fontId="12" fillId="27" borderId="17" xfId="0" applyNumberFormat="1" applyFont="1" applyFill="1" applyBorder="1"/>
    <xf numFmtId="171" fontId="12" fillId="0" borderId="0" xfId="119" applyNumberFormat="1" applyFont="1" applyAlignment="1">
      <alignment horizontal="center" vertical="center"/>
    </xf>
    <xf numFmtId="171" fontId="12" fillId="0" borderId="17" xfId="119" applyNumberFormat="1" applyFont="1" applyBorder="1" applyAlignment="1">
      <alignment horizontal="center" vertical="center"/>
    </xf>
    <xf numFmtId="171" fontId="12" fillId="0" borderId="82" xfId="119" applyNumberFormat="1" applyFont="1" applyBorder="1" applyAlignment="1">
      <alignment horizontal="center" vertical="center"/>
    </xf>
    <xf numFmtId="176" fontId="12" fillId="27" borderId="82" xfId="0" applyNumberFormat="1" applyFont="1" applyFill="1" applyBorder="1" applyAlignment="1">
      <alignment horizontal="center" vertical="center"/>
    </xf>
    <xf numFmtId="176" fontId="12" fillId="0" borderId="0" xfId="0" applyNumberFormat="1" applyFont="1"/>
    <xf numFmtId="175" fontId="12" fillId="0" borderId="0" xfId="0" applyNumberFormat="1" applyFont="1"/>
    <xf numFmtId="0" fontId="12" fillId="0" borderId="79" xfId="0" applyFont="1" applyBorder="1"/>
    <xf numFmtId="0" fontId="12" fillId="0" borderId="76" xfId="0" applyFont="1" applyBorder="1" applyAlignment="1">
      <alignment horizontal="right"/>
    </xf>
    <xf numFmtId="164" fontId="13" fillId="40" borderId="77" xfId="0" applyNumberFormat="1" applyFont="1" applyFill="1" applyBorder="1" applyAlignment="1" applyProtection="1">
      <alignment horizontal="center"/>
      <protection locked="0"/>
    </xf>
    <xf numFmtId="2" fontId="13" fillId="0" borderId="0" xfId="0" applyNumberFormat="1" applyFont="1"/>
    <xf numFmtId="0" fontId="12" fillId="0" borderId="14" xfId="0" applyFont="1" applyBorder="1"/>
    <xf numFmtId="0" fontId="12" fillId="0" borderId="14" xfId="0" applyFont="1" applyBorder="1" applyAlignment="1">
      <alignment horizontal="right"/>
    </xf>
    <xf numFmtId="164" fontId="13" fillId="40" borderId="78" xfId="0" applyNumberFormat="1" applyFont="1" applyFill="1" applyBorder="1" applyAlignment="1" applyProtection="1">
      <alignment horizontal="center"/>
      <protection locked="0"/>
    </xf>
    <xf numFmtId="0" fontId="12" fillId="41" borderId="0" xfId="0" applyFont="1" applyFill="1" applyAlignment="1">
      <alignment horizontal="center"/>
    </xf>
    <xf numFmtId="176" fontId="12" fillId="53" borderId="0" xfId="0" applyNumberFormat="1" applyFont="1" applyFill="1" applyAlignment="1">
      <alignment horizontal="center"/>
    </xf>
    <xf numFmtId="176" fontId="12" fillId="0" borderId="0" xfId="0" applyNumberFormat="1" applyFont="1" applyAlignment="1">
      <alignment horizontal="center"/>
    </xf>
    <xf numFmtId="0" fontId="12" fillId="42" borderId="0" xfId="0" applyFont="1" applyFill="1"/>
    <xf numFmtId="0" fontId="13" fillId="0" borderId="94" xfId="0" applyFont="1" applyBorder="1" applyAlignment="1">
      <alignment horizontal="center" vertical="center"/>
    </xf>
    <xf numFmtId="0" fontId="42" fillId="27" borderId="82" xfId="0" applyFont="1" applyFill="1" applyBorder="1" applyAlignment="1">
      <alignment horizontal="center"/>
    </xf>
    <xf numFmtId="0" fontId="12" fillId="27" borderId="82" xfId="0" applyFont="1" applyFill="1" applyBorder="1" applyAlignment="1">
      <alignment horizontal="center"/>
    </xf>
    <xf numFmtId="0" fontId="12" fillId="0" borderId="0" xfId="0" quotePrefix="1" applyFont="1" applyAlignment="1">
      <alignment horizontal="center"/>
    </xf>
    <xf numFmtId="171" fontId="111" fillId="0" borderId="0" xfId="0" applyNumberFormat="1" applyFont="1" applyAlignment="1">
      <alignment horizontal="center"/>
    </xf>
    <xf numFmtId="0" fontId="12" fillId="0" borderId="17" xfId="0" applyFont="1" applyBorder="1" applyAlignment="1">
      <alignment horizontal="center"/>
    </xf>
    <xf numFmtId="0" fontId="13" fillId="0" borderId="17" xfId="0" applyFont="1" applyBorder="1" applyAlignment="1">
      <alignment horizontal="left"/>
    </xf>
    <xf numFmtId="0" fontId="12" fillId="0" borderId="17" xfId="0" quotePrefix="1" applyFont="1" applyBorder="1" applyAlignment="1">
      <alignment horizontal="center"/>
    </xf>
    <xf numFmtId="0" fontId="12" fillId="0" borderId="17" xfId="0" applyFont="1" applyBorder="1"/>
    <xf numFmtId="0" fontId="13" fillId="0" borderId="17" xfId="0" applyFont="1" applyBorder="1"/>
    <xf numFmtId="0" fontId="12" fillId="0" borderId="17" xfId="0" quotePrefix="1" applyFont="1" applyBorder="1"/>
    <xf numFmtId="2" fontId="12" fillId="0" borderId="17" xfId="0" applyNumberFormat="1" applyFont="1" applyBorder="1" applyAlignment="1">
      <alignment horizontal="center"/>
    </xf>
    <xf numFmtId="0" fontId="12" fillId="0" borderId="0" xfId="0" quotePrefix="1" applyFont="1"/>
    <xf numFmtId="2" fontId="12" fillId="0" borderId="0" xfId="0" applyNumberFormat="1" applyFont="1" applyAlignment="1">
      <alignment horizontal="center"/>
    </xf>
    <xf numFmtId="0" fontId="12" fillId="39" borderId="82" xfId="0" applyFont="1" applyFill="1" applyBorder="1"/>
    <xf numFmtId="0" fontId="136" fillId="39" borderId="82" xfId="0" applyFont="1" applyFill="1" applyBorder="1"/>
    <xf numFmtId="49" fontId="116" fillId="0" borderId="0" xfId="0" applyNumberFormat="1" applyFont="1" applyAlignment="1">
      <alignment horizontal="center"/>
    </xf>
    <xf numFmtId="175" fontId="12" fillId="0" borderId="0" xfId="0" applyNumberFormat="1" applyFont="1" applyAlignment="1">
      <alignment horizontal="center"/>
    </xf>
    <xf numFmtId="164" fontId="116" fillId="0" borderId="82" xfId="0" applyNumberFormat="1" applyFont="1" applyBorder="1" applyAlignment="1">
      <alignment horizontal="center"/>
    </xf>
    <xf numFmtId="176" fontId="12" fillId="0" borderId="82" xfId="0" applyNumberFormat="1" applyFont="1" applyBorder="1" applyAlignment="1">
      <alignment horizontal="center"/>
    </xf>
    <xf numFmtId="175" fontId="12" fillId="0" borderId="82" xfId="0" applyNumberFormat="1" applyFont="1" applyBorder="1" applyAlignment="1">
      <alignment horizontal="center"/>
    </xf>
    <xf numFmtId="0" fontId="42" fillId="0" borderId="0" xfId="142" applyFont="1" applyAlignment="1">
      <alignment horizontal="center"/>
    </xf>
    <xf numFmtId="0" fontId="12" fillId="0" borderId="0" xfId="142" applyFont="1" applyAlignment="1">
      <alignment horizontal="center"/>
    </xf>
    <xf numFmtId="0" fontId="12" fillId="0" borderId="0" xfId="142" applyFont="1"/>
    <xf numFmtId="176" fontId="12" fillId="0" borderId="0" xfId="142" applyNumberFormat="1" applyFont="1" applyAlignment="1">
      <alignment horizontal="center" vertical="center"/>
    </xf>
    <xf numFmtId="0" fontId="12" fillId="0" borderId="0" xfId="140" applyFont="1"/>
    <xf numFmtId="0" fontId="12" fillId="0" borderId="0" xfId="142" quotePrefix="1" applyFont="1" applyAlignment="1">
      <alignment horizontal="center"/>
    </xf>
    <xf numFmtId="176" fontId="12" fillId="0" borderId="0" xfId="141" applyNumberFormat="1" applyFont="1"/>
    <xf numFmtId="175" fontId="12" fillId="0" borderId="0" xfId="141" quotePrefix="1" applyNumberFormat="1" applyFont="1" applyAlignment="1">
      <alignment horizontal="center" vertical="center"/>
    </xf>
    <xf numFmtId="0" fontId="12" fillId="0" borderId="0" xfId="141" applyFont="1" applyAlignment="1">
      <alignment vertical="center"/>
    </xf>
    <xf numFmtId="175" fontId="12" fillId="0" borderId="0" xfId="73" applyNumberFormat="1" applyFont="1" applyFill="1" applyBorder="1" applyAlignment="1" applyProtection="1">
      <alignment horizontal="center" vertical="center"/>
    </xf>
    <xf numFmtId="173" fontId="12" fillId="0" borderId="0" xfId="141" applyNumberFormat="1" applyFont="1" applyAlignment="1">
      <alignment horizontal="left" vertical="center"/>
    </xf>
    <xf numFmtId="173" fontId="12" fillId="0" borderId="82" xfId="141" applyNumberFormat="1" applyFont="1" applyBorder="1" applyAlignment="1">
      <alignment horizontal="left" vertical="center"/>
    </xf>
    <xf numFmtId="176" fontId="12" fillId="0" borderId="82" xfId="141" applyNumberFormat="1" applyFont="1" applyBorder="1"/>
    <xf numFmtId="175" fontId="12" fillId="0" borderId="82" xfId="0" applyNumberFormat="1" applyFont="1" applyBorder="1"/>
    <xf numFmtId="173" fontId="12" fillId="0" borderId="0" xfId="139" applyNumberFormat="1" applyFont="1" applyAlignment="1">
      <alignment horizontal="left" vertical="center"/>
    </xf>
    <xf numFmtId="176" fontId="12" fillId="0" borderId="82" xfId="0" applyNumberFormat="1" applyFont="1" applyBorder="1"/>
    <xf numFmtId="175" fontId="136" fillId="0" borderId="17" xfId="0" applyNumberFormat="1" applyFont="1" applyBorder="1" applyAlignment="1">
      <alignment horizontal="center"/>
    </xf>
    <xf numFmtId="175" fontId="136" fillId="0" borderId="0" xfId="0" applyNumberFormat="1" applyFont="1" applyAlignment="1">
      <alignment horizontal="center"/>
    </xf>
    <xf numFmtId="176" fontId="12" fillId="0" borderId="0" xfId="143" applyNumberFormat="1" applyFont="1"/>
    <xf numFmtId="0" fontId="12" fillId="0" borderId="0" xfId="143" applyFont="1" applyAlignment="1">
      <alignment vertical="center"/>
    </xf>
    <xf numFmtId="0" fontId="12" fillId="0" borderId="82" xfId="143" applyFont="1" applyBorder="1" applyAlignment="1">
      <alignment vertical="center"/>
    </xf>
    <xf numFmtId="176" fontId="12" fillId="0" borderId="17" xfId="0" applyNumberFormat="1" applyFont="1" applyBorder="1"/>
    <xf numFmtId="175" fontId="12" fillId="0" borderId="17" xfId="0" applyNumberFormat="1" applyFont="1" applyBorder="1"/>
    <xf numFmtId="172" fontId="12" fillId="0" borderId="0" xfId="0" quotePrefix="1" applyNumberFormat="1" applyFont="1" applyAlignment="1">
      <alignment horizontal="center"/>
    </xf>
    <xf numFmtId="0" fontId="12" fillId="39" borderId="17" xfId="0" applyFont="1" applyFill="1" applyBorder="1"/>
    <xf numFmtId="0" fontId="42" fillId="27" borderId="17" xfId="0" applyFont="1" applyFill="1" applyBorder="1" applyAlignment="1">
      <alignment horizontal="center"/>
    </xf>
    <xf numFmtId="0" fontId="12" fillId="27" borderId="17" xfId="0" applyFont="1" applyFill="1" applyBorder="1" applyAlignment="1">
      <alignment horizontal="center"/>
    </xf>
    <xf numFmtId="176" fontId="12" fillId="27" borderId="17" xfId="0" applyNumberFormat="1" applyFont="1" applyFill="1" applyBorder="1" applyAlignment="1">
      <alignment horizontal="center" vertical="center"/>
    </xf>
    <xf numFmtId="0" fontId="12" fillId="0" borderId="0" xfId="0" applyFont="1" applyAlignment="1">
      <alignment horizontal="right"/>
    </xf>
    <xf numFmtId="167" fontId="13" fillId="0" borderId="0" xfId="0" applyNumberFormat="1" applyFont="1" applyAlignment="1">
      <alignment horizontal="center" vertical="center"/>
    </xf>
    <xf numFmtId="14" fontId="116" fillId="0" borderId="0" xfId="0" applyNumberFormat="1" applyFont="1" applyAlignment="1">
      <alignment horizontal="center" vertical="center"/>
    </xf>
    <xf numFmtId="164" fontId="12" fillId="0" borderId="0" xfId="0" applyNumberFormat="1" applyFont="1" applyAlignment="1">
      <alignment horizontal="center"/>
    </xf>
    <xf numFmtId="167" fontId="12" fillId="0" borderId="0" xfId="0" applyNumberFormat="1" applyFont="1"/>
    <xf numFmtId="176" fontId="152" fillId="0" borderId="0" xfId="0" applyNumberFormat="1" applyFont="1" applyAlignment="1">
      <alignment horizontal="center"/>
    </xf>
    <xf numFmtId="0" fontId="13" fillId="0" borderId="0" xfId="0" applyFont="1" applyAlignment="1">
      <alignment horizontal="right"/>
    </xf>
    <xf numFmtId="167" fontId="13" fillId="0" borderId="0" xfId="0" applyNumberFormat="1" applyFont="1" applyAlignment="1">
      <alignment horizontal="center"/>
    </xf>
    <xf numFmtId="0" fontId="13" fillId="24" borderId="0" xfId="0" applyFont="1" applyFill="1" applyAlignment="1">
      <alignment horizontal="right"/>
    </xf>
    <xf numFmtId="0" fontId="12" fillId="24" borderId="0" xfId="0" applyFont="1" applyFill="1"/>
    <xf numFmtId="0" fontId="12" fillId="24" borderId="0" xfId="0" applyFont="1" applyFill="1" applyAlignment="1">
      <alignment horizontal="center"/>
    </xf>
    <xf numFmtId="164" fontId="12" fillId="24" borderId="0" xfId="0" applyNumberFormat="1" applyFont="1" applyFill="1" applyAlignment="1">
      <alignment horizontal="center"/>
    </xf>
    <xf numFmtId="167" fontId="12" fillId="24" borderId="0" xfId="0" applyNumberFormat="1" applyFont="1" applyFill="1"/>
    <xf numFmtId="176" fontId="12" fillId="24" borderId="0" xfId="0" applyNumberFormat="1" applyFont="1" applyFill="1" applyAlignment="1">
      <alignment horizontal="center"/>
    </xf>
    <xf numFmtId="0" fontId="13" fillId="25" borderId="0" xfId="0" applyFont="1" applyFill="1" applyAlignment="1">
      <alignment horizontal="center" vertical="center"/>
    </xf>
    <xf numFmtId="0" fontId="13" fillId="40" borderId="0" xfId="0" quotePrefix="1" applyFont="1" applyFill="1" applyAlignment="1">
      <alignment horizontal="center" vertical="center"/>
    </xf>
    <xf numFmtId="0" fontId="13" fillId="25" borderId="0" xfId="0" applyFont="1" applyFill="1" applyAlignment="1">
      <alignment horizontal="center" vertical="center" wrapText="1"/>
    </xf>
    <xf numFmtId="0" fontId="13" fillId="40" borderId="0" xfId="0" applyFont="1" applyFill="1" applyAlignment="1">
      <alignment horizontal="center" vertical="center"/>
    </xf>
    <xf numFmtId="164" fontId="13" fillId="25" borderId="0" xfId="0" applyNumberFormat="1" applyFont="1" applyFill="1" applyAlignment="1">
      <alignment horizontal="center" vertical="center" wrapText="1"/>
    </xf>
    <xf numFmtId="167" fontId="13" fillId="25" borderId="0" xfId="0" applyNumberFormat="1" applyFont="1" applyFill="1" applyAlignment="1">
      <alignment horizontal="center" vertical="center" wrapText="1"/>
    </xf>
    <xf numFmtId="176" fontId="13" fillId="25" borderId="0" xfId="0" applyNumberFormat="1" applyFont="1" applyFill="1" applyAlignment="1">
      <alignment horizontal="center" vertical="center" wrapText="1"/>
    </xf>
    <xf numFmtId="0" fontId="116" fillId="49" borderId="0" xfId="0" applyFont="1" applyFill="1"/>
    <xf numFmtId="0" fontId="13" fillId="49" borderId="0" xfId="0" applyFont="1" applyFill="1" applyAlignment="1">
      <alignment horizontal="center"/>
    </xf>
    <xf numFmtId="0" fontId="12" fillId="49" borderId="0" xfId="0" applyFont="1" applyFill="1" applyAlignment="1">
      <alignment horizontal="center"/>
    </xf>
    <xf numFmtId="164" fontId="12" fillId="49" borderId="0" xfId="0" applyNumberFormat="1" applyFont="1" applyFill="1"/>
    <xf numFmtId="164" fontId="12" fillId="49" borderId="0" xfId="0" applyNumberFormat="1" applyFont="1" applyFill="1" applyAlignment="1">
      <alignment horizontal="center"/>
    </xf>
    <xf numFmtId="167" fontId="12" fillId="49" borderId="0" xfId="0" applyNumberFormat="1" applyFont="1" applyFill="1"/>
    <xf numFmtId="176" fontId="12" fillId="49" borderId="0" xfId="0" applyNumberFormat="1" applyFont="1" applyFill="1" applyAlignment="1">
      <alignment horizontal="center"/>
    </xf>
    <xf numFmtId="0" fontId="12" fillId="26" borderId="0" xfId="0" applyFont="1" applyFill="1"/>
    <xf numFmtId="178" fontId="12" fillId="0" borderId="0" xfId="0" quotePrefix="1" applyNumberFormat="1" applyFont="1" applyAlignment="1">
      <alignment horizontal="center"/>
    </xf>
    <xf numFmtId="167" fontId="12" fillId="0" borderId="0" xfId="0" applyNumberFormat="1" applyFont="1" applyAlignment="1">
      <alignment horizontal="center"/>
    </xf>
    <xf numFmtId="176" fontId="125" fillId="0" borderId="0" xfId="0" applyNumberFormat="1" applyFont="1" applyAlignment="1">
      <alignment horizontal="center"/>
    </xf>
    <xf numFmtId="0" fontId="12" fillId="24" borderId="82" xfId="0" applyFont="1" applyFill="1" applyBorder="1"/>
    <xf numFmtId="178" fontId="12" fillId="0" borderId="82" xfId="0" quotePrefix="1" applyNumberFormat="1" applyFont="1" applyBorder="1" applyAlignment="1">
      <alignment horizontal="center"/>
    </xf>
    <xf numFmtId="164" fontId="12" fillId="0" borderId="82" xfId="0" applyNumberFormat="1" applyFont="1" applyBorder="1" applyAlignment="1">
      <alignment horizontal="center"/>
    </xf>
    <xf numFmtId="167" fontId="12" fillId="0" borderId="82" xfId="0" applyNumberFormat="1" applyFont="1" applyBorder="1" applyAlignment="1">
      <alignment horizontal="center"/>
    </xf>
    <xf numFmtId="0" fontId="12" fillId="0" borderId="0" xfId="0" applyFont="1" applyAlignment="1">
      <alignment horizontal="left"/>
    </xf>
    <xf numFmtId="164" fontId="12" fillId="0" borderId="0" xfId="0" applyNumberFormat="1" applyFont="1"/>
    <xf numFmtId="164" fontId="12" fillId="0" borderId="82" xfId="0" applyNumberFormat="1" applyFont="1" applyBorder="1"/>
    <xf numFmtId="0" fontId="13" fillId="0" borderId="82" xfId="0" applyFont="1" applyBorder="1"/>
    <xf numFmtId="178" fontId="12" fillId="0" borderId="0" xfId="0" applyNumberFormat="1" applyFont="1" applyAlignment="1">
      <alignment horizontal="center"/>
    </xf>
    <xf numFmtId="172" fontId="12" fillId="0" borderId="0" xfId="0" applyNumberFormat="1" applyFont="1" applyAlignment="1">
      <alignment horizontal="center"/>
    </xf>
    <xf numFmtId="172" fontId="12" fillId="0" borderId="82" xfId="0" applyNumberFormat="1" applyFont="1" applyBorder="1" applyAlignment="1">
      <alignment horizontal="center"/>
    </xf>
    <xf numFmtId="178" fontId="12" fillId="0" borderId="0" xfId="0" quotePrefix="1" applyNumberFormat="1" applyFont="1" applyAlignment="1">
      <alignment horizontal="center" vertical="center"/>
    </xf>
    <xf numFmtId="178" fontId="12" fillId="0" borderId="82" xfId="0" quotePrefix="1" applyNumberFormat="1" applyFont="1" applyBorder="1" applyAlignment="1">
      <alignment horizontal="center" vertical="center"/>
    </xf>
    <xf numFmtId="167" fontId="12" fillId="0" borderId="82" xfId="0" applyNumberFormat="1" applyFont="1" applyBorder="1" applyAlignment="1">
      <alignment horizontal="center" vertical="center"/>
    </xf>
    <xf numFmtId="164" fontId="12" fillId="0" borderId="0" xfId="0" quotePrefix="1" applyNumberFormat="1" applyFont="1" applyAlignment="1">
      <alignment horizontal="center"/>
    </xf>
    <xf numFmtId="164" fontId="13" fillId="49" borderId="0" xfId="0" applyNumberFormat="1" applyFont="1" applyFill="1" applyAlignment="1">
      <alignment horizontal="center"/>
    </xf>
    <xf numFmtId="171" fontId="13" fillId="49" borderId="0" xfId="0" applyNumberFormat="1" applyFont="1" applyFill="1" applyAlignment="1">
      <alignment horizontal="center"/>
    </xf>
    <xf numFmtId="167" fontId="13" fillId="49" borderId="0" xfId="0" applyNumberFormat="1" applyFont="1" applyFill="1" applyAlignment="1">
      <alignment horizontal="center"/>
    </xf>
    <xf numFmtId="176" fontId="13" fillId="49" borderId="0" xfId="0" applyNumberFormat="1" applyFont="1" applyFill="1" applyAlignment="1">
      <alignment horizontal="center"/>
    </xf>
    <xf numFmtId="0" fontId="116" fillId="49" borderId="82" xfId="0" applyFont="1" applyFill="1" applyBorder="1"/>
    <xf numFmtId="0" fontId="13" fillId="49" borderId="82" xfId="0" applyFont="1" applyFill="1" applyBorder="1" applyAlignment="1">
      <alignment horizontal="center"/>
    </xf>
    <xf numFmtId="164" fontId="13" fillId="49" borderId="82" xfId="0" applyNumberFormat="1" applyFont="1" applyFill="1" applyBorder="1" applyAlignment="1">
      <alignment horizontal="center"/>
    </xf>
    <xf numFmtId="0" fontId="12" fillId="49" borderId="82" xfId="0" applyFont="1" applyFill="1" applyBorder="1" applyAlignment="1">
      <alignment horizontal="center"/>
    </xf>
    <xf numFmtId="167" fontId="13" fillId="49" borderId="82" xfId="0" applyNumberFormat="1" applyFont="1" applyFill="1" applyBorder="1" applyAlignment="1">
      <alignment horizontal="center"/>
    </xf>
    <xf numFmtId="176" fontId="13" fillId="49" borderId="82" xfId="0" applyNumberFormat="1" applyFont="1" applyFill="1" applyBorder="1" applyAlignment="1">
      <alignment horizontal="center"/>
    </xf>
    <xf numFmtId="0" fontId="152" fillId="0" borderId="0" xfId="0" applyFont="1" applyAlignment="1">
      <alignment horizontal="center"/>
    </xf>
    <xf numFmtId="0" fontId="12" fillId="24" borderId="17" xfId="0" applyFont="1" applyFill="1" applyBorder="1"/>
    <xf numFmtId="178" fontId="12" fillId="0" borderId="17" xfId="0" quotePrefix="1" applyNumberFormat="1" applyFont="1" applyBorder="1" applyAlignment="1">
      <alignment horizontal="center"/>
    </xf>
    <xf numFmtId="164" fontId="12" fillId="0" borderId="17" xfId="0" applyNumberFormat="1" applyFont="1" applyBorder="1" applyAlignment="1">
      <alignment horizontal="center"/>
    </xf>
    <xf numFmtId="167" fontId="12" fillId="0" borderId="17" xfId="0" applyNumberFormat="1" applyFont="1" applyBorder="1" applyAlignment="1">
      <alignment horizontal="center"/>
    </xf>
    <xf numFmtId="176" fontId="125" fillId="0" borderId="17" xfId="0" applyNumberFormat="1" applyFont="1" applyBorder="1" applyAlignment="1">
      <alignment horizontal="center"/>
    </xf>
    <xf numFmtId="0" fontId="12" fillId="0" borderId="82" xfId="0" applyFont="1" applyBorder="1" applyAlignment="1">
      <alignment horizontal="right"/>
    </xf>
    <xf numFmtId="178" fontId="12" fillId="0" borderId="82" xfId="0" applyNumberFormat="1" applyFont="1" applyBorder="1" applyAlignment="1">
      <alignment horizontal="center"/>
    </xf>
    <xf numFmtId="164" fontId="12" fillId="0" borderId="82" xfId="0" quotePrefix="1" applyNumberFormat="1" applyFont="1" applyBorder="1" applyAlignment="1">
      <alignment horizontal="center"/>
    </xf>
    <xf numFmtId="164" fontId="12" fillId="0" borderId="17" xfId="0" quotePrefix="1" applyNumberFormat="1" applyFont="1" applyBorder="1" applyAlignment="1">
      <alignment horizontal="center"/>
    </xf>
    <xf numFmtId="176" fontId="12" fillId="0" borderId="17" xfId="0" applyNumberFormat="1" applyFont="1" applyBorder="1" applyAlignment="1">
      <alignment horizontal="center"/>
    </xf>
    <xf numFmtId="0" fontId="12" fillId="0" borderId="95" xfId="0" applyFont="1" applyBorder="1" applyAlignment="1">
      <alignment horizontal="center"/>
    </xf>
    <xf numFmtId="167" fontId="12" fillId="0" borderId="82" xfId="0" applyNumberFormat="1" applyFont="1" applyBorder="1"/>
    <xf numFmtId="0" fontId="12" fillId="0" borderId="17" xfId="0" applyFont="1" applyBorder="1" applyAlignment="1">
      <alignment horizontal="left"/>
    </xf>
    <xf numFmtId="0" fontId="12" fillId="0" borderId="82" xfId="0" applyFont="1" applyBorder="1" applyAlignment="1">
      <alignment horizontal="left"/>
    </xf>
    <xf numFmtId="0" fontId="12" fillId="24" borderId="61" xfId="0" applyFont="1" applyFill="1" applyBorder="1"/>
    <xf numFmtId="0" fontId="12" fillId="0" borderId="12" xfId="0" applyFont="1" applyBorder="1" applyAlignment="1">
      <alignment horizontal="center"/>
    </xf>
    <xf numFmtId="0" fontId="12" fillId="0" borderId="11" xfId="0" applyFont="1" applyBorder="1" applyAlignment="1">
      <alignment horizontal="center"/>
    </xf>
    <xf numFmtId="0" fontId="12" fillId="0" borderId="86" xfId="0" applyFont="1" applyBorder="1" applyAlignment="1">
      <alignment horizontal="center"/>
    </xf>
    <xf numFmtId="0" fontId="12" fillId="0" borderId="85" xfId="0" applyFont="1" applyBorder="1" applyAlignment="1">
      <alignment horizontal="center"/>
    </xf>
    <xf numFmtId="0" fontId="153" fillId="49" borderId="0" xfId="0" applyFont="1" applyFill="1" applyAlignment="1">
      <alignment horizontal="left"/>
    </xf>
    <xf numFmtId="0" fontId="153" fillId="49" borderId="82" xfId="0" applyFont="1" applyFill="1" applyBorder="1" applyAlignment="1">
      <alignment horizontal="left"/>
    </xf>
    <xf numFmtId="176" fontId="125" fillId="0" borderId="82" xfId="0" applyNumberFormat="1" applyFont="1" applyBorder="1" applyAlignment="1">
      <alignment horizontal="center"/>
    </xf>
    <xf numFmtId="167" fontId="13" fillId="0" borderId="82" xfId="0" applyNumberFormat="1" applyFont="1" applyBorder="1" applyAlignment="1">
      <alignment horizontal="center"/>
    </xf>
    <xf numFmtId="172" fontId="111" fillId="0" borderId="0" xfId="0" applyNumberFormat="1" applyFont="1" applyAlignment="1">
      <alignment horizontal="center" vertical="center"/>
    </xf>
    <xf numFmtId="172" fontId="111" fillId="0" borderId="82" xfId="0" applyNumberFormat="1" applyFont="1" applyBorder="1" applyAlignment="1">
      <alignment horizontal="center" vertical="center"/>
    </xf>
    <xf numFmtId="1" fontId="30" fillId="40" borderId="34" xfId="0" applyNumberFormat="1" applyFont="1" applyFill="1" applyBorder="1" applyAlignment="1" applyProtection="1">
      <alignment horizontal="center" vertical="center"/>
      <protection locked="0"/>
    </xf>
    <xf numFmtId="164" fontId="12" fillId="0" borderId="32" xfId="0" applyNumberFormat="1" applyFont="1" applyBorder="1" applyAlignment="1">
      <alignment horizontal="left" vertical="center"/>
    </xf>
    <xf numFmtId="164" fontId="12" fillId="0" borderId="33" xfId="0" applyNumberFormat="1" applyFont="1" applyBorder="1" applyAlignment="1">
      <alignment horizontal="left" vertical="center"/>
    </xf>
    <xf numFmtId="164" fontId="12" fillId="0" borderId="34" xfId="0" applyNumberFormat="1" applyFont="1" applyBorder="1" applyAlignment="1">
      <alignment horizontal="left" vertical="center"/>
    </xf>
    <xf numFmtId="0" fontId="18" fillId="0" borderId="82" xfId="64" applyFont="1" applyBorder="1"/>
    <xf numFmtId="171" fontId="21" fillId="0" borderId="0" xfId="0" applyNumberFormat="1" applyFont="1" applyAlignment="1">
      <alignment horizontal="center"/>
    </xf>
    <xf numFmtId="172" fontId="18" fillId="0" borderId="0" xfId="0" applyNumberFormat="1" applyFont="1" applyAlignment="1">
      <alignment horizontal="center"/>
    </xf>
    <xf numFmtId="172" fontId="18" fillId="0" borderId="82" xfId="0" applyNumberFormat="1" applyFont="1" applyBorder="1" applyAlignment="1">
      <alignment horizontal="center"/>
    </xf>
    <xf numFmtId="188" fontId="47" fillId="44" borderId="33" xfId="109" applyNumberFormat="1" applyFont="1" applyFill="1" applyBorder="1" applyAlignment="1">
      <alignment horizontal="center" vertical="center"/>
    </xf>
    <xf numFmtId="188" fontId="47" fillId="0" borderId="33" xfId="109" applyNumberFormat="1" applyFont="1" applyBorder="1" applyAlignment="1">
      <alignment horizontal="center" vertical="center"/>
    </xf>
    <xf numFmtId="184" fontId="127" fillId="0" borderId="33" xfId="109" applyNumberFormat="1" applyFont="1" applyBorder="1" applyAlignment="1">
      <alignment horizontal="right" vertical="center"/>
    </xf>
    <xf numFmtId="188" fontId="154" fillId="0" borderId="0" xfId="109" applyNumberFormat="1" applyFont="1" applyAlignment="1">
      <alignment horizontal="center" vertical="center"/>
    </xf>
    <xf numFmtId="0" fontId="154" fillId="0" borderId="0" xfId="109" applyFont="1" applyAlignment="1">
      <alignment horizontal="center" vertical="center"/>
    </xf>
    <xf numFmtId="164" fontId="127" fillId="44" borderId="0" xfId="109" applyNumberFormat="1" applyFont="1" applyFill="1" applyAlignment="1">
      <alignment horizontal="center" vertical="center"/>
    </xf>
    <xf numFmtId="171" fontId="12" fillId="0" borderId="0" xfId="141" applyNumberFormat="1" applyFont="1"/>
    <xf numFmtId="176" fontId="12" fillId="41" borderId="15" xfId="28" applyNumberFormat="1" applyFont="1" applyFill="1" applyBorder="1" applyAlignment="1" applyProtection="1">
      <alignment horizontal="center" vertical="center"/>
    </xf>
    <xf numFmtId="175" fontId="12" fillId="0" borderId="15" xfId="28" applyNumberFormat="1" applyFont="1" applyFill="1" applyBorder="1" applyAlignment="1" applyProtection="1">
      <alignment horizontal="center" vertical="center"/>
    </xf>
    <xf numFmtId="175" fontId="12" fillId="0" borderId="15" xfId="0" applyNumberFormat="1" applyFont="1" applyBorder="1" applyAlignment="1">
      <alignment horizontal="center" vertical="center"/>
    </xf>
    <xf numFmtId="0" fontId="12" fillId="0" borderId="15" xfId="0" applyFont="1" applyBorder="1" applyAlignment="1">
      <alignment horizontal="center" vertical="center"/>
    </xf>
    <xf numFmtId="175" fontId="155" fillId="24" borderId="0" xfId="0" applyNumberFormat="1" applyFont="1" applyFill="1" applyAlignment="1">
      <alignment horizontal="left" vertical="center"/>
    </xf>
    <xf numFmtId="172" fontId="12" fillId="0" borderId="61" xfId="0" applyNumberFormat="1" applyFont="1" applyBorder="1" applyAlignment="1">
      <alignment horizontal="center" vertical="center"/>
    </xf>
    <xf numFmtId="0" fontId="13" fillId="0" borderId="0" xfId="0" applyFont="1" applyAlignment="1">
      <alignment vertical="center" wrapText="1"/>
    </xf>
    <xf numFmtId="0" fontId="12" fillId="0" borderId="97" xfId="0" applyFont="1" applyBorder="1" applyAlignment="1">
      <alignment horizontal="center" vertical="center"/>
    </xf>
    <xf numFmtId="0" fontId="13" fillId="0" borderId="98" xfId="0" applyFont="1" applyBorder="1" applyAlignment="1">
      <alignment horizontal="left" vertical="center"/>
    </xf>
    <xf numFmtId="0" fontId="38" fillId="0" borderId="98" xfId="0" applyFont="1" applyBorder="1" applyAlignment="1">
      <alignment horizontal="left" vertical="center"/>
    </xf>
    <xf numFmtId="0" fontId="16" fillId="0" borderId="98" xfId="0" applyFont="1" applyBorder="1" applyAlignment="1">
      <alignment vertical="center"/>
    </xf>
    <xf numFmtId="0" fontId="13" fillId="0" borderId="98" xfId="0" applyFont="1" applyBorder="1" applyAlignment="1">
      <alignment vertical="center"/>
    </xf>
    <xf numFmtId="0" fontId="13" fillId="24" borderId="98" xfId="0" applyFont="1" applyFill="1" applyBorder="1" applyAlignment="1">
      <alignment horizontal="center" vertical="center"/>
    </xf>
    <xf numFmtId="0" fontId="12" fillId="0" borderId="98" xfId="0" applyFont="1" applyBorder="1" applyAlignment="1">
      <alignment horizontal="center" vertical="center"/>
    </xf>
    <xf numFmtId="164" fontId="12" fillId="0" borderId="98" xfId="0" applyNumberFormat="1" applyFont="1" applyBorder="1" applyAlignment="1">
      <alignment horizontal="center" vertical="center"/>
    </xf>
    <xf numFmtId="0" fontId="12" fillId="0" borderId="98" xfId="0" quotePrefix="1" applyFont="1" applyBorder="1" applyAlignment="1">
      <alignment horizontal="center" vertical="center"/>
    </xf>
    <xf numFmtId="0" fontId="156" fillId="0" borderId="98" xfId="0" applyFont="1" applyBorder="1"/>
    <xf numFmtId="171" fontId="12" fillId="0" borderId="98" xfId="0" applyNumberFormat="1" applyFont="1" applyBorder="1" applyAlignment="1">
      <alignment horizontal="center" vertical="center"/>
    </xf>
    <xf numFmtId="176" fontId="125" fillId="0" borderId="98" xfId="0" applyNumberFormat="1" applyFont="1" applyBorder="1" applyAlignment="1">
      <alignment horizontal="center" vertical="center"/>
    </xf>
    <xf numFmtId="175" fontId="12" fillId="0" borderId="98" xfId="0" applyNumberFormat="1" applyFont="1" applyBorder="1" applyAlignment="1">
      <alignment horizontal="center" vertical="center"/>
    </xf>
    <xf numFmtId="0" fontId="38" fillId="0" borderId="82" xfId="0" applyFont="1" applyBorder="1" applyAlignment="1">
      <alignment horizontal="left" vertical="center"/>
    </xf>
    <xf numFmtId="172" fontId="156" fillId="0" borderId="82" xfId="0" applyNumberFormat="1" applyFont="1" applyBorder="1"/>
    <xf numFmtId="172" fontId="156" fillId="0" borderId="98" xfId="0" applyNumberFormat="1" applyFont="1" applyBorder="1"/>
    <xf numFmtId="176" fontId="12" fillId="0" borderId="98" xfId="0" applyNumberFormat="1" applyFont="1" applyBorder="1" applyAlignment="1">
      <alignment horizontal="center" vertical="center"/>
    </xf>
    <xf numFmtId="0" fontId="157" fillId="0" borderId="97" xfId="0" applyFont="1" applyBorder="1" applyAlignment="1">
      <alignment horizontal="left" vertical="center"/>
    </xf>
    <xf numFmtId="0" fontId="12" fillId="0" borderId="99" xfId="0" applyFont="1" applyBorder="1" applyAlignment="1">
      <alignment horizontal="center" vertical="center"/>
    </xf>
    <xf numFmtId="0" fontId="12" fillId="0" borderId="97" xfId="0" applyFont="1" applyBorder="1" applyAlignment="1">
      <alignment horizontal="left" vertical="center"/>
    </xf>
    <xf numFmtId="0" fontId="12" fillId="24" borderId="99" xfId="0" applyFont="1" applyFill="1" applyBorder="1" applyAlignment="1">
      <alignment horizontal="center" vertical="center"/>
    </xf>
    <xf numFmtId="0" fontId="157" fillId="0" borderId="97" xfId="0" applyFont="1" applyBorder="1" applyAlignment="1">
      <alignment horizontal="center" vertical="center"/>
    </xf>
    <xf numFmtId="172" fontId="12" fillId="0" borderId="97" xfId="0" applyNumberFormat="1" applyFont="1" applyBorder="1" applyAlignment="1">
      <alignment horizontal="center" vertical="center"/>
    </xf>
    <xf numFmtId="171" fontId="44" fillId="0" borderId="0" xfId="0" applyNumberFormat="1" applyFont="1" applyAlignment="1">
      <alignment horizontal="center" vertical="center"/>
    </xf>
    <xf numFmtId="172" fontId="44" fillId="0" borderId="0" xfId="0" applyNumberFormat="1" applyFont="1" applyAlignment="1">
      <alignment horizontal="center" vertical="center"/>
    </xf>
    <xf numFmtId="0" fontId="44" fillId="0" borderId="10" xfId="0" applyFont="1" applyBorder="1" applyAlignment="1">
      <alignment horizontal="center" vertical="center"/>
    </xf>
    <xf numFmtId="0" fontId="44" fillId="0" borderId="10" xfId="0" quotePrefix="1" applyFont="1" applyBorder="1" applyAlignment="1">
      <alignment horizontal="center" vertical="center"/>
    </xf>
    <xf numFmtId="171" fontId="44" fillId="0" borderId="10" xfId="0" applyNumberFormat="1" applyFont="1" applyBorder="1" applyAlignment="1">
      <alignment horizontal="center" vertical="center"/>
    </xf>
    <xf numFmtId="0" fontId="44" fillId="0" borderId="82" xfId="0" quotePrefix="1" applyFont="1" applyBorder="1" applyAlignment="1">
      <alignment horizontal="center" vertical="center"/>
    </xf>
    <xf numFmtId="0" fontId="44" fillId="0" borderId="82" xfId="0" applyFont="1" applyBorder="1" applyAlignment="1">
      <alignment horizontal="center" vertical="center"/>
    </xf>
    <xf numFmtId="171" fontId="44" fillId="0" borderId="82" xfId="0" applyNumberFormat="1" applyFont="1" applyBorder="1" applyAlignment="1">
      <alignment horizontal="center" vertical="center"/>
    </xf>
    <xf numFmtId="0" fontId="16" fillId="41" borderId="13" xfId="0" applyFont="1" applyFill="1" applyBorder="1" applyAlignment="1">
      <alignment horizontal="center" vertical="top" wrapText="1"/>
    </xf>
    <xf numFmtId="0" fontId="12" fillId="41" borderId="61" xfId="0" applyFont="1" applyFill="1" applyBorder="1" applyAlignment="1">
      <alignment horizontal="center" vertical="center"/>
    </xf>
    <xf numFmtId="0" fontId="12" fillId="41" borderId="10" xfId="0" applyFont="1" applyFill="1" applyBorder="1" applyAlignment="1">
      <alignment horizontal="center" vertical="center"/>
    </xf>
    <xf numFmtId="0" fontId="12" fillId="41" borderId="21" xfId="0" applyFont="1" applyFill="1" applyBorder="1" applyAlignment="1">
      <alignment horizontal="center" vertical="center"/>
    </xf>
    <xf numFmtId="0" fontId="12" fillId="41" borderId="15" xfId="0" applyFont="1" applyFill="1" applyBorder="1" applyAlignment="1">
      <alignment horizontal="center" vertical="center"/>
    </xf>
    <xf numFmtId="0" fontId="12" fillId="41" borderId="17" xfId="0" applyFont="1" applyFill="1" applyBorder="1" applyAlignment="1">
      <alignment horizontal="center" vertical="center"/>
    </xf>
    <xf numFmtId="0" fontId="18" fillId="41" borderId="0" xfId="0" applyFont="1" applyFill="1" applyAlignment="1">
      <alignment horizontal="center"/>
    </xf>
    <xf numFmtId="0" fontId="18" fillId="41" borderId="82" xfId="0" applyFont="1" applyFill="1" applyBorder="1" applyAlignment="1">
      <alignment horizontal="center"/>
    </xf>
    <xf numFmtId="175" fontId="12" fillId="41" borderId="10" xfId="0" applyNumberFormat="1" applyFont="1" applyFill="1" applyBorder="1" applyAlignment="1">
      <alignment horizontal="center" vertical="center"/>
    </xf>
    <xf numFmtId="175" fontId="12" fillId="41" borderId="22" xfId="0" applyNumberFormat="1" applyFont="1" applyFill="1" applyBorder="1" applyAlignment="1">
      <alignment horizontal="center" vertical="center"/>
    </xf>
    <xf numFmtId="0" fontId="12" fillId="41" borderId="22" xfId="0" applyFont="1" applyFill="1" applyBorder="1" applyAlignment="1">
      <alignment horizontal="center" vertical="center"/>
    </xf>
    <xf numFmtId="176" fontId="126" fillId="41" borderId="0" xfId="0" applyNumberFormat="1" applyFont="1" applyFill="1" applyAlignment="1">
      <alignment horizontal="center" vertical="center"/>
    </xf>
    <xf numFmtId="0" fontId="16" fillId="28" borderId="10" xfId="0" applyFont="1" applyFill="1" applyBorder="1" applyAlignment="1">
      <alignment horizontal="left" vertical="center" indent="1"/>
    </xf>
    <xf numFmtId="171" fontId="125" fillId="0" borderId="82" xfId="0" applyNumberFormat="1" applyFont="1" applyBorder="1" applyAlignment="1">
      <alignment horizontal="center" vertical="center"/>
    </xf>
    <xf numFmtId="171" fontId="125" fillId="0" borderId="0" xfId="0" applyNumberFormat="1" applyFont="1" applyAlignment="1">
      <alignment horizontal="center" vertical="center"/>
    </xf>
    <xf numFmtId="164" fontId="125" fillId="0" borderId="0" xfId="0" applyNumberFormat="1" applyFont="1" applyAlignment="1">
      <alignment horizontal="left" vertical="center"/>
    </xf>
    <xf numFmtId="0" fontId="16" fillId="41" borderId="13" xfId="0" applyFont="1" applyFill="1" applyBorder="1" applyAlignment="1">
      <alignment horizontal="center" wrapText="1"/>
    </xf>
    <xf numFmtId="0" fontId="38" fillId="0" borderId="17" xfId="0" applyFont="1" applyBorder="1" applyAlignment="1">
      <alignment vertical="center"/>
    </xf>
    <xf numFmtId="176" fontId="51" fillId="0" borderId="10" xfId="0" applyNumberFormat="1" applyFont="1" applyBorder="1" applyAlignment="1">
      <alignment horizontal="center" vertical="center"/>
    </xf>
    <xf numFmtId="0" fontId="51" fillId="0" borderId="17" xfId="0" applyFont="1" applyBorder="1" applyAlignment="1">
      <alignment horizontal="center" vertical="center"/>
    </xf>
    <xf numFmtId="175" fontId="13" fillId="0" borderId="10" xfId="0" applyNumberFormat="1" applyFont="1" applyBorder="1" applyAlignment="1">
      <alignment horizontal="center" vertical="center"/>
    </xf>
    <xf numFmtId="173" fontId="44" fillId="0" borderId="0" xfId="0" applyNumberFormat="1" applyFont="1" applyAlignment="1">
      <alignment horizontal="center" vertical="center"/>
    </xf>
    <xf numFmtId="173" fontId="44" fillId="0" borderId="10" xfId="0" applyNumberFormat="1" applyFont="1" applyBorder="1" applyAlignment="1">
      <alignment horizontal="center" vertical="center"/>
    </xf>
    <xf numFmtId="173" fontId="44" fillId="0" borderId="82" xfId="0" applyNumberFormat="1" applyFont="1" applyBorder="1" applyAlignment="1">
      <alignment horizontal="center" vertical="center"/>
    </xf>
    <xf numFmtId="0" fontId="38" fillId="0" borderId="0" xfId="0" applyFont="1" applyAlignment="1">
      <alignment vertical="center"/>
    </xf>
    <xf numFmtId="0" fontId="36" fillId="26" borderId="82" xfId="0" applyFont="1" applyFill="1" applyBorder="1" applyAlignment="1">
      <alignment horizontal="left" vertical="center"/>
    </xf>
    <xf numFmtId="0" fontId="12" fillId="26" borderId="82" xfId="0" applyFont="1" applyFill="1" applyBorder="1" applyAlignment="1">
      <alignment horizontal="left" vertical="center"/>
    </xf>
    <xf numFmtId="0" fontId="13" fillId="26" borderId="82" xfId="0" applyFont="1" applyFill="1" applyBorder="1" applyAlignment="1">
      <alignment vertical="center"/>
    </xf>
    <xf numFmtId="0" fontId="12" fillId="26" borderId="82" xfId="0" applyFont="1" applyFill="1" applyBorder="1" applyAlignment="1">
      <alignment horizontal="center" vertical="center"/>
    </xf>
    <xf numFmtId="164" fontId="12" fillId="26" borderId="82" xfId="0" applyNumberFormat="1" applyFont="1" applyFill="1" applyBorder="1" applyAlignment="1">
      <alignment horizontal="center" vertical="center"/>
    </xf>
    <xf numFmtId="0" fontId="12" fillId="26" borderId="82" xfId="0" quotePrefix="1" applyFont="1" applyFill="1" applyBorder="1" applyAlignment="1">
      <alignment horizontal="center" vertical="center"/>
    </xf>
    <xf numFmtId="171" fontId="12" fillId="26" borderId="82" xfId="0" applyNumberFormat="1" applyFont="1" applyFill="1" applyBorder="1" applyAlignment="1">
      <alignment horizontal="center" vertical="center"/>
    </xf>
    <xf numFmtId="175" fontId="12" fillId="26" borderId="82" xfId="0" applyNumberFormat="1" applyFont="1" applyFill="1" applyBorder="1" applyAlignment="1">
      <alignment horizontal="center" vertical="center"/>
    </xf>
    <xf numFmtId="175" fontId="13" fillId="26" borderId="82" xfId="0" applyNumberFormat="1" applyFont="1" applyFill="1" applyBorder="1" applyAlignment="1">
      <alignment horizontal="center" vertical="center"/>
    </xf>
    <xf numFmtId="0" fontId="12" fillId="24" borderId="82" xfId="0" applyFont="1" applyFill="1" applyBorder="1" applyAlignment="1">
      <alignment horizontal="center" vertical="top"/>
    </xf>
    <xf numFmtId="0" fontId="12" fillId="0" borderId="82" xfId="0" applyFont="1" applyBorder="1" applyAlignment="1">
      <alignment horizontal="left" vertical="top"/>
    </xf>
    <xf numFmtId="164" fontId="12" fillId="0" borderId="82" xfId="0" applyNumberFormat="1" applyFont="1" applyBorder="1" applyAlignment="1">
      <alignment horizontal="center" vertical="top"/>
    </xf>
    <xf numFmtId="0" fontId="12" fillId="0" borderId="98" xfId="0" applyFont="1" applyBorder="1"/>
    <xf numFmtId="172" fontId="12" fillId="0" borderId="82" xfId="0" applyNumberFormat="1" applyFont="1" applyBorder="1"/>
    <xf numFmtId="172" fontId="12" fillId="0" borderId="98" xfId="0" applyNumberFormat="1" applyFont="1" applyBorder="1"/>
    <xf numFmtId="175" fontId="18" fillId="0" borderId="0" xfId="0" applyNumberFormat="1" applyFont="1" applyAlignment="1">
      <alignment horizontal="center" vertical="center"/>
    </xf>
    <xf numFmtId="1" fontId="20" fillId="0" borderId="0" xfId="62" applyNumberFormat="1" applyFont="1" applyAlignment="1">
      <alignment horizontal="center" wrapText="1"/>
    </xf>
    <xf numFmtId="172" fontId="44" fillId="0" borderId="0" xfId="0" quotePrefix="1" applyNumberFormat="1" applyFont="1" applyAlignment="1">
      <alignment horizontal="center" vertical="center"/>
    </xf>
    <xf numFmtId="0" fontId="44" fillId="0" borderId="82" xfId="0" applyFont="1" applyBorder="1" applyAlignment="1">
      <alignment vertical="center"/>
    </xf>
    <xf numFmtId="172" fontId="44" fillId="0" borderId="82" xfId="0" quotePrefix="1" applyNumberFormat="1" applyFont="1" applyBorder="1" applyAlignment="1">
      <alignment horizontal="center" vertical="center"/>
    </xf>
    <xf numFmtId="171" fontId="44" fillId="0" borderId="0" xfId="0" applyNumberFormat="1" applyFont="1" applyAlignment="1">
      <alignment horizontal="center"/>
    </xf>
    <xf numFmtId="172" fontId="44" fillId="0" borderId="82" xfId="0" applyNumberFormat="1" applyFont="1" applyBorder="1" applyAlignment="1">
      <alignment horizontal="center"/>
    </xf>
    <xf numFmtId="171" fontId="44" fillId="0" borderId="82" xfId="0" applyNumberFormat="1" applyFont="1" applyBorder="1" applyAlignment="1">
      <alignment horizontal="center"/>
    </xf>
    <xf numFmtId="172" fontId="44" fillId="0" borderId="82" xfId="0" applyNumberFormat="1" applyFont="1" applyBorder="1" applyAlignment="1">
      <alignment horizontal="center" vertical="center"/>
    </xf>
    <xf numFmtId="176" fontId="44" fillId="0" borderId="0" xfId="0" applyNumberFormat="1" applyFont="1" applyAlignment="1">
      <alignment horizontal="center"/>
    </xf>
    <xf numFmtId="172" fontId="44" fillId="0" borderId="0" xfId="0" applyNumberFormat="1" applyFont="1" applyAlignment="1">
      <alignment horizontal="center"/>
    </xf>
    <xf numFmtId="0" fontId="44" fillId="0" borderId="82" xfId="0" applyFont="1" applyBorder="1" applyAlignment="1">
      <alignment horizontal="center"/>
    </xf>
    <xf numFmtId="172" fontId="12" fillId="0" borderId="28" xfId="0" applyNumberFormat="1" applyFont="1" applyBorder="1" applyAlignment="1">
      <alignment horizontal="center" vertical="center"/>
    </xf>
    <xf numFmtId="0" fontId="12" fillId="41" borderId="28" xfId="0" applyFont="1" applyFill="1" applyBorder="1" applyAlignment="1">
      <alignment horizontal="center" vertical="center"/>
    </xf>
    <xf numFmtId="0" fontId="0" fillId="0" borderId="28" xfId="0" applyBorder="1"/>
    <xf numFmtId="175" fontId="12" fillId="41" borderId="21" xfId="0" applyNumberFormat="1" applyFont="1" applyFill="1" applyBorder="1" applyAlignment="1">
      <alignment horizontal="center" vertical="center"/>
    </xf>
    <xf numFmtId="0" fontId="12" fillId="41" borderId="97" xfId="0" applyFont="1" applyFill="1" applyBorder="1" applyAlignment="1">
      <alignment horizontal="center" vertical="center"/>
    </xf>
    <xf numFmtId="175" fontId="13" fillId="41" borderId="0" xfId="0" applyNumberFormat="1" applyFont="1" applyFill="1" applyAlignment="1">
      <alignment horizontal="center" vertical="center"/>
    </xf>
    <xf numFmtId="0" fontId="116" fillId="41" borderId="0" xfId="0" applyFont="1" applyFill="1" applyAlignment="1">
      <alignment horizontal="center" vertical="center"/>
    </xf>
    <xf numFmtId="0" fontId="116" fillId="41" borderId="10" xfId="0" applyFont="1" applyFill="1" applyBorder="1" applyAlignment="1">
      <alignment horizontal="center" vertical="center"/>
    </xf>
    <xf numFmtId="164" fontId="132" fillId="41" borderId="0" xfId="0" applyNumberFormat="1" applyFont="1" applyFill="1" applyAlignment="1">
      <alignment horizontal="center" vertical="center"/>
    </xf>
    <xf numFmtId="164" fontId="132" fillId="41" borderId="10" xfId="0" applyNumberFormat="1" applyFont="1" applyFill="1" applyBorder="1" applyAlignment="1">
      <alignment horizontal="center" vertical="center"/>
    </xf>
    <xf numFmtId="164" fontId="132" fillId="41" borderId="82" xfId="0" applyNumberFormat="1" applyFont="1" applyFill="1" applyBorder="1" applyAlignment="1">
      <alignment horizontal="center" vertical="center"/>
    </xf>
    <xf numFmtId="164" fontId="132" fillId="41" borderId="21" xfId="0" applyNumberFormat="1" applyFont="1" applyFill="1" applyBorder="1" applyAlignment="1">
      <alignment horizontal="center" vertical="center"/>
    </xf>
    <xf numFmtId="164" fontId="132" fillId="41" borderId="61" xfId="0" applyNumberFormat="1" applyFont="1" applyFill="1" applyBorder="1" applyAlignment="1">
      <alignment horizontal="center" vertical="center"/>
    </xf>
    <xf numFmtId="164" fontId="16" fillId="41" borderId="0" xfId="0" applyNumberFormat="1" applyFont="1" applyFill="1" applyAlignment="1">
      <alignment horizontal="center" vertical="center"/>
    </xf>
    <xf numFmtId="175" fontId="12" fillId="41" borderId="82" xfId="0" applyNumberFormat="1" applyFont="1" applyFill="1" applyBorder="1" applyAlignment="1">
      <alignment horizontal="center" vertical="center"/>
    </xf>
    <xf numFmtId="14" fontId="18" fillId="0" borderId="28" xfId="0" applyNumberFormat="1" applyFont="1" applyBorder="1"/>
    <xf numFmtId="0" fontId="158" fillId="0" borderId="0" xfId="0" applyFont="1" applyAlignment="1">
      <alignment vertical="center"/>
    </xf>
    <xf numFmtId="0" fontId="159" fillId="0" borderId="0" xfId="0" applyFont="1" applyAlignment="1">
      <alignment horizontal="left" vertical="center"/>
    </xf>
    <xf numFmtId="0" fontId="158" fillId="0" borderId="0" xfId="0" applyFont="1" applyAlignment="1">
      <alignment vertical="center" wrapText="1"/>
    </xf>
    <xf numFmtId="0" fontId="49" fillId="27" borderId="36" xfId="0" applyFont="1" applyFill="1" applyBorder="1" applyAlignment="1">
      <alignment horizontal="center" vertical="center"/>
    </xf>
    <xf numFmtId="0" fontId="49" fillId="27" borderId="21" xfId="0" applyFont="1" applyFill="1" applyBorder="1" applyAlignment="1">
      <alignment horizontal="center" vertical="center"/>
    </xf>
    <xf numFmtId="0" fontId="49" fillId="27" borderId="35" xfId="0" applyFont="1" applyFill="1" applyBorder="1" applyAlignment="1">
      <alignment horizontal="center" vertical="center"/>
    </xf>
    <xf numFmtId="0" fontId="12" fillId="0" borderId="0" xfId="0" applyFont="1" applyAlignment="1">
      <alignment horizontal="left" vertical="center" wrapText="1"/>
    </xf>
    <xf numFmtId="0" fontId="12" fillId="0" borderId="10" xfId="0" applyFont="1" applyBorder="1" applyAlignment="1">
      <alignment horizontal="left" vertical="center" wrapText="1"/>
    </xf>
    <xf numFmtId="0" fontId="13" fillId="28" borderId="40" xfId="0" applyFont="1" applyFill="1" applyBorder="1" applyAlignment="1">
      <alignment horizontal="center" vertical="center"/>
    </xf>
    <xf numFmtId="0" fontId="13" fillId="28" borderId="64" xfId="0" applyFont="1" applyFill="1" applyBorder="1" applyAlignment="1">
      <alignment horizontal="center" vertical="center"/>
    </xf>
    <xf numFmtId="172" fontId="13" fillId="28" borderId="13" xfId="0" applyNumberFormat="1" applyFont="1" applyFill="1" applyBorder="1" applyAlignment="1">
      <alignment horizontal="center" vertical="center"/>
    </xf>
    <xf numFmtId="172" fontId="13" fillId="28" borderId="54" xfId="0" applyNumberFormat="1" applyFont="1" applyFill="1" applyBorder="1" applyAlignment="1">
      <alignment horizontal="center" vertical="center"/>
    </xf>
    <xf numFmtId="0" fontId="13" fillId="29" borderId="26" xfId="0" applyFont="1" applyFill="1" applyBorder="1" applyAlignment="1">
      <alignment horizontal="right" vertical="center"/>
    </xf>
    <xf numFmtId="0" fontId="18" fillId="29" borderId="0" xfId="0" applyFont="1" applyFill="1" applyAlignment="1">
      <alignment horizontal="right" vertical="center"/>
    </xf>
    <xf numFmtId="0" fontId="13" fillId="28" borderId="13" xfId="0" applyFont="1" applyFill="1" applyBorder="1" applyAlignment="1">
      <alignment horizontal="center" vertical="center"/>
    </xf>
    <xf numFmtId="0" fontId="13" fillId="28" borderId="54" xfId="0" applyFont="1" applyFill="1" applyBorder="1" applyAlignment="1">
      <alignment horizontal="center" vertical="center"/>
    </xf>
    <xf numFmtId="164" fontId="13" fillId="28" borderId="40" xfId="0" applyNumberFormat="1" applyFont="1" applyFill="1" applyBorder="1" applyAlignment="1">
      <alignment horizontal="center" vertical="center"/>
    </xf>
    <xf numFmtId="164" fontId="13" fillId="28" borderId="13" xfId="0" applyNumberFormat="1" applyFont="1" applyFill="1" applyBorder="1" applyAlignment="1">
      <alignment horizontal="center" vertical="center"/>
    </xf>
    <xf numFmtId="0" fontId="13" fillId="29" borderId="0" xfId="0" applyFont="1" applyFill="1" applyAlignment="1">
      <alignment horizontal="right" vertical="center"/>
    </xf>
    <xf numFmtId="164" fontId="43" fillId="27" borderId="26" xfId="0" applyNumberFormat="1" applyFont="1" applyFill="1" applyBorder="1" applyAlignment="1">
      <alignment horizontal="right" vertical="center"/>
    </xf>
    <xf numFmtId="164" fontId="43" fillId="27" borderId="0" xfId="0" applyNumberFormat="1" applyFont="1" applyFill="1" applyAlignment="1">
      <alignment horizontal="right" vertical="center"/>
    </xf>
    <xf numFmtId="164" fontId="43" fillId="27" borderId="11" xfId="0" applyNumberFormat="1" applyFont="1" applyFill="1" applyBorder="1" applyAlignment="1">
      <alignment horizontal="right" vertical="center"/>
    </xf>
    <xf numFmtId="0" fontId="13" fillId="0" borderId="0" xfId="0" applyFont="1" applyAlignment="1">
      <alignment horizontal="center" vertical="center"/>
    </xf>
    <xf numFmtId="0" fontId="12" fillId="0" borderId="0" xfId="0" applyFont="1" applyAlignment="1">
      <alignment horizontal="center" vertical="center"/>
    </xf>
    <xf numFmtId="0" fontId="12" fillId="0" borderId="28" xfId="0" applyFont="1" applyBorder="1" applyAlignment="1">
      <alignment horizontal="left" vertical="center" wrapText="1"/>
    </xf>
    <xf numFmtId="0" fontId="12" fillId="0" borderId="82" xfId="0" applyFont="1" applyBorder="1" applyAlignment="1">
      <alignment horizontal="left" vertical="center" wrapText="1"/>
    </xf>
    <xf numFmtId="0" fontId="125" fillId="0" borderId="82" xfId="0" applyFont="1" applyBorder="1" applyAlignment="1">
      <alignment horizontal="left" vertical="center" wrapText="1"/>
    </xf>
    <xf numFmtId="172" fontId="12" fillId="0" borderId="0" xfId="0" applyNumberFormat="1" applyFont="1" applyAlignment="1">
      <alignment horizontal="center" vertical="center"/>
    </xf>
    <xf numFmtId="0" fontId="20" fillId="40" borderId="36" xfId="0" applyFont="1" applyFill="1" applyBorder="1" applyAlignment="1" applyProtection="1">
      <alignment horizontal="left" vertical="center"/>
      <protection locked="0"/>
    </xf>
    <xf numFmtId="0" fontId="20" fillId="40" borderId="21" xfId="0" applyFont="1" applyFill="1" applyBorder="1" applyAlignment="1" applyProtection="1">
      <alignment horizontal="left" vertical="center"/>
      <protection locked="0"/>
    </xf>
    <xf numFmtId="0" fontId="20" fillId="40" borderId="35" xfId="0" applyFont="1" applyFill="1" applyBorder="1" applyAlignment="1" applyProtection="1">
      <alignment horizontal="left" vertical="center"/>
      <protection locked="0"/>
    </xf>
    <xf numFmtId="0" fontId="12" fillId="0" borderId="22" xfId="0" applyFont="1" applyBorder="1" applyAlignment="1">
      <alignment horizontal="left" vertical="center" wrapText="1"/>
    </xf>
    <xf numFmtId="0" fontId="13" fillId="0" borderId="36" xfId="0" applyFont="1" applyBorder="1" applyAlignment="1">
      <alignment horizontal="left" vertical="center"/>
    </xf>
    <xf numFmtId="0" fontId="13" fillId="0" borderId="21" xfId="0" applyFont="1" applyBorder="1" applyAlignment="1">
      <alignment horizontal="left" vertical="center"/>
    </xf>
    <xf numFmtId="0" fontId="13" fillId="0" borderId="35" xfId="0" applyFont="1" applyBorder="1" applyAlignment="1">
      <alignment horizontal="left" vertical="center"/>
    </xf>
    <xf numFmtId="0" fontId="109" fillId="0" borderId="0" xfId="97" applyFont="1" applyAlignment="1">
      <alignment horizontal="center" vertical="center" wrapText="1"/>
    </xf>
    <xf numFmtId="0" fontId="30" fillId="25" borderId="36" xfId="0" applyFont="1" applyFill="1" applyBorder="1" applyAlignment="1" applyProtection="1">
      <alignment horizontal="center" vertical="center"/>
      <protection locked="0"/>
    </xf>
    <xf numFmtId="0" fontId="30" fillId="25" borderId="21" xfId="0" applyFont="1" applyFill="1" applyBorder="1" applyAlignment="1" applyProtection="1">
      <alignment horizontal="center" vertical="center"/>
      <protection locked="0"/>
    </xf>
    <xf numFmtId="0" fontId="30" fillId="25" borderId="35" xfId="0" applyFont="1" applyFill="1" applyBorder="1" applyAlignment="1" applyProtection="1">
      <alignment horizontal="center" vertical="center"/>
      <protection locked="0"/>
    </xf>
    <xf numFmtId="164" fontId="12" fillId="33" borderId="36" xfId="0" applyNumberFormat="1" applyFont="1" applyFill="1" applyBorder="1" applyAlignment="1">
      <alignment horizontal="center" vertical="center"/>
    </xf>
    <xf numFmtId="164" fontId="12" fillId="33" borderId="35" xfId="0" applyNumberFormat="1" applyFont="1" applyFill="1" applyBorder="1" applyAlignment="1">
      <alignment horizontal="center" vertical="center"/>
    </xf>
    <xf numFmtId="0" fontId="13" fillId="25" borderId="36" xfId="0" applyFont="1" applyFill="1" applyBorder="1" applyAlignment="1" applyProtection="1">
      <alignment horizontal="center" vertical="center" wrapText="1"/>
      <protection locked="0"/>
    </xf>
    <xf numFmtId="0" fontId="13" fillId="25" borderId="21" xfId="0" applyFont="1" applyFill="1" applyBorder="1" applyAlignment="1" applyProtection="1">
      <alignment horizontal="center" vertical="center" wrapText="1"/>
      <protection locked="0"/>
    </xf>
    <xf numFmtId="0" fontId="13" fillId="25" borderId="35" xfId="0" applyFont="1" applyFill="1" applyBorder="1" applyAlignment="1" applyProtection="1">
      <alignment horizontal="center" vertical="center" wrapText="1"/>
      <protection locked="0"/>
    </xf>
    <xf numFmtId="0" fontId="20" fillId="0" borderId="0" xfId="0" applyFont="1" applyAlignment="1">
      <alignment horizontal="center" vertical="center"/>
    </xf>
    <xf numFmtId="164" fontId="13" fillId="29" borderId="26" xfId="0" applyNumberFormat="1" applyFont="1" applyFill="1" applyBorder="1" applyAlignment="1">
      <alignment horizontal="right" vertical="center"/>
    </xf>
    <xf numFmtId="1" fontId="13" fillId="25" borderId="36" xfId="63" applyNumberFormat="1" applyFont="1" applyFill="1" applyBorder="1" applyAlignment="1" applyProtection="1">
      <alignment horizontal="left" vertical="center"/>
      <protection locked="0"/>
    </xf>
    <xf numFmtId="1" fontId="13" fillId="25" borderId="21" xfId="63" applyNumberFormat="1" applyFont="1" applyFill="1" applyBorder="1" applyAlignment="1" applyProtection="1">
      <alignment horizontal="left" vertical="center"/>
      <protection locked="0"/>
    </xf>
    <xf numFmtId="1" fontId="13" fillId="25" borderId="35" xfId="63" applyNumberFormat="1" applyFont="1" applyFill="1" applyBorder="1" applyAlignment="1" applyProtection="1">
      <alignment horizontal="left" vertical="center"/>
      <protection locked="0"/>
    </xf>
    <xf numFmtId="0" fontId="108" fillId="0" borderId="13" xfId="0" applyFont="1" applyBorder="1" applyAlignment="1">
      <alignment horizontal="center" vertical="center" wrapText="1"/>
    </xf>
    <xf numFmtId="0" fontId="13" fillId="0" borderId="82" xfId="0" applyFont="1" applyBorder="1" applyAlignment="1">
      <alignment horizontal="center" vertical="center"/>
    </xf>
    <xf numFmtId="172" fontId="12" fillId="0" borderId="10" xfId="0" applyNumberFormat="1" applyFont="1" applyBorder="1" applyAlignment="1">
      <alignment horizontal="center" vertical="center"/>
    </xf>
    <xf numFmtId="172" fontId="12" fillId="0" borderId="82" xfId="0" applyNumberFormat="1" applyFont="1" applyBorder="1" applyAlignment="1">
      <alignment horizontal="center" vertical="center"/>
    </xf>
    <xf numFmtId="0" fontId="30" fillId="29" borderId="13" xfId="63" applyFont="1" applyFill="1" applyBorder="1" applyAlignment="1">
      <alignment horizontal="center" wrapText="1"/>
    </xf>
    <xf numFmtId="164" fontId="13" fillId="0" borderId="0" xfId="0" quotePrefix="1" applyNumberFormat="1" applyFont="1" applyAlignment="1">
      <alignment horizontal="center" vertical="center"/>
    </xf>
    <xf numFmtId="164" fontId="13" fillId="0" borderId="0" xfId="0" applyNumberFormat="1" applyFont="1" applyAlignment="1">
      <alignment horizontal="center" vertical="center"/>
    </xf>
    <xf numFmtId="164" fontId="118" fillId="0" borderId="0" xfId="0" applyNumberFormat="1" applyFont="1" applyAlignment="1">
      <alignment horizontal="center" vertical="center" wrapText="1"/>
    </xf>
    <xf numFmtId="0" fontId="12" fillId="0" borderId="82" xfId="0" applyFont="1" applyBorder="1" applyAlignment="1">
      <alignment horizontal="center" vertical="center"/>
    </xf>
    <xf numFmtId="0" fontId="37" fillId="0" borderId="0" xfId="0" applyFont="1" applyAlignment="1">
      <alignment horizontal="right"/>
    </xf>
    <xf numFmtId="0" fontId="12" fillId="0" borderId="28" xfId="0" applyFont="1" applyBorder="1" applyAlignment="1">
      <alignment horizontal="left" vertical="top" wrapText="1"/>
    </xf>
    <xf numFmtId="0" fontId="12" fillId="0" borderId="10" xfId="0" applyFont="1" applyBorder="1" applyAlignment="1">
      <alignment horizontal="left" vertical="top" wrapText="1"/>
    </xf>
    <xf numFmtId="0" fontId="12" fillId="0" borderId="82" xfId="0" applyFont="1" applyBorder="1" applyAlignment="1">
      <alignment horizontal="left" vertical="top" wrapText="1"/>
    </xf>
    <xf numFmtId="0" fontId="12" fillId="0" borderId="0" xfId="0" applyFont="1" applyAlignment="1">
      <alignment horizontal="left" vertical="top" wrapText="1"/>
    </xf>
    <xf numFmtId="0" fontId="108" fillId="0" borderId="0" xfId="0" applyFont="1" applyAlignment="1">
      <alignment horizontal="center" vertical="center" wrapText="1"/>
    </xf>
    <xf numFmtId="164" fontId="43" fillId="39" borderId="86" xfId="0" applyNumberFormat="1" applyFont="1" applyFill="1" applyBorder="1" applyAlignment="1">
      <alignment horizontal="right" vertical="center"/>
    </xf>
    <xf numFmtId="164" fontId="43" fillId="39" borderId="82" xfId="0" applyNumberFormat="1" applyFont="1" applyFill="1" applyBorder="1" applyAlignment="1">
      <alignment horizontal="right" vertical="center"/>
    </xf>
    <xf numFmtId="0" fontId="49" fillId="39" borderId="36" xfId="0" applyFont="1" applyFill="1" applyBorder="1" applyAlignment="1">
      <alignment horizontal="center" vertical="center"/>
    </xf>
    <xf numFmtId="0" fontId="49" fillId="39" borderId="21" xfId="0" applyFont="1" applyFill="1" applyBorder="1" applyAlignment="1">
      <alignment horizontal="center" vertical="center"/>
    </xf>
    <xf numFmtId="0" fontId="49" fillId="39" borderId="35" xfId="0" applyFont="1" applyFill="1" applyBorder="1" applyAlignment="1">
      <alignment horizontal="center" vertical="center"/>
    </xf>
    <xf numFmtId="0" fontId="0" fillId="29" borderId="0" xfId="0" applyFill="1" applyAlignment="1">
      <alignment horizontal="right" vertical="center"/>
    </xf>
    <xf numFmtId="0" fontId="30" fillId="40" borderId="36" xfId="0" applyFont="1" applyFill="1" applyBorder="1" applyAlignment="1" applyProtection="1">
      <alignment horizontal="center" vertical="center"/>
      <protection locked="0"/>
    </xf>
    <xf numFmtId="0" fontId="30" fillId="40" borderId="21" xfId="0" applyFont="1" applyFill="1" applyBorder="1" applyAlignment="1" applyProtection="1">
      <alignment horizontal="center" vertical="center"/>
      <protection locked="0"/>
    </xf>
    <xf numFmtId="0" fontId="30" fillId="40" borderId="35" xfId="0" applyFont="1" applyFill="1" applyBorder="1" applyAlignment="1" applyProtection="1">
      <alignment horizontal="center" vertical="center"/>
      <protection locked="0"/>
    </xf>
    <xf numFmtId="164" fontId="43" fillId="39" borderId="26" xfId="0" applyNumberFormat="1" applyFont="1" applyFill="1" applyBorder="1" applyAlignment="1">
      <alignment horizontal="right" vertical="center"/>
    </xf>
    <xf numFmtId="164" fontId="43" fillId="39" borderId="0" xfId="0" applyNumberFormat="1" applyFont="1" applyFill="1" applyAlignment="1">
      <alignment horizontal="right" vertical="center"/>
    </xf>
    <xf numFmtId="164" fontId="30" fillId="29" borderId="36" xfId="0" applyNumberFormat="1" applyFont="1" applyFill="1" applyBorder="1" applyAlignment="1">
      <alignment horizontal="center" vertical="center"/>
    </xf>
    <xf numFmtId="164" fontId="30" fillId="29" borderId="35" xfId="0" applyNumberFormat="1" applyFont="1" applyFill="1" applyBorder="1" applyAlignment="1">
      <alignment horizontal="center" vertical="center"/>
    </xf>
    <xf numFmtId="164" fontId="12" fillId="28" borderId="69" xfId="0" applyNumberFormat="1" applyFont="1" applyFill="1" applyBorder="1" applyAlignment="1">
      <alignment horizontal="center" vertical="center"/>
    </xf>
    <xf numFmtId="164" fontId="12" fillId="28" borderId="68" xfId="0" applyNumberFormat="1" applyFont="1" applyFill="1" applyBorder="1" applyAlignment="1">
      <alignment horizontal="center" vertical="center"/>
    </xf>
    <xf numFmtId="164" fontId="12" fillId="28" borderId="71" xfId="0" applyNumberFormat="1" applyFont="1" applyFill="1" applyBorder="1" applyAlignment="1">
      <alignment horizontal="center" vertical="center"/>
    </xf>
    <xf numFmtId="164" fontId="12" fillId="28" borderId="24" xfId="0" applyNumberFormat="1" applyFont="1" applyFill="1" applyBorder="1" applyAlignment="1">
      <alignment horizontal="center" vertical="center"/>
    </xf>
    <xf numFmtId="164" fontId="12" fillId="28" borderId="22" xfId="0" applyNumberFormat="1" applyFont="1" applyFill="1" applyBorder="1" applyAlignment="1">
      <alignment horizontal="center" vertical="center"/>
    </xf>
    <xf numFmtId="164" fontId="12" fillId="28" borderId="50" xfId="0" applyNumberFormat="1" applyFont="1" applyFill="1" applyBorder="1" applyAlignment="1">
      <alignment horizontal="center" vertical="center"/>
    </xf>
    <xf numFmtId="164" fontId="30" fillId="40" borderId="36" xfId="0" applyNumberFormat="1" applyFont="1" applyFill="1" applyBorder="1" applyAlignment="1" applyProtection="1">
      <alignment horizontal="center" vertical="center"/>
      <protection locked="0"/>
    </xf>
    <xf numFmtId="164" fontId="30" fillId="40" borderId="35" xfId="0" applyNumberFormat="1" applyFont="1" applyFill="1" applyBorder="1" applyAlignment="1" applyProtection="1">
      <alignment horizontal="center" vertical="center"/>
      <protection locked="0"/>
    </xf>
    <xf numFmtId="0" fontId="13" fillId="0" borderId="36" xfId="0" applyFont="1" applyBorder="1" applyAlignment="1">
      <alignment horizontal="center" vertical="center"/>
    </xf>
    <xf numFmtId="0" fontId="13" fillId="0" borderId="85" xfId="0" applyFont="1" applyBorder="1" applyAlignment="1">
      <alignment horizontal="center" vertical="center"/>
    </xf>
    <xf numFmtId="164" fontId="12" fillId="0" borderId="0" xfId="63" applyNumberFormat="1" applyFont="1" applyAlignment="1">
      <alignment horizontal="center" vertical="center"/>
    </xf>
    <xf numFmtId="0" fontId="12" fillId="0" borderId="10" xfId="0" applyFont="1" applyBorder="1" applyAlignment="1">
      <alignment horizontal="center" vertical="center"/>
    </xf>
    <xf numFmtId="0" fontId="12" fillId="0" borderId="17" xfId="0" applyFont="1" applyBorder="1" applyAlignment="1">
      <alignment horizontal="left" vertical="center" wrapText="1"/>
    </xf>
    <xf numFmtId="0" fontId="109" fillId="0" borderId="26" xfId="97" applyFont="1" applyBorder="1" applyAlignment="1">
      <alignment horizontal="center" vertical="center" wrapText="1"/>
    </xf>
    <xf numFmtId="164" fontId="13" fillId="28" borderId="70" xfId="0" applyNumberFormat="1" applyFont="1" applyFill="1" applyBorder="1" applyAlignment="1">
      <alignment horizontal="center" vertical="center"/>
    </xf>
    <xf numFmtId="164" fontId="13" fillId="28" borderId="74" xfId="0" applyNumberFormat="1" applyFont="1" applyFill="1" applyBorder="1" applyAlignment="1">
      <alignment horizontal="center" vertical="center"/>
    </xf>
    <xf numFmtId="0" fontId="13" fillId="29" borderId="27" xfId="0" applyFont="1" applyFill="1" applyBorder="1" applyAlignment="1">
      <alignment horizontal="right" vertical="center"/>
    </xf>
    <xf numFmtId="0" fontId="18" fillId="29" borderId="17" xfId="0" applyFont="1" applyFill="1" applyBorder="1" applyAlignment="1">
      <alignment horizontal="right" vertical="center"/>
    </xf>
    <xf numFmtId="1" fontId="13" fillId="40" borderId="36" xfId="63" applyNumberFormat="1" applyFont="1" applyFill="1" applyBorder="1" applyAlignment="1" applyProtection="1">
      <alignment horizontal="center" vertical="center"/>
      <protection locked="0"/>
    </xf>
    <xf numFmtId="1" fontId="13" fillId="40" borderId="21" xfId="63" applyNumberFormat="1" applyFont="1" applyFill="1" applyBorder="1" applyAlignment="1" applyProtection="1">
      <alignment horizontal="center" vertical="center"/>
      <protection locked="0"/>
    </xf>
    <xf numFmtId="1" fontId="13" fillId="40" borderId="35" xfId="63" applyNumberFormat="1" applyFont="1" applyFill="1" applyBorder="1" applyAlignment="1" applyProtection="1">
      <alignment horizontal="center" vertical="center"/>
      <protection locked="0"/>
    </xf>
    <xf numFmtId="0" fontId="13" fillId="40" borderId="36" xfId="0" applyFont="1" applyFill="1" applyBorder="1" applyAlignment="1" applyProtection="1">
      <alignment horizontal="center" vertical="center" wrapText="1"/>
      <protection locked="0"/>
    </xf>
    <xf numFmtId="0" fontId="13" fillId="40" borderId="21" xfId="0" applyFont="1" applyFill="1" applyBorder="1" applyAlignment="1" applyProtection="1">
      <alignment horizontal="center" vertical="center" wrapText="1"/>
      <protection locked="0"/>
    </xf>
    <xf numFmtId="0" fontId="13" fillId="40" borderId="35" xfId="0" applyFont="1" applyFill="1" applyBorder="1" applyAlignment="1" applyProtection="1">
      <alignment horizontal="center" vertical="center" wrapText="1"/>
      <protection locked="0"/>
    </xf>
    <xf numFmtId="164" fontId="13" fillId="28" borderId="24" xfId="0" applyNumberFormat="1" applyFont="1" applyFill="1" applyBorder="1" applyAlignment="1">
      <alignment horizontal="center" vertical="center"/>
    </xf>
    <xf numFmtId="164" fontId="13" fillId="28" borderId="22" xfId="0" applyNumberFormat="1" applyFont="1" applyFill="1" applyBorder="1" applyAlignment="1">
      <alignment horizontal="center" vertical="center"/>
    </xf>
    <xf numFmtId="164" fontId="13" fillId="28" borderId="50" xfId="0" applyNumberFormat="1" applyFont="1" applyFill="1" applyBorder="1" applyAlignment="1">
      <alignment horizontal="center" vertical="center"/>
    </xf>
    <xf numFmtId="164" fontId="13" fillId="28" borderId="69" xfId="0" applyNumberFormat="1" applyFont="1" applyFill="1" applyBorder="1" applyAlignment="1">
      <alignment horizontal="center" vertical="center"/>
    </xf>
    <xf numFmtId="164" fontId="13" fillId="28" borderId="68" xfId="0" applyNumberFormat="1" applyFont="1" applyFill="1" applyBorder="1" applyAlignment="1">
      <alignment horizontal="center" vertical="center"/>
    </xf>
    <xf numFmtId="164" fontId="13" fillId="28" borderId="71" xfId="0" applyNumberFormat="1" applyFont="1" applyFill="1" applyBorder="1" applyAlignment="1">
      <alignment horizontal="center" vertical="center"/>
    </xf>
    <xf numFmtId="0" fontId="18" fillId="29" borderId="30" xfId="60" applyFont="1" applyFill="1" applyBorder="1" applyAlignment="1">
      <alignment horizontal="left"/>
    </xf>
    <xf numFmtId="0" fontId="30" fillId="29" borderId="28" xfId="63" applyFont="1" applyFill="1" applyBorder="1" applyAlignment="1">
      <alignment horizontal="center" wrapText="1"/>
    </xf>
    <xf numFmtId="0" fontId="30" fillId="29" borderId="10" xfId="63" applyFont="1" applyFill="1" applyBorder="1" applyAlignment="1">
      <alignment horizontal="center" wrapText="1"/>
    </xf>
    <xf numFmtId="0" fontId="18" fillId="29" borderId="36" xfId="60" applyFont="1" applyFill="1" applyBorder="1" applyAlignment="1">
      <alignment horizontal="left"/>
    </xf>
    <xf numFmtId="0" fontId="18" fillId="29" borderId="21" xfId="60" applyFont="1" applyFill="1" applyBorder="1" applyAlignment="1">
      <alignment horizontal="left"/>
    </xf>
    <xf numFmtId="0" fontId="18" fillId="29" borderId="35" xfId="60" applyFont="1" applyFill="1" applyBorder="1" applyAlignment="1">
      <alignment horizontal="left"/>
    </xf>
    <xf numFmtId="0" fontId="18" fillId="29" borderId="22" xfId="61" applyFont="1" applyFill="1" applyBorder="1" applyAlignment="1">
      <alignment horizontal="left"/>
    </xf>
    <xf numFmtId="0" fontId="16" fillId="0" borderId="0" xfId="0" applyFont="1" applyAlignment="1">
      <alignment horizontal="center" wrapText="1"/>
    </xf>
    <xf numFmtId="164" fontId="12" fillId="29" borderId="83" xfId="63" applyNumberFormat="1" applyFont="1" applyFill="1" applyBorder="1" applyAlignment="1">
      <alignment horizontal="center" vertical="center"/>
    </xf>
    <xf numFmtId="164" fontId="12" fillId="29" borderId="84" xfId="63" applyNumberFormat="1" applyFont="1" applyFill="1" applyBorder="1" applyAlignment="1">
      <alignment horizontal="center" vertical="center"/>
    </xf>
    <xf numFmtId="0" fontId="12" fillId="29" borderId="86" xfId="0" applyFont="1" applyFill="1" applyBorder="1" applyAlignment="1">
      <alignment horizontal="center" vertical="center" wrapText="1"/>
    </xf>
    <xf numFmtId="0" fontId="12" fillId="29" borderId="82" xfId="0" applyFont="1" applyFill="1" applyBorder="1" applyAlignment="1">
      <alignment horizontal="center" vertical="center" wrapText="1"/>
    </xf>
    <xf numFmtId="164" fontId="12" fillId="28" borderId="70" xfId="0" applyNumberFormat="1" applyFont="1" applyFill="1" applyBorder="1" applyAlignment="1">
      <alignment horizontal="center" vertical="center"/>
    </xf>
    <xf numFmtId="164" fontId="12" fillId="28" borderId="13" xfId="0" applyNumberFormat="1" applyFont="1" applyFill="1" applyBorder="1" applyAlignment="1">
      <alignment horizontal="center" vertical="center"/>
    </xf>
    <xf numFmtId="0" fontId="12" fillId="28" borderId="70" xfId="0" applyFont="1" applyFill="1" applyBorder="1" applyAlignment="1">
      <alignment horizontal="center" vertical="center"/>
    </xf>
    <xf numFmtId="0" fontId="12" fillId="28" borderId="53" xfId="0" applyFont="1" applyFill="1" applyBorder="1" applyAlignment="1">
      <alignment horizontal="center" vertical="center"/>
    </xf>
    <xf numFmtId="0" fontId="12" fillId="28" borderId="13" xfId="0" applyFont="1" applyFill="1" applyBorder="1" applyAlignment="1">
      <alignment horizontal="center" vertical="center"/>
    </xf>
    <xf numFmtId="0" fontId="12" fillId="28" borderId="54" xfId="0" applyFont="1" applyFill="1" applyBorder="1" applyAlignment="1">
      <alignment horizontal="center" vertical="center"/>
    </xf>
    <xf numFmtId="0" fontId="30" fillId="56" borderId="36" xfId="0" applyFont="1" applyFill="1" applyBorder="1" applyAlignment="1">
      <alignment horizontal="center" vertical="center"/>
    </xf>
    <xf numFmtId="0" fontId="30" fillId="56" borderId="21" xfId="0" applyFont="1" applyFill="1" applyBorder="1" applyAlignment="1">
      <alignment horizontal="center" vertical="center"/>
    </xf>
    <xf numFmtId="0" fontId="30" fillId="56" borderId="35" xfId="0" applyFont="1" applyFill="1" applyBorder="1" applyAlignment="1">
      <alignment horizontal="center" vertical="center"/>
    </xf>
    <xf numFmtId="0" fontId="12" fillId="0" borderId="0" xfId="0" applyFont="1" applyAlignment="1">
      <alignment horizontal="center" vertical="center" wrapText="1"/>
    </xf>
    <xf numFmtId="0" fontId="0" fillId="40" borderId="36" xfId="0" applyFill="1" applyBorder="1" applyAlignment="1">
      <alignment horizontal="center"/>
    </xf>
    <xf numFmtId="0" fontId="0" fillId="40" borderId="21" xfId="0" applyFill="1" applyBorder="1" applyAlignment="1">
      <alignment horizontal="center"/>
    </xf>
    <xf numFmtId="0" fontId="0" fillId="40" borderId="35" xfId="0" applyFill="1" applyBorder="1" applyAlignment="1">
      <alignment horizontal="center"/>
    </xf>
    <xf numFmtId="0" fontId="18" fillId="29" borderId="30" xfId="0" applyFont="1" applyFill="1" applyBorder="1" applyAlignment="1">
      <alignment horizontal="left"/>
    </xf>
    <xf numFmtId="0" fontId="18" fillId="29" borderId="36" xfId="0" applyFont="1" applyFill="1" applyBorder="1" applyAlignment="1">
      <alignment horizontal="left"/>
    </xf>
    <xf numFmtId="0" fontId="18" fillId="29" borderId="21" xfId="0" applyFont="1" applyFill="1" applyBorder="1" applyAlignment="1">
      <alignment horizontal="left"/>
    </xf>
    <xf numFmtId="0" fontId="18" fillId="29" borderId="35" xfId="0" applyFont="1" applyFill="1" applyBorder="1" applyAlignment="1">
      <alignment horizontal="left"/>
    </xf>
    <xf numFmtId="179" fontId="18" fillId="0" borderId="0" xfId="0" applyNumberFormat="1" applyFont="1" applyAlignment="1">
      <alignment horizontal="center"/>
    </xf>
    <xf numFmtId="0" fontId="18" fillId="0" borderId="18" xfId="0" applyFont="1" applyBorder="1" applyAlignment="1">
      <alignment horizontal="center"/>
    </xf>
    <xf numFmtId="179" fontId="18" fillId="0" borderId="18" xfId="0" applyNumberFormat="1" applyFont="1" applyBorder="1" applyAlignment="1">
      <alignment horizontal="center"/>
    </xf>
    <xf numFmtId="164" fontId="30" fillId="27" borderId="59" xfId="0" applyNumberFormat="1" applyFont="1" applyFill="1" applyBorder="1" applyAlignment="1">
      <alignment horizontal="center"/>
    </xf>
    <xf numFmtId="164" fontId="30" fillId="27" borderId="58" xfId="0" applyNumberFormat="1" applyFont="1" applyFill="1" applyBorder="1" applyAlignment="1">
      <alignment horizontal="center"/>
    </xf>
    <xf numFmtId="164" fontId="30" fillId="27" borderId="15" xfId="0" applyNumberFormat="1" applyFont="1" applyFill="1" applyBorder="1" applyAlignment="1">
      <alignment horizontal="center"/>
    </xf>
    <xf numFmtId="164" fontId="30" fillId="27" borderId="16" xfId="0" applyNumberFormat="1" applyFont="1" applyFill="1" applyBorder="1" applyAlignment="1">
      <alignment horizontal="center"/>
    </xf>
    <xf numFmtId="0" fontId="20" fillId="0" borderId="0" xfId="0" applyFont="1" applyAlignment="1">
      <alignment horizontal="center"/>
    </xf>
    <xf numFmtId="0" fontId="19" fillId="45" borderId="57" xfId="0" applyFont="1" applyFill="1" applyBorder="1" applyAlignment="1">
      <alignment horizontal="center"/>
    </xf>
    <xf numFmtId="0" fontId="19" fillId="45" borderId="59" xfId="0" applyFont="1" applyFill="1" applyBorder="1" applyAlignment="1">
      <alignment horizontal="center"/>
    </xf>
    <xf numFmtId="0" fontId="19" fillId="45" borderId="14" xfId="0" applyFont="1" applyFill="1" applyBorder="1" applyAlignment="1">
      <alignment horizontal="center"/>
    </xf>
    <xf numFmtId="0" fontId="19" fillId="45" borderId="15" xfId="0" applyFont="1" applyFill="1" applyBorder="1" applyAlignment="1">
      <alignment horizontal="center"/>
    </xf>
    <xf numFmtId="0" fontId="19" fillId="27" borderId="57" xfId="0" applyFont="1" applyFill="1" applyBorder="1" applyAlignment="1">
      <alignment horizontal="center"/>
    </xf>
    <xf numFmtId="0" fontId="19" fillId="27" borderId="59" xfId="0" applyFont="1" applyFill="1" applyBorder="1" applyAlignment="1">
      <alignment horizontal="center"/>
    </xf>
    <xf numFmtId="0" fontId="19" fillId="27" borderId="14" xfId="0" applyFont="1" applyFill="1" applyBorder="1" applyAlignment="1">
      <alignment horizontal="center"/>
    </xf>
    <xf numFmtId="0" fontId="19" fillId="27" borderId="15" xfId="0" applyFont="1" applyFill="1" applyBorder="1" applyAlignment="1">
      <alignment horizontal="center"/>
    </xf>
    <xf numFmtId="0" fontId="20" fillId="0" borderId="59" xfId="0" applyFont="1" applyBorder="1" applyAlignment="1">
      <alignment horizontal="center"/>
    </xf>
    <xf numFmtId="164" fontId="30" fillId="36" borderId="0" xfId="0" applyNumberFormat="1" applyFont="1" applyFill="1" applyAlignment="1">
      <alignment horizontal="center"/>
    </xf>
    <xf numFmtId="164" fontId="30" fillId="36" borderId="75" xfId="0" applyNumberFormat="1" applyFont="1" applyFill="1" applyBorder="1" applyAlignment="1">
      <alignment horizontal="center"/>
    </xf>
    <xf numFmtId="164" fontId="30" fillId="36" borderId="15" xfId="0" applyNumberFormat="1" applyFont="1" applyFill="1" applyBorder="1" applyAlignment="1">
      <alignment horizontal="center"/>
    </xf>
    <xf numFmtId="164" fontId="30" fillId="36" borderId="16" xfId="0" applyNumberFormat="1" applyFont="1" applyFill="1" applyBorder="1" applyAlignment="1">
      <alignment horizontal="center"/>
    </xf>
    <xf numFmtId="164" fontId="30" fillId="35" borderId="0" xfId="0" applyNumberFormat="1" applyFont="1" applyFill="1" applyAlignment="1">
      <alignment horizontal="center"/>
    </xf>
    <xf numFmtId="164" fontId="30" fillId="35" borderId="75" xfId="0" applyNumberFormat="1" applyFont="1" applyFill="1" applyBorder="1" applyAlignment="1">
      <alignment horizontal="center"/>
    </xf>
    <xf numFmtId="164" fontId="30" fillId="35" borderId="15" xfId="0" applyNumberFormat="1" applyFont="1" applyFill="1" applyBorder="1" applyAlignment="1">
      <alignment horizontal="center"/>
    </xf>
    <xf numFmtId="164" fontId="30" fillId="35" borderId="16" xfId="0" applyNumberFormat="1" applyFont="1" applyFill="1" applyBorder="1" applyAlignment="1">
      <alignment horizontal="center"/>
    </xf>
    <xf numFmtId="164" fontId="30" fillId="44" borderId="0" xfId="0" applyNumberFormat="1" applyFont="1" applyFill="1" applyAlignment="1">
      <alignment horizontal="center"/>
    </xf>
    <xf numFmtId="164" fontId="30" fillId="44" borderId="75" xfId="0" applyNumberFormat="1" applyFont="1" applyFill="1" applyBorder="1" applyAlignment="1">
      <alignment horizontal="center"/>
    </xf>
    <xf numFmtId="164" fontId="30" fillId="44" borderId="15" xfId="0" applyNumberFormat="1" applyFont="1" applyFill="1" applyBorder="1" applyAlignment="1">
      <alignment horizontal="center"/>
    </xf>
    <xf numFmtId="164" fontId="30" fillId="44" borderId="16" xfId="0" applyNumberFormat="1" applyFont="1" applyFill="1" applyBorder="1" applyAlignment="1">
      <alignment horizontal="center"/>
    </xf>
    <xf numFmtId="0" fontId="19" fillId="46" borderId="57" xfId="0" applyFont="1" applyFill="1" applyBorder="1" applyAlignment="1">
      <alignment horizontal="center"/>
    </xf>
    <xf numFmtId="0" fontId="19" fillId="46" borderId="59" xfId="0" applyFont="1" applyFill="1" applyBorder="1" applyAlignment="1">
      <alignment horizontal="center"/>
    </xf>
    <xf numFmtId="0" fontId="19" fillId="46" borderId="14" xfId="0" applyFont="1" applyFill="1" applyBorder="1" applyAlignment="1">
      <alignment horizontal="center"/>
    </xf>
    <xf numFmtId="0" fontId="19" fillId="46" borderId="15" xfId="0" applyFont="1" applyFill="1" applyBorder="1" applyAlignment="1">
      <alignment horizontal="center"/>
    </xf>
    <xf numFmtId="0" fontId="19" fillId="44" borderId="57" xfId="0" applyFont="1" applyFill="1" applyBorder="1" applyAlignment="1">
      <alignment horizontal="center"/>
    </xf>
    <xf numFmtId="0" fontId="19" fillId="44" borderId="59" xfId="0" applyFont="1" applyFill="1" applyBorder="1" applyAlignment="1">
      <alignment horizontal="center"/>
    </xf>
    <xf numFmtId="0" fontId="19" fillId="44" borderId="14" xfId="0" applyFont="1" applyFill="1" applyBorder="1" applyAlignment="1">
      <alignment horizontal="center"/>
    </xf>
    <xf numFmtId="0" fontId="19" fillId="44" borderId="15" xfId="0" applyFont="1" applyFill="1" applyBorder="1" applyAlignment="1">
      <alignment horizontal="center"/>
    </xf>
    <xf numFmtId="0" fontId="30" fillId="0" borderId="0" xfId="0" applyFont="1" applyAlignment="1">
      <alignment horizontal="center"/>
    </xf>
    <xf numFmtId="0" fontId="35" fillId="0" borderId="0" xfId="0" applyFont="1"/>
    <xf numFmtId="14" fontId="18" fillId="0" borderId="0" xfId="0" applyNumberFormat="1" applyFont="1" applyAlignment="1">
      <alignment horizontal="left"/>
    </xf>
    <xf numFmtId="0" fontId="0" fillId="0" borderId="0" xfId="0"/>
    <xf numFmtId="0" fontId="13" fillId="0" borderId="0" xfId="0" applyFont="1" applyAlignment="1">
      <alignment horizontal="left" wrapText="1"/>
    </xf>
    <xf numFmtId="0" fontId="13" fillId="25" borderId="0" xfId="0" applyFont="1" applyFill="1" applyAlignment="1">
      <alignment horizontal="center" vertical="center"/>
    </xf>
    <xf numFmtId="0" fontId="116" fillId="25" borderId="0" xfId="0" applyFont="1" applyFill="1" applyAlignment="1">
      <alignment vertical="center"/>
    </xf>
    <xf numFmtId="0" fontId="13" fillId="0" borderId="36" xfId="0" applyFont="1" applyBorder="1" applyAlignment="1">
      <alignment horizontal="center"/>
    </xf>
    <xf numFmtId="0" fontId="13" fillId="0" borderId="21" xfId="0" applyFont="1" applyBorder="1" applyAlignment="1">
      <alignment horizontal="center"/>
    </xf>
    <xf numFmtId="0" fontId="13" fillId="0" borderId="35" xfId="0" applyFont="1" applyBorder="1" applyAlignment="1">
      <alignment horizontal="center"/>
    </xf>
    <xf numFmtId="0" fontId="12" fillId="0" borderId="36" xfId="0" applyFont="1" applyBorder="1" applyAlignment="1">
      <alignment horizontal="center"/>
    </xf>
    <xf numFmtId="0" fontId="12" fillId="0" borderId="21" xfId="0" applyFont="1" applyBorder="1" applyAlignment="1">
      <alignment horizontal="center"/>
    </xf>
    <xf numFmtId="0" fontId="12" fillId="0" borderId="35" xfId="0" applyFont="1" applyBorder="1" applyAlignment="1">
      <alignment horizontal="center"/>
    </xf>
    <xf numFmtId="0" fontId="20" fillId="52" borderId="63" xfId="0" applyFont="1" applyFill="1" applyBorder="1" applyAlignment="1">
      <alignment horizontal="left" vertical="center"/>
    </xf>
    <xf numFmtId="0" fontId="20" fillId="52" borderId="0" xfId="0" applyFont="1" applyFill="1" applyAlignment="1">
      <alignment horizontal="left" vertical="center"/>
    </xf>
    <xf numFmtId="164" fontId="30" fillId="29" borderId="65" xfId="0" applyNumberFormat="1" applyFont="1" applyFill="1" applyBorder="1" applyAlignment="1">
      <alignment horizontal="center" vertical="center"/>
    </xf>
    <xf numFmtId="164" fontId="30" fillId="29" borderId="66" xfId="0" applyNumberFormat="1" applyFont="1" applyFill="1" applyBorder="1" applyAlignment="1">
      <alignment horizontal="center" vertical="center"/>
    </xf>
    <xf numFmtId="164" fontId="12" fillId="28" borderId="40" xfId="0" applyNumberFormat="1" applyFont="1" applyFill="1" applyBorder="1" applyAlignment="1">
      <alignment horizontal="center" vertical="center"/>
    </xf>
    <xf numFmtId="164" fontId="12" fillId="28" borderId="64" xfId="0" applyNumberFormat="1" applyFont="1" applyFill="1" applyBorder="1" applyAlignment="1">
      <alignment horizontal="center" vertical="center"/>
    </xf>
    <xf numFmtId="164" fontId="12" fillId="0" borderId="0" xfId="0" applyNumberFormat="1" applyFont="1" applyAlignment="1">
      <alignment horizontal="center" vertical="center"/>
    </xf>
    <xf numFmtId="164" fontId="12" fillId="28" borderId="54" xfId="0" applyNumberFormat="1" applyFont="1" applyFill="1" applyBorder="1" applyAlignment="1">
      <alignment horizontal="center" vertical="center"/>
    </xf>
    <xf numFmtId="164" fontId="12" fillId="29" borderId="82" xfId="0" applyNumberFormat="1" applyFont="1" applyFill="1" applyBorder="1" applyAlignment="1">
      <alignment horizontal="center" vertical="center"/>
    </xf>
    <xf numFmtId="164" fontId="12" fillId="29" borderId="85" xfId="0" applyNumberFormat="1" applyFont="1" applyFill="1" applyBorder="1" applyAlignment="1">
      <alignment horizontal="center" vertical="center"/>
    </xf>
    <xf numFmtId="0" fontId="49" fillId="25" borderId="36" xfId="0" applyFont="1" applyFill="1" applyBorder="1" applyAlignment="1">
      <alignment horizontal="center" vertical="center"/>
    </xf>
    <xf numFmtId="0" fontId="49" fillId="25" borderId="21" xfId="0" applyFont="1" applyFill="1" applyBorder="1" applyAlignment="1">
      <alignment horizontal="center" vertical="center"/>
    </xf>
    <xf numFmtId="0" fontId="49" fillId="25" borderId="35" xfId="0" applyFont="1" applyFill="1" applyBorder="1" applyAlignment="1">
      <alignment horizontal="center" vertical="center"/>
    </xf>
    <xf numFmtId="164" fontId="43" fillId="25" borderId="26" xfId="0" applyNumberFormat="1" applyFont="1" applyFill="1" applyBorder="1" applyAlignment="1">
      <alignment horizontal="right" vertical="center"/>
    </xf>
    <xf numFmtId="164" fontId="43" fillId="25" borderId="0" xfId="0" applyNumberFormat="1" applyFont="1" applyFill="1" applyAlignment="1">
      <alignment horizontal="right" vertical="center"/>
    </xf>
    <xf numFmtId="0" fontId="13" fillId="0" borderId="21" xfId="0" applyFont="1" applyBorder="1" applyAlignment="1">
      <alignment horizontal="center" vertical="center"/>
    </xf>
    <xf numFmtId="0" fontId="13" fillId="0" borderId="35" xfId="0" applyFont="1" applyBorder="1" applyAlignment="1">
      <alignment horizontal="center" vertical="center"/>
    </xf>
    <xf numFmtId="164" fontId="12" fillId="0" borderId="0" xfId="63" applyNumberFormat="1" applyFont="1" applyAlignment="1" applyProtection="1">
      <alignment horizontal="center" vertical="center"/>
      <protection locked="0"/>
    </xf>
    <xf numFmtId="164" fontId="43" fillId="25" borderId="86" xfId="0" applyNumberFormat="1" applyFont="1" applyFill="1" applyBorder="1" applyAlignment="1">
      <alignment horizontal="right" vertical="center"/>
    </xf>
    <xf numFmtId="164" fontId="43" fillId="25" borderId="82" xfId="0" applyNumberFormat="1" applyFont="1" applyFill="1" applyBorder="1" applyAlignment="1">
      <alignment horizontal="right" vertical="center"/>
    </xf>
    <xf numFmtId="0" fontId="30" fillId="32" borderId="36" xfId="0" applyFont="1" applyFill="1" applyBorder="1" applyAlignment="1">
      <alignment horizontal="center" vertical="center"/>
    </xf>
    <xf numFmtId="0" fontId="30" fillId="32" borderId="21" xfId="0" applyFont="1" applyFill="1" applyBorder="1" applyAlignment="1">
      <alignment horizontal="center" vertical="center"/>
    </xf>
    <xf numFmtId="0" fontId="30" fillId="32" borderId="35" xfId="0" applyFont="1" applyFill="1" applyBorder="1" applyAlignment="1">
      <alignment horizontal="center" vertical="center"/>
    </xf>
    <xf numFmtId="164" fontId="30" fillId="32" borderId="65" xfId="0" applyNumberFormat="1" applyFont="1" applyFill="1" applyBorder="1" applyAlignment="1">
      <alignment horizontal="center" vertical="center"/>
    </xf>
    <xf numFmtId="164" fontId="30" fillId="32" borderId="66" xfId="0" applyNumberFormat="1" applyFont="1" applyFill="1" applyBorder="1" applyAlignment="1">
      <alignment horizontal="center" vertical="center"/>
    </xf>
    <xf numFmtId="164" fontId="13" fillId="0" borderId="36" xfId="0" quotePrefix="1" applyNumberFormat="1" applyFont="1" applyBorder="1" applyAlignment="1">
      <alignment horizontal="center" vertical="center"/>
    </xf>
    <xf numFmtId="164" fontId="13" fillId="0" borderId="21" xfId="0" applyNumberFormat="1" applyFont="1" applyBorder="1" applyAlignment="1">
      <alignment horizontal="center" vertical="center"/>
    </xf>
    <xf numFmtId="164" fontId="13" fillId="0" borderId="35" xfId="0" applyNumberFormat="1" applyFont="1" applyBorder="1" applyAlignment="1">
      <alignment horizontal="center" vertical="center"/>
    </xf>
    <xf numFmtId="0" fontId="30" fillId="32" borderId="36" xfId="0" applyFont="1" applyFill="1" applyBorder="1" applyAlignment="1">
      <alignment horizontal="left" vertical="center"/>
    </xf>
    <xf numFmtId="0" fontId="30" fillId="32" borderId="35" xfId="0" applyFont="1" applyFill="1" applyBorder="1" applyAlignment="1">
      <alignment horizontal="left" vertical="center"/>
    </xf>
    <xf numFmtId="164" fontId="13" fillId="0" borderId="0" xfId="0" applyNumberFormat="1" applyFont="1" applyAlignment="1">
      <alignment horizontal="right" vertical="center"/>
    </xf>
    <xf numFmtId="0" fontId="0" fillId="0" borderId="0" xfId="0" applyAlignment="1">
      <alignment horizontal="right" vertical="center"/>
    </xf>
    <xf numFmtId="164" fontId="13" fillId="29" borderId="86" xfId="0" applyNumberFormat="1" applyFont="1" applyFill="1" applyBorder="1" applyAlignment="1">
      <alignment horizontal="right" vertical="center"/>
    </xf>
    <xf numFmtId="0" fontId="0" fillId="29" borderId="82" xfId="0" applyFill="1" applyBorder="1" applyAlignment="1">
      <alignment horizontal="right" vertical="center"/>
    </xf>
  </cellXfs>
  <cellStyles count="145">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Currency" xfId="28" builtinId="4"/>
    <cellStyle name="Currency 2" xfId="29" xr:uid="{00000000-0005-0000-0000-00001C000000}"/>
    <cellStyle name="Currency 2 2" xfId="30" xr:uid="{00000000-0005-0000-0000-00001D000000}"/>
    <cellStyle name="Currency 2 2 2" xfId="74" xr:uid="{00000000-0005-0000-0000-00001E000000}"/>
    <cellStyle name="Currency 2 3" xfId="73" xr:uid="{00000000-0005-0000-0000-00001F000000}"/>
    <cellStyle name="Currency 2 4" xfId="100" xr:uid="{00000000-0005-0000-0000-000020000000}"/>
    <cellStyle name="Currency 2 4 2" xfId="107" xr:uid="{00000000-0005-0000-0000-000021000000}"/>
    <cellStyle name="Currency 3" xfId="31" xr:uid="{00000000-0005-0000-0000-000022000000}"/>
    <cellStyle name="Currency 3 2" xfId="75" xr:uid="{00000000-0005-0000-0000-000023000000}"/>
    <cellStyle name="Currency 4" xfId="32" xr:uid="{00000000-0005-0000-0000-000024000000}"/>
    <cellStyle name="Currency 4 2" xfId="76" xr:uid="{00000000-0005-0000-0000-000025000000}"/>
    <cellStyle name="Currency 5" xfId="33" xr:uid="{00000000-0005-0000-0000-000026000000}"/>
    <cellStyle name="Currency 6" xfId="98" xr:uid="{00000000-0005-0000-0000-000027000000}"/>
    <cellStyle name="Currency 6 2" xfId="105" xr:uid="{00000000-0005-0000-0000-000028000000}"/>
    <cellStyle name="Explanatory Text 2" xfId="34" xr:uid="{00000000-0005-0000-0000-000029000000}"/>
    <cellStyle name="Good 2" xfId="35" xr:uid="{00000000-0005-0000-0000-00002A000000}"/>
    <cellStyle name="Heading 1" xfId="36" builtinId="16" customBuiltin="1"/>
    <cellStyle name="Heading 2" xfId="37" builtinId="17" customBuiltin="1"/>
    <cellStyle name="Heading 3" xfId="38" builtinId="18" customBuiltin="1"/>
    <cellStyle name="Heading 3 2" xfId="112" xr:uid="{00000000-0005-0000-0000-00002E000000}"/>
    <cellStyle name="Heading 3 3" xfId="111" xr:uid="{00000000-0005-0000-0000-00002F000000}"/>
    <cellStyle name="Heading 4" xfId="39" builtinId="19" customBuiltin="1"/>
    <cellStyle name="Input 2" xfId="40" xr:uid="{00000000-0005-0000-0000-000031000000}"/>
    <cellStyle name="Linked Cell" xfId="41" builtinId="24" customBuiltin="1"/>
    <cellStyle name="Neutral 2" xfId="42" xr:uid="{00000000-0005-0000-0000-000033000000}"/>
    <cellStyle name="Normal" xfId="0" builtinId="0"/>
    <cellStyle name="Normal - Style1" xfId="43" xr:uid="{00000000-0005-0000-0000-000035000000}"/>
    <cellStyle name="Normal 10" xfId="44" xr:uid="{00000000-0005-0000-0000-000036000000}"/>
    <cellStyle name="Normal 11" xfId="45" xr:uid="{00000000-0005-0000-0000-000037000000}"/>
    <cellStyle name="Normal 12" xfId="72" xr:uid="{00000000-0005-0000-0000-000038000000}"/>
    <cellStyle name="Normal 13" xfId="86" xr:uid="{00000000-0005-0000-0000-000039000000}"/>
    <cellStyle name="Normal 14" xfId="87" xr:uid="{00000000-0005-0000-0000-00003A000000}"/>
    <cellStyle name="Normal 15" xfId="88" xr:uid="{00000000-0005-0000-0000-00003B000000}"/>
    <cellStyle name="Normal 16" xfId="89" xr:uid="{00000000-0005-0000-0000-00003C000000}"/>
    <cellStyle name="Normal 17" xfId="90" xr:uid="{00000000-0005-0000-0000-00003D000000}"/>
    <cellStyle name="Normal 18" xfId="91" xr:uid="{00000000-0005-0000-0000-00003E000000}"/>
    <cellStyle name="Normal 19" xfId="92" xr:uid="{00000000-0005-0000-0000-00003F000000}"/>
    <cellStyle name="Normal 2" xfId="46" xr:uid="{00000000-0005-0000-0000-000040000000}"/>
    <cellStyle name="Normal 2 2" xfId="47" xr:uid="{00000000-0005-0000-0000-000041000000}"/>
    <cellStyle name="Normal 2 2 2" xfId="78" xr:uid="{00000000-0005-0000-0000-000042000000}"/>
    <cellStyle name="Normal 2 3" xfId="77" xr:uid="{00000000-0005-0000-0000-000043000000}"/>
    <cellStyle name="Normal 20" xfId="93" xr:uid="{00000000-0005-0000-0000-000044000000}"/>
    <cellStyle name="Normal 21" xfId="94" xr:uid="{00000000-0005-0000-0000-000045000000}"/>
    <cellStyle name="Normal 22" xfId="95" xr:uid="{00000000-0005-0000-0000-000046000000}"/>
    <cellStyle name="Normal 23" xfId="96" xr:uid="{00000000-0005-0000-0000-000047000000}"/>
    <cellStyle name="Normal 24" xfId="97" xr:uid="{00000000-0005-0000-0000-000048000000}"/>
    <cellStyle name="Normal 24 2" xfId="104" xr:uid="{00000000-0005-0000-0000-000049000000}"/>
    <cellStyle name="Normal 25" xfId="109" xr:uid="{00000000-0005-0000-0000-00004A000000}"/>
    <cellStyle name="Normal 25 2" xfId="131" xr:uid="{00000000-0005-0000-0000-00004B000000}"/>
    <cellStyle name="Normal 26" xfId="110" xr:uid="{00000000-0005-0000-0000-00004C000000}"/>
    <cellStyle name="Normal 27" xfId="114" xr:uid="{00000000-0005-0000-0000-00004D000000}"/>
    <cellStyle name="Normal 28" xfId="115" xr:uid="{00000000-0005-0000-0000-00004E000000}"/>
    <cellStyle name="Normal 29" xfId="116" xr:uid="{00000000-0005-0000-0000-00004F000000}"/>
    <cellStyle name="Normal 3" xfId="48" xr:uid="{00000000-0005-0000-0000-000050000000}"/>
    <cellStyle name="Normal 3 2" xfId="49" xr:uid="{00000000-0005-0000-0000-000051000000}"/>
    <cellStyle name="Normal 3 2 2" xfId="80" xr:uid="{00000000-0005-0000-0000-000052000000}"/>
    <cellStyle name="Normal 3 3" xfId="79" xr:uid="{00000000-0005-0000-0000-000053000000}"/>
    <cellStyle name="Normal 3_Builder 1000 SH BOM" xfId="50" xr:uid="{00000000-0005-0000-0000-000054000000}"/>
    <cellStyle name="Normal 30" xfId="117" xr:uid="{00000000-0005-0000-0000-000055000000}"/>
    <cellStyle name="Normal 31" xfId="119" xr:uid="{00000000-0005-0000-0000-000056000000}"/>
    <cellStyle name="Normal 33" xfId="140" xr:uid="{00000000-0005-0000-0000-000057000000}"/>
    <cellStyle name="Normal 34" xfId="142" xr:uid="{00000000-0005-0000-0000-000058000000}"/>
    <cellStyle name="Normal 37" xfId="141" xr:uid="{00000000-0005-0000-0000-000059000000}"/>
    <cellStyle name="Normal 39" xfId="139" xr:uid="{00000000-0005-0000-0000-00005A000000}"/>
    <cellStyle name="Normal 4" xfId="51" xr:uid="{00000000-0005-0000-0000-00005B000000}"/>
    <cellStyle name="Normal 4 2" xfId="81" xr:uid="{00000000-0005-0000-0000-00005C000000}"/>
    <cellStyle name="Normal 42" xfId="144" xr:uid="{00000000-0005-0000-0000-00005D000000}"/>
    <cellStyle name="Normal 44" xfId="143" xr:uid="{00000000-0005-0000-0000-00005E000000}"/>
    <cellStyle name="Normal 5" xfId="52" xr:uid="{00000000-0005-0000-0000-00005F000000}"/>
    <cellStyle name="Normal 5 2" xfId="53" xr:uid="{00000000-0005-0000-0000-000060000000}"/>
    <cellStyle name="Normal 5 2 2" xfId="82" xr:uid="{00000000-0005-0000-0000-000061000000}"/>
    <cellStyle name="Normal 5 3" xfId="54" xr:uid="{00000000-0005-0000-0000-000062000000}"/>
    <cellStyle name="Normal 5 3 2" xfId="83" xr:uid="{00000000-0005-0000-0000-000063000000}"/>
    <cellStyle name="Normal 5 4" xfId="99" xr:uid="{00000000-0005-0000-0000-000064000000}"/>
    <cellStyle name="Normal 5 4 2" xfId="106" xr:uid="{00000000-0005-0000-0000-000065000000}"/>
    <cellStyle name="Normal 5_Builder 1000 SH BOM" xfId="55" xr:uid="{00000000-0005-0000-0000-000066000000}"/>
    <cellStyle name="Normal 6" xfId="56" xr:uid="{00000000-0005-0000-0000-000067000000}"/>
    <cellStyle name="Normal 6 2" xfId="84" xr:uid="{00000000-0005-0000-0000-000068000000}"/>
    <cellStyle name="Normal 6 2 2" xfId="103" xr:uid="{00000000-0005-0000-0000-000069000000}"/>
    <cellStyle name="Normal 6 2 2 2" xfId="129" xr:uid="{00000000-0005-0000-0000-00006A000000}"/>
    <cellStyle name="Normal 6 2 2 3" xfId="136" xr:uid="{00000000-0005-0000-0000-00006B000000}"/>
    <cellStyle name="Normal 6 2 2 4" xfId="123" xr:uid="{00000000-0005-0000-0000-00006C000000}"/>
    <cellStyle name="Normal 6 2 3" xfId="126" xr:uid="{00000000-0005-0000-0000-00006D000000}"/>
    <cellStyle name="Normal 6 2 4" xfId="133" xr:uid="{00000000-0005-0000-0000-00006E000000}"/>
    <cellStyle name="Normal 6 2 5" xfId="120" xr:uid="{00000000-0005-0000-0000-00006F000000}"/>
    <cellStyle name="Normal 6 3" xfId="101" xr:uid="{00000000-0005-0000-0000-000070000000}"/>
    <cellStyle name="Normal 6 3 2" xfId="108" xr:uid="{00000000-0005-0000-0000-000071000000}"/>
    <cellStyle name="Normal 6 3 2 2" xfId="130" xr:uid="{00000000-0005-0000-0000-000072000000}"/>
    <cellStyle name="Normal 6 3 2 3" xfId="137" xr:uid="{00000000-0005-0000-0000-000073000000}"/>
    <cellStyle name="Normal 6 3 2 4" xfId="124" xr:uid="{00000000-0005-0000-0000-000074000000}"/>
    <cellStyle name="Normal 6 3 3" xfId="127" xr:uid="{00000000-0005-0000-0000-000075000000}"/>
    <cellStyle name="Normal 6 3 4" xfId="134" xr:uid="{00000000-0005-0000-0000-000076000000}"/>
    <cellStyle name="Normal 6 3 5" xfId="121" xr:uid="{00000000-0005-0000-0000-000077000000}"/>
    <cellStyle name="Normal 6 4" xfId="102" xr:uid="{00000000-0005-0000-0000-000078000000}"/>
    <cellStyle name="Normal 6 4 2" xfId="128" xr:uid="{00000000-0005-0000-0000-000079000000}"/>
    <cellStyle name="Normal 6 4 3" xfId="135" xr:uid="{00000000-0005-0000-0000-00007A000000}"/>
    <cellStyle name="Normal 6 4 4" xfId="122" xr:uid="{00000000-0005-0000-0000-00007B000000}"/>
    <cellStyle name="Normal 6 5" xfId="125" xr:uid="{00000000-0005-0000-0000-00007C000000}"/>
    <cellStyle name="Normal 6 6" xfId="132" xr:uid="{00000000-0005-0000-0000-00007D000000}"/>
    <cellStyle name="Normal 6 7" xfId="118" xr:uid="{00000000-0005-0000-0000-00007E000000}"/>
    <cellStyle name="Normal 6 8" xfId="138" xr:uid="{00000000-0005-0000-0000-00007F000000}"/>
    <cellStyle name="Normal 7" xfId="57" xr:uid="{00000000-0005-0000-0000-000080000000}"/>
    <cellStyle name="Normal 8" xfId="58" xr:uid="{00000000-0005-0000-0000-000081000000}"/>
    <cellStyle name="Normal 9" xfId="59" xr:uid="{00000000-0005-0000-0000-000082000000}"/>
    <cellStyle name="Normal_2SL Slider" xfId="60" xr:uid="{00000000-0005-0000-0000-000083000000}"/>
    <cellStyle name="Normal_3SL Even Slider " xfId="61" xr:uid="{00000000-0005-0000-0000-000084000000}"/>
    <cellStyle name="Normal_747" xfId="62" xr:uid="{00000000-0005-0000-0000-000085000000}"/>
    <cellStyle name="Normal_C2K HP &gt; 40 x 63" xfId="63" xr:uid="{00000000-0005-0000-0000-000086000000}"/>
    <cellStyle name="Normal_Sash Weight" xfId="64" xr:uid="{00000000-0005-0000-0000-000087000000}"/>
    <cellStyle name="Normal_SuperBoost - K" xfId="65" xr:uid="{00000000-0005-0000-0000-000089000000}"/>
    <cellStyle name="Note 2" xfId="66" xr:uid="{00000000-0005-0000-0000-00008A000000}"/>
    <cellStyle name="Note 2 2" xfId="85" xr:uid="{00000000-0005-0000-0000-00008B000000}"/>
    <cellStyle name="Note 3" xfId="113" xr:uid="{00000000-0005-0000-0000-00008C000000}"/>
    <cellStyle name="Output 2" xfId="67" xr:uid="{00000000-0005-0000-0000-00008D000000}"/>
    <cellStyle name="Percent" xfId="68" builtinId="5"/>
    <cellStyle name="Title" xfId="69" builtinId="15" customBuiltin="1"/>
    <cellStyle name="Total 2" xfId="70" xr:uid="{00000000-0005-0000-0000-000090000000}"/>
    <cellStyle name="Warning Text 2" xfId="71" xr:uid="{00000000-0005-0000-0000-000091000000}"/>
  </cellStyles>
  <dxfs count="571">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FFCC"/>
      <color rgb="FFFF00FF"/>
      <color rgb="FF99CCFF"/>
      <color rgb="FF3366FF"/>
      <color rgb="FF808080"/>
      <color rgb="FFFF99FF"/>
      <color rgb="FF0000FF"/>
      <color rgb="FFFFFFCC"/>
      <color rgb="FFFFFF66"/>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JP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JP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jpe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JPG"/><Relationship Id="rId9" Type="http://schemas.openxmlformats.org/officeDocument/2006/relationships/image" Target="../media/image9.JP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_rels/drawing3.xml.rels><?xml version="1.0" encoding="UTF-8" standalone="yes"?>
<Relationships xmlns="http://schemas.openxmlformats.org/package/2006/relationships"><Relationship Id="rId13" Type="http://schemas.openxmlformats.org/officeDocument/2006/relationships/image" Target="../media/image93.png"/><Relationship Id="rId18" Type="http://schemas.openxmlformats.org/officeDocument/2006/relationships/image" Target="../media/image96.png"/><Relationship Id="rId26" Type="http://schemas.openxmlformats.org/officeDocument/2006/relationships/image" Target="../media/image100.png"/><Relationship Id="rId3" Type="http://schemas.openxmlformats.org/officeDocument/2006/relationships/image" Target="../media/image86.png"/><Relationship Id="rId21" Type="http://schemas.openxmlformats.org/officeDocument/2006/relationships/image" Target="../media/image99.png"/><Relationship Id="rId34" Type="http://schemas.openxmlformats.org/officeDocument/2006/relationships/image" Target="../media/image71.png"/><Relationship Id="rId7" Type="http://schemas.openxmlformats.org/officeDocument/2006/relationships/image" Target="../media/image88.png"/><Relationship Id="rId12" Type="http://schemas.openxmlformats.org/officeDocument/2006/relationships/image" Target="../media/image26.png"/><Relationship Id="rId17" Type="http://schemas.openxmlformats.org/officeDocument/2006/relationships/image" Target="../media/image27.png"/><Relationship Id="rId25" Type="http://schemas.openxmlformats.org/officeDocument/2006/relationships/image" Target="../media/image62.png"/><Relationship Id="rId33" Type="http://schemas.openxmlformats.org/officeDocument/2006/relationships/image" Target="../media/image70.png"/><Relationship Id="rId2" Type="http://schemas.openxmlformats.org/officeDocument/2006/relationships/image" Target="../media/image85.png"/><Relationship Id="rId16" Type="http://schemas.openxmlformats.org/officeDocument/2006/relationships/image" Target="../media/image95.png"/><Relationship Id="rId20" Type="http://schemas.openxmlformats.org/officeDocument/2006/relationships/image" Target="../media/image98.png"/><Relationship Id="rId29" Type="http://schemas.openxmlformats.org/officeDocument/2006/relationships/image" Target="../media/image103.png"/><Relationship Id="rId1" Type="http://schemas.openxmlformats.org/officeDocument/2006/relationships/image" Target="../media/image84.png"/><Relationship Id="rId6" Type="http://schemas.openxmlformats.org/officeDocument/2006/relationships/image" Target="../media/image3.png"/><Relationship Id="rId11" Type="http://schemas.openxmlformats.org/officeDocument/2006/relationships/image" Target="../media/image92.png"/><Relationship Id="rId24" Type="http://schemas.openxmlformats.org/officeDocument/2006/relationships/image" Target="../media/image60.png"/><Relationship Id="rId32" Type="http://schemas.openxmlformats.org/officeDocument/2006/relationships/image" Target="../media/image106.png"/><Relationship Id="rId5" Type="http://schemas.openxmlformats.org/officeDocument/2006/relationships/image" Target="../media/image2.png"/><Relationship Id="rId15" Type="http://schemas.openxmlformats.org/officeDocument/2006/relationships/image" Target="../media/image94.png"/><Relationship Id="rId23" Type="http://schemas.openxmlformats.org/officeDocument/2006/relationships/image" Target="../media/image58.png"/><Relationship Id="rId28" Type="http://schemas.openxmlformats.org/officeDocument/2006/relationships/image" Target="../media/image102.png"/><Relationship Id="rId36" Type="http://schemas.openxmlformats.org/officeDocument/2006/relationships/image" Target="../media/image63.png"/><Relationship Id="rId10" Type="http://schemas.openxmlformats.org/officeDocument/2006/relationships/image" Target="../media/image91.png"/><Relationship Id="rId19" Type="http://schemas.openxmlformats.org/officeDocument/2006/relationships/image" Target="../media/image97.png"/><Relationship Id="rId31" Type="http://schemas.openxmlformats.org/officeDocument/2006/relationships/image" Target="../media/image105.png"/><Relationship Id="rId4" Type="http://schemas.openxmlformats.org/officeDocument/2006/relationships/image" Target="../media/image87.png"/><Relationship Id="rId9" Type="http://schemas.openxmlformats.org/officeDocument/2006/relationships/image" Target="../media/image90.png"/><Relationship Id="rId14" Type="http://schemas.openxmlformats.org/officeDocument/2006/relationships/image" Target="../media/image36.png"/><Relationship Id="rId22" Type="http://schemas.openxmlformats.org/officeDocument/2006/relationships/image" Target="../media/image57.png"/><Relationship Id="rId27" Type="http://schemas.openxmlformats.org/officeDocument/2006/relationships/image" Target="../media/image101.png"/><Relationship Id="rId30" Type="http://schemas.openxmlformats.org/officeDocument/2006/relationships/image" Target="../media/image104.png"/><Relationship Id="rId35" Type="http://schemas.openxmlformats.org/officeDocument/2006/relationships/image" Target="../media/image72.png"/><Relationship Id="rId8" Type="http://schemas.openxmlformats.org/officeDocument/2006/relationships/image" Target="../media/image89.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13.png"/><Relationship Id="rId18" Type="http://schemas.openxmlformats.org/officeDocument/2006/relationships/image" Target="../media/image26.png"/><Relationship Id="rId26" Type="http://schemas.openxmlformats.org/officeDocument/2006/relationships/image" Target="../media/image27.png"/><Relationship Id="rId39" Type="http://schemas.openxmlformats.org/officeDocument/2006/relationships/image" Target="../media/image57.png"/><Relationship Id="rId21" Type="http://schemas.openxmlformats.org/officeDocument/2006/relationships/image" Target="../media/image34.png"/><Relationship Id="rId34" Type="http://schemas.openxmlformats.org/officeDocument/2006/relationships/image" Target="../media/image10.jpeg"/><Relationship Id="rId42" Type="http://schemas.openxmlformats.org/officeDocument/2006/relationships/image" Target="../media/image60.png"/><Relationship Id="rId47" Type="http://schemas.openxmlformats.org/officeDocument/2006/relationships/image" Target="../media/image68.png"/><Relationship Id="rId50" Type="http://schemas.openxmlformats.org/officeDocument/2006/relationships/image" Target="../media/image70.png"/><Relationship Id="rId55" Type="http://schemas.openxmlformats.org/officeDocument/2006/relationships/image" Target="../media/image80.png"/><Relationship Id="rId7" Type="http://schemas.openxmlformats.org/officeDocument/2006/relationships/image" Target="../media/image110.png"/><Relationship Id="rId2" Type="http://schemas.openxmlformats.org/officeDocument/2006/relationships/image" Target="../media/image91.png"/><Relationship Id="rId16" Type="http://schemas.openxmlformats.org/officeDocument/2006/relationships/image" Target="../media/image6.png"/><Relationship Id="rId29" Type="http://schemas.openxmlformats.org/officeDocument/2006/relationships/image" Target="../media/image118.JPG"/><Relationship Id="rId11" Type="http://schemas.openxmlformats.org/officeDocument/2006/relationships/image" Target="../media/image20.png"/><Relationship Id="rId24" Type="http://schemas.openxmlformats.org/officeDocument/2006/relationships/image" Target="../media/image38.png"/><Relationship Id="rId32" Type="http://schemas.openxmlformats.org/officeDocument/2006/relationships/image" Target="../media/image8.JPG"/><Relationship Id="rId37" Type="http://schemas.openxmlformats.org/officeDocument/2006/relationships/image" Target="../media/image53.png"/><Relationship Id="rId40" Type="http://schemas.openxmlformats.org/officeDocument/2006/relationships/image" Target="../media/image58.png"/><Relationship Id="rId45" Type="http://schemas.openxmlformats.org/officeDocument/2006/relationships/image" Target="../media/image121.png"/><Relationship Id="rId53" Type="http://schemas.openxmlformats.org/officeDocument/2006/relationships/image" Target="../media/image78.png"/><Relationship Id="rId5" Type="http://schemas.openxmlformats.org/officeDocument/2006/relationships/image" Target="../media/image99.png"/><Relationship Id="rId10" Type="http://schemas.openxmlformats.org/officeDocument/2006/relationships/image" Target="../media/image19.png"/><Relationship Id="rId19" Type="http://schemas.openxmlformats.org/officeDocument/2006/relationships/image" Target="../media/image36.png"/><Relationship Id="rId31" Type="http://schemas.openxmlformats.org/officeDocument/2006/relationships/image" Target="../media/image42.JPG"/><Relationship Id="rId44" Type="http://schemas.openxmlformats.org/officeDocument/2006/relationships/image" Target="../media/image63.png"/><Relationship Id="rId52" Type="http://schemas.openxmlformats.org/officeDocument/2006/relationships/image" Target="../media/image72.png"/><Relationship Id="rId4" Type="http://schemas.openxmlformats.org/officeDocument/2006/relationships/image" Target="../media/image5.png"/><Relationship Id="rId9" Type="http://schemas.openxmlformats.org/officeDocument/2006/relationships/image" Target="../media/image14.png"/><Relationship Id="rId14" Type="http://schemas.openxmlformats.org/officeDocument/2006/relationships/image" Target="../media/image114.png"/><Relationship Id="rId22" Type="http://schemas.openxmlformats.org/officeDocument/2006/relationships/image" Target="../media/image35.png"/><Relationship Id="rId27" Type="http://schemas.openxmlformats.org/officeDocument/2006/relationships/image" Target="../media/image96.png"/><Relationship Id="rId30" Type="http://schemas.openxmlformats.org/officeDocument/2006/relationships/image" Target="../media/image4.JPG"/><Relationship Id="rId35" Type="http://schemas.openxmlformats.org/officeDocument/2006/relationships/image" Target="../media/image50.png"/><Relationship Id="rId43" Type="http://schemas.openxmlformats.org/officeDocument/2006/relationships/image" Target="../media/image62.png"/><Relationship Id="rId48" Type="http://schemas.openxmlformats.org/officeDocument/2006/relationships/image" Target="../media/image69.png"/><Relationship Id="rId56" Type="http://schemas.openxmlformats.org/officeDocument/2006/relationships/image" Target="../media/image123.png"/><Relationship Id="rId8" Type="http://schemas.openxmlformats.org/officeDocument/2006/relationships/image" Target="../media/image111.png"/><Relationship Id="rId51" Type="http://schemas.openxmlformats.org/officeDocument/2006/relationships/image" Target="../media/image71.png"/><Relationship Id="rId3" Type="http://schemas.openxmlformats.org/officeDocument/2006/relationships/image" Target="../media/image108.png"/><Relationship Id="rId12" Type="http://schemas.openxmlformats.org/officeDocument/2006/relationships/image" Target="../media/image112.png"/><Relationship Id="rId17" Type="http://schemas.openxmlformats.org/officeDocument/2006/relationships/image" Target="../media/image7.png"/><Relationship Id="rId25" Type="http://schemas.openxmlformats.org/officeDocument/2006/relationships/image" Target="../media/image116.png"/><Relationship Id="rId33" Type="http://schemas.openxmlformats.org/officeDocument/2006/relationships/image" Target="../media/image9.JPG"/><Relationship Id="rId38" Type="http://schemas.openxmlformats.org/officeDocument/2006/relationships/image" Target="../media/image120.png"/><Relationship Id="rId46" Type="http://schemas.openxmlformats.org/officeDocument/2006/relationships/image" Target="../media/image122.png"/><Relationship Id="rId20" Type="http://schemas.openxmlformats.org/officeDocument/2006/relationships/image" Target="../media/image39.png"/><Relationship Id="rId41" Type="http://schemas.openxmlformats.org/officeDocument/2006/relationships/image" Target="../media/image59.png"/><Relationship Id="rId54" Type="http://schemas.openxmlformats.org/officeDocument/2006/relationships/image" Target="../media/image79.png"/><Relationship Id="rId1" Type="http://schemas.openxmlformats.org/officeDocument/2006/relationships/image" Target="../media/image107.png"/><Relationship Id="rId6" Type="http://schemas.openxmlformats.org/officeDocument/2006/relationships/image" Target="../media/image109.png"/><Relationship Id="rId15" Type="http://schemas.openxmlformats.org/officeDocument/2006/relationships/image" Target="../media/image115.png"/><Relationship Id="rId23" Type="http://schemas.openxmlformats.org/officeDocument/2006/relationships/image" Target="../media/image37.png"/><Relationship Id="rId28" Type="http://schemas.openxmlformats.org/officeDocument/2006/relationships/image" Target="../media/image117.png"/><Relationship Id="rId36" Type="http://schemas.openxmlformats.org/officeDocument/2006/relationships/image" Target="../media/image119.png"/><Relationship Id="rId49" Type="http://schemas.openxmlformats.org/officeDocument/2006/relationships/image" Target="../media/image67.png"/></Relationships>
</file>

<file path=xl/drawings/_rels/drawing5.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media/image6.png"/><Relationship Id="rId26" Type="http://schemas.openxmlformats.org/officeDocument/2006/relationships/image" Target="../media/image99.png"/><Relationship Id="rId39" Type="http://schemas.openxmlformats.org/officeDocument/2006/relationships/image" Target="../media/image53.png"/><Relationship Id="rId21" Type="http://schemas.openxmlformats.org/officeDocument/2006/relationships/image" Target="../media/image112.png"/><Relationship Id="rId34" Type="http://schemas.openxmlformats.org/officeDocument/2006/relationships/image" Target="../media/image4.JPG"/><Relationship Id="rId42" Type="http://schemas.openxmlformats.org/officeDocument/2006/relationships/image" Target="../media/image120.png"/><Relationship Id="rId47" Type="http://schemas.openxmlformats.org/officeDocument/2006/relationships/image" Target="../media/image62.png"/><Relationship Id="rId50" Type="http://schemas.openxmlformats.org/officeDocument/2006/relationships/image" Target="../media/image68.png"/><Relationship Id="rId55" Type="http://schemas.openxmlformats.org/officeDocument/2006/relationships/image" Target="../media/image71.png"/><Relationship Id="rId7" Type="http://schemas.openxmlformats.org/officeDocument/2006/relationships/image" Target="../media/image107.png"/><Relationship Id="rId2" Type="http://schemas.openxmlformats.org/officeDocument/2006/relationships/image" Target="../media/image125.png"/><Relationship Id="rId16" Type="http://schemas.openxmlformats.org/officeDocument/2006/relationships/image" Target="../media/image108.png"/><Relationship Id="rId29" Type="http://schemas.openxmlformats.org/officeDocument/2006/relationships/image" Target="../media/image39.png"/><Relationship Id="rId11" Type="http://schemas.openxmlformats.org/officeDocument/2006/relationships/image" Target="../media/image130.png"/><Relationship Id="rId24" Type="http://schemas.openxmlformats.org/officeDocument/2006/relationships/image" Target="../media/image20.png"/><Relationship Id="rId32" Type="http://schemas.openxmlformats.org/officeDocument/2006/relationships/image" Target="../media/image117.png"/><Relationship Id="rId37" Type="http://schemas.openxmlformats.org/officeDocument/2006/relationships/image" Target="../media/image10.jpeg"/><Relationship Id="rId40" Type="http://schemas.openxmlformats.org/officeDocument/2006/relationships/image" Target="../media/image5.png"/><Relationship Id="rId45" Type="http://schemas.openxmlformats.org/officeDocument/2006/relationships/image" Target="../media/image59.png"/><Relationship Id="rId53" Type="http://schemas.openxmlformats.org/officeDocument/2006/relationships/image" Target="../media/image78.png"/><Relationship Id="rId58" Type="http://schemas.openxmlformats.org/officeDocument/2006/relationships/image" Target="../media/image80.png"/><Relationship Id="rId5" Type="http://schemas.openxmlformats.org/officeDocument/2006/relationships/image" Target="../media/image14.png"/><Relationship Id="rId61" Type="http://schemas.openxmlformats.org/officeDocument/2006/relationships/image" Target="../media/image123.png"/><Relationship Id="rId19" Type="http://schemas.openxmlformats.org/officeDocument/2006/relationships/image" Target="../media/image110.png"/><Relationship Id="rId14" Type="http://schemas.openxmlformats.org/officeDocument/2006/relationships/image" Target="../media/image91.png"/><Relationship Id="rId22" Type="http://schemas.openxmlformats.org/officeDocument/2006/relationships/image" Target="../media/image113.png"/><Relationship Id="rId27" Type="http://schemas.openxmlformats.org/officeDocument/2006/relationships/image" Target="../media/image26.png"/><Relationship Id="rId30" Type="http://schemas.openxmlformats.org/officeDocument/2006/relationships/image" Target="../media/image37.png"/><Relationship Id="rId35" Type="http://schemas.openxmlformats.org/officeDocument/2006/relationships/image" Target="../media/image8.JPG"/><Relationship Id="rId43" Type="http://schemas.openxmlformats.org/officeDocument/2006/relationships/image" Target="../media/image57.png"/><Relationship Id="rId48" Type="http://schemas.openxmlformats.org/officeDocument/2006/relationships/image" Target="../media/image121.png"/><Relationship Id="rId56" Type="http://schemas.openxmlformats.org/officeDocument/2006/relationships/image" Target="../media/image72.png"/><Relationship Id="rId8" Type="http://schemas.openxmlformats.org/officeDocument/2006/relationships/image" Target="../media/image127.png"/><Relationship Id="rId51" Type="http://schemas.openxmlformats.org/officeDocument/2006/relationships/image" Target="../media/image67.png"/><Relationship Id="rId3" Type="http://schemas.openxmlformats.org/officeDocument/2006/relationships/image" Target="../media/image16.png"/><Relationship Id="rId12" Type="http://schemas.openxmlformats.org/officeDocument/2006/relationships/image" Target="../media/image131.png"/><Relationship Id="rId17" Type="http://schemas.openxmlformats.org/officeDocument/2006/relationships/image" Target="../media/image132.png"/><Relationship Id="rId25" Type="http://schemas.openxmlformats.org/officeDocument/2006/relationships/image" Target="../media/image50.png"/><Relationship Id="rId33" Type="http://schemas.openxmlformats.org/officeDocument/2006/relationships/image" Target="../media/image118.JPG"/><Relationship Id="rId38" Type="http://schemas.openxmlformats.org/officeDocument/2006/relationships/image" Target="../media/image51.png"/><Relationship Id="rId46" Type="http://schemas.openxmlformats.org/officeDocument/2006/relationships/image" Target="../media/image60.png"/><Relationship Id="rId59" Type="http://schemas.openxmlformats.org/officeDocument/2006/relationships/image" Target="../media/image34.png"/><Relationship Id="rId20" Type="http://schemas.openxmlformats.org/officeDocument/2006/relationships/image" Target="../media/image111.png"/><Relationship Id="rId41" Type="http://schemas.openxmlformats.org/officeDocument/2006/relationships/image" Target="../media/image42.JPG"/><Relationship Id="rId54" Type="http://schemas.openxmlformats.org/officeDocument/2006/relationships/image" Target="../media/image70.png"/><Relationship Id="rId1" Type="http://schemas.openxmlformats.org/officeDocument/2006/relationships/image" Target="../media/image124.png"/><Relationship Id="rId6" Type="http://schemas.openxmlformats.org/officeDocument/2006/relationships/image" Target="../media/image126.png"/><Relationship Id="rId15" Type="http://schemas.openxmlformats.org/officeDocument/2006/relationships/image" Target="../media/image109.png"/><Relationship Id="rId23" Type="http://schemas.openxmlformats.org/officeDocument/2006/relationships/image" Target="../media/image19.png"/><Relationship Id="rId28" Type="http://schemas.openxmlformats.org/officeDocument/2006/relationships/image" Target="../media/image36.png"/><Relationship Id="rId36" Type="http://schemas.openxmlformats.org/officeDocument/2006/relationships/image" Target="../media/image9.JPG"/><Relationship Id="rId49" Type="http://schemas.openxmlformats.org/officeDocument/2006/relationships/image" Target="../media/image122.png"/><Relationship Id="rId57" Type="http://schemas.openxmlformats.org/officeDocument/2006/relationships/image" Target="../media/image79.png"/><Relationship Id="rId10" Type="http://schemas.openxmlformats.org/officeDocument/2006/relationships/image" Target="../media/image129.png"/><Relationship Id="rId31" Type="http://schemas.openxmlformats.org/officeDocument/2006/relationships/image" Target="../media/image116.png"/><Relationship Id="rId44" Type="http://schemas.openxmlformats.org/officeDocument/2006/relationships/image" Target="../media/image58.png"/><Relationship Id="rId52" Type="http://schemas.openxmlformats.org/officeDocument/2006/relationships/image" Target="../media/image69.png"/><Relationship Id="rId60" Type="http://schemas.openxmlformats.org/officeDocument/2006/relationships/image" Target="../media/image35.png"/><Relationship Id="rId4" Type="http://schemas.openxmlformats.org/officeDocument/2006/relationships/image" Target="../media/image18.png"/><Relationship Id="rId9" Type="http://schemas.openxmlformats.org/officeDocument/2006/relationships/image" Target="../media/image128.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31.png"/><Relationship Id="rId18" Type="http://schemas.openxmlformats.org/officeDocument/2006/relationships/image" Target="../media/image6.png"/><Relationship Id="rId26" Type="http://schemas.openxmlformats.org/officeDocument/2006/relationships/image" Target="../media/image20.png"/><Relationship Id="rId39" Type="http://schemas.openxmlformats.org/officeDocument/2006/relationships/image" Target="../media/image10.jpeg"/><Relationship Id="rId21" Type="http://schemas.openxmlformats.org/officeDocument/2006/relationships/image" Target="../media/image110.png"/><Relationship Id="rId34" Type="http://schemas.openxmlformats.org/officeDocument/2006/relationships/image" Target="../media/image118.JPG"/><Relationship Id="rId42" Type="http://schemas.openxmlformats.org/officeDocument/2006/relationships/image" Target="../media/image70.png"/><Relationship Id="rId47" Type="http://schemas.openxmlformats.org/officeDocument/2006/relationships/image" Target="../media/image58.png"/><Relationship Id="rId50" Type="http://schemas.openxmlformats.org/officeDocument/2006/relationships/image" Target="../media/image62.png"/><Relationship Id="rId55" Type="http://schemas.openxmlformats.org/officeDocument/2006/relationships/image" Target="../media/image69.png"/><Relationship Id="rId7" Type="http://schemas.openxmlformats.org/officeDocument/2006/relationships/image" Target="../media/image126.png"/><Relationship Id="rId2" Type="http://schemas.openxmlformats.org/officeDocument/2006/relationships/image" Target="../media/image125.png"/><Relationship Id="rId16" Type="http://schemas.openxmlformats.org/officeDocument/2006/relationships/image" Target="../media/image109.png"/><Relationship Id="rId29" Type="http://schemas.openxmlformats.org/officeDocument/2006/relationships/image" Target="../media/image26.png"/><Relationship Id="rId11" Type="http://schemas.openxmlformats.org/officeDocument/2006/relationships/image" Target="../media/image129.png"/><Relationship Id="rId24" Type="http://schemas.openxmlformats.org/officeDocument/2006/relationships/image" Target="../media/image133.png"/><Relationship Id="rId32" Type="http://schemas.openxmlformats.org/officeDocument/2006/relationships/image" Target="../media/image37.png"/><Relationship Id="rId37" Type="http://schemas.openxmlformats.org/officeDocument/2006/relationships/image" Target="../media/image8.JPG"/><Relationship Id="rId40" Type="http://schemas.openxmlformats.org/officeDocument/2006/relationships/image" Target="../media/image51.png"/><Relationship Id="rId45" Type="http://schemas.openxmlformats.org/officeDocument/2006/relationships/image" Target="../media/image120.png"/><Relationship Id="rId53" Type="http://schemas.openxmlformats.org/officeDocument/2006/relationships/image" Target="../media/image68.png"/><Relationship Id="rId58" Type="http://schemas.openxmlformats.org/officeDocument/2006/relationships/image" Target="../media/image80.png"/><Relationship Id="rId5" Type="http://schemas.openxmlformats.org/officeDocument/2006/relationships/image" Target="../media/image18.png"/><Relationship Id="rId61" Type="http://schemas.openxmlformats.org/officeDocument/2006/relationships/image" Target="../media/image123.png"/><Relationship Id="rId19" Type="http://schemas.openxmlformats.org/officeDocument/2006/relationships/image" Target="../media/image112.png"/><Relationship Id="rId14" Type="http://schemas.openxmlformats.org/officeDocument/2006/relationships/image" Target="../media/image7.png"/><Relationship Id="rId22" Type="http://schemas.openxmlformats.org/officeDocument/2006/relationships/image" Target="../media/image111.png"/><Relationship Id="rId27" Type="http://schemas.openxmlformats.org/officeDocument/2006/relationships/image" Target="../media/image50.png"/><Relationship Id="rId30" Type="http://schemas.openxmlformats.org/officeDocument/2006/relationships/image" Target="../media/image36.png"/><Relationship Id="rId35" Type="http://schemas.openxmlformats.org/officeDocument/2006/relationships/image" Target="../media/image4.JPG"/><Relationship Id="rId43" Type="http://schemas.openxmlformats.org/officeDocument/2006/relationships/image" Target="../media/image71.png"/><Relationship Id="rId48" Type="http://schemas.openxmlformats.org/officeDocument/2006/relationships/image" Target="../media/image59.png"/><Relationship Id="rId56" Type="http://schemas.openxmlformats.org/officeDocument/2006/relationships/image" Target="../media/image78.png"/><Relationship Id="rId8" Type="http://schemas.openxmlformats.org/officeDocument/2006/relationships/image" Target="../media/image107.png"/><Relationship Id="rId51" Type="http://schemas.openxmlformats.org/officeDocument/2006/relationships/image" Target="../media/image121.png"/><Relationship Id="rId3" Type="http://schemas.openxmlformats.org/officeDocument/2006/relationships/image" Target="../media/image5.png"/><Relationship Id="rId12" Type="http://schemas.openxmlformats.org/officeDocument/2006/relationships/image" Target="../media/image130.png"/><Relationship Id="rId17" Type="http://schemas.openxmlformats.org/officeDocument/2006/relationships/image" Target="../media/image108.png"/><Relationship Id="rId25" Type="http://schemas.openxmlformats.org/officeDocument/2006/relationships/image" Target="../media/image19.png"/><Relationship Id="rId33" Type="http://schemas.openxmlformats.org/officeDocument/2006/relationships/image" Target="../media/image117.png"/><Relationship Id="rId38" Type="http://schemas.openxmlformats.org/officeDocument/2006/relationships/image" Target="../media/image9.JPG"/><Relationship Id="rId46" Type="http://schemas.openxmlformats.org/officeDocument/2006/relationships/image" Target="../media/image57.png"/><Relationship Id="rId59" Type="http://schemas.openxmlformats.org/officeDocument/2006/relationships/image" Target="../media/image34.png"/><Relationship Id="rId20" Type="http://schemas.openxmlformats.org/officeDocument/2006/relationships/image" Target="../media/image113.png"/><Relationship Id="rId41" Type="http://schemas.openxmlformats.org/officeDocument/2006/relationships/image" Target="../media/image53.png"/><Relationship Id="rId54" Type="http://schemas.openxmlformats.org/officeDocument/2006/relationships/image" Target="../media/image67.png"/><Relationship Id="rId1" Type="http://schemas.openxmlformats.org/officeDocument/2006/relationships/image" Target="../media/image124.png"/><Relationship Id="rId6" Type="http://schemas.openxmlformats.org/officeDocument/2006/relationships/image" Target="../media/image14.png"/><Relationship Id="rId15" Type="http://schemas.openxmlformats.org/officeDocument/2006/relationships/image" Target="../media/image91.png"/><Relationship Id="rId23" Type="http://schemas.openxmlformats.org/officeDocument/2006/relationships/image" Target="../media/image132.png"/><Relationship Id="rId28" Type="http://schemas.openxmlformats.org/officeDocument/2006/relationships/image" Target="../media/image99.png"/><Relationship Id="rId36" Type="http://schemas.openxmlformats.org/officeDocument/2006/relationships/image" Target="../media/image42.JPG"/><Relationship Id="rId49" Type="http://schemas.openxmlformats.org/officeDocument/2006/relationships/image" Target="../media/image60.png"/><Relationship Id="rId57" Type="http://schemas.openxmlformats.org/officeDocument/2006/relationships/image" Target="../media/image79.png"/><Relationship Id="rId10" Type="http://schemas.openxmlformats.org/officeDocument/2006/relationships/image" Target="../media/image128.png"/><Relationship Id="rId31" Type="http://schemas.openxmlformats.org/officeDocument/2006/relationships/image" Target="../media/image39.png"/><Relationship Id="rId44" Type="http://schemas.openxmlformats.org/officeDocument/2006/relationships/image" Target="../media/image72.png"/><Relationship Id="rId52" Type="http://schemas.openxmlformats.org/officeDocument/2006/relationships/image" Target="../media/image122.png"/><Relationship Id="rId60" Type="http://schemas.openxmlformats.org/officeDocument/2006/relationships/image" Target="../media/image35.png"/><Relationship Id="rId4" Type="http://schemas.openxmlformats.org/officeDocument/2006/relationships/image" Target="../media/image16.png"/><Relationship Id="rId9" Type="http://schemas.openxmlformats.org/officeDocument/2006/relationships/image" Target="../media/image127.png"/></Relationships>
</file>

<file path=xl/drawings/_rels/drawing7.xml.rels><?xml version="1.0" encoding="UTF-8" standalone="yes"?>
<Relationships xmlns="http://schemas.openxmlformats.org/package/2006/relationships"><Relationship Id="rId8" Type="http://schemas.openxmlformats.org/officeDocument/2006/relationships/image" Target="../media/image139.png"/><Relationship Id="rId13" Type="http://schemas.openxmlformats.org/officeDocument/2006/relationships/image" Target="../media/image143.png"/><Relationship Id="rId3" Type="http://schemas.openxmlformats.org/officeDocument/2006/relationships/image" Target="../media/image136.png"/><Relationship Id="rId7" Type="http://schemas.openxmlformats.org/officeDocument/2006/relationships/image" Target="../media/image87.png"/><Relationship Id="rId12" Type="http://schemas.openxmlformats.org/officeDocument/2006/relationships/image" Target="../media/image142.png"/><Relationship Id="rId2" Type="http://schemas.openxmlformats.org/officeDocument/2006/relationships/image" Target="../media/image135.png"/><Relationship Id="rId1" Type="http://schemas.openxmlformats.org/officeDocument/2006/relationships/image" Target="../media/image134.png"/><Relationship Id="rId6" Type="http://schemas.openxmlformats.org/officeDocument/2006/relationships/image" Target="../media/image138.png"/><Relationship Id="rId11" Type="http://schemas.openxmlformats.org/officeDocument/2006/relationships/image" Target="../media/image141.png"/><Relationship Id="rId5" Type="http://schemas.openxmlformats.org/officeDocument/2006/relationships/image" Target="../media/image137.png"/><Relationship Id="rId10" Type="http://schemas.openxmlformats.org/officeDocument/2006/relationships/image" Target="../media/image92.png"/><Relationship Id="rId4" Type="http://schemas.openxmlformats.org/officeDocument/2006/relationships/image" Target="../media/image131.png"/><Relationship Id="rId9" Type="http://schemas.openxmlformats.org/officeDocument/2006/relationships/image" Target="../media/image14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46.png"/><Relationship Id="rId2" Type="http://schemas.openxmlformats.org/officeDocument/2006/relationships/image" Target="../media/image145.png"/><Relationship Id="rId1" Type="http://schemas.openxmlformats.org/officeDocument/2006/relationships/image" Target="../media/image144.png"/><Relationship Id="rId5" Type="http://schemas.openxmlformats.org/officeDocument/2006/relationships/image" Target="../media/image148.png"/><Relationship Id="rId4" Type="http://schemas.openxmlformats.org/officeDocument/2006/relationships/image" Target="../media/image147.png"/></Relationships>
</file>

<file path=xl/drawings/_rels/drawing9.xml.rels><?xml version="1.0" encoding="UTF-8" standalone="yes"?>
<Relationships xmlns="http://schemas.openxmlformats.org/package/2006/relationships"><Relationship Id="rId8" Type="http://schemas.openxmlformats.org/officeDocument/2006/relationships/image" Target="../media/image153.png"/><Relationship Id="rId13" Type="http://schemas.openxmlformats.org/officeDocument/2006/relationships/image" Target="../media/image7.png"/><Relationship Id="rId3" Type="http://schemas.openxmlformats.org/officeDocument/2006/relationships/image" Target="../media/image151.png"/><Relationship Id="rId7" Type="http://schemas.openxmlformats.org/officeDocument/2006/relationships/image" Target="../media/image41.png"/><Relationship Id="rId12" Type="http://schemas.openxmlformats.org/officeDocument/2006/relationships/image" Target="../media/image117.png"/><Relationship Id="rId2" Type="http://schemas.openxmlformats.org/officeDocument/2006/relationships/image" Target="../media/image150.png"/><Relationship Id="rId1" Type="http://schemas.openxmlformats.org/officeDocument/2006/relationships/image" Target="../media/image149.png"/><Relationship Id="rId6" Type="http://schemas.openxmlformats.org/officeDocument/2006/relationships/image" Target="../media/image16.png"/><Relationship Id="rId11" Type="http://schemas.openxmlformats.org/officeDocument/2006/relationships/image" Target="../media/image156.png"/><Relationship Id="rId5" Type="http://schemas.openxmlformats.org/officeDocument/2006/relationships/image" Target="../media/image18.png"/><Relationship Id="rId10" Type="http://schemas.openxmlformats.org/officeDocument/2006/relationships/image" Target="../media/image155.png"/><Relationship Id="rId4" Type="http://schemas.openxmlformats.org/officeDocument/2006/relationships/image" Target="../media/image152.png"/><Relationship Id="rId9" Type="http://schemas.openxmlformats.org/officeDocument/2006/relationships/image" Target="../media/image154.png"/><Relationship Id="rId14" Type="http://schemas.openxmlformats.org/officeDocument/2006/relationships/image" Target="../media/image53.png"/></Relationships>
</file>

<file path=xl/drawings/_rels/drawing10.xml.rels><?xml version="1.0" encoding="UTF-8" standalone="yes"?>
<Relationships xmlns="http://schemas.openxmlformats.org/package/2006/relationships"><Relationship Id="rId13" Type="http://schemas.openxmlformats.org/officeDocument/2006/relationships/image" Target="../media/image167.png"/><Relationship Id="rId18" Type="http://schemas.openxmlformats.org/officeDocument/2006/relationships/image" Target="../media/image172.png"/><Relationship Id="rId26" Type="http://schemas.openxmlformats.org/officeDocument/2006/relationships/image" Target="../media/image180.png"/><Relationship Id="rId39" Type="http://schemas.openxmlformats.org/officeDocument/2006/relationships/image" Target="../media/image193.png"/><Relationship Id="rId21" Type="http://schemas.openxmlformats.org/officeDocument/2006/relationships/image" Target="../media/image175.png"/><Relationship Id="rId34" Type="http://schemas.openxmlformats.org/officeDocument/2006/relationships/image" Target="../media/image188.png"/><Relationship Id="rId42" Type="http://schemas.openxmlformats.org/officeDocument/2006/relationships/image" Target="../media/image196.png"/><Relationship Id="rId47" Type="http://schemas.openxmlformats.org/officeDocument/2006/relationships/image" Target="../media/image200.png"/><Relationship Id="rId50" Type="http://schemas.openxmlformats.org/officeDocument/2006/relationships/image" Target="../media/image203.png"/><Relationship Id="rId55" Type="http://schemas.openxmlformats.org/officeDocument/2006/relationships/image" Target="../media/image53.png"/><Relationship Id="rId7" Type="http://schemas.openxmlformats.org/officeDocument/2006/relationships/image" Target="../media/image161.png"/><Relationship Id="rId2" Type="http://schemas.openxmlformats.org/officeDocument/2006/relationships/image" Target="../media/image158.png"/><Relationship Id="rId16" Type="http://schemas.openxmlformats.org/officeDocument/2006/relationships/image" Target="../media/image170.png"/><Relationship Id="rId29" Type="http://schemas.openxmlformats.org/officeDocument/2006/relationships/image" Target="../media/image183.png"/><Relationship Id="rId11" Type="http://schemas.openxmlformats.org/officeDocument/2006/relationships/image" Target="../media/image165.png"/><Relationship Id="rId24" Type="http://schemas.openxmlformats.org/officeDocument/2006/relationships/image" Target="../media/image178.png"/><Relationship Id="rId32" Type="http://schemas.openxmlformats.org/officeDocument/2006/relationships/image" Target="../media/image186.png"/><Relationship Id="rId37" Type="http://schemas.openxmlformats.org/officeDocument/2006/relationships/image" Target="../media/image191.png"/><Relationship Id="rId40" Type="http://schemas.openxmlformats.org/officeDocument/2006/relationships/image" Target="../media/image194.png"/><Relationship Id="rId45" Type="http://schemas.openxmlformats.org/officeDocument/2006/relationships/image" Target="../media/image198.png"/><Relationship Id="rId53" Type="http://schemas.openxmlformats.org/officeDocument/2006/relationships/image" Target="../media/image206.png"/><Relationship Id="rId5" Type="http://schemas.openxmlformats.org/officeDocument/2006/relationships/image" Target="../media/image159.png"/><Relationship Id="rId19" Type="http://schemas.openxmlformats.org/officeDocument/2006/relationships/image" Target="../media/image173.png"/><Relationship Id="rId4" Type="http://schemas.openxmlformats.org/officeDocument/2006/relationships/image" Target="../media/image131.png"/><Relationship Id="rId9" Type="http://schemas.openxmlformats.org/officeDocument/2006/relationships/image" Target="../media/image163.png"/><Relationship Id="rId14" Type="http://schemas.openxmlformats.org/officeDocument/2006/relationships/image" Target="../media/image168.png"/><Relationship Id="rId22" Type="http://schemas.openxmlformats.org/officeDocument/2006/relationships/image" Target="../media/image176.png"/><Relationship Id="rId27" Type="http://schemas.openxmlformats.org/officeDocument/2006/relationships/image" Target="../media/image181.png"/><Relationship Id="rId30" Type="http://schemas.openxmlformats.org/officeDocument/2006/relationships/image" Target="../media/image184.png"/><Relationship Id="rId35" Type="http://schemas.openxmlformats.org/officeDocument/2006/relationships/image" Target="../media/image189.png"/><Relationship Id="rId43" Type="http://schemas.openxmlformats.org/officeDocument/2006/relationships/image" Target="../media/image197.png"/><Relationship Id="rId48" Type="http://schemas.openxmlformats.org/officeDocument/2006/relationships/image" Target="../media/image201.png"/><Relationship Id="rId56" Type="http://schemas.openxmlformats.org/officeDocument/2006/relationships/image" Target="../media/image208.png"/><Relationship Id="rId8" Type="http://schemas.openxmlformats.org/officeDocument/2006/relationships/image" Target="../media/image162.png"/><Relationship Id="rId51" Type="http://schemas.openxmlformats.org/officeDocument/2006/relationships/image" Target="../media/image204.png"/><Relationship Id="rId3" Type="http://schemas.openxmlformats.org/officeDocument/2006/relationships/image" Target="../media/image107.png"/><Relationship Id="rId12" Type="http://schemas.openxmlformats.org/officeDocument/2006/relationships/image" Target="../media/image166.png"/><Relationship Id="rId17" Type="http://schemas.openxmlformats.org/officeDocument/2006/relationships/image" Target="../media/image171.png"/><Relationship Id="rId25" Type="http://schemas.openxmlformats.org/officeDocument/2006/relationships/image" Target="../media/image179.png"/><Relationship Id="rId33" Type="http://schemas.openxmlformats.org/officeDocument/2006/relationships/image" Target="../media/image187.png"/><Relationship Id="rId38" Type="http://schemas.openxmlformats.org/officeDocument/2006/relationships/image" Target="../media/image192.png"/><Relationship Id="rId46" Type="http://schemas.openxmlformats.org/officeDocument/2006/relationships/image" Target="../media/image199.png"/><Relationship Id="rId20" Type="http://schemas.openxmlformats.org/officeDocument/2006/relationships/image" Target="../media/image174.png"/><Relationship Id="rId41" Type="http://schemas.openxmlformats.org/officeDocument/2006/relationships/image" Target="../media/image195.png"/><Relationship Id="rId54" Type="http://schemas.openxmlformats.org/officeDocument/2006/relationships/image" Target="../media/image207.png"/><Relationship Id="rId1" Type="http://schemas.openxmlformats.org/officeDocument/2006/relationships/image" Target="../media/image157.jpeg"/><Relationship Id="rId6" Type="http://schemas.openxmlformats.org/officeDocument/2006/relationships/image" Target="../media/image160.png"/><Relationship Id="rId15" Type="http://schemas.openxmlformats.org/officeDocument/2006/relationships/image" Target="../media/image169.png"/><Relationship Id="rId23" Type="http://schemas.openxmlformats.org/officeDocument/2006/relationships/image" Target="../media/image177.png"/><Relationship Id="rId28" Type="http://schemas.openxmlformats.org/officeDocument/2006/relationships/image" Target="../media/image182.png"/><Relationship Id="rId36" Type="http://schemas.openxmlformats.org/officeDocument/2006/relationships/image" Target="../media/image190.png"/><Relationship Id="rId49" Type="http://schemas.openxmlformats.org/officeDocument/2006/relationships/image" Target="../media/image202.png"/><Relationship Id="rId57" Type="http://schemas.openxmlformats.org/officeDocument/2006/relationships/image" Target="../media/image209.png"/><Relationship Id="rId10" Type="http://schemas.openxmlformats.org/officeDocument/2006/relationships/image" Target="../media/image164.png"/><Relationship Id="rId31" Type="http://schemas.openxmlformats.org/officeDocument/2006/relationships/image" Target="../media/image185.png"/><Relationship Id="rId44" Type="http://schemas.openxmlformats.org/officeDocument/2006/relationships/image" Target="../media/image7.png"/><Relationship Id="rId52" Type="http://schemas.openxmlformats.org/officeDocument/2006/relationships/image" Target="../media/image205.JPG"/></Relationships>
</file>

<file path=xl/drawings/_rels/drawing12.xml.rels><?xml version="1.0" encoding="UTF-8" standalone="yes"?>
<Relationships xmlns="http://schemas.openxmlformats.org/package/2006/relationships"><Relationship Id="rId8" Type="http://schemas.openxmlformats.org/officeDocument/2006/relationships/image" Target="../media/image212.png"/><Relationship Id="rId3" Type="http://schemas.openxmlformats.org/officeDocument/2006/relationships/image" Target="../media/image127.png"/><Relationship Id="rId7" Type="http://schemas.openxmlformats.org/officeDocument/2006/relationships/image" Target="../media/image87.png"/><Relationship Id="rId2" Type="http://schemas.openxmlformats.org/officeDocument/2006/relationships/image" Target="../media/image211.png"/><Relationship Id="rId1" Type="http://schemas.openxmlformats.org/officeDocument/2006/relationships/image" Target="../media/image210.png"/><Relationship Id="rId6" Type="http://schemas.openxmlformats.org/officeDocument/2006/relationships/image" Target="../media/image86.png"/><Relationship Id="rId5" Type="http://schemas.openxmlformats.org/officeDocument/2006/relationships/image" Target="../media/image85.png"/><Relationship Id="rId4" Type="http://schemas.openxmlformats.org/officeDocument/2006/relationships/image" Target="../media/image158.png"/></Relationships>
</file>

<file path=xl/drawings/drawing1.xml><?xml version="1.0" encoding="utf-8"?>
<xdr:wsDr xmlns:xdr="http://schemas.openxmlformats.org/drawingml/2006/spreadsheetDrawing" xmlns:a="http://schemas.openxmlformats.org/drawingml/2006/main">
  <xdr:twoCellAnchor>
    <xdr:from>
      <xdr:col>1</xdr:col>
      <xdr:colOff>205740</xdr:colOff>
      <xdr:row>94</xdr:row>
      <xdr:rowOff>30480</xdr:rowOff>
    </xdr:from>
    <xdr:to>
      <xdr:col>1</xdr:col>
      <xdr:colOff>457200</xdr:colOff>
      <xdr:row>101</xdr:row>
      <xdr:rowOff>114300</xdr:rowOff>
    </xdr:to>
    <xdr:sp macro="" textlink="">
      <xdr:nvSpPr>
        <xdr:cNvPr id="2" name="Down Arrow 1">
          <a:extLst>
            <a:ext uri="{FF2B5EF4-FFF2-40B4-BE49-F238E27FC236}">
              <a16:creationId xmlns:a16="http://schemas.microsoft.com/office/drawing/2014/main" id="{00000000-0008-0000-0000-000002000000}"/>
            </a:ext>
          </a:extLst>
        </xdr:cNvPr>
        <xdr:cNvSpPr/>
      </xdr:nvSpPr>
      <xdr:spPr>
        <a:xfrm>
          <a:off x="327660" y="16969740"/>
          <a:ext cx="251460" cy="12573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180</xdr:row>
      <xdr:rowOff>7620</xdr:rowOff>
    </xdr:from>
    <xdr:to>
      <xdr:col>1</xdr:col>
      <xdr:colOff>480060</xdr:colOff>
      <xdr:row>183</xdr:row>
      <xdr:rowOff>129540</xdr:rowOff>
    </xdr:to>
    <xdr:sp macro="" textlink="">
      <xdr:nvSpPr>
        <xdr:cNvPr id="3" name="Down Arrow 2">
          <a:extLst>
            <a:ext uri="{FF2B5EF4-FFF2-40B4-BE49-F238E27FC236}">
              <a16:creationId xmlns:a16="http://schemas.microsoft.com/office/drawing/2014/main" id="{00000000-0008-0000-0000-000003000000}"/>
            </a:ext>
          </a:extLst>
        </xdr:cNvPr>
        <xdr:cNvSpPr/>
      </xdr:nvSpPr>
      <xdr:spPr>
        <a:xfrm>
          <a:off x="350520" y="24841200"/>
          <a:ext cx="251460" cy="9601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215265</xdr:colOff>
      <xdr:row>472</xdr:row>
      <xdr:rowOff>7620</xdr:rowOff>
    </xdr:from>
    <xdr:to>
      <xdr:col>1</xdr:col>
      <xdr:colOff>466725</xdr:colOff>
      <xdr:row>474</xdr:row>
      <xdr:rowOff>106680</xdr:rowOff>
    </xdr:to>
    <xdr:sp macro="" textlink="">
      <xdr:nvSpPr>
        <xdr:cNvPr id="5" name="Down Arrow 4">
          <a:extLst>
            <a:ext uri="{FF2B5EF4-FFF2-40B4-BE49-F238E27FC236}">
              <a16:creationId xmlns:a16="http://schemas.microsoft.com/office/drawing/2014/main" id="{00000000-0008-0000-0000-000005000000}"/>
            </a:ext>
          </a:extLst>
        </xdr:cNvPr>
        <xdr:cNvSpPr/>
      </xdr:nvSpPr>
      <xdr:spPr>
        <a:xfrm>
          <a:off x="337185" y="61173360"/>
          <a:ext cx="251460" cy="4343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239</xdr:row>
      <xdr:rowOff>15240</xdr:rowOff>
    </xdr:from>
    <xdr:to>
      <xdr:col>1</xdr:col>
      <xdr:colOff>480060</xdr:colOff>
      <xdr:row>240</xdr:row>
      <xdr:rowOff>137160</xdr:rowOff>
    </xdr:to>
    <xdr:sp macro="" textlink="">
      <xdr:nvSpPr>
        <xdr:cNvPr id="6" name="Down Arrow 5">
          <a:extLst>
            <a:ext uri="{FF2B5EF4-FFF2-40B4-BE49-F238E27FC236}">
              <a16:creationId xmlns:a16="http://schemas.microsoft.com/office/drawing/2014/main" id="{00000000-0008-0000-0000-000006000000}"/>
            </a:ext>
          </a:extLst>
        </xdr:cNvPr>
        <xdr:cNvSpPr/>
      </xdr:nvSpPr>
      <xdr:spPr>
        <a:xfrm>
          <a:off x="350520" y="3393186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103</xdr:row>
      <xdr:rowOff>53340</xdr:rowOff>
    </xdr:from>
    <xdr:to>
      <xdr:col>1</xdr:col>
      <xdr:colOff>472440</xdr:colOff>
      <xdr:row>118</xdr:row>
      <xdr:rowOff>129540</xdr:rowOff>
    </xdr:to>
    <xdr:sp macro="" textlink="">
      <xdr:nvSpPr>
        <xdr:cNvPr id="7" name="Down Arrow 6">
          <a:extLst>
            <a:ext uri="{FF2B5EF4-FFF2-40B4-BE49-F238E27FC236}">
              <a16:creationId xmlns:a16="http://schemas.microsoft.com/office/drawing/2014/main" id="{00000000-0008-0000-0000-000007000000}"/>
            </a:ext>
          </a:extLst>
        </xdr:cNvPr>
        <xdr:cNvSpPr/>
      </xdr:nvSpPr>
      <xdr:spPr>
        <a:xfrm>
          <a:off x="342900" y="18501360"/>
          <a:ext cx="251460" cy="35966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242</xdr:row>
      <xdr:rowOff>38100</xdr:rowOff>
    </xdr:from>
    <xdr:to>
      <xdr:col>1</xdr:col>
      <xdr:colOff>457200</xdr:colOff>
      <xdr:row>248</xdr:row>
      <xdr:rowOff>83820</xdr:rowOff>
    </xdr:to>
    <xdr:sp macro="" textlink="">
      <xdr:nvSpPr>
        <xdr:cNvPr id="8" name="Down Arrow 7">
          <a:extLst>
            <a:ext uri="{FF2B5EF4-FFF2-40B4-BE49-F238E27FC236}">
              <a16:creationId xmlns:a16="http://schemas.microsoft.com/office/drawing/2014/main" id="{00000000-0008-0000-0000-000008000000}"/>
            </a:ext>
          </a:extLst>
        </xdr:cNvPr>
        <xdr:cNvSpPr/>
      </xdr:nvSpPr>
      <xdr:spPr>
        <a:xfrm>
          <a:off x="327660" y="35966400"/>
          <a:ext cx="251460" cy="13868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296</xdr:row>
      <xdr:rowOff>30480</xdr:rowOff>
    </xdr:from>
    <xdr:to>
      <xdr:col>1</xdr:col>
      <xdr:colOff>480060</xdr:colOff>
      <xdr:row>298</xdr:row>
      <xdr:rowOff>129540</xdr:rowOff>
    </xdr:to>
    <xdr:sp macro="" textlink="">
      <xdr:nvSpPr>
        <xdr:cNvPr id="9" name="Down Arrow 8">
          <a:extLst>
            <a:ext uri="{FF2B5EF4-FFF2-40B4-BE49-F238E27FC236}">
              <a16:creationId xmlns:a16="http://schemas.microsoft.com/office/drawing/2014/main" id="{00000000-0008-0000-0000-000009000000}"/>
            </a:ext>
          </a:extLst>
        </xdr:cNvPr>
        <xdr:cNvSpPr/>
      </xdr:nvSpPr>
      <xdr:spPr>
        <a:xfrm>
          <a:off x="350520" y="43182540"/>
          <a:ext cx="251460" cy="6019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345</xdr:row>
      <xdr:rowOff>22860</xdr:rowOff>
    </xdr:from>
    <xdr:to>
      <xdr:col>1</xdr:col>
      <xdr:colOff>464820</xdr:colOff>
      <xdr:row>347</xdr:row>
      <xdr:rowOff>121920</xdr:rowOff>
    </xdr:to>
    <xdr:sp macro="" textlink="">
      <xdr:nvSpPr>
        <xdr:cNvPr id="10" name="Down Arrow 9">
          <a:extLst>
            <a:ext uri="{FF2B5EF4-FFF2-40B4-BE49-F238E27FC236}">
              <a16:creationId xmlns:a16="http://schemas.microsoft.com/office/drawing/2014/main" id="{00000000-0008-0000-0000-00000A000000}"/>
            </a:ext>
          </a:extLst>
        </xdr:cNvPr>
        <xdr:cNvSpPr/>
      </xdr:nvSpPr>
      <xdr:spPr>
        <a:xfrm>
          <a:off x="335280" y="49057560"/>
          <a:ext cx="251460" cy="6019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222885</xdr:colOff>
      <xdr:row>511</xdr:row>
      <xdr:rowOff>22860</xdr:rowOff>
    </xdr:from>
    <xdr:to>
      <xdr:col>1</xdr:col>
      <xdr:colOff>474345</xdr:colOff>
      <xdr:row>512</xdr:row>
      <xdr:rowOff>137160</xdr:rowOff>
    </xdr:to>
    <xdr:sp macro="" textlink="">
      <xdr:nvSpPr>
        <xdr:cNvPr id="11" name="Down Arrow 10">
          <a:extLst>
            <a:ext uri="{FF2B5EF4-FFF2-40B4-BE49-F238E27FC236}">
              <a16:creationId xmlns:a16="http://schemas.microsoft.com/office/drawing/2014/main" id="{00000000-0008-0000-0000-00000B000000}"/>
            </a:ext>
          </a:extLst>
        </xdr:cNvPr>
        <xdr:cNvSpPr/>
      </xdr:nvSpPr>
      <xdr:spPr>
        <a:xfrm>
          <a:off x="344805" y="65897760"/>
          <a:ext cx="251460" cy="2819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120</xdr:row>
      <xdr:rowOff>38100</xdr:rowOff>
    </xdr:from>
    <xdr:to>
      <xdr:col>1</xdr:col>
      <xdr:colOff>472440</xdr:colOff>
      <xdr:row>121</xdr:row>
      <xdr:rowOff>609600</xdr:rowOff>
    </xdr:to>
    <xdr:sp macro="" textlink="">
      <xdr:nvSpPr>
        <xdr:cNvPr id="12" name="Down Arrow 2">
          <a:extLst>
            <a:ext uri="{FF2B5EF4-FFF2-40B4-BE49-F238E27FC236}">
              <a16:creationId xmlns:a16="http://schemas.microsoft.com/office/drawing/2014/main" id="{00000000-0008-0000-0000-00000C000000}"/>
            </a:ext>
          </a:extLst>
        </xdr:cNvPr>
        <xdr:cNvSpPr/>
      </xdr:nvSpPr>
      <xdr:spPr>
        <a:xfrm>
          <a:off x="342900" y="22174200"/>
          <a:ext cx="251460" cy="7391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222885</xdr:colOff>
      <xdr:row>514</xdr:row>
      <xdr:rowOff>0</xdr:rowOff>
    </xdr:from>
    <xdr:to>
      <xdr:col>1</xdr:col>
      <xdr:colOff>474345</xdr:colOff>
      <xdr:row>515</xdr:row>
      <xdr:rowOff>129540</xdr:rowOff>
    </xdr:to>
    <xdr:sp macro="" textlink="">
      <xdr:nvSpPr>
        <xdr:cNvPr id="13" name="Down Arrow 10">
          <a:extLst>
            <a:ext uri="{FF2B5EF4-FFF2-40B4-BE49-F238E27FC236}">
              <a16:creationId xmlns:a16="http://schemas.microsoft.com/office/drawing/2014/main" id="{00000000-0008-0000-0000-00000D000000}"/>
            </a:ext>
          </a:extLst>
        </xdr:cNvPr>
        <xdr:cNvSpPr/>
      </xdr:nvSpPr>
      <xdr:spPr>
        <a:xfrm>
          <a:off x="344805" y="66713100"/>
          <a:ext cx="251460" cy="4648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173</xdr:row>
      <xdr:rowOff>259080</xdr:rowOff>
    </xdr:from>
    <xdr:to>
      <xdr:col>1</xdr:col>
      <xdr:colOff>457200</xdr:colOff>
      <xdr:row>178</xdr:row>
      <xdr:rowOff>121920</xdr:rowOff>
    </xdr:to>
    <xdr:sp macro="" textlink="">
      <xdr:nvSpPr>
        <xdr:cNvPr id="14" name="Down Arrow 2">
          <a:extLst>
            <a:ext uri="{FF2B5EF4-FFF2-40B4-BE49-F238E27FC236}">
              <a16:creationId xmlns:a16="http://schemas.microsoft.com/office/drawing/2014/main" id="{00000000-0008-0000-0000-00000E000000}"/>
            </a:ext>
          </a:extLst>
        </xdr:cNvPr>
        <xdr:cNvSpPr/>
      </xdr:nvSpPr>
      <xdr:spPr>
        <a:xfrm>
          <a:off x="327660" y="26266140"/>
          <a:ext cx="251460" cy="8686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83</xdr:row>
      <xdr:rowOff>22860</xdr:rowOff>
    </xdr:from>
    <xdr:to>
      <xdr:col>1</xdr:col>
      <xdr:colOff>457200</xdr:colOff>
      <xdr:row>92</xdr:row>
      <xdr:rowOff>76200</xdr:rowOff>
    </xdr:to>
    <xdr:sp macro="" textlink="">
      <xdr:nvSpPr>
        <xdr:cNvPr id="15" name="Down Arrow 1">
          <a:extLst>
            <a:ext uri="{FF2B5EF4-FFF2-40B4-BE49-F238E27FC236}">
              <a16:creationId xmlns:a16="http://schemas.microsoft.com/office/drawing/2014/main" id="{00000000-0008-0000-0000-00000F000000}"/>
            </a:ext>
          </a:extLst>
        </xdr:cNvPr>
        <xdr:cNvSpPr/>
      </xdr:nvSpPr>
      <xdr:spPr>
        <a:xfrm>
          <a:off x="327660" y="14615160"/>
          <a:ext cx="251460" cy="20650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74</xdr:row>
      <xdr:rowOff>15240</xdr:rowOff>
    </xdr:from>
    <xdr:to>
      <xdr:col>1</xdr:col>
      <xdr:colOff>464820</xdr:colOff>
      <xdr:row>81</xdr:row>
      <xdr:rowOff>106680</xdr:rowOff>
    </xdr:to>
    <xdr:sp macro="" textlink="">
      <xdr:nvSpPr>
        <xdr:cNvPr id="16" name="Down Arrow 1">
          <a:extLst>
            <a:ext uri="{FF2B5EF4-FFF2-40B4-BE49-F238E27FC236}">
              <a16:creationId xmlns:a16="http://schemas.microsoft.com/office/drawing/2014/main" id="{00000000-0008-0000-0000-000010000000}"/>
            </a:ext>
          </a:extLst>
        </xdr:cNvPr>
        <xdr:cNvSpPr/>
      </xdr:nvSpPr>
      <xdr:spPr>
        <a:xfrm>
          <a:off x="335280" y="12763500"/>
          <a:ext cx="251460" cy="16002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65</xdr:row>
      <xdr:rowOff>0</xdr:rowOff>
    </xdr:from>
    <xdr:to>
      <xdr:col>1</xdr:col>
      <xdr:colOff>464820</xdr:colOff>
      <xdr:row>72</xdr:row>
      <xdr:rowOff>83820</xdr:rowOff>
    </xdr:to>
    <xdr:sp macro="" textlink="">
      <xdr:nvSpPr>
        <xdr:cNvPr id="17" name="Down Arrow 1">
          <a:extLst>
            <a:ext uri="{FF2B5EF4-FFF2-40B4-BE49-F238E27FC236}">
              <a16:creationId xmlns:a16="http://schemas.microsoft.com/office/drawing/2014/main" id="{00000000-0008-0000-0000-000011000000}"/>
            </a:ext>
          </a:extLst>
        </xdr:cNvPr>
        <xdr:cNvSpPr/>
      </xdr:nvSpPr>
      <xdr:spPr>
        <a:xfrm>
          <a:off x="335280" y="11239500"/>
          <a:ext cx="251460" cy="12573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228</xdr:row>
      <xdr:rowOff>30480</xdr:rowOff>
    </xdr:from>
    <xdr:to>
      <xdr:col>1</xdr:col>
      <xdr:colOff>472440</xdr:colOff>
      <xdr:row>229</xdr:row>
      <xdr:rowOff>152400</xdr:rowOff>
    </xdr:to>
    <xdr:sp macro="" textlink="">
      <xdr:nvSpPr>
        <xdr:cNvPr id="18" name="Down Arrow 5">
          <a:extLst>
            <a:ext uri="{FF2B5EF4-FFF2-40B4-BE49-F238E27FC236}">
              <a16:creationId xmlns:a16="http://schemas.microsoft.com/office/drawing/2014/main" id="{00000000-0008-0000-0000-000012000000}"/>
            </a:ext>
          </a:extLst>
        </xdr:cNvPr>
        <xdr:cNvSpPr/>
      </xdr:nvSpPr>
      <xdr:spPr>
        <a:xfrm>
          <a:off x="342900" y="3394710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231</xdr:row>
      <xdr:rowOff>22860</xdr:rowOff>
    </xdr:from>
    <xdr:to>
      <xdr:col>1</xdr:col>
      <xdr:colOff>464820</xdr:colOff>
      <xdr:row>232</xdr:row>
      <xdr:rowOff>144780</xdr:rowOff>
    </xdr:to>
    <xdr:sp macro="" textlink="">
      <xdr:nvSpPr>
        <xdr:cNvPr id="19" name="Down Arrow 5">
          <a:extLst>
            <a:ext uri="{FF2B5EF4-FFF2-40B4-BE49-F238E27FC236}">
              <a16:creationId xmlns:a16="http://schemas.microsoft.com/office/drawing/2014/main" id="{00000000-0008-0000-0000-000013000000}"/>
            </a:ext>
          </a:extLst>
        </xdr:cNvPr>
        <xdr:cNvSpPr/>
      </xdr:nvSpPr>
      <xdr:spPr>
        <a:xfrm>
          <a:off x="335280" y="3444240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198120</xdr:colOff>
      <xdr:row>233</xdr:row>
      <xdr:rowOff>304800</xdr:rowOff>
    </xdr:from>
    <xdr:to>
      <xdr:col>1</xdr:col>
      <xdr:colOff>449580</xdr:colOff>
      <xdr:row>237</xdr:row>
      <xdr:rowOff>274320</xdr:rowOff>
    </xdr:to>
    <xdr:sp macro="" textlink="">
      <xdr:nvSpPr>
        <xdr:cNvPr id="20" name="Down Arrow 5">
          <a:extLst>
            <a:ext uri="{FF2B5EF4-FFF2-40B4-BE49-F238E27FC236}">
              <a16:creationId xmlns:a16="http://schemas.microsoft.com/office/drawing/2014/main" id="{00000000-0008-0000-0000-000014000000}"/>
            </a:ext>
          </a:extLst>
        </xdr:cNvPr>
        <xdr:cNvSpPr/>
      </xdr:nvSpPr>
      <xdr:spPr>
        <a:xfrm>
          <a:off x="320040" y="35059620"/>
          <a:ext cx="251460" cy="8077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288</xdr:row>
      <xdr:rowOff>312420</xdr:rowOff>
    </xdr:from>
    <xdr:to>
      <xdr:col>1</xdr:col>
      <xdr:colOff>464820</xdr:colOff>
      <xdr:row>292</xdr:row>
      <xdr:rowOff>274320</xdr:rowOff>
    </xdr:to>
    <xdr:sp macro="" textlink="">
      <xdr:nvSpPr>
        <xdr:cNvPr id="21" name="Down Arrow 8">
          <a:extLst>
            <a:ext uri="{FF2B5EF4-FFF2-40B4-BE49-F238E27FC236}">
              <a16:creationId xmlns:a16="http://schemas.microsoft.com/office/drawing/2014/main" id="{00000000-0008-0000-0000-000015000000}"/>
            </a:ext>
          </a:extLst>
        </xdr:cNvPr>
        <xdr:cNvSpPr/>
      </xdr:nvSpPr>
      <xdr:spPr>
        <a:xfrm>
          <a:off x="335280" y="43464480"/>
          <a:ext cx="251460" cy="8001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337</xdr:row>
      <xdr:rowOff>289560</xdr:rowOff>
    </xdr:from>
    <xdr:to>
      <xdr:col>1</xdr:col>
      <xdr:colOff>464820</xdr:colOff>
      <xdr:row>341</xdr:row>
      <xdr:rowOff>266700</xdr:rowOff>
    </xdr:to>
    <xdr:sp macro="" textlink="">
      <xdr:nvSpPr>
        <xdr:cNvPr id="22" name="Down Arrow 9">
          <a:extLst>
            <a:ext uri="{FF2B5EF4-FFF2-40B4-BE49-F238E27FC236}">
              <a16:creationId xmlns:a16="http://schemas.microsoft.com/office/drawing/2014/main" id="{00000000-0008-0000-0000-000016000000}"/>
            </a:ext>
          </a:extLst>
        </xdr:cNvPr>
        <xdr:cNvSpPr/>
      </xdr:nvSpPr>
      <xdr:spPr>
        <a:xfrm>
          <a:off x="335280" y="49491900"/>
          <a:ext cx="251460" cy="8153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381</xdr:row>
      <xdr:rowOff>160020</xdr:rowOff>
    </xdr:from>
    <xdr:to>
      <xdr:col>1</xdr:col>
      <xdr:colOff>472440</xdr:colOff>
      <xdr:row>385</xdr:row>
      <xdr:rowOff>0</xdr:rowOff>
    </xdr:to>
    <xdr:sp macro="" textlink="">
      <xdr:nvSpPr>
        <xdr:cNvPr id="23" name="Down Arrow 9">
          <a:extLst>
            <a:ext uri="{FF2B5EF4-FFF2-40B4-BE49-F238E27FC236}">
              <a16:creationId xmlns:a16="http://schemas.microsoft.com/office/drawing/2014/main" id="{00000000-0008-0000-0000-000017000000}"/>
            </a:ext>
          </a:extLst>
        </xdr:cNvPr>
        <xdr:cNvSpPr/>
      </xdr:nvSpPr>
      <xdr:spPr>
        <a:xfrm>
          <a:off x="342900" y="54909720"/>
          <a:ext cx="251460" cy="5105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124</xdr:row>
      <xdr:rowOff>30480</xdr:rowOff>
    </xdr:from>
    <xdr:to>
      <xdr:col>1</xdr:col>
      <xdr:colOff>472440</xdr:colOff>
      <xdr:row>128</xdr:row>
      <xdr:rowOff>133351</xdr:rowOff>
    </xdr:to>
    <xdr:sp macro="" textlink="">
      <xdr:nvSpPr>
        <xdr:cNvPr id="24" name="Down Arrow 2">
          <a:extLst>
            <a:ext uri="{FF2B5EF4-FFF2-40B4-BE49-F238E27FC236}">
              <a16:creationId xmlns:a16="http://schemas.microsoft.com/office/drawing/2014/main" id="{00000000-0008-0000-0000-000018000000}"/>
            </a:ext>
          </a:extLst>
        </xdr:cNvPr>
        <xdr:cNvSpPr/>
      </xdr:nvSpPr>
      <xdr:spPr>
        <a:xfrm>
          <a:off x="344805" y="22709505"/>
          <a:ext cx="251460" cy="588646"/>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301</xdr:row>
      <xdr:rowOff>47626</xdr:rowOff>
    </xdr:from>
    <xdr:to>
      <xdr:col>1</xdr:col>
      <xdr:colOff>480060</xdr:colOff>
      <xdr:row>303</xdr:row>
      <xdr:rowOff>276226</xdr:rowOff>
    </xdr:to>
    <xdr:sp macro="" textlink="">
      <xdr:nvSpPr>
        <xdr:cNvPr id="26" name="Down Arrow 25">
          <a:extLst>
            <a:ext uri="{FF2B5EF4-FFF2-40B4-BE49-F238E27FC236}">
              <a16:creationId xmlns:a16="http://schemas.microsoft.com/office/drawing/2014/main" id="{00000000-0008-0000-0000-00001A000000}"/>
            </a:ext>
          </a:extLst>
        </xdr:cNvPr>
        <xdr:cNvSpPr/>
      </xdr:nvSpPr>
      <xdr:spPr>
        <a:xfrm>
          <a:off x="352425" y="44662726"/>
          <a:ext cx="251460" cy="55245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219075</xdr:colOff>
      <xdr:row>350</xdr:row>
      <xdr:rowOff>28576</xdr:rowOff>
    </xdr:from>
    <xdr:to>
      <xdr:col>1</xdr:col>
      <xdr:colOff>470535</xdr:colOff>
      <xdr:row>351</xdr:row>
      <xdr:rowOff>133350</xdr:rowOff>
    </xdr:to>
    <xdr:sp macro="" textlink="">
      <xdr:nvSpPr>
        <xdr:cNvPr id="27" name="Down Arrow 26">
          <a:extLst>
            <a:ext uri="{FF2B5EF4-FFF2-40B4-BE49-F238E27FC236}">
              <a16:creationId xmlns:a16="http://schemas.microsoft.com/office/drawing/2014/main" id="{00000000-0008-0000-0000-00001B000000}"/>
            </a:ext>
          </a:extLst>
        </xdr:cNvPr>
        <xdr:cNvSpPr/>
      </xdr:nvSpPr>
      <xdr:spPr>
        <a:xfrm>
          <a:off x="342900" y="51301651"/>
          <a:ext cx="251460" cy="26669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129</xdr:row>
      <xdr:rowOff>251461</xdr:rowOff>
    </xdr:from>
    <xdr:to>
      <xdr:col>1</xdr:col>
      <xdr:colOff>480060</xdr:colOff>
      <xdr:row>131</xdr:row>
      <xdr:rowOff>144781</xdr:rowOff>
    </xdr:to>
    <xdr:sp macro="" textlink="">
      <xdr:nvSpPr>
        <xdr:cNvPr id="4" name="Down Arrow 2">
          <a:extLst>
            <a:ext uri="{FF2B5EF4-FFF2-40B4-BE49-F238E27FC236}">
              <a16:creationId xmlns:a16="http://schemas.microsoft.com/office/drawing/2014/main" id="{A562741C-314F-F9CB-B316-03E4906F1B6D}"/>
            </a:ext>
          </a:extLst>
        </xdr:cNvPr>
        <xdr:cNvSpPr/>
      </xdr:nvSpPr>
      <xdr:spPr>
        <a:xfrm>
          <a:off x="601980" y="24041101"/>
          <a:ext cx="251460" cy="5638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198120</xdr:colOff>
      <xdr:row>133</xdr:row>
      <xdr:rowOff>30480</xdr:rowOff>
    </xdr:from>
    <xdr:to>
      <xdr:col>1</xdr:col>
      <xdr:colOff>449580</xdr:colOff>
      <xdr:row>138</xdr:row>
      <xdr:rowOff>99059</xdr:rowOff>
    </xdr:to>
    <xdr:sp macro="" textlink="">
      <xdr:nvSpPr>
        <xdr:cNvPr id="25" name="Down Arrow 2">
          <a:extLst>
            <a:ext uri="{FF2B5EF4-FFF2-40B4-BE49-F238E27FC236}">
              <a16:creationId xmlns:a16="http://schemas.microsoft.com/office/drawing/2014/main" id="{0554D7A2-093F-FD4D-4802-EEBE154CF6C7}"/>
            </a:ext>
          </a:extLst>
        </xdr:cNvPr>
        <xdr:cNvSpPr/>
      </xdr:nvSpPr>
      <xdr:spPr>
        <a:xfrm>
          <a:off x="571500" y="24825960"/>
          <a:ext cx="251460" cy="90677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144</xdr:row>
      <xdr:rowOff>22861</xdr:rowOff>
    </xdr:from>
    <xdr:to>
      <xdr:col>1</xdr:col>
      <xdr:colOff>457200</xdr:colOff>
      <xdr:row>145</xdr:row>
      <xdr:rowOff>137160</xdr:rowOff>
    </xdr:to>
    <xdr:sp macro="" textlink="">
      <xdr:nvSpPr>
        <xdr:cNvPr id="28" name="Down Arrow 2">
          <a:extLst>
            <a:ext uri="{FF2B5EF4-FFF2-40B4-BE49-F238E27FC236}">
              <a16:creationId xmlns:a16="http://schemas.microsoft.com/office/drawing/2014/main" id="{5B34B17F-6EF1-2906-3AAA-92ECC46155DB}"/>
            </a:ext>
          </a:extLst>
        </xdr:cNvPr>
        <xdr:cNvSpPr/>
      </xdr:nvSpPr>
      <xdr:spPr>
        <a:xfrm>
          <a:off x="579120" y="26662381"/>
          <a:ext cx="251460" cy="28193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149</xdr:row>
      <xdr:rowOff>15241</xdr:rowOff>
    </xdr:from>
    <xdr:to>
      <xdr:col>1</xdr:col>
      <xdr:colOff>464820</xdr:colOff>
      <xdr:row>151</xdr:row>
      <xdr:rowOff>91440</xdr:rowOff>
    </xdr:to>
    <xdr:sp macro="" textlink="">
      <xdr:nvSpPr>
        <xdr:cNvPr id="29" name="Down Arrow 2">
          <a:extLst>
            <a:ext uri="{FF2B5EF4-FFF2-40B4-BE49-F238E27FC236}">
              <a16:creationId xmlns:a16="http://schemas.microsoft.com/office/drawing/2014/main" id="{94EEE9BB-ADE2-C326-3CA9-1E7C2D95F428}"/>
            </a:ext>
          </a:extLst>
        </xdr:cNvPr>
        <xdr:cNvSpPr/>
      </xdr:nvSpPr>
      <xdr:spPr>
        <a:xfrm>
          <a:off x="586740" y="27492961"/>
          <a:ext cx="251460" cy="41147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252</xdr:row>
      <xdr:rowOff>15240</xdr:rowOff>
    </xdr:from>
    <xdr:to>
      <xdr:col>1</xdr:col>
      <xdr:colOff>464820</xdr:colOff>
      <xdr:row>253</xdr:row>
      <xdr:rowOff>160020</xdr:rowOff>
    </xdr:to>
    <xdr:sp macro="" textlink="">
      <xdr:nvSpPr>
        <xdr:cNvPr id="30" name="Down Arrow 7">
          <a:extLst>
            <a:ext uri="{FF2B5EF4-FFF2-40B4-BE49-F238E27FC236}">
              <a16:creationId xmlns:a16="http://schemas.microsoft.com/office/drawing/2014/main" id="{AD947B94-E66A-234F-A206-A31D6869A2FB}"/>
            </a:ext>
          </a:extLst>
        </xdr:cNvPr>
        <xdr:cNvSpPr/>
      </xdr:nvSpPr>
      <xdr:spPr>
        <a:xfrm>
          <a:off x="586740" y="43754040"/>
          <a:ext cx="251460" cy="3124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188259</xdr:colOff>
      <xdr:row>388</xdr:row>
      <xdr:rowOff>0</xdr:rowOff>
    </xdr:from>
    <xdr:to>
      <xdr:col>1</xdr:col>
      <xdr:colOff>571501</xdr:colOff>
      <xdr:row>389</xdr:row>
      <xdr:rowOff>152400</xdr:rowOff>
    </xdr:to>
    <xdr:grpSp>
      <xdr:nvGrpSpPr>
        <xdr:cNvPr id="30" name="Group 657">
          <a:extLst>
            <a:ext uri="{FF2B5EF4-FFF2-40B4-BE49-F238E27FC236}">
              <a16:creationId xmlns:a16="http://schemas.microsoft.com/office/drawing/2014/main" id="{00000000-0008-0000-0100-00001E000000}"/>
            </a:ext>
          </a:extLst>
        </xdr:cNvPr>
        <xdr:cNvGrpSpPr>
          <a:grpSpLocks/>
        </xdr:cNvGrpSpPr>
      </xdr:nvGrpSpPr>
      <xdr:grpSpPr bwMode="auto">
        <a:xfrm>
          <a:off x="1373592" y="76555600"/>
          <a:ext cx="383242" cy="347133"/>
          <a:chOff x="200" y="1128"/>
          <a:chExt cx="48" cy="50"/>
        </a:xfrm>
      </xdr:grpSpPr>
      <xdr:sp macro="" textlink="">
        <xdr:nvSpPr>
          <xdr:cNvPr id="31" name="Rectangle 653">
            <a:extLst>
              <a:ext uri="{FF2B5EF4-FFF2-40B4-BE49-F238E27FC236}">
                <a16:creationId xmlns:a16="http://schemas.microsoft.com/office/drawing/2014/main" id="{00000000-0008-0000-0100-00001F000000}"/>
              </a:ext>
            </a:extLst>
          </xdr:cNvPr>
          <xdr:cNvSpPr>
            <a:spLocks noChangeArrowheads="1"/>
          </xdr:cNvSpPr>
        </xdr:nvSpPr>
        <xdr:spPr bwMode="auto">
          <a:xfrm>
            <a:off x="208" y="1136"/>
            <a:ext cx="22" cy="42"/>
          </a:xfrm>
          <a:prstGeom prst="rect">
            <a:avLst/>
          </a:prstGeom>
          <a:gradFill rotWithShape="1">
            <a:gsLst>
              <a:gs pos="0">
                <a:srgbClr val="767676"/>
              </a:gs>
              <a:gs pos="50000">
                <a:srgbClr val="FFFFFF"/>
              </a:gs>
              <a:gs pos="100000">
                <a:srgbClr val="767676"/>
              </a:gs>
            </a:gsLst>
            <a:lin ang="0" scaled="1"/>
          </a:gradFill>
          <a:ln w="9525">
            <a:solidFill>
              <a:srgbClr val="000000"/>
            </a:solidFill>
            <a:miter lim="800000"/>
            <a:headEnd/>
            <a:tailEnd/>
          </a:ln>
        </xdr:spPr>
      </xdr:sp>
      <xdr:sp macro="" textlink="">
        <xdr:nvSpPr>
          <xdr:cNvPr id="32" name="Rectangle 654">
            <a:extLst>
              <a:ext uri="{FF2B5EF4-FFF2-40B4-BE49-F238E27FC236}">
                <a16:creationId xmlns:a16="http://schemas.microsoft.com/office/drawing/2014/main" id="{00000000-0008-0000-0100-000020000000}"/>
              </a:ext>
            </a:extLst>
          </xdr:cNvPr>
          <xdr:cNvSpPr>
            <a:spLocks noChangeArrowheads="1"/>
          </xdr:cNvSpPr>
        </xdr:nvSpPr>
        <xdr:spPr bwMode="auto">
          <a:xfrm>
            <a:off x="212" y="1128"/>
            <a:ext cx="12" cy="8"/>
          </a:xfrm>
          <a:prstGeom prst="rect">
            <a:avLst/>
          </a:prstGeom>
          <a:gradFill rotWithShape="1">
            <a:gsLst>
              <a:gs pos="0">
                <a:srgbClr val="767676"/>
              </a:gs>
              <a:gs pos="50000">
                <a:srgbClr val="FFFFFF"/>
              </a:gs>
              <a:gs pos="100000">
                <a:srgbClr val="767676"/>
              </a:gs>
            </a:gsLst>
            <a:lin ang="0" scaled="1"/>
          </a:gradFill>
          <a:ln w="9525" algn="ctr">
            <a:solidFill>
              <a:srgbClr val="000000"/>
            </a:solidFill>
            <a:miter lim="800000"/>
            <a:headEnd/>
            <a:tailEnd/>
          </a:ln>
        </xdr:spPr>
      </xdr:sp>
      <xdr:sp macro="" textlink="">
        <xdr:nvSpPr>
          <xdr:cNvPr id="33" name="Freeform 652">
            <a:extLst>
              <a:ext uri="{FF2B5EF4-FFF2-40B4-BE49-F238E27FC236}">
                <a16:creationId xmlns:a16="http://schemas.microsoft.com/office/drawing/2014/main" id="{00000000-0008-0000-0100-000021000000}"/>
              </a:ext>
            </a:extLst>
          </xdr:cNvPr>
          <xdr:cNvSpPr>
            <a:spLocks/>
          </xdr:cNvSpPr>
        </xdr:nvSpPr>
        <xdr:spPr bwMode="auto">
          <a:xfrm>
            <a:off x="200" y="1134"/>
            <a:ext cx="45" cy="34"/>
          </a:xfrm>
          <a:custGeom>
            <a:avLst/>
            <a:gdLst>
              <a:gd name="T0" fmla="*/ 2 w 56"/>
              <a:gd name="T1" fmla="*/ 9 h 34"/>
              <a:gd name="T2" fmla="*/ 2 w 56"/>
              <a:gd name="T3" fmla="*/ 3 h 34"/>
              <a:gd name="T4" fmla="*/ 2 w 56"/>
              <a:gd name="T5" fmla="*/ 0 h 34"/>
              <a:gd name="T6" fmla="*/ 2 w 56"/>
              <a:gd name="T7" fmla="*/ 0 h 34"/>
              <a:gd name="T8" fmla="*/ 0 w 56"/>
              <a:gd name="T9" fmla="*/ 18 h 34"/>
              <a:gd name="T10" fmla="*/ 0 w 56"/>
              <a:gd name="T11" fmla="*/ 34 h 34"/>
              <a:gd name="T12" fmla="*/ 0 60000 65536"/>
              <a:gd name="T13" fmla="*/ 0 60000 65536"/>
              <a:gd name="T14" fmla="*/ 0 60000 65536"/>
              <a:gd name="T15" fmla="*/ 0 60000 65536"/>
              <a:gd name="T16" fmla="*/ 0 60000 65536"/>
              <a:gd name="T17" fmla="*/ 0 60000 65536"/>
              <a:gd name="T18" fmla="*/ 0 w 56"/>
              <a:gd name="T19" fmla="*/ 0 h 34"/>
              <a:gd name="T20" fmla="*/ 56 w 56"/>
              <a:gd name="T21" fmla="*/ 34 h 34"/>
            </a:gdLst>
            <a:ahLst/>
            <a:cxnLst>
              <a:cxn ang="T12">
                <a:pos x="T0" y="T1"/>
              </a:cxn>
              <a:cxn ang="T13">
                <a:pos x="T2" y="T3"/>
              </a:cxn>
              <a:cxn ang="T14">
                <a:pos x="T4" y="T5"/>
              </a:cxn>
              <a:cxn ang="T15">
                <a:pos x="T6" y="T7"/>
              </a:cxn>
              <a:cxn ang="T16">
                <a:pos x="T8" y="T9"/>
              </a:cxn>
              <a:cxn ang="T17">
                <a:pos x="T10" y="T11"/>
              </a:cxn>
            </a:cxnLst>
            <a:rect l="T18" t="T19" r="T20" b="T21"/>
            <a:pathLst>
              <a:path w="56" h="34">
                <a:moveTo>
                  <a:pt x="56" y="9"/>
                </a:moveTo>
                <a:lnTo>
                  <a:pt x="51" y="3"/>
                </a:lnTo>
                <a:lnTo>
                  <a:pt x="23" y="0"/>
                </a:lnTo>
                <a:lnTo>
                  <a:pt x="10" y="0"/>
                </a:lnTo>
                <a:lnTo>
                  <a:pt x="0" y="18"/>
                </a:lnTo>
                <a:lnTo>
                  <a:pt x="0" y="34"/>
                </a:lnTo>
              </a:path>
            </a:pathLst>
          </a:custGeom>
          <a:noFill/>
          <a:ln w="38100" cmpd="sng">
            <a:solidFill>
              <a:srgbClr val="000000"/>
            </a:solidFill>
            <a:round/>
            <a:headEnd/>
            <a:tailEnd/>
          </a:ln>
        </xdr:spPr>
      </xdr:sp>
      <xdr:sp macro="" textlink="">
        <xdr:nvSpPr>
          <xdr:cNvPr id="34" name="Freeform 656">
            <a:extLst>
              <a:ext uri="{FF2B5EF4-FFF2-40B4-BE49-F238E27FC236}">
                <a16:creationId xmlns:a16="http://schemas.microsoft.com/office/drawing/2014/main" id="{00000000-0008-0000-0100-000022000000}"/>
              </a:ext>
            </a:extLst>
          </xdr:cNvPr>
          <xdr:cNvSpPr>
            <a:spLocks/>
          </xdr:cNvSpPr>
        </xdr:nvSpPr>
        <xdr:spPr bwMode="auto">
          <a:xfrm>
            <a:off x="245" y="1149"/>
            <a:ext cx="3" cy="9"/>
          </a:xfrm>
          <a:custGeom>
            <a:avLst/>
            <a:gdLst>
              <a:gd name="T0" fmla="*/ 1 w 4"/>
              <a:gd name="T1" fmla="*/ 0 h 14"/>
              <a:gd name="T2" fmla="*/ 0 w 4"/>
              <a:gd name="T3" fmla="*/ 1 h 14"/>
              <a:gd name="T4" fmla="*/ 2 w 4"/>
              <a:gd name="T5" fmla="*/ 1 h 14"/>
              <a:gd name="T6" fmla="*/ 1 w 4"/>
              <a:gd name="T7" fmla="*/ 0 h 14"/>
              <a:gd name="T8" fmla="*/ 0 60000 65536"/>
              <a:gd name="T9" fmla="*/ 0 60000 65536"/>
              <a:gd name="T10" fmla="*/ 0 60000 65536"/>
              <a:gd name="T11" fmla="*/ 0 60000 65536"/>
              <a:gd name="T12" fmla="*/ 0 w 4"/>
              <a:gd name="T13" fmla="*/ 0 h 14"/>
              <a:gd name="T14" fmla="*/ 4 w 4"/>
              <a:gd name="T15" fmla="*/ 14 h 14"/>
            </a:gdLst>
            <a:ahLst/>
            <a:cxnLst>
              <a:cxn ang="T8">
                <a:pos x="T0" y="T1"/>
              </a:cxn>
              <a:cxn ang="T9">
                <a:pos x="T2" y="T3"/>
              </a:cxn>
              <a:cxn ang="T10">
                <a:pos x="T4" y="T5"/>
              </a:cxn>
              <a:cxn ang="T11">
                <a:pos x="T6" y="T7"/>
              </a:cxn>
            </a:cxnLst>
            <a:rect l="T12" t="T13" r="T14" b="T15"/>
            <a:pathLst>
              <a:path w="4" h="14">
                <a:moveTo>
                  <a:pt x="1" y="0"/>
                </a:moveTo>
                <a:cubicBezTo>
                  <a:pt x="2" y="0"/>
                  <a:pt x="0" y="10"/>
                  <a:pt x="0" y="12"/>
                </a:cubicBezTo>
                <a:cubicBezTo>
                  <a:pt x="0" y="14"/>
                  <a:pt x="4" y="13"/>
                  <a:pt x="4" y="11"/>
                </a:cubicBezTo>
                <a:cubicBezTo>
                  <a:pt x="4" y="9"/>
                  <a:pt x="2" y="1"/>
                  <a:pt x="1" y="0"/>
                </a:cubicBezTo>
                <a:close/>
              </a:path>
            </a:pathLst>
          </a:custGeom>
          <a:solidFill>
            <a:srgbClr val="996633"/>
          </a:solidFill>
          <a:ln w="9525">
            <a:solidFill>
              <a:srgbClr val="996633"/>
            </a:solidFill>
            <a:round/>
            <a:headEnd/>
            <a:tailEnd/>
          </a:ln>
        </xdr:spPr>
      </xdr:sp>
    </xdr:grpSp>
    <xdr:clientData/>
  </xdr:twoCellAnchor>
  <xdr:twoCellAnchor>
    <xdr:from>
      <xdr:col>2</xdr:col>
      <xdr:colOff>345888</xdr:colOff>
      <xdr:row>174</xdr:row>
      <xdr:rowOff>10272</xdr:rowOff>
    </xdr:from>
    <xdr:to>
      <xdr:col>4</xdr:col>
      <xdr:colOff>254125</xdr:colOff>
      <xdr:row>178</xdr:row>
      <xdr:rowOff>125850</xdr:rowOff>
    </xdr:to>
    <xdr:pic>
      <xdr:nvPicPr>
        <xdr:cNvPr id="59" name="Picture 513">
          <a:extLst>
            <a:ext uri="{FF2B5EF4-FFF2-40B4-BE49-F238E27FC236}">
              <a16:creationId xmlns:a16="http://schemas.microsoft.com/office/drawing/2014/main" id="{00000000-0008-0000-0100-00003B0000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2106955" y="24224939"/>
          <a:ext cx="754903" cy="894511"/>
        </a:xfrm>
        <a:prstGeom prst="rect">
          <a:avLst/>
        </a:prstGeom>
        <a:noFill/>
        <a:ln w="1">
          <a:noFill/>
          <a:miter lim="800000"/>
          <a:headEnd/>
          <a:tailEnd/>
        </a:ln>
      </xdr:spPr>
    </xdr:pic>
    <xdr:clientData/>
  </xdr:twoCellAnchor>
  <xdr:twoCellAnchor>
    <xdr:from>
      <xdr:col>5</xdr:col>
      <xdr:colOff>190500</xdr:colOff>
      <xdr:row>486</xdr:row>
      <xdr:rowOff>78441</xdr:rowOff>
    </xdr:from>
    <xdr:to>
      <xdr:col>5</xdr:col>
      <xdr:colOff>760880</xdr:colOff>
      <xdr:row>487</xdr:row>
      <xdr:rowOff>242607</xdr:rowOff>
    </xdr:to>
    <xdr:pic>
      <xdr:nvPicPr>
        <xdr:cNvPr id="66" name="Picture 24078">
          <a:extLst>
            <a:ext uri="{FF2B5EF4-FFF2-40B4-BE49-F238E27FC236}">
              <a16:creationId xmlns:a16="http://schemas.microsoft.com/office/drawing/2014/main" id="{00000000-0008-0000-0100-000042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451412" y="62876206"/>
          <a:ext cx="570380" cy="500342"/>
        </a:xfrm>
        <a:prstGeom prst="rect">
          <a:avLst/>
        </a:prstGeom>
        <a:noFill/>
        <a:ln w="1">
          <a:noFill/>
          <a:miter lim="800000"/>
          <a:headEnd/>
          <a:tailEnd/>
        </a:ln>
      </xdr:spPr>
    </xdr:pic>
    <xdr:clientData/>
  </xdr:twoCellAnchor>
  <xdr:twoCellAnchor>
    <xdr:from>
      <xdr:col>5</xdr:col>
      <xdr:colOff>220756</xdr:colOff>
      <xdr:row>488</xdr:row>
      <xdr:rowOff>30815</xdr:rowOff>
    </xdr:from>
    <xdr:to>
      <xdr:col>5</xdr:col>
      <xdr:colOff>781611</xdr:colOff>
      <xdr:row>489</xdr:row>
      <xdr:rowOff>220195</xdr:rowOff>
    </xdr:to>
    <xdr:pic>
      <xdr:nvPicPr>
        <xdr:cNvPr id="67" name="Picture 24079">
          <a:extLst>
            <a:ext uri="{FF2B5EF4-FFF2-40B4-BE49-F238E27FC236}">
              <a16:creationId xmlns:a16="http://schemas.microsoft.com/office/drawing/2014/main" id="{00000000-0008-0000-0100-00004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3481668" y="63500933"/>
          <a:ext cx="560855" cy="480733"/>
        </a:xfrm>
        <a:prstGeom prst="rect">
          <a:avLst/>
        </a:prstGeom>
        <a:noFill/>
        <a:ln w="1">
          <a:noFill/>
          <a:miter lim="800000"/>
          <a:headEnd/>
          <a:tailEnd/>
        </a:ln>
      </xdr:spPr>
    </xdr:pic>
    <xdr:clientData/>
  </xdr:twoCellAnchor>
  <xdr:twoCellAnchor>
    <xdr:from>
      <xdr:col>5</xdr:col>
      <xdr:colOff>211667</xdr:colOff>
      <xdr:row>490</xdr:row>
      <xdr:rowOff>35553</xdr:rowOff>
    </xdr:from>
    <xdr:to>
      <xdr:col>5</xdr:col>
      <xdr:colOff>784864</xdr:colOff>
      <xdr:row>490</xdr:row>
      <xdr:rowOff>494110</xdr:rowOff>
    </xdr:to>
    <xdr:pic>
      <xdr:nvPicPr>
        <xdr:cNvPr id="72" name="Picture 44427">
          <a:extLst>
            <a:ext uri="{FF2B5EF4-FFF2-40B4-BE49-F238E27FC236}">
              <a16:creationId xmlns:a16="http://schemas.microsoft.com/office/drawing/2014/main" id="{00000000-0008-0000-0100-00004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3672417" y="63800136"/>
          <a:ext cx="573197" cy="458557"/>
        </a:xfrm>
        <a:prstGeom prst="rect">
          <a:avLst/>
        </a:prstGeom>
        <a:noFill/>
        <a:ln w="1">
          <a:noFill/>
          <a:miter lim="800000"/>
          <a:headEnd/>
          <a:tailEnd type="none" w="med" len="med"/>
        </a:ln>
        <a:effectLst/>
      </xdr:spPr>
    </xdr:pic>
    <xdr:clientData/>
  </xdr:twoCellAnchor>
  <xdr:twoCellAnchor>
    <xdr:from>
      <xdr:col>2</xdr:col>
      <xdr:colOff>316006</xdr:colOff>
      <xdr:row>496</xdr:row>
      <xdr:rowOff>161925</xdr:rowOff>
    </xdr:from>
    <xdr:to>
      <xdr:col>4</xdr:col>
      <xdr:colOff>228600</xdr:colOff>
      <xdr:row>499</xdr:row>
      <xdr:rowOff>161925</xdr:rowOff>
    </xdr:to>
    <xdr:pic>
      <xdr:nvPicPr>
        <xdr:cNvPr id="73" name="Picture 458">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2087656" y="94183200"/>
          <a:ext cx="769844" cy="571500"/>
        </a:xfrm>
        <a:prstGeom prst="rect">
          <a:avLst/>
        </a:prstGeom>
        <a:noFill/>
        <a:ln w="1">
          <a:noFill/>
          <a:miter lim="800000"/>
          <a:headEnd/>
          <a:tailEnd/>
        </a:ln>
      </xdr:spPr>
    </xdr:pic>
    <xdr:clientData/>
  </xdr:twoCellAnchor>
  <xdr:twoCellAnchor>
    <xdr:from>
      <xdr:col>2</xdr:col>
      <xdr:colOff>65554</xdr:colOff>
      <xdr:row>501</xdr:row>
      <xdr:rowOff>188819</xdr:rowOff>
    </xdr:from>
    <xdr:to>
      <xdr:col>4</xdr:col>
      <xdr:colOff>54348</xdr:colOff>
      <xdr:row>504</xdr:row>
      <xdr:rowOff>187113</xdr:rowOff>
    </xdr:to>
    <xdr:pic>
      <xdr:nvPicPr>
        <xdr:cNvPr id="75" name="Picture 21111">
          <a:extLst>
            <a:ext uri="{FF2B5EF4-FFF2-40B4-BE49-F238E27FC236}">
              <a16:creationId xmlns:a16="http://schemas.microsoft.com/office/drawing/2014/main" id="{00000000-0008-0000-0100-00004B000000}"/>
            </a:ext>
          </a:extLst>
        </xdr:cNvPr>
        <xdr:cNvPicPr>
          <a:picLocks noChangeAspect="1" noChangeArrowheads="1"/>
        </xdr:cNvPicPr>
      </xdr:nvPicPr>
      <xdr:blipFill>
        <a:blip xmlns:r="http://schemas.openxmlformats.org/officeDocument/2006/relationships" r:embed="rId6" cstate="print">
          <a:clrChange>
            <a:clrFrom>
              <a:srgbClr val="000000"/>
            </a:clrFrom>
            <a:clrTo>
              <a:srgbClr val="000000">
                <a:alpha val="0"/>
              </a:srgbClr>
            </a:clrTo>
          </a:clrChange>
          <a:lum bright="-24000" contrast="36000"/>
        </a:blip>
        <a:srcRect/>
        <a:stretch>
          <a:fillRect/>
        </a:stretch>
      </xdr:blipFill>
      <xdr:spPr bwMode="auto">
        <a:xfrm>
          <a:off x="1836083" y="65653584"/>
          <a:ext cx="661147" cy="581025"/>
        </a:xfrm>
        <a:prstGeom prst="rect">
          <a:avLst/>
        </a:prstGeom>
        <a:noFill/>
        <a:ln w="1">
          <a:noFill/>
          <a:miter lim="800000"/>
          <a:headEnd/>
          <a:tailEnd/>
        </a:ln>
      </xdr:spPr>
    </xdr:pic>
    <xdr:clientData/>
  </xdr:twoCellAnchor>
  <xdr:twoCellAnchor>
    <xdr:from>
      <xdr:col>5</xdr:col>
      <xdr:colOff>621178</xdr:colOff>
      <xdr:row>521</xdr:row>
      <xdr:rowOff>48187</xdr:rowOff>
    </xdr:from>
    <xdr:to>
      <xdr:col>6</xdr:col>
      <xdr:colOff>46503</xdr:colOff>
      <xdr:row>524</xdr:row>
      <xdr:rowOff>152962</xdr:rowOff>
    </xdr:to>
    <xdr:pic>
      <xdr:nvPicPr>
        <xdr:cNvPr id="77" name="Picture 24051">
          <a:extLst>
            <a:ext uri="{FF2B5EF4-FFF2-40B4-BE49-F238E27FC236}">
              <a16:creationId xmlns:a16="http://schemas.microsoft.com/office/drawing/2014/main" id="{00000000-0008-0000-0100-00004D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041711" y="98168387"/>
          <a:ext cx="390525" cy="688975"/>
        </a:xfrm>
        <a:prstGeom prst="rect">
          <a:avLst/>
        </a:prstGeom>
        <a:noFill/>
        <a:ln w="1">
          <a:noFill/>
          <a:miter lim="800000"/>
          <a:headEnd/>
          <a:tailEnd/>
        </a:ln>
      </xdr:spPr>
    </xdr:pic>
    <xdr:clientData/>
  </xdr:twoCellAnchor>
  <xdr:twoCellAnchor>
    <xdr:from>
      <xdr:col>4</xdr:col>
      <xdr:colOff>595947</xdr:colOff>
      <xdr:row>531</xdr:row>
      <xdr:rowOff>20615</xdr:rowOff>
    </xdr:from>
    <xdr:to>
      <xdr:col>6</xdr:col>
      <xdr:colOff>285749</xdr:colOff>
      <xdr:row>531</xdr:row>
      <xdr:rowOff>793751</xdr:rowOff>
    </xdr:to>
    <xdr:pic>
      <xdr:nvPicPr>
        <xdr:cNvPr id="78" name="Picture 24045">
          <a:extLst>
            <a:ext uri="{FF2B5EF4-FFF2-40B4-BE49-F238E27FC236}">
              <a16:creationId xmlns:a16="http://schemas.microsoft.com/office/drawing/2014/main" id="{00000000-0008-0000-01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3241780" y="68304282"/>
          <a:ext cx="1425469" cy="773136"/>
        </a:xfrm>
        <a:prstGeom prst="rect">
          <a:avLst/>
        </a:prstGeom>
        <a:noFill/>
        <a:ln w="9525">
          <a:noFill/>
          <a:miter lim="800000"/>
          <a:headEnd/>
          <a:tailEnd/>
        </a:ln>
      </xdr:spPr>
    </xdr:pic>
    <xdr:clientData/>
  </xdr:twoCellAnchor>
  <xdr:twoCellAnchor>
    <xdr:from>
      <xdr:col>4</xdr:col>
      <xdr:colOff>539751</xdr:colOff>
      <xdr:row>532</xdr:row>
      <xdr:rowOff>6842</xdr:rowOff>
    </xdr:from>
    <xdr:to>
      <xdr:col>6</xdr:col>
      <xdr:colOff>300481</xdr:colOff>
      <xdr:row>532</xdr:row>
      <xdr:rowOff>783167</xdr:rowOff>
    </xdr:to>
    <xdr:pic>
      <xdr:nvPicPr>
        <xdr:cNvPr id="79" name="Picture 24046">
          <a:extLst>
            <a:ext uri="{FF2B5EF4-FFF2-40B4-BE49-F238E27FC236}">
              <a16:creationId xmlns:a16="http://schemas.microsoft.com/office/drawing/2014/main" id="{00000000-0008-0000-0100-00004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3185584" y="69105425"/>
          <a:ext cx="1496397" cy="776325"/>
        </a:xfrm>
        <a:prstGeom prst="rect">
          <a:avLst/>
        </a:prstGeom>
        <a:noFill/>
        <a:ln w="9525">
          <a:noFill/>
          <a:miter lim="800000"/>
          <a:headEnd/>
          <a:tailEnd/>
        </a:ln>
      </xdr:spPr>
    </xdr:pic>
    <xdr:clientData/>
  </xdr:twoCellAnchor>
  <xdr:twoCellAnchor>
    <xdr:from>
      <xdr:col>4</xdr:col>
      <xdr:colOff>299930</xdr:colOff>
      <xdr:row>533</xdr:row>
      <xdr:rowOff>137314</xdr:rowOff>
    </xdr:from>
    <xdr:to>
      <xdr:col>5</xdr:col>
      <xdr:colOff>623095</xdr:colOff>
      <xdr:row>536</xdr:row>
      <xdr:rowOff>141400</xdr:rowOff>
    </xdr:to>
    <xdr:pic>
      <xdr:nvPicPr>
        <xdr:cNvPr id="80" name="Picture 80549">
          <a:extLst>
            <a:ext uri="{FF2B5EF4-FFF2-40B4-BE49-F238E27FC236}">
              <a16:creationId xmlns:a16="http://schemas.microsoft.com/office/drawing/2014/main" id="{00000000-0008-0000-0100-000050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bwMode="auto">
        <a:xfrm>
          <a:off x="2931211" y="69967470"/>
          <a:ext cx="1144697" cy="575586"/>
        </a:xfrm>
        <a:prstGeom prst="rect">
          <a:avLst/>
        </a:prstGeom>
        <a:noFill/>
        <a:ln w="1">
          <a:noFill/>
          <a:miter lim="800000"/>
          <a:headEnd/>
          <a:tailEnd type="none" w="med" len="med"/>
        </a:ln>
        <a:effectLst/>
      </xdr:spPr>
    </xdr:pic>
    <xdr:clientData/>
  </xdr:twoCellAnchor>
  <xdr:twoCellAnchor>
    <xdr:from>
      <xdr:col>4</xdr:col>
      <xdr:colOff>616324</xdr:colOff>
      <xdr:row>761</xdr:row>
      <xdr:rowOff>42022</xdr:rowOff>
    </xdr:from>
    <xdr:to>
      <xdr:col>6</xdr:col>
      <xdr:colOff>454399</xdr:colOff>
      <xdr:row>765</xdr:row>
      <xdr:rowOff>22972</xdr:rowOff>
    </xdr:to>
    <xdr:pic>
      <xdr:nvPicPr>
        <xdr:cNvPr id="88" name="Picture 24084">
          <a:extLst>
            <a:ext uri="{FF2B5EF4-FFF2-40B4-BE49-F238E27FC236}">
              <a16:creationId xmlns:a16="http://schemas.microsoft.com/office/drawing/2014/main" id="{00000000-0008-0000-0100-000058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blip>
        <a:srcRect/>
        <a:stretch>
          <a:fillRect/>
        </a:stretch>
      </xdr:blipFill>
      <xdr:spPr bwMode="auto">
        <a:xfrm>
          <a:off x="3059206" y="111316434"/>
          <a:ext cx="1574987" cy="742950"/>
        </a:xfrm>
        <a:prstGeom prst="rect">
          <a:avLst/>
        </a:prstGeom>
        <a:noFill/>
        <a:ln w="1">
          <a:noFill/>
          <a:miter lim="800000"/>
          <a:headEnd/>
          <a:tailEnd/>
        </a:ln>
      </xdr:spPr>
    </xdr:pic>
    <xdr:clientData/>
  </xdr:twoCellAnchor>
  <xdr:twoCellAnchor>
    <xdr:from>
      <xdr:col>14</xdr:col>
      <xdr:colOff>438936</xdr:colOff>
      <xdr:row>773</xdr:row>
      <xdr:rowOff>22860</xdr:rowOff>
    </xdr:from>
    <xdr:to>
      <xdr:col>16</xdr:col>
      <xdr:colOff>402452</xdr:colOff>
      <xdr:row>774</xdr:row>
      <xdr:rowOff>0</xdr:rowOff>
    </xdr:to>
    <xdr:pic>
      <xdr:nvPicPr>
        <xdr:cNvPr id="430757" name="Picture 80549">
          <a:extLst>
            <a:ext uri="{FF2B5EF4-FFF2-40B4-BE49-F238E27FC236}">
              <a16:creationId xmlns:a16="http://schemas.microsoft.com/office/drawing/2014/main" id="{00000000-0008-0000-0100-0000A59206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746516" y="143926560"/>
          <a:ext cx="664556" cy="609600"/>
        </a:xfrm>
        <a:prstGeom prst="rect">
          <a:avLst/>
        </a:prstGeom>
        <a:noFill/>
        <a:ln w="1">
          <a:noFill/>
          <a:miter lim="800000"/>
          <a:headEnd/>
          <a:tailEnd type="none" w="med" len="med"/>
        </a:ln>
        <a:effectLst/>
      </xdr:spPr>
    </xdr:pic>
    <xdr:clientData/>
  </xdr:twoCellAnchor>
  <xdr:twoCellAnchor>
    <xdr:from>
      <xdr:col>14</xdr:col>
      <xdr:colOff>129540</xdr:colOff>
      <xdr:row>771</xdr:row>
      <xdr:rowOff>168424</xdr:rowOff>
    </xdr:from>
    <xdr:to>
      <xdr:col>16</xdr:col>
      <xdr:colOff>4207</xdr:colOff>
      <xdr:row>772</xdr:row>
      <xdr:rowOff>624840</xdr:rowOff>
    </xdr:to>
    <xdr:pic>
      <xdr:nvPicPr>
        <xdr:cNvPr id="430758" name="Picture 80550">
          <a:extLst>
            <a:ext uri="{FF2B5EF4-FFF2-40B4-BE49-F238E27FC236}">
              <a16:creationId xmlns:a16="http://schemas.microsoft.com/office/drawing/2014/main" id="{00000000-0008-0000-0100-0000A69206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7437120" y="143249164"/>
          <a:ext cx="575707" cy="646916"/>
        </a:xfrm>
        <a:prstGeom prst="rect">
          <a:avLst/>
        </a:prstGeom>
        <a:noFill/>
        <a:ln w="1">
          <a:noFill/>
          <a:miter lim="800000"/>
          <a:headEnd/>
          <a:tailEnd type="none" w="med" len="med"/>
        </a:ln>
        <a:effectLst/>
      </xdr:spPr>
    </xdr:pic>
    <xdr:clientData/>
  </xdr:twoCellAnchor>
  <xdr:twoCellAnchor>
    <xdr:from>
      <xdr:col>3</xdr:col>
      <xdr:colOff>11206</xdr:colOff>
      <xdr:row>931</xdr:row>
      <xdr:rowOff>145676</xdr:rowOff>
    </xdr:from>
    <xdr:to>
      <xdr:col>5</xdr:col>
      <xdr:colOff>411256</xdr:colOff>
      <xdr:row>936</xdr:row>
      <xdr:rowOff>164726</xdr:rowOff>
    </xdr:to>
    <xdr:pic>
      <xdr:nvPicPr>
        <xdr:cNvPr id="111" name="Picture 471">
          <a:extLst>
            <a:ext uri="{FF2B5EF4-FFF2-40B4-BE49-F238E27FC236}">
              <a16:creationId xmlns:a16="http://schemas.microsoft.com/office/drawing/2014/main" id="{00000000-0008-0000-0100-00006F000000}"/>
            </a:ext>
          </a:extLst>
        </xdr:cNvPr>
        <xdr:cNvPicPr>
          <a:picLocks noChangeAspect="1" noChangeArrowheads="1"/>
        </xdr:cNvPicPr>
      </xdr:nvPicPr>
      <xdr:blipFill>
        <a:blip xmlns:r="http://schemas.openxmlformats.org/officeDocument/2006/relationships" r:embed="rId14" cstate="print">
          <a:clrChange>
            <a:clrFrom>
              <a:srgbClr val="FFFFFF"/>
            </a:clrFrom>
            <a:clrTo>
              <a:srgbClr val="FFFFFF">
                <a:alpha val="0"/>
              </a:srgbClr>
            </a:clrTo>
          </a:clrChange>
        </a:blip>
        <a:srcRect/>
        <a:stretch>
          <a:fillRect/>
        </a:stretch>
      </xdr:blipFill>
      <xdr:spPr bwMode="auto">
        <a:xfrm>
          <a:off x="2173941" y="137339294"/>
          <a:ext cx="1498227" cy="971550"/>
        </a:xfrm>
        <a:prstGeom prst="rect">
          <a:avLst/>
        </a:prstGeom>
        <a:noFill/>
        <a:ln w="1">
          <a:noFill/>
          <a:miter lim="800000"/>
          <a:headEnd/>
          <a:tailEnd/>
        </a:ln>
      </xdr:spPr>
    </xdr:pic>
    <xdr:clientData/>
  </xdr:twoCellAnchor>
  <xdr:twoCellAnchor>
    <xdr:from>
      <xdr:col>1</xdr:col>
      <xdr:colOff>184897</xdr:colOff>
      <xdr:row>910</xdr:row>
      <xdr:rowOff>63313</xdr:rowOff>
    </xdr:from>
    <xdr:to>
      <xdr:col>3</xdr:col>
      <xdr:colOff>36981</xdr:colOff>
      <xdr:row>913</xdr:row>
      <xdr:rowOff>27001</xdr:rowOff>
    </xdr:to>
    <xdr:pic>
      <xdr:nvPicPr>
        <xdr:cNvPr id="113" name="Picture 471">
          <a:extLst>
            <a:ext uri="{FF2B5EF4-FFF2-40B4-BE49-F238E27FC236}">
              <a16:creationId xmlns:a16="http://schemas.microsoft.com/office/drawing/2014/main" id="{00000000-0008-0000-0100-000071000000}"/>
            </a:ext>
          </a:extLst>
        </xdr:cNvPr>
        <xdr:cNvPicPr>
          <a:picLocks noChangeAspect="1" noChangeArrowheads="1"/>
        </xdr:cNvPicPr>
      </xdr:nvPicPr>
      <xdr:blipFill>
        <a:blip xmlns:r="http://schemas.openxmlformats.org/officeDocument/2006/relationships" r:embed="rId14" cstate="print">
          <a:clrChange>
            <a:clrFrom>
              <a:srgbClr val="FFFFFF"/>
            </a:clrFrom>
            <a:clrTo>
              <a:srgbClr val="FFFFFF">
                <a:alpha val="0"/>
              </a:srgbClr>
            </a:clrTo>
          </a:clrChange>
        </a:blip>
        <a:srcRect/>
        <a:stretch>
          <a:fillRect/>
        </a:stretch>
      </xdr:blipFill>
      <xdr:spPr bwMode="auto">
        <a:xfrm>
          <a:off x="1375522" y="130993963"/>
          <a:ext cx="823634" cy="535188"/>
        </a:xfrm>
        <a:prstGeom prst="rect">
          <a:avLst/>
        </a:prstGeom>
        <a:noFill/>
        <a:ln w="1">
          <a:noFill/>
          <a:miter lim="800000"/>
          <a:headEnd/>
          <a:tailEnd/>
        </a:ln>
      </xdr:spPr>
    </xdr:pic>
    <xdr:clientData/>
  </xdr:twoCellAnchor>
  <xdr:twoCellAnchor>
    <xdr:from>
      <xdr:col>2</xdr:col>
      <xdr:colOff>221876</xdr:colOff>
      <xdr:row>973</xdr:row>
      <xdr:rowOff>139972</xdr:rowOff>
    </xdr:from>
    <xdr:to>
      <xdr:col>4</xdr:col>
      <xdr:colOff>616884</xdr:colOff>
      <xdr:row>977</xdr:row>
      <xdr:rowOff>127083</xdr:rowOff>
    </xdr:to>
    <xdr:pic>
      <xdr:nvPicPr>
        <xdr:cNvPr id="116" name="Picture 21117">
          <a:extLst>
            <a:ext uri="{FF2B5EF4-FFF2-40B4-BE49-F238E27FC236}">
              <a16:creationId xmlns:a16="http://schemas.microsoft.com/office/drawing/2014/main" id="{00000000-0008-0000-0100-000074000000}"/>
            </a:ext>
          </a:extLst>
        </xdr:cNvPr>
        <xdr:cNvPicPr>
          <a:picLocks noChangeAspect="1" noChangeArrowheads="1"/>
        </xdr:cNvPicPr>
      </xdr:nvPicPr>
      <xdr:blipFill>
        <a:blip xmlns:r="http://schemas.openxmlformats.org/officeDocument/2006/relationships" r:embed="rId15" cstate="print">
          <a:clrChange>
            <a:clrFrom>
              <a:srgbClr val="000000"/>
            </a:clrFrom>
            <a:clrTo>
              <a:srgbClr val="000000">
                <a:alpha val="0"/>
              </a:srgbClr>
            </a:clrTo>
          </a:clrChange>
        </a:blip>
        <a:srcRect/>
        <a:stretch>
          <a:fillRect/>
        </a:stretch>
      </xdr:blipFill>
      <xdr:spPr bwMode="auto">
        <a:xfrm>
          <a:off x="1992405" y="144001090"/>
          <a:ext cx="1067361" cy="749111"/>
        </a:xfrm>
        <a:prstGeom prst="rect">
          <a:avLst/>
        </a:prstGeom>
        <a:noFill/>
        <a:ln w="1">
          <a:noFill/>
          <a:miter lim="800000"/>
          <a:headEnd/>
          <a:tailEnd/>
        </a:ln>
      </xdr:spPr>
    </xdr:pic>
    <xdr:clientData/>
  </xdr:twoCellAnchor>
  <xdr:twoCellAnchor>
    <xdr:from>
      <xdr:col>5</xdr:col>
      <xdr:colOff>556372</xdr:colOff>
      <xdr:row>965</xdr:row>
      <xdr:rowOff>107679</xdr:rowOff>
    </xdr:from>
    <xdr:to>
      <xdr:col>6</xdr:col>
      <xdr:colOff>330574</xdr:colOff>
      <xdr:row>968</xdr:row>
      <xdr:rowOff>113640</xdr:rowOff>
    </xdr:to>
    <xdr:pic>
      <xdr:nvPicPr>
        <xdr:cNvPr id="117" name="Picture 464">
          <a:extLst>
            <a:ext uri="{FF2B5EF4-FFF2-40B4-BE49-F238E27FC236}">
              <a16:creationId xmlns:a16="http://schemas.microsoft.com/office/drawing/2014/main" id="{00000000-0008-0000-0100-000075000000}"/>
            </a:ext>
          </a:extLst>
        </xdr:cNvPr>
        <xdr:cNvPicPr>
          <a:picLocks noChangeAspect="1" noChangeArrowheads="1"/>
        </xdr:cNvPicPr>
      </xdr:nvPicPr>
      <xdr:blipFill>
        <a:blip xmlns:r="http://schemas.openxmlformats.org/officeDocument/2006/relationships" r:embed="rId16" cstate="print">
          <a:clrChange>
            <a:clrFrom>
              <a:srgbClr val="FFFFFF"/>
            </a:clrFrom>
            <a:clrTo>
              <a:srgbClr val="FFFFFF">
                <a:alpha val="0"/>
              </a:srgbClr>
            </a:clrTo>
          </a:clrChange>
        </a:blip>
        <a:srcRect/>
        <a:stretch>
          <a:fillRect/>
        </a:stretch>
      </xdr:blipFill>
      <xdr:spPr bwMode="auto">
        <a:xfrm>
          <a:off x="3813922" y="140391879"/>
          <a:ext cx="698127" cy="577461"/>
        </a:xfrm>
        <a:prstGeom prst="rect">
          <a:avLst/>
        </a:prstGeom>
        <a:noFill/>
        <a:ln w="1">
          <a:noFill/>
          <a:miter lim="800000"/>
          <a:headEnd/>
          <a:tailEnd/>
        </a:ln>
      </xdr:spPr>
    </xdr:pic>
    <xdr:clientData/>
  </xdr:twoCellAnchor>
  <xdr:twoCellAnchor>
    <xdr:from>
      <xdr:col>2</xdr:col>
      <xdr:colOff>347944</xdr:colOff>
      <xdr:row>980</xdr:row>
      <xdr:rowOff>38418</xdr:rowOff>
    </xdr:from>
    <xdr:to>
      <xdr:col>4</xdr:col>
      <xdr:colOff>650503</xdr:colOff>
      <xdr:row>982</xdr:row>
      <xdr:rowOff>24553</xdr:rowOff>
    </xdr:to>
    <xdr:pic>
      <xdr:nvPicPr>
        <xdr:cNvPr id="120" name="Picture 80541">
          <a:extLst>
            <a:ext uri="{FF2B5EF4-FFF2-40B4-BE49-F238E27FC236}">
              <a16:creationId xmlns:a16="http://schemas.microsoft.com/office/drawing/2014/main" id="{00000000-0008-0000-0100-000078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2118473" y="145042536"/>
          <a:ext cx="974912" cy="367135"/>
        </a:xfrm>
        <a:prstGeom prst="rect">
          <a:avLst/>
        </a:prstGeom>
        <a:noFill/>
        <a:ln w="1">
          <a:noFill/>
          <a:miter lim="800000"/>
          <a:headEnd/>
          <a:tailEnd type="none" w="med" len="med"/>
        </a:ln>
        <a:effectLst/>
      </xdr:spPr>
    </xdr:pic>
    <xdr:clientData/>
  </xdr:twoCellAnchor>
  <xdr:twoCellAnchor>
    <xdr:from>
      <xdr:col>5</xdr:col>
      <xdr:colOff>560295</xdr:colOff>
      <xdr:row>957</xdr:row>
      <xdr:rowOff>123265</xdr:rowOff>
    </xdr:from>
    <xdr:to>
      <xdr:col>6</xdr:col>
      <xdr:colOff>336177</xdr:colOff>
      <xdr:row>960</xdr:row>
      <xdr:rowOff>124222</xdr:rowOff>
    </xdr:to>
    <xdr:pic>
      <xdr:nvPicPr>
        <xdr:cNvPr id="121" name="Picture 465">
          <a:extLst>
            <a:ext uri="{FF2B5EF4-FFF2-40B4-BE49-F238E27FC236}">
              <a16:creationId xmlns:a16="http://schemas.microsoft.com/office/drawing/2014/main" id="{00000000-0008-0000-0100-000079000000}"/>
            </a:ext>
          </a:extLst>
        </xdr:cNvPr>
        <xdr:cNvPicPr>
          <a:picLocks noChangeAspect="1" noChangeArrowheads="1"/>
        </xdr:cNvPicPr>
      </xdr:nvPicPr>
      <xdr:blipFill>
        <a:blip xmlns:r="http://schemas.openxmlformats.org/officeDocument/2006/relationships" r:embed="rId18" cstate="print">
          <a:clrChange>
            <a:clrFrom>
              <a:srgbClr val="FFFFFF"/>
            </a:clrFrom>
            <a:clrTo>
              <a:srgbClr val="FFFFFF">
                <a:alpha val="0"/>
              </a:srgbClr>
            </a:clrTo>
          </a:clrChange>
        </a:blip>
        <a:srcRect/>
        <a:stretch>
          <a:fillRect/>
        </a:stretch>
      </xdr:blipFill>
      <xdr:spPr bwMode="auto">
        <a:xfrm>
          <a:off x="3821207" y="142269883"/>
          <a:ext cx="694764" cy="572457"/>
        </a:xfrm>
        <a:prstGeom prst="rect">
          <a:avLst/>
        </a:prstGeom>
        <a:noFill/>
        <a:ln w="1">
          <a:noFill/>
          <a:miter lim="800000"/>
          <a:headEnd/>
          <a:tailEnd/>
        </a:ln>
      </xdr:spPr>
    </xdr:pic>
    <xdr:clientData/>
  </xdr:twoCellAnchor>
  <xdr:twoCellAnchor>
    <xdr:from>
      <xdr:col>2</xdr:col>
      <xdr:colOff>238461</xdr:colOff>
      <xdr:row>1010</xdr:row>
      <xdr:rowOff>16130</xdr:rowOff>
    </xdr:from>
    <xdr:to>
      <xdr:col>4</xdr:col>
      <xdr:colOff>562325</xdr:colOff>
      <xdr:row>1013</xdr:row>
      <xdr:rowOff>114747</xdr:rowOff>
    </xdr:to>
    <xdr:pic>
      <xdr:nvPicPr>
        <xdr:cNvPr id="123" name="Picture 21100">
          <a:extLst>
            <a:ext uri="{FF2B5EF4-FFF2-40B4-BE49-F238E27FC236}">
              <a16:creationId xmlns:a16="http://schemas.microsoft.com/office/drawing/2014/main" id="{00000000-0008-0000-0100-00007B000000}"/>
            </a:ext>
          </a:extLst>
        </xdr:cNvPr>
        <xdr:cNvPicPr>
          <a:picLocks noChangeAspect="1" noChangeArrowheads="1"/>
        </xdr:cNvPicPr>
      </xdr:nvPicPr>
      <xdr:blipFill>
        <a:blip xmlns:r="http://schemas.openxmlformats.org/officeDocument/2006/relationships" r:embed="rId19" cstate="print">
          <a:clrChange>
            <a:clrFrom>
              <a:srgbClr val="FFFFFF"/>
            </a:clrFrom>
            <a:clrTo>
              <a:srgbClr val="FFFFFF">
                <a:alpha val="0"/>
              </a:srgbClr>
            </a:clrTo>
          </a:clrChange>
        </a:blip>
        <a:srcRect/>
        <a:stretch>
          <a:fillRect/>
        </a:stretch>
      </xdr:blipFill>
      <xdr:spPr bwMode="auto">
        <a:xfrm>
          <a:off x="2006301" y="187330970"/>
          <a:ext cx="1177304" cy="670117"/>
        </a:xfrm>
        <a:prstGeom prst="rect">
          <a:avLst/>
        </a:prstGeom>
        <a:noFill/>
        <a:ln w="1">
          <a:noFill/>
          <a:miter lim="800000"/>
          <a:headEnd/>
          <a:tailEnd/>
        </a:ln>
      </xdr:spPr>
    </xdr:pic>
    <xdr:clientData/>
  </xdr:twoCellAnchor>
  <xdr:twoCellAnchor>
    <xdr:from>
      <xdr:col>2</xdr:col>
      <xdr:colOff>391100</xdr:colOff>
      <xdr:row>1014</xdr:row>
      <xdr:rowOff>173740</xdr:rowOff>
    </xdr:from>
    <xdr:to>
      <xdr:col>4</xdr:col>
      <xdr:colOff>491952</xdr:colOff>
      <xdr:row>1018</xdr:row>
      <xdr:rowOff>179760</xdr:rowOff>
    </xdr:to>
    <xdr:pic>
      <xdr:nvPicPr>
        <xdr:cNvPr id="124" name="Picture 21103">
          <a:extLst>
            <a:ext uri="{FF2B5EF4-FFF2-40B4-BE49-F238E27FC236}">
              <a16:creationId xmlns:a16="http://schemas.microsoft.com/office/drawing/2014/main" id="{00000000-0008-0000-0100-00007C000000}"/>
            </a:ext>
          </a:extLst>
        </xdr:cNvPr>
        <xdr:cNvPicPr>
          <a:picLocks noChangeAspect="1" noChangeArrowheads="1"/>
        </xdr:cNvPicPr>
      </xdr:nvPicPr>
      <xdr:blipFill>
        <a:blip xmlns:r="http://schemas.openxmlformats.org/officeDocument/2006/relationships" r:embed="rId20" cstate="print">
          <a:clrChange>
            <a:clrFrom>
              <a:srgbClr val="FFFFFF"/>
            </a:clrFrom>
            <a:clrTo>
              <a:srgbClr val="FFFFFF">
                <a:alpha val="0"/>
              </a:srgbClr>
            </a:clrTo>
          </a:clrChange>
        </a:blip>
        <a:srcRect/>
        <a:stretch>
          <a:fillRect/>
        </a:stretch>
      </xdr:blipFill>
      <xdr:spPr bwMode="auto">
        <a:xfrm>
          <a:off x="2161629" y="150926475"/>
          <a:ext cx="773205" cy="768020"/>
        </a:xfrm>
        <a:prstGeom prst="rect">
          <a:avLst/>
        </a:prstGeom>
        <a:noFill/>
        <a:ln w="1">
          <a:noFill/>
          <a:miter lim="800000"/>
          <a:headEnd/>
          <a:tailEnd/>
        </a:ln>
      </xdr:spPr>
    </xdr:pic>
    <xdr:clientData/>
  </xdr:twoCellAnchor>
  <xdr:twoCellAnchor>
    <xdr:from>
      <xdr:col>4</xdr:col>
      <xdr:colOff>358140</xdr:colOff>
      <xdr:row>1019</xdr:row>
      <xdr:rowOff>101748</xdr:rowOff>
    </xdr:from>
    <xdr:to>
      <xdr:col>5</xdr:col>
      <xdr:colOff>153335</xdr:colOff>
      <xdr:row>1019</xdr:row>
      <xdr:rowOff>606013</xdr:rowOff>
    </xdr:to>
    <xdr:pic>
      <xdr:nvPicPr>
        <xdr:cNvPr id="126" name="Picture 467">
          <a:extLst>
            <a:ext uri="{FF2B5EF4-FFF2-40B4-BE49-F238E27FC236}">
              <a16:creationId xmlns:a16="http://schemas.microsoft.com/office/drawing/2014/main" id="{00000000-0008-0000-0100-00007E000000}"/>
            </a:ext>
          </a:extLst>
        </xdr:cNvPr>
        <xdr:cNvPicPr>
          <a:picLocks noChangeAspect="1" noChangeArrowheads="1"/>
        </xdr:cNvPicPr>
      </xdr:nvPicPr>
      <xdr:blipFill>
        <a:blip xmlns:r="http://schemas.openxmlformats.org/officeDocument/2006/relationships" r:embed="rId21" cstate="print">
          <a:clrChange>
            <a:clrFrom>
              <a:srgbClr val="FFFFFF"/>
            </a:clrFrom>
            <a:clrTo>
              <a:srgbClr val="FFFFFF">
                <a:alpha val="0"/>
              </a:srgbClr>
            </a:clrTo>
          </a:clrChange>
          <a:lum bright="-24000" contrast="24000"/>
        </a:blip>
        <a:srcRect/>
        <a:stretch>
          <a:fillRect/>
        </a:stretch>
      </xdr:blipFill>
      <xdr:spPr bwMode="auto">
        <a:xfrm>
          <a:off x="2979420" y="189131088"/>
          <a:ext cx="610535" cy="504265"/>
        </a:xfrm>
        <a:prstGeom prst="rect">
          <a:avLst/>
        </a:prstGeom>
        <a:noFill/>
        <a:ln w="1">
          <a:noFill/>
          <a:miter lim="800000"/>
          <a:headEnd/>
          <a:tailEnd/>
        </a:ln>
      </xdr:spPr>
    </xdr:pic>
    <xdr:clientData/>
  </xdr:twoCellAnchor>
  <xdr:twoCellAnchor>
    <xdr:from>
      <xdr:col>4</xdr:col>
      <xdr:colOff>336737</xdr:colOff>
      <xdr:row>1020</xdr:row>
      <xdr:rowOff>211902</xdr:rowOff>
    </xdr:from>
    <xdr:to>
      <xdr:col>5</xdr:col>
      <xdr:colOff>67452</xdr:colOff>
      <xdr:row>1020</xdr:row>
      <xdr:rowOff>581697</xdr:rowOff>
    </xdr:to>
    <xdr:pic>
      <xdr:nvPicPr>
        <xdr:cNvPr id="127" name="Picture 488">
          <a:extLst>
            <a:ext uri="{FF2B5EF4-FFF2-40B4-BE49-F238E27FC236}">
              <a16:creationId xmlns:a16="http://schemas.microsoft.com/office/drawing/2014/main" id="{00000000-0008-0000-0100-00007F000000}"/>
            </a:ext>
          </a:extLst>
        </xdr:cNvPr>
        <xdr:cNvPicPr>
          <a:picLocks noChangeAspect="1" noChangeArrowheads="1"/>
        </xdr:cNvPicPr>
      </xdr:nvPicPr>
      <xdr:blipFill>
        <a:blip xmlns:r="http://schemas.openxmlformats.org/officeDocument/2006/relationships" r:embed="rId22" cstate="print">
          <a:clrChange>
            <a:clrFrom>
              <a:srgbClr val="FFFFFF"/>
            </a:clrFrom>
            <a:clrTo>
              <a:srgbClr val="FFFFFF">
                <a:alpha val="0"/>
              </a:srgbClr>
            </a:clrTo>
          </a:clrChange>
        </a:blip>
        <a:srcRect/>
        <a:stretch>
          <a:fillRect/>
        </a:stretch>
      </xdr:blipFill>
      <xdr:spPr bwMode="auto">
        <a:xfrm>
          <a:off x="2958017" y="189873702"/>
          <a:ext cx="546055" cy="369795"/>
        </a:xfrm>
        <a:prstGeom prst="rect">
          <a:avLst/>
        </a:prstGeom>
        <a:noFill/>
        <a:ln w="1">
          <a:noFill/>
          <a:miter lim="800000"/>
          <a:headEnd/>
          <a:tailEnd/>
        </a:ln>
      </xdr:spPr>
    </xdr:pic>
    <xdr:clientData/>
  </xdr:twoCellAnchor>
  <xdr:twoCellAnchor>
    <xdr:from>
      <xdr:col>5</xdr:col>
      <xdr:colOff>649941</xdr:colOff>
      <xdr:row>949</xdr:row>
      <xdr:rowOff>0</xdr:rowOff>
    </xdr:from>
    <xdr:to>
      <xdr:col>6</xdr:col>
      <xdr:colOff>554691</xdr:colOff>
      <xdr:row>951</xdr:row>
      <xdr:rowOff>152400</xdr:rowOff>
    </xdr:to>
    <xdr:pic>
      <xdr:nvPicPr>
        <xdr:cNvPr id="128" name="Picture 21098">
          <a:extLst>
            <a:ext uri="{FF2B5EF4-FFF2-40B4-BE49-F238E27FC236}">
              <a16:creationId xmlns:a16="http://schemas.microsoft.com/office/drawing/2014/main" id="{00000000-0008-0000-0100-000080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3910853" y="140622618"/>
          <a:ext cx="823632" cy="533400"/>
        </a:xfrm>
        <a:prstGeom prst="rect">
          <a:avLst/>
        </a:prstGeom>
        <a:noFill/>
        <a:ln w="1">
          <a:noFill/>
          <a:miter lim="800000"/>
          <a:headEnd/>
          <a:tailEnd/>
        </a:ln>
      </xdr:spPr>
    </xdr:pic>
    <xdr:clientData/>
  </xdr:twoCellAnchor>
  <xdr:twoCellAnchor>
    <xdr:from>
      <xdr:col>5</xdr:col>
      <xdr:colOff>678516</xdr:colOff>
      <xdr:row>952</xdr:row>
      <xdr:rowOff>0</xdr:rowOff>
    </xdr:from>
    <xdr:to>
      <xdr:col>6</xdr:col>
      <xdr:colOff>583266</xdr:colOff>
      <xdr:row>954</xdr:row>
      <xdr:rowOff>152400</xdr:rowOff>
    </xdr:to>
    <xdr:pic>
      <xdr:nvPicPr>
        <xdr:cNvPr id="129" name="Picture 21097">
          <a:extLst>
            <a:ext uri="{FF2B5EF4-FFF2-40B4-BE49-F238E27FC236}">
              <a16:creationId xmlns:a16="http://schemas.microsoft.com/office/drawing/2014/main" id="{00000000-0008-0000-0100-000081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3939428" y="141194118"/>
          <a:ext cx="823632" cy="533400"/>
        </a:xfrm>
        <a:prstGeom prst="rect">
          <a:avLst/>
        </a:prstGeom>
        <a:noFill/>
        <a:ln w="1">
          <a:noFill/>
          <a:miter lim="800000"/>
          <a:headEnd/>
          <a:tailEnd/>
        </a:ln>
      </xdr:spPr>
    </xdr:pic>
    <xdr:clientData/>
  </xdr:twoCellAnchor>
  <xdr:twoCellAnchor>
    <xdr:from>
      <xdr:col>51</xdr:col>
      <xdr:colOff>38100</xdr:colOff>
      <xdr:row>0</xdr:row>
      <xdr:rowOff>196215</xdr:rowOff>
    </xdr:from>
    <xdr:to>
      <xdr:col>56</xdr:col>
      <xdr:colOff>472440</xdr:colOff>
      <xdr:row>3</xdr:row>
      <xdr:rowOff>34290</xdr:rowOff>
    </xdr:to>
    <xdr:sp macro="" textlink="">
      <xdr:nvSpPr>
        <xdr:cNvPr id="97" name="TextBox 96">
          <a:extLst>
            <a:ext uri="{FF2B5EF4-FFF2-40B4-BE49-F238E27FC236}">
              <a16:creationId xmlns:a16="http://schemas.microsoft.com/office/drawing/2014/main" id="{00000000-0008-0000-0100-000061000000}"/>
            </a:ext>
          </a:extLst>
        </xdr:cNvPr>
        <xdr:cNvSpPr txBox="1"/>
      </xdr:nvSpPr>
      <xdr:spPr>
        <a:xfrm>
          <a:off x="27553920" y="196215"/>
          <a:ext cx="2529840" cy="775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blank = will show in all configurations</a:t>
          </a:r>
        </a:p>
        <a:p>
          <a:r>
            <a:rPr lang="en-US" sz="1100"/>
            <a:t>B = will show if Base</a:t>
          </a:r>
          <a:r>
            <a:rPr lang="en-US" sz="1100" baseline="0"/>
            <a:t> Only is selected</a:t>
          </a:r>
        </a:p>
        <a:p>
          <a:r>
            <a:rPr lang="en-US" sz="1100" baseline="0"/>
            <a:t>O = will show Base &amp; Options</a:t>
          </a:r>
        </a:p>
        <a:p>
          <a:r>
            <a:rPr lang="en-US" sz="1100" baseline="0"/>
            <a:t>NA = Not Available for that configuration</a:t>
          </a:r>
          <a:endParaRPr lang="en-US" sz="1100"/>
        </a:p>
      </xdr:txBody>
    </xdr:sp>
    <xdr:clientData/>
  </xdr:twoCellAnchor>
  <xdr:twoCellAnchor>
    <xdr:from>
      <xdr:col>28</xdr:col>
      <xdr:colOff>238125</xdr:colOff>
      <xdr:row>232</xdr:row>
      <xdr:rowOff>38099</xdr:rowOff>
    </xdr:from>
    <xdr:to>
      <xdr:col>33</xdr:col>
      <xdr:colOff>552450</xdr:colOff>
      <xdr:row>234</xdr:row>
      <xdr:rowOff>91441</xdr:rowOff>
    </xdr:to>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12696825" y="27698699"/>
          <a:ext cx="2813685" cy="4343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1.024 sq in</a:t>
          </a:r>
          <a:r>
            <a:rPr lang="en-US" sz="1000" baseline="0">
              <a:solidFill>
                <a:srgbClr val="FF0000"/>
              </a:solidFill>
            </a:rPr>
            <a:t> (profile area) </a:t>
          </a:r>
          <a:r>
            <a:rPr lang="en-US" sz="1000">
              <a:solidFill>
                <a:srgbClr val="FF0000"/>
              </a:solidFill>
            </a:rPr>
            <a:t>should</a:t>
          </a:r>
          <a:r>
            <a:rPr lang="en-US" sz="1000" baseline="0">
              <a:solidFill>
                <a:srgbClr val="FF0000"/>
              </a:solidFill>
            </a:rPr>
            <a:t> NOT be used.</a:t>
          </a:r>
        </a:p>
        <a:p>
          <a:r>
            <a:rPr lang="en-US" sz="1000" baseline="0">
              <a:solidFill>
                <a:srgbClr val="FF0000"/>
              </a:solidFill>
            </a:rPr>
            <a:t>$0.5541 &amp; $0.6014 &amp; $0.6666 should not be used.</a:t>
          </a:r>
          <a:endParaRPr lang="en-US" sz="1000">
            <a:solidFill>
              <a:srgbClr val="FF0000"/>
            </a:solidFill>
          </a:endParaRPr>
        </a:p>
      </xdr:txBody>
    </xdr:sp>
    <xdr:clientData/>
  </xdr:twoCellAnchor>
  <xdr:twoCellAnchor>
    <xdr:from>
      <xdr:col>35</xdr:col>
      <xdr:colOff>228601</xdr:colOff>
      <xdr:row>231</xdr:row>
      <xdr:rowOff>28574</xdr:rowOff>
    </xdr:from>
    <xdr:to>
      <xdr:col>38</xdr:col>
      <xdr:colOff>28575</xdr:colOff>
      <xdr:row>234</xdr:row>
      <xdr:rowOff>171450</xdr:rowOff>
    </xdr:to>
    <xdr:sp macro="" textlink="">
      <xdr:nvSpPr>
        <xdr:cNvPr id="99" name="TextBox 98">
          <a:extLst>
            <a:ext uri="{FF2B5EF4-FFF2-40B4-BE49-F238E27FC236}">
              <a16:creationId xmlns:a16="http://schemas.microsoft.com/office/drawing/2014/main" id="{00000000-0008-0000-0100-000063000000}"/>
            </a:ext>
          </a:extLst>
        </xdr:cNvPr>
        <xdr:cNvSpPr txBox="1"/>
      </xdr:nvSpPr>
      <xdr:spPr>
        <a:xfrm>
          <a:off x="16592551" y="27565349"/>
          <a:ext cx="2314574"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non-J</a:t>
          </a:r>
          <a:r>
            <a:rPr lang="en-US" sz="1000" baseline="0">
              <a:solidFill>
                <a:srgbClr val="FF0000"/>
              </a:solidFill>
            </a:rPr>
            <a:t> is extruded with the J-leg and then the J-leg is cut off in line at L.T., so the cost is the same as with J, so the cost should not be cheaper.</a:t>
          </a:r>
          <a:endParaRPr lang="en-US" sz="1000">
            <a:solidFill>
              <a:srgbClr val="FF0000"/>
            </a:solidFill>
          </a:endParaRPr>
        </a:p>
      </xdr:txBody>
    </xdr:sp>
    <xdr:clientData/>
  </xdr:twoCellAnchor>
  <xdr:twoCellAnchor>
    <xdr:from>
      <xdr:col>0</xdr:col>
      <xdr:colOff>800100</xdr:colOff>
      <xdr:row>473</xdr:row>
      <xdr:rowOff>57151</xdr:rowOff>
    </xdr:from>
    <xdr:to>
      <xdr:col>6</xdr:col>
      <xdr:colOff>238125</xdr:colOff>
      <xdr:row>476</xdr:row>
      <xdr:rowOff>104775</xdr:rowOff>
    </xdr:to>
    <xdr:sp macro="" textlink="">
      <xdr:nvSpPr>
        <xdr:cNvPr id="102" name="TextBox 101">
          <a:extLst>
            <a:ext uri="{FF2B5EF4-FFF2-40B4-BE49-F238E27FC236}">
              <a16:creationId xmlns:a16="http://schemas.microsoft.com/office/drawing/2014/main" id="{00000000-0008-0000-0100-000066000000}"/>
            </a:ext>
          </a:extLst>
        </xdr:cNvPr>
        <xdr:cNvSpPr txBox="1"/>
      </xdr:nvSpPr>
      <xdr:spPr>
        <a:xfrm>
          <a:off x="800100" y="88915876"/>
          <a:ext cx="3857625" cy="619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200">
              <a:solidFill>
                <a:schemeClr val="accent6">
                  <a:lumMod val="75000"/>
                </a:schemeClr>
              </a:solidFill>
            </a:rPr>
            <a:t>This aluminum reinforcement is the replacement</a:t>
          </a:r>
          <a:r>
            <a:rPr lang="en-US" sz="1200" baseline="0">
              <a:solidFill>
                <a:schemeClr val="accent6">
                  <a:lumMod val="75000"/>
                </a:schemeClr>
              </a:solidFill>
            </a:rPr>
            <a:t> for all previous reinforcement profiles for standard AND impact.</a:t>
          </a:r>
        </a:p>
      </xdr:txBody>
    </xdr:sp>
    <xdr:clientData/>
  </xdr:twoCellAnchor>
  <xdr:twoCellAnchor>
    <xdr:from>
      <xdr:col>13</xdr:col>
      <xdr:colOff>99062</xdr:colOff>
      <xdr:row>796</xdr:row>
      <xdr:rowOff>137160</xdr:rowOff>
    </xdr:from>
    <xdr:to>
      <xdr:col>17</xdr:col>
      <xdr:colOff>13335</xdr:colOff>
      <xdr:row>798</xdr:row>
      <xdr:rowOff>160020</xdr:rowOff>
    </xdr:to>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7025642" y="125128020"/>
          <a:ext cx="1240153" cy="403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000" baseline="0">
              <a:solidFill>
                <a:schemeClr val="accent6">
                  <a:lumMod val="75000"/>
                </a:schemeClr>
              </a:solidFill>
            </a:rPr>
            <a:t>SHTwoLockCutoff</a:t>
          </a:r>
        </a:p>
        <a:p>
          <a:pPr algn="ctr"/>
          <a:r>
            <a:rPr lang="en-US" sz="1000">
              <a:solidFill>
                <a:schemeClr val="dk1"/>
              </a:solidFill>
              <a:latin typeface="+mn-lt"/>
              <a:ea typeface="+mn-ea"/>
              <a:cs typeface="+mn-cs"/>
            </a:rPr>
            <a:t>DO</a:t>
          </a:r>
          <a:r>
            <a:rPr lang="en-US" sz="1000" baseline="0">
              <a:solidFill>
                <a:schemeClr val="dk1"/>
              </a:solidFill>
              <a:latin typeface="+mn-lt"/>
              <a:ea typeface="+mn-ea"/>
              <a:cs typeface="+mn-cs"/>
            </a:rPr>
            <a:t> NOT DELETE!</a:t>
          </a:r>
          <a:endParaRPr lang="en-US" sz="1000"/>
        </a:p>
        <a:p>
          <a:endParaRPr lang="en-US" sz="1100">
            <a:solidFill>
              <a:schemeClr val="accent6">
                <a:lumMod val="75000"/>
              </a:schemeClr>
            </a:solidFill>
          </a:endParaRPr>
        </a:p>
      </xdr:txBody>
    </xdr:sp>
    <xdr:clientData/>
  </xdr:twoCellAnchor>
  <xdr:twoCellAnchor>
    <xdr:from>
      <xdr:col>10</xdr:col>
      <xdr:colOff>161926</xdr:colOff>
      <xdr:row>711</xdr:row>
      <xdr:rowOff>171450</xdr:rowOff>
    </xdr:from>
    <xdr:to>
      <xdr:col>12</xdr:col>
      <xdr:colOff>447675</xdr:colOff>
      <xdr:row>715</xdr:row>
      <xdr:rowOff>180975</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5715001" y="9874567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SINGLE</a:t>
          </a:r>
        </a:p>
        <a:p>
          <a:pPr algn="ctr"/>
          <a:r>
            <a:rPr lang="en-US" sz="2000"/>
            <a:t>COIL</a:t>
          </a:r>
        </a:p>
      </xdr:txBody>
    </xdr:sp>
    <xdr:clientData/>
  </xdr:twoCellAnchor>
  <xdr:twoCellAnchor>
    <xdr:from>
      <xdr:col>10</xdr:col>
      <xdr:colOff>171451</xdr:colOff>
      <xdr:row>720</xdr:row>
      <xdr:rowOff>76200</xdr:rowOff>
    </xdr:from>
    <xdr:to>
      <xdr:col>12</xdr:col>
      <xdr:colOff>457200</xdr:colOff>
      <xdr:row>724</xdr:row>
      <xdr:rowOff>85725</xdr:rowOff>
    </xdr:to>
    <xdr:sp macro="" textlink="">
      <xdr:nvSpPr>
        <xdr:cNvPr id="131" name="TextBox 130">
          <a:extLst>
            <a:ext uri="{FF2B5EF4-FFF2-40B4-BE49-F238E27FC236}">
              <a16:creationId xmlns:a16="http://schemas.microsoft.com/office/drawing/2014/main" id="{00000000-0008-0000-0100-000083000000}"/>
            </a:ext>
          </a:extLst>
        </xdr:cNvPr>
        <xdr:cNvSpPr txBox="1"/>
      </xdr:nvSpPr>
      <xdr:spPr>
        <a:xfrm>
          <a:off x="5724526" y="10036492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DUAL</a:t>
          </a:r>
        </a:p>
        <a:p>
          <a:pPr algn="ctr"/>
          <a:r>
            <a:rPr lang="en-US" sz="2000"/>
            <a:t>COIL</a:t>
          </a:r>
        </a:p>
      </xdr:txBody>
    </xdr:sp>
    <xdr:clientData/>
  </xdr:twoCellAnchor>
  <xdr:twoCellAnchor>
    <xdr:from>
      <xdr:col>10</xdr:col>
      <xdr:colOff>171451</xdr:colOff>
      <xdr:row>728</xdr:row>
      <xdr:rowOff>133350</xdr:rowOff>
    </xdr:from>
    <xdr:to>
      <xdr:col>12</xdr:col>
      <xdr:colOff>457200</xdr:colOff>
      <xdr:row>732</xdr:row>
      <xdr:rowOff>142875</xdr:rowOff>
    </xdr:to>
    <xdr:sp macro="" textlink="">
      <xdr:nvSpPr>
        <xdr:cNvPr id="132" name="TextBox 131">
          <a:extLst>
            <a:ext uri="{FF2B5EF4-FFF2-40B4-BE49-F238E27FC236}">
              <a16:creationId xmlns:a16="http://schemas.microsoft.com/office/drawing/2014/main" id="{00000000-0008-0000-0100-000084000000}"/>
            </a:ext>
          </a:extLst>
        </xdr:cNvPr>
        <xdr:cNvSpPr txBox="1"/>
      </xdr:nvSpPr>
      <xdr:spPr>
        <a:xfrm>
          <a:off x="5724526" y="10194607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TRIPLE</a:t>
          </a:r>
        </a:p>
        <a:p>
          <a:pPr algn="ctr"/>
          <a:r>
            <a:rPr lang="en-US" sz="2000"/>
            <a:t>COIL</a:t>
          </a:r>
        </a:p>
      </xdr:txBody>
    </xdr:sp>
    <xdr:clientData/>
  </xdr:twoCellAnchor>
  <xdr:twoCellAnchor>
    <xdr:from>
      <xdr:col>10</xdr:col>
      <xdr:colOff>171451</xdr:colOff>
      <xdr:row>736</xdr:row>
      <xdr:rowOff>180975</xdr:rowOff>
    </xdr:from>
    <xdr:to>
      <xdr:col>12</xdr:col>
      <xdr:colOff>457200</xdr:colOff>
      <xdr:row>741</xdr:row>
      <xdr:rowOff>0</xdr:rowOff>
    </xdr:to>
    <xdr:sp macro="" textlink="">
      <xdr:nvSpPr>
        <xdr:cNvPr id="134" name="TextBox 133">
          <a:extLst>
            <a:ext uri="{FF2B5EF4-FFF2-40B4-BE49-F238E27FC236}">
              <a16:creationId xmlns:a16="http://schemas.microsoft.com/office/drawing/2014/main" id="{00000000-0008-0000-0100-000086000000}"/>
            </a:ext>
          </a:extLst>
        </xdr:cNvPr>
        <xdr:cNvSpPr txBox="1"/>
      </xdr:nvSpPr>
      <xdr:spPr>
        <a:xfrm>
          <a:off x="5724526" y="103517700"/>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QUAD</a:t>
          </a:r>
        </a:p>
        <a:p>
          <a:pPr algn="ctr"/>
          <a:r>
            <a:rPr lang="en-US" sz="2000"/>
            <a:t>COIL</a:t>
          </a:r>
        </a:p>
      </xdr:txBody>
    </xdr:sp>
    <xdr:clientData/>
  </xdr:twoCellAnchor>
  <xdr:twoCellAnchor>
    <xdr:from>
      <xdr:col>35</xdr:col>
      <xdr:colOff>142873</xdr:colOff>
      <xdr:row>738</xdr:row>
      <xdr:rowOff>1905</xdr:rowOff>
    </xdr:from>
    <xdr:to>
      <xdr:col>38</xdr:col>
      <xdr:colOff>76200</xdr:colOff>
      <xdr:row>741</xdr:row>
      <xdr:rowOff>68580</xdr:rowOff>
    </xdr:to>
    <xdr:sp macro="" textlink="">
      <xdr:nvSpPr>
        <xdr:cNvPr id="135" name="TextBox 134">
          <a:extLst>
            <a:ext uri="{FF2B5EF4-FFF2-40B4-BE49-F238E27FC236}">
              <a16:creationId xmlns:a16="http://schemas.microsoft.com/office/drawing/2014/main" id="{00000000-0008-0000-0100-000087000000}"/>
            </a:ext>
          </a:extLst>
        </xdr:cNvPr>
        <xdr:cNvSpPr txBox="1"/>
      </xdr:nvSpPr>
      <xdr:spPr>
        <a:xfrm>
          <a:off x="16640173" y="137131425"/>
          <a:ext cx="2447927"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$0.0000 means the assembly is not in inventory at this time and is</a:t>
          </a:r>
          <a:r>
            <a:rPr lang="en-US" sz="1100" baseline="0">
              <a:solidFill>
                <a:srgbClr val="FF0000"/>
              </a:solidFill>
            </a:rPr>
            <a:t> built from components  listed below as needed.</a:t>
          </a:r>
          <a:endParaRPr lang="en-US" sz="1100">
            <a:solidFill>
              <a:srgbClr val="FF0000"/>
            </a:solidFill>
          </a:endParaRPr>
        </a:p>
      </xdr:txBody>
    </xdr:sp>
    <xdr:clientData/>
  </xdr:twoCellAnchor>
  <xdr:twoCellAnchor>
    <xdr:from>
      <xdr:col>34</xdr:col>
      <xdr:colOff>649603</xdr:colOff>
      <xdr:row>706</xdr:row>
      <xdr:rowOff>20955</xdr:rowOff>
    </xdr:from>
    <xdr:to>
      <xdr:col>37</xdr:col>
      <xdr:colOff>716280</xdr:colOff>
      <xdr:row>708</xdr:row>
      <xdr:rowOff>160020</xdr:rowOff>
    </xdr:to>
    <xdr:sp macro="" textlink="">
      <xdr:nvSpPr>
        <xdr:cNvPr id="136" name="TextBox 135">
          <a:extLst>
            <a:ext uri="{FF2B5EF4-FFF2-40B4-BE49-F238E27FC236}">
              <a16:creationId xmlns:a16="http://schemas.microsoft.com/office/drawing/2014/main" id="{00000000-0008-0000-0100-000088000000}"/>
            </a:ext>
          </a:extLst>
        </xdr:cNvPr>
        <xdr:cNvSpPr txBox="1"/>
      </xdr:nvSpPr>
      <xdr:spPr>
        <a:xfrm>
          <a:off x="16301083" y="107158155"/>
          <a:ext cx="2398397" cy="520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$0.0000 means the assembly is not in inventory at this time and is</a:t>
          </a:r>
          <a:r>
            <a:rPr lang="en-US" sz="900" baseline="0">
              <a:solidFill>
                <a:srgbClr val="FF0000"/>
              </a:solidFill>
            </a:rPr>
            <a:t> built from components  listed below as needed.</a:t>
          </a:r>
          <a:endParaRPr lang="en-US" sz="900">
            <a:solidFill>
              <a:srgbClr val="FF0000"/>
            </a:solidFill>
          </a:endParaRPr>
        </a:p>
      </xdr:txBody>
    </xdr:sp>
    <xdr:clientData/>
  </xdr:twoCellAnchor>
  <xdr:twoCellAnchor>
    <xdr:from>
      <xdr:col>35</xdr:col>
      <xdr:colOff>375283</xdr:colOff>
      <xdr:row>744</xdr:row>
      <xdr:rowOff>34290</xdr:rowOff>
    </xdr:from>
    <xdr:to>
      <xdr:col>38</xdr:col>
      <xdr:colOff>459105</xdr:colOff>
      <xdr:row>747</xdr:row>
      <xdr:rowOff>72390</xdr:rowOff>
    </xdr:to>
    <xdr:sp macro="" textlink="">
      <xdr:nvSpPr>
        <xdr:cNvPr id="137" name="TextBox 136">
          <a:extLst>
            <a:ext uri="{FF2B5EF4-FFF2-40B4-BE49-F238E27FC236}">
              <a16:creationId xmlns:a16="http://schemas.microsoft.com/office/drawing/2014/main" id="{00000000-0008-0000-0100-000089000000}"/>
            </a:ext>
          </a:extLst>
        </xdr:cNvPr>
        <xdr:cNvSpPr txBox="1"/>
      </xdr:nvSpPr>
      <xdr:spPr>
        <a:xfrm>
          <a:off x="16682083" y="114410490"/>
          <a:ext cx="2598422"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The cost</a:t>
          </a:r>
          <a:r>
            <a:rPr lang="en-US" sz="1100" baseline="0">
              <a:solidFill>
                <a:srgbClr val="FF0000"/>
              </a:solidFill>
            </a:rPr>
            <a:t> of a coil balance assembly that must be built on a production line has not yet been developed.</a:t>
          </a:r>
          <a:endParaRPr lang="en-US" sz="1100">
            <a:solidFill>
              <a:srgbClr val="FF0000"/>
            </a:solidFill>
          </a:endParaRPr>
        </a:p>
      </xdr:txBody>
    </xdr:sp>
    <xdr:clientData/>
  </xdr:twoCellAnchor>
  <xdr:twoCellAnchor>
    <xdr:from>
      <xdr:col>35</xdr:col>
      <xdr:colOff>325753</xdr:colOff>
      <xdr:row>753</xdr:row>
      <xdr:rowOff>76200</xdr:rowOff>
    </xdr:from>
    <xdr:to>
      <xdr:col>38</xdr:col>
      <xdr:colOff>409575</xdr:colOff>
      <xdr:row>756</xdr:row>
      <xdr:rowOff>114300</xdr:rowOff>
    </xdr:to>
    <xdr:sp macro="" textlink="">
      <xdr:nvSpPr>
        <xdr:cNvPr id="138" name="TextBox 137">
          <a:extLst>
            <a:ext uri="{FF2B5EF4-FFF2-40B4-BE49-F238E27FC236}">
              <a16:creationId xmlns:a16="http://schemas.microsoft.com/office/drawing/2014/main" id="{00000000-0008-0000-0100-00008A000000}"/>
            </a:ext>
          </a:extLst>
        </xdr:cNvPr>
        <xdr:cNvSpPr txBox="1"/>
      </xdr:nvSpPr>
      <xdr:spPr>
        <a:xfrm>
          <a:off x="16632553" y="116166900"/>
          <a:ext cx="2598422"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The cost</a:t>
          </a:r>
          <a:r>
            <a:rPr lang="en-US" sz="1100" baseline="0">
              <a:solidFill>
                <a:srgbClr val="FF0000"/>
              </a:solidFill>
            </a:rPr>
            <a:t> of a coil balance assembly that must be built on a production line has not yet been developed.</a:t>
          </a:r>
          <a:endParaRPr lang="en-US" sz="1100">
            <a:solidFill>
              <a:srgbClr val="FF0000"/>
            </a:solidFill>
          </a:endParaRPr>
        </a:p>
      </xdr:txBody>
    </xdr:sp>
    <xdr:clientData/>
  </xdr:twoCellAnchor>
  <xdr:twoCellAnchor>
    <xdr:from>
      <xdr:col>35</xdr:col>
      <xdr:colOff>72389</xdr:colOff>
      <xdr:row>819</xdr:row>
      <xdr:rowOff>53339</xdr:rowOff>
    </xdr:from>
    <xdr:to>
      <xdr:col>38</xdr:col>
      <xdr:colOff>251459</xdr:colOff>
      <xdr:row>820</xdr:row>
      <xdr:rowOff>91440</xdr:rowOff>
    </xdr:to>
    <xdr:sp macro="" textlink="">
      <xdr:nvSpPr>
        <xdr:cNvPr id="139" name="TextBox 138">
          <a:extLst>
            <a:ext uri="{FF2B5EF4-FFF2-40B4-BE49-F238E27FC236}">
              <a16:creationId xmlns:a16="http://schemas.microsoft.com/office/drawing/2014/main" id="{00000000-0008-0000-0100-00008B000000}"/>
            </a:ext>
          </a:extLst>
        </xdr:cNvPr>
        <xdr:cNvSpPr txBox="1"/>
      </xdr:nvSpPr>
      <xdr:spPr>
        <a:xfrm>
          <a:off x="16379189" y="127330199"/>
          <a:ext cx="26936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200130 cost.</a:t>
          </a:r>
        </a:p>
      </xdr:txBody>
    </xdr:sp>
    <xdr:clientData/>
  </xdr:twoCellAnchor>
  <xdr:twoCellAnchor>
    <xdr:from>
      <xdr:col>22</xdr:col>
      <xdr:colOff>334008</xdr:colOff>
      <xdr:row>469</xdr:row>
      <xdr:rowOff>186480</xdr:rowOff>
    </xdr:from>
    <xdr:to>
      <xdr:col>29</xdr:col>
      <xdr:colOff>428413</xdr:colOff>
      <xdr:row>477</xdr:row>
      <xdr:rowOff>50800</xdr:rowOff>
    </xdr:to>
    <xdr:sp macro="" textlink="">
      <xdr:nvSpPr>
        <xdr:cNvPr id="140" name="TextBox 139">
          <a:extLst>
            <a:ext uri="{FF2B5EF4-FFF2-40B4-BE49-F238E27FC236}">
              <a16:creationId xmlns:a16="http://schemas.microsoft.com/office/drawing/2014/main" id="{00000000-0008-0000-0100-00008C000000}"/>
            </a:ext>
          </a:extLst>
        </xdr:cNvPr>
        <xdr:cNvSpPr txBox="1"/>
      </xdr:nvSpPr>
      <xdr:spPr>
        <a:xfrm>
          <a:off x="11010475" y="88984880"/>
          <a:ext cx="4276938" cy="14221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Keeper Rail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36" x 74"</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a:p>
          <a:endParaRPr lang="en-US" sz="1100" baseline="0">
            <a:solidFill>
              <a:schemeClr val="accent6">
                <a:lumMod val="75000"/>
              </a:schemeClr>
            </a:solidFill>
          </a:endParaRPr>
        </a:p>
        <a:p>
          <a:r>
            <a:rPr lang="en-US" sz="1100" baseline="0">
              <a:solidFill>
                <a:schemeClr val="accent6">
                  <a:lumMod val="75000"/>
                </a:schemeClr>
              </a:solidFill>
            </a:rPr>
            <a:t>-used on ALL Bronze and Black Units, regardless of size</a:t>
          </a:r>
        </a:p>
      </xdr:txBody>
    </xdr:sp>
    <xdr:clientData/>
  </xdr:twoCellAnchor>
  <xdr:twoCellAnchor>
    <xdr:from>
      <xdr:col>1</xdr:col>
      <xdr:colOff>201931</xdr:colOff>
      <xdr:row>915</xdr:row>
      <xdr:rowOff>53340</xdr:rowOff>
    </xdr:from>
    <xdr:to>
      <xdr:col>3</xdr:col>
      <xdr:colOff>11430</xdr:colOff>
      <xdr:row>916</xdr:row>
      <xdr:rowOff>47187</xdr:rowOff>
    </xdr:to>
    <xdr:pic>
      <xdr:nvPicPr>
        <xdr:cNvPr id="431029" name="Picture 80821">
          <a:extLst>
            <a:ext uri="{FF2B5EF4-FFF2-40B4-BE49-F238E27FC236}">
              <a16:creationId xmlns:a16="http://schemas.microsoft.com/office/drawing/2014/main" id="{00000000-0008-0000-0100-0000B59306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1390651" y="141046200"/>
          <a:ext cx="815339" cy="184347"/>
        </a:xfrm>
        <a:prstGeom prst="rect">
          <a:avLst/>
        </a:prstGeom>
        <a:noFill/>
        <a:ln w="1">
          <a:noFill/>
          <a:miter lim="800000"/>
          <a:headEnd/>
          <a:tailEnd type="none" w="med" len="med"/>
        </a:ln>
        <a:effectLst/>
      </xdr:spPr>
    </xdr:pic>
    <xdr:clientData/>
  </xdr:twoCellAnchor>
  <xdr:twoCellAnchor>
    <xdr:from>
      <xdr:col>8</xdr:col>
      <xdr:colOff>180975</xdr:colOff>
      <xdr:row>1004</xdr:row>
      <xdr:rowOff>66676</xdr:rowOff>
    </xdr:from>
    <xdr:to>
      <xdr:col>17</xdr:col>
      <xdr:colOff>9525</xdr:colOff>
      <xdr:row>1007</xdr:row>
      <xdr:rowOff>104776</xdr:rowOff>
    </xdr:to>
    <xdr:sp macro="" textlink="">
      <xdr:nvSpPr>
        <xdr:cNvPr id="144" name="TextBox 143">
          <a:extLst>
            <a:ext uri="{FF2B5EF4-FFF2-40B4-BE49-F238E27FC236}">
              <a16:creationId xmlns:a16="http://schemas.microsoft.com/office/drawing/2014/main" id="{00000000-0008-0000-0100-000090000000}"/>
            </a:ext>
          </a:extLst>
        </xdr:cNvPr>
        <xdr:cNvSpPr txBox="1"/>
      </xdr:nvSpPr>
      <xdr:spPr>
        <a:xfrm>
          <a:off x="5105400" y="146256376"/>
          <a:ext cx="3000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Autolock requires 4</a:t>
          </a:r>
          <a:r>
            <a:rPr lang="en-US" sz="1100" baseline="0"/>
            <a:t> screws </a:t>
          </a:r>
          <a:r>
            <a:rPr lang="en-US" sz="1100"/>
            <a:t>per lock, rather than just 2 per lock because of the added vertical impact needed to close.</a:t>
          </a:r>
        </a:p>
      </xdr:txBody>
    </xdr:sp>
    <xdr:clientData/>
  </xdr:twoCellAnchor>
  <xdr:twoCellAnchor>
    <xdr:from>
      <xdr:col>36</xdr:col>
      <xdr:colOff>514350</xdr:colOff>
      <xdr:row>1043</xdr:row>
      <xdr:rowOff>47625</xdr:rowOff>
    </xdr:from>
    <xdr:to>
      <xdr:col>38</xdr:col>
      <xdr:colOff>533400</xdr:colOff>
      <xdr:row>1044</xdr:row>
      <xdr:rowOff>142875</xdr:rowOff>
    </xdr:to>
    <xdr:sp macro="" textlink="">
      <xdr:nvSpPr>
        <xdr:cNvPr id="147" name="TextBox 146">
          <a:extLst>
            <a:ext uri="{FF2B5EF4-FFF2-40B4-BE49-F238E27FC236}">
              <a16:creationId xmlns:a16="http://schemas.microsoft.com/office/drawing/2014/main" id="{00000000-0008-0000-0100-000093000000}"/>
            </a:ext>
          </a:extLst>
        </xdr:cNvPr>
        <xdr:cNvSpPr txBox="1"/>
      </xdr:nvSpPr>
      <xdr:spPr>
        <a:xfrm>
          <a:off x="17526000" y="152523825"/>
          <a:ext cx="16954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34</xdr:col>
      <xdr:colOff>638174</xdr:colOff>
      <xdr:row>387</xdr:row>
      <xdr:rowOff>28577</xdr:rowOff>
    </xdr:from>
    <xdr:to>
      <xdr:col>38</xdr:col>
      <xdr:colOff>76199</xdr:colOff>
      <xdr:row>388</xdr:row>
      <xdr:rowOff>60960</xdr:rowOff>
    </xdr:to>
    <xdr:sp macro="" textlink="">
      <xdr:nvSpPr>
        <xdr:cNvPr id="148" name="TextBox 147">
          <a:extLst>
            <a:ext uri="{FF2B5EF4-FFF2-40B4-BE49-F238E27FC236}">
              <a16:creationId xmlns:a16="http://schemas.microsoft.com/office/drawing/2014/main" id="{00000000-0008-0000-0100-000094000000}"/>
            </a:ext>
          </a:extLst>
        </xdr:cNvPr>
        <xdr:cNvSpPr txBox="1"/>
      </xdr:nvSpPr>
      <xdr:spPr>
        <a:xfrm>
          <a:off x="16480154" y="71984237"/>
          <a:ext cx="2607945" cy="222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 oz x $25.80 / gallon x 1 gallon /128 oz = cost</a:t>
          </a:r>
        </a:p>
      </xdr:txBody>
    </xdr:sp>
    <xdr:clientData/>
  </xdr:twoCellAnchor>
  <xdr:twoCellAnchor>
    <xdr:from>
      <xdr:col>35</xdr:col>
      <xdr:colOff>0</xdr:colOff>
      <xdr:row>388</xdr:row>
      <xdr:rowOff>95250</xdr:rowOff>
    </xdr:from>
    <xdr:to>
      <xdr:col>38</xdr:col>
      <xdr:colOff>19051</xdr:colOff>
      <xdr:row>389</xdr:row>
      <xdr:rowOff>121920</xdr:rowOff>
    </xdr:to>
    <xdr:sp macro="" textlink="">
      <xdr:nvSpPr>
        <xdr:cNvPr id="149" name="TextBox 148">
          <a:extLst>
            <a:ext uri="{FF2B5EF4-FFF2-40B4-BE49-F238E27FC236}">
              <a16:creationId xmlns:a16="http://schemas.microsoft.com/office/drawing/2014/main" id="{00000000-0008-0000-0100-000095000000}"/>
            </a:ext>
          </a:extLst>
        </xdr:cNvPr>
        <xdr:cNvSpPr txBox="1"/>
      </xdr:nvSpPr>
      <xdr:spPr>
        <a:xfrm>
          <a:off x="16306800" y="44634150"/>
          <a:ext cx="2533651" cy="217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 oz x $6.425 / quart x 1 quart / 32 oz = cost</a:t>
          </a:r>
        </a:p>
      </xdr:txBody>
    </xdr:sp>
    <xdr:clientData/>
  </xdr:twoCellAnchor>
  <xdr:twoCellAnchor>
    <xdr:from>
      <xdr:col>10</xdr:col>
      <xdr:colOff>66676</xdr:colOff>
      <xdr:row>387</xdr:row>
      <xdr:rowOff>28578</xdr:rowOff>
    </xdr:from>
    <xdr:to>
      <xdr:col>17</xdr:col>
      <xdr:colOff>28575</xdr:colOff>
      <xdr:row>388</xdr:row>
      <xdr:rowOff>45720</xdr:rowOff>
    </xdr:to>
    <xdr:sp macro="" textlink="">
      <xdr:nvSpPr>
        <xdr:cNvPr id="150" name="TextBox 149">
          <a:extLst>
            <a:ext uri="{FF2B5EF4-FFF2-40B4-BE49-F238E27FC236}">
              <a16:creationId xmlns:a16="http://schemas.microsoft.com/office/drawing/2014/main" id="{00000000-0008-0000-0100-000096000000}"/>
            </a:ext>
          </a:extLst>
        </xdr:cNvPr>
        <xdr:cNvSpPr txBox="1"/>
      </xdr:nvSpPr>
      <xdr:spPr>
        <a:xfrm>
          <a:off x="5850256" y="71984238"/>
          <a:ext cx="2613659" cy="2076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.060" high x .250' wide x 1" long = .015 in^3</a:t>
          </a:r>
        </a:p>
      </xdr:txBody>
    </xdr:sp>
    <xdr:clientData/>
  </xdr:twoCellAnchor>
  <xdr:twoCellAnchor>
    <xdr:from>
      <xdr:col>32</xdr:col>
      <xdr:colOff>38100</xdr:colOff>
      <xdr:row>387</xdr:row>
      <xdr:rowOff>28576</xdr:rowOff>
    </xdr:from>
    <xdr:to>
      <xdr:col>33</xdr:col>
      <xdr:colOff>655320</xdr:colOff>
      <xdr:row>388</xdr:row>
      <xdr:rowOff>60960</xdr:rowOff>
    </xdr:to>
    <xdr:sp macro="" textlink="">
      <xdr:nvSpPr>
        <xdr:cNvPr id="151" name="TextBox 150">
          <a:extLst>
            <a:ext uri="{FF2B5EF4-FFF2-40B4-BE49-F238E27FC236}">
              <a16:creationId xmlns:a16="http://schemas.microsoft.com/office/drawing/2014/main" id="{00000000-0008-0000-0100-000097000000}"/>
            </a:ext>
          </a:extLst>
        </xdr:cNvPr>
        <xdr:cNvSpPr txBox="1"/>
      </xdr:nvSpPr>
      <xdr:spPr>
        <a:xfrm>
          <a:off x="14683740" y="71984236"/>
          <a:ext cx="1120140" cy="2228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0.5541 oz/</a:t>
          </a:r>
          <a:r>
            <a:rPr lang="en-US" sz="1100">
              <a:solidFill>
                <a:schemeClr val="dk1"/>
              </a:solidFill>
              <a:latin typeface="+mn-lt"/>
              <a:ea typeface="+mn-ea"/>
              <a:cs typeface="+mn-cs"/>
            </a:rPr>
            <a:t> in^3 </a:t>
          </a:r>
          <a:endParaRPr lang="en-US" sz="1100"/>
        </a:p>
      </xdr:txBody>
    </xdr:sp>
    <xdr:clientData/>
  </xdr:twoCellAnchor>
  <xdr:twoCellAnchor>
    <xdr:from>
      <xdr:col>51</xdr:col>
      <xdr:colOff>142874</xdr:colOff>
      <xdr:row>5</xdr:row>
      <xdr:rowOff>123824</xdr:rowOff>
    </xdr:from>
    <xdr:to>
      <xdr:col>56</xdr:col>
      <xdr:colOff>464820</xdr:colOff>
      <xdr:row>7</xdr:row>
      <xdr:rowOff>236220</xdr:rowOff>
    </xdr:to>
    <xdr:sp macro="" textlink="">
      <xdr:nvSpPr>
        <xdr:cNvPr id="152" name="TextBox 151">
          <a:extLst>
            <a:ext uri="{FF2B5EF4-FFF2-40B4-BE49-F238E27FC236}">
              <a16:creationId xmlns:a16="http://schemas.microsoft.com/office/drawing/2014/main" id="{00000000-0008-0000-0100-000098000000}"/>
            </a:ext>
          </a:extLst>
        </xdr:cNvPr>
        <xdr:cNvSpPr txBox="1"/>
      </xdr:nvSpPr>
      <xdr:spPr>
        <a:xfrm>
          <a:off x="27658694" y="1564004"/>
          <a:ext cx="2417446" cy="615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a:t>SHConfigData = </a:t>
          </a:r>
        </a:p>
        <a:p>
          <a:pPr algn="l"/>
          <a:r>
            <a:rPr lang="en-US" sz="1100"/>
            <a:t>Configuration</a:t>
          </a:r>
          <a:r>
            <a:rPr lang="en-US" sz="1100" baseline="0"/>
            <a:t> names in row 12 and</a:t>
          </a:r>
        </a:p>
        <a:p>
          <a:pPr algn="l"/>
          <a:r>
            <a:rPr lang="en-US" sz="1100" baseline="0"/>
            <a:t>all B / O / NA entries in these columns</a:t>
          </a:r>
          <a:endParaRPr lang="en-US" sz="1100"/>
        </a:p>
      </xdr:txBody>
    </xdr:sp>
    <xdr:clientData/>
  </xdr:twoCellAnchor>
  <xdr:twoCellAnchor>
    <xdr:from>
      <xdr:col>3</xdr:col>
      <xdr:colOff>373380</xdr:colOff>
      <xdr:row>804</xdr:row>
      <xdr:rowOff>118111</xdr:rowOff>
    </xdr:from>
    <xdr:to>
      <xdr:col>5</xdr:col>
      <xdr:colOff>872067</xdr:colOff>
      <xdr:row>808</xdr:row>
      <xdr:rowOff>1</xdr:rowOff>
    </xdr:to>
    <xdr:sp macro="" textlink="">
      <xdr:nvSpPr>
        <xdr:cNvPr id="153" name="TextBox 152">
          <a:extLst>
            <a:ext uri="{FF2B5EF4-FFF2-40B4-BE49-F238E27FC236}">
              <a16:creationId xmlns:a16="http://schemas.microsoft.com/office/drawing/2014/main" id="{00000000-0008-0000-0100-000099000000}"/>
            </a:ext>
          </a:extLst>
        </xdr:cNvPr>
        <xdr:cNvSpPr txBox="1"/>
      </xdr:nvSpPr>
      <xdr:spPr>
        <a:xfrm>
          <a:off x="2557780" y="155650778"/>
          <a:ext cx="1734820" cy="466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p</a:t>
          </a:r>
          <a:r>
            <a:rPr lang="en-US" sz="1100"/>
            <a:t>rofile contains finseal inserted into both T-slots.</a:t>
          </a:r>
        </a:p>
      </xdr:txBody>
    </xdr:sp>
    <xdr:clientData/>
  </xdr:twoCellAnchor>
  <xdr:twoCellAnchor>
    <xdr:from>
      <xdr:col>25</xdr:col>
      <xdr:colOff>366184</xdr:colOff>
      <xdr:row>0</xdr:row>
      <xdr:rowOff>188384</xdr:rowOff>
    </xdr:from>
    <xdr:to>
      <xdr:col>34</xdr:col>
      <xdr:colOff>228600</xdr:colOff>
      <xdr:row>3</xdr:row>
      <xdr:rowOff>67733</xdr:rowOff>
    </xdr:to>
    <xdr:sp macro="" textlink="">
      <xdr:nvSpPr>
        <xdr:cNvPr id="154" name="TextBox 153">
          <a:extLst>
            <a:ext uri="{FF2B5EF4-FFF2-40B4-BE49-F238E27FC236}">
              <a16:creationId xmlns:a16="http://schemas.microsoft.com/office/drawing/2014/main" id="{00000000-0008-0000-0100-00009A000000}"/>
            </a:ext>
          </a:extLst>
        </xdr:cNvPr>
        <xdr:cNvSpPr txBox="1"/>
      </xdr:nvSpPr>
      <xdr:spPr>
        <a:xfrm>
          <a:off x="13438717" y="188384"/>
          <a:ext cx="4739216" cy="819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row added to this</a:t>
          </a:r>
          <a:r>
            <a:rPr lang="en-US" sz="1100" baseline="0"/>
            <a:t> document must have the Configuration columns (B/O/NA) filled out in order for  the costing macros to function.</a:t>
          </a:r>
        </a:p>
        <a:p>
          <a:r>
            <a:rPr lang="en-US" sz="1100" baseline="0"/>
            <a:t>See Greg De Boer for any questions.</a:t>
          </a:r>
          <a:endParaRPr lang="en-US" sz="1100"/>
        </a:p>
      </xdr:txBody>
    </xdr:sp>
    <xdr:clientData/>
  </xdr:twoCellAnchor>
  <xdr:twoCellAnchor>
    <xdr:from>
      <xdr:col>33</xdr:col>
      <xdr:colOff>518160</xdr:colOff>
      <xdr:row>6</xdr:row>
      <xdr:rowOff>135468</xdr:rowOff>
    </xdr:from>
    <xdr:to>
      <xdr:col>35</xdr:col>
      <xdr:colOff>160021</xdr:colOff>
      <xdr:row>9</xdr:row>
      <xdr:rowOff>152400</xdr:rowOff>
    </xdr:to>
    <xdr:sp macro="" textlink="">
      <xdr:nvSpPr>
        <xdr:cNvPr id="155" name="TextBox 154">
          <a:extLst>
            <a:ext uri="{FF2B5EF4-FFF2-40B4-BE49-F238E27FC236}">
              <a16:creationId xmlns:a16="http://schemas.microsoft.com/office/drawing/2014/main" id="{00000000-0008-0000-0100-00009B000000}"/>
            </a:ext>
          </a:extLst>
        </xdr:cNvPr>
        <xdr:cNvSpPr txBox="1"/>
      </xdr:nvSpPr>
      <xdr:spPr>
        <a:xfrm>
          <a:off x="17366827" y="1837268"/>
          <a:ext cx="988061" cy="77893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 from JDE</a:t>
          </a:r>
          <a:r>
            <a:rPr lang="en-US" sz="1100" baseline="0"/>
            <a:t> as of</a:t>
          </a:r>
        </a:p>
        <a:p>
          <a:pPr algn="ctr"/>
          <a:r>
            <a:rPr lang="en-US" sz="1100" baseline="0"/>
            <a:t>April 27, 2021</a:t>
          </a:r>
          <a:endParaRPr lang="en-US" sz="1100"/>
        </a:p>
      </xdr:txBody>
    </xdr:sp>
    <xdr:clientData/>
  </xdr:twoCellAnchor>
  <xdr:twoCellAnchor>
    <xdr:from>
      <xdr:col>25</xdr:col>
      <xdr:colOff>375284</xdr:colOff>
      <xdr:row>3</xdr:row>
      <xdr:rowOff>193042</xdr:rowOff>
    </xdr:from>
    <xdr:to>
      <xdr:col>34</xdr:col>
      <xdr:colOff>355600</xdr:colOff>
      <xdr:row>5</xdr:row>
      <xdr:rowOff>164465</xdr:rowOff>
    </xdr:to>
    <xdr:sp macro="" textlink="">
      <xdr:nvSpPr>
        <xdr:cNvPr id="156" name="TextBox 155">
          <a:extLst>
            <a:ext uri="{FF2B5EF4-FFF2-40B4-BE49-F238E27FC236}">
              <a16:creationId xmlns:a16="http://schemas.microsoft.com/office/drawing/2014/main" id="{00000000-0008-0000-0100-00009C000000}"/>
            </a:ext>
          </a:extLst>
        </xdr:cNvPr>
        <xdr:cNvSpPr txBox="1"/>
      </xdr:nvSpPr>
      <xdr:spPr>
        <a:xfrm>
          <a:off x="13447817" y="1132842"/>
          <a:ext cx="4857116" cy="4794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 and Accounting:</a:t>
          </a:r>
        </a:p>
        <a:p>
          <a:r>
            <a:rPr lang="en-US" sz="1100" baseline="0"/>
            <a:t>Configuration Options drop down macro only works if Sheet is NOT protected.</a:t>
          </a:r>
        </a:p>
      </xdr:txBody>
    </xdr:sp>
    <xdr:clientData/>
  </xdr:twoCellAnchor>
  <xdr:twoCellAnchor>
    <xdr:from>
      <xdr:col>1</xdr:col>
      <xdr:colOff>514350</xdr:colOff>
      <xdr:row>213</xdr:row>
      <xdr:rowOff>171450</xdr:rowOff>
    </xdr:from>
    <xdr:to>
      <xdr:col>4</xdr:col>
      <xdr:colOff>352425</xdr:colOff>
      <xdr:row>215</xdr:row>
      <xdr:rowOff>163829</xdr:rowOff>
    </xdr:to>
    <xdr:pic>
      <xdr:nvPicPr>
        <xdr:cNvPr id="430842" name="Picture 80634">
          <a:extLst>
            <a:ext uri="{FF2B5EF4-FFF2-40B4-BE49-F238E27FC236}">
              <a16:creationId xmlns:a16="http://schemas.microsoft.com/office/drawing/2014/main" id="{00000000-0008-0000-0100-0000FA9206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1704975" y="23507700"/>
          <a:ext cx="1276350" cy="381000"/>
        </a:xfrm>
        <a:prstGeom prst="rect">
          <a:avLst/>
        </a:prstGeom>
        <a:noFill/>
        <a:ln w="1">
          <a:noFill/>
          <a:miter lim="800000"/>
          <a:headEnd/>
          <a:tailEnd type="none" w="med" len="med"/>
        </a:ln>
        <a:effectLst/>
      </xdr:spPr>
    </xdr:pic>
    <xdr:clientData/>
  </xdr:twoCellAnchor>
  <xdr:twoCellAnchor>
    <xdr:from>
      <xdr:col>2</xdr:col>
      <xdr:colOff>76200</xdr:colOff>
      <xdr:row>1046</xdr:row>
      <xdr:rowOff>180974</xdr:rowOff>
    </xdr:from>
    <xdr:to>
      <xdr:col>4</xdr:col>
      <xdr:colOff>628650</xdr:colOff>
      <xdr:row>1048</xdr:row>
      <xdr:rowOff>152399</xdr:rowOff>
    </xdr:to>
    <xdr:pic>
      <xdr:nvPicPr>
        <xdr:cNvPr id="430844" name="Picture 80636">
          <a:extLst>
            <a:ext uri="{FF2B5EF4-FFF2-40B4-BE49-F238E27FC236}">
              <a16:creationId xmlns:a16="http://schemas.microsoft.com/office/drawing/2014/main" id="{00000000-0008-0000-0100-0000FC9206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847850" y="154828874"/>
          <a:ext cx="1409700" cy="352425"/>
        </a:xfrm>
        <a:prstGeom prst="rect">
          <a:avLst/>
        </a:prstGeom>
        <a:noFill/>
        <a:ln w="1">
          <a:noFill/>
          <a:miter lim="800000"/>
          <a:headEnd/>
          <a:tailEnd type="none" w="med" len="med"/>
        </a:ln>
        <a:effectLst/>
      </xdr:spPr>
    </xdr:pic>
    <xdr:clientData/>
  </xdr:twoCellAnchor>
  <xdr:twoCellAnchor>
    <xdr:from>
      <xdr:col>28</xdr:col>
      <xdr:colOff>346711</xdr:colOff>
      <xdr:row>243</xdr:row>
      <xdr:rowOff>41909</xdr:rowOff>
    </xdr:from>
    <xdr:to>
      <xdr:col>33</xdr:col>
      <xdr:colOff>668655</xdr:colOff>
      <xdr:row>245</xdr:row>
      <xdr:rowOff>127635</xdr:rowOff>
    </xdr:to>
    <xdr:sp macro="" textlink="">
      <xdr:nvSpPr>
        <xdr:cNvPr id="157" name="TextBox 156">
          <a:extLst>
            <a:ext uri="{FF2B5EF4-FFF2-40B4-BE49-F238E27FC236}">
              <a16:creationId xmlns:a16="http://schemas.microsoft.com/office/drawing/2014/main" id="{00000000-0008-0000-0100-00009D000000}"/>
            </a:ext>
          </a:extLst>
        </xdr:cNvPr>
        <xdr:cNvSpPr txBox="1"/>
      </xdr:nvSpPr>
      <xdr:spPr>
        <a:xfrm>
          <a:off x="12805411" y="28479749"/>
          <a:ext cx="2821304" cy="4819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.924</a:t>
          </a:r>
          <a:r>
            <a:rPr lang="en-US" sz="1000" baseline="0">
              <a:solidFill>
                <a:srgbClr val="FF0000"/>
              </a:solidFill>
            </a:rPr>
            <a:t> </a:t>
          </a:r>
          <a:r>
            <a:rPr lang="en-US" sz="1000">
              <a:solidFill>
                <a:srgbClr val="FF0000"/>
              </a:solidFill>
            </a:rPr>
            <a:t>sq in (profile area)</a:t>
          </a:r>
          <a:r>
            <a:rPr lang="en-US" sz="1000" baseline="0">
              <a:solidFill>
                <a:srgbClr val="FF0000"/>
              </a:solidFill>
            </a:rPr>
            <a:t> </a:t>
          </a:r>
          <a:r>
            <a:rPr lang="en-US" sz="1000">
              <a:solidFill>
                <a:srgbClr val="FF0000"/>
              </a:solidFill>
            </a:rPr>
            <a:t>should</a:t>
          </a:r>
          <a:r>
            <a:rPr lang="en-US" sz="1000" baseline="0">
              <a:solidFill>
                <a:srgbClr val="FF0000"/>
              </a:solidFill>
            </a:rPr>
            <a:t> NOT be used $0.5541 &amp; $0.6014 &amp; $0.6666 should not be used.</a:t>
          </a:r>
          <a:endParaRPr lang="en-US" sz="1000">
            <a:solidFill>
              <a:srgbClr val="FF0000"/>
            </a:solidFill>
          </a:endParaRPr>
        </a:p>
      </xdr:txBody>
    </xdr:sp>
    <xdr:clientData/>
  </xdr:twoCellAnchor>
  <xdr:twoCellAnchor>
    <xdr:from>
      <xdr:col>35</xdr:col>
      <xdr:colOff>228601</xdr:colOff>
      <xdr:row>242</xdr:row>
      <xdr:rowOff>28574</xdr:rowOff>
    </xdr:from>
    <xdr:to>
      <xdr:col>37</xdr:col>
      <xdr:colOff>647701</xdr:colOff>
      <xdr:row>245</xdr:row>
      <xdr:rowOff>171450</xdr:rowOff>
    </xdr:to>
    <xdr:sp macro="" textlink="">
      <xdr:nvSpPr>
        <xdr:cNvPr id="158" name="TextBox 157">
          <a:extLst>
            <a:ext uri="{FF2B5EF4-FFF2-40B4-BE49-F238E27FC236}">
              <a16:creationId xmlns:a16="http://schemas.microsoft.com/office/drawing/2014/main" id="{00000000-0008-0000-0100-00009E000000}"/>
            </a:ext>
          </a:extLst>
        </xdr:cNvPr>
        <xdr:cNvSpPr txBox="1"/>
      </xdr:nvSpPr>
      <xdr:spPr>
        <a:xfrm>
          <a:off x="16592551" y="25088849"/>
          <a:ext cx="209550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aseline="0">
              <a:solidFill>
                <a:srgbClr val="FF0000"/>
              </a:solidFill>
            </a:rPr>
            <a:t>R &amp;R is extruded with the J-leg and Nailfin then both are cut off in line at L.T., so the cost is the same as with J, so the cost should not be cheaper.</a:t>
          </a:r>
          <a:endParaRPr lang="en-US" sz="1000">
            <a:solidFill>
              <a:srgbClr val="FF0000"/>
            </a:solidFill>
          </a:endParaRPr>
        </a:p>
      </xdr:txBody>
    </xdr:sp>
    <xdr:clientData/>
  </xdr:twoCellAnchor>
  <xdr:twoCellAnchor>
    <xdr:from>
      <xdr:col>35</xdr:col>
      <xdr:colOff>190499</xdr:colOff>
      <xdr:row>287</xdr:row>
      <xdr:rowOff>23445</xdr:rowOff>
    </xdr:from>
    <xdr:to>
      <xdr:col>37</xdr:col>
      <xdr:colOff>667482</xdr:colOff>
      <xdr:row>290</xdr:row>
      <xdr:rowOff>170347</xdr:rowOff>
    </xdr:to>
    <xdr:sp macro="" textlink="">
      <xdr:nvSpPr>
        <xdr:cNvPr id="161" name="TextBox 160">
          <a:extLst>
            <a:ext uri="{FF2B5EF4-FFF2-40B4-BE49-F238E27FC236}">
              <a16:creationId xmlns:a16="http://schemas.microsoft.com/office/drawing/2014/main" id="{00000000-0008-0000-0100-0000A1000000}"/>
            </a:ext>
          </a:extLst>
        </xdr:cNvPr>
        <xdr:cNvSpPr txBox="1"/>
      </xdr:nvSpPr>
      <xdr:spPr>
        <a:xfrm>
          <a:off x="16573499" y="29668176"/>
          <a:ext cx="2153383" cy="718402"/>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rgbClr val="FF0000"/>
              </a:solidFill>
              <a:latin typeface="+mn-lt"/>
              <a:ea typeface="+mn-ea"/>
              <a:cs typeface="+mn-cs"/>
            </a:rPr>
            <a:t>R &amp;R is extruded with the J-leg and Nailfin then both are cut off in line at L.T., so the cost is the same as with J, so the cost should not be cheaper.</a:t>
          </a:r>
          <a:endParaRPr lang="en-US" sz="1100"/>
        </a:p>
      </xdr:txBody>
    </xdr:sp>
    <xdr:clientData/>
  </xdr:twoCellAnchor>
  <xdr:twoCellAnchor>
    <xdr:from>
      <xdr:col>28</xdr:col>
      <xdr:colOff>209551</xdr:colOff>
      <xdr:row>288</xdr:row>
      <xdr:rowOff>85725</xdr:rowOff>
    </xdr:from>
    <xdr:to>
      <xdr:col>33</xdr:col>
      <xdr:colOff>561976</xdr:colOff>
      <xdr:row>290</xdr:row>
      <xdr:rowOff>95250</xdr:rowOff>
    </xdr:to>
    <xdr:sp macro="" textlink="">
      <xdr:nvSpPr>
        <xdr:cNvPr id="162" name="TextBox 161">
          <a:extLst>
            <a:ext uri="{FF2B5EF4-FFF2-40B4-BE49-F238E27FC236}">
              <a16:creationId xmlns:a16="http://schemas.microsoft.com/office/drawing/2014/main" id="{00000000-0008-0000-0100-0000A2000000}"/>
            </a:ext>
          </a:extLst>
        </xdr:cNvPr>
        <xdr:cNvSpPr txBox="1"/>
      </xdr:nvSpPr>
      <xdr:spPr>
        <a:xfrm>
          <a:off x="12715876" y="32432625"/>
          <a:ext cx="2857500"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a:solidFill>
                <a:srgbClr val="FF0000"/>
              </a:solidFill>
              <a:latin typeface="+mn-lt"/>
              <a:ea typeface="+mn-ea"/>
              <a:cs typeface="+mn-cs"/>
            </a:rPr>
            <a:t>.924</a:t>
          </a:r>
          <a:r>
            <a:rPr lang="en-US" sz="1000" baseline="0">
              <a:solidFill>
                <a:srgbClr val="FF0000"/>
              </a:solidFill>
              <a:latin typeface="+mn-lt"/>
              <a:ea typeface="+mn-ea"/>
              <a:cs typeface="+mn-cs"/>
            </a:rPr>
            <a:t> </a:t>
          </a:r>
          <a:r>
            <a:rPr lang="en-US" sz="1000">
              <a:solidFill>
                <a:srgbClr val="FF0000"/>
              </a:solidFill>
              <a:latin typeface="+mn-lt"/>
              <a:ea typeface="+mn-ea"/>
              <a:cs typeface="+mn-cs"/>
            </a:rPr>
            <a:t>sq in (profile area)</a:t>
          </a:r>
          <a:r>
            <a:rPr lang="en-US" sz="1000" baseline="0">
              <a:solidFill>
                <a:srgbClr val="FF0000"/>
              </a:solidFill>
              <a:latin typeface="+mn-lt"/>
              <a:ea typeface="+mn-ea"/>
              <a:cs typeface="+mn-cs"/>
            </a:rPr>
            <a:t> </a:t>
          </a:r>
          <a:r>
            <a:rPr lang="en-US" sz="1000">
              <a:solidFill>
                <a:srgbClr val="FF0000"/>
              </a:solidFill>
              <a:latin typeface="+mn-lt"/>
              <a:ea typeface="+mn-ea"/>
              <a:cs typeface="+mn-cs"/>
            </a:rPr>
            <a:t>should</a:t>
          </a:r>
          <a:r>
            <a:rPr lang="en-US" sz="1000" baseline="0">
              <a:solidFill>
                <a:srgbClr val="FF0000"/>
              </a:solidFill>
              <a:latin typeface="+mn-lt"/>
              <a:ea typeface="+mn-ea"/>
              <a:cs typeface="+mn-cs"/>
            </a:rPr>
            <a:t> NOT be used. $0.5541 &amp; $0.6014 &amp; $0.6666 should not be used.</a:t>
          </a:r>
          <a:endParaRPr lang="en-US" sz="1000">
            <a:solidFill>
              <a:srgbClr val="FF0000"/>
            </a:solidFill>
          </a:endParaRPr>
        </a:p>
      </xdr:txBody>
    </xdr:sp>
    <xdr:clientData/>
  </xdr:twoCellAnchor>
  <xdr:twoCellAnchor>
    <xdr:from>
      <xdr:col>4</xdr:col>
      <xdr:colOff>721995</xdr:colOff>
      <xdr:row>1015</xdr:row>
      <xdr:rowOff>74295</xdr:rowOff>
    </xdr:from>
    <xdr:to>
      <xdr:col>6</xdr:col>
      <xdr:colOff>55245</xdr:colOff>
      <xdr:row>1016</xdr:row>
      <xdr:rowOff>140970</xdr:rowOff>
    </xdr:to>
    <xdr:sp macro="" textlink="">
      <xdr:nvSpPr>
        <xdr:cNvPr id="166" name="TextBox 165">
          <a:extLst>
            <a:ext uri="{FF2B5EF4-FFF2-40B4-BE49-F238E27FC236}">
              <a16:creationId xmlns:a16="http://schemas.microsoft.com/office/drawing/2014/main" id="{00000000-0008-0000-0100-0000A6000000}"/>
            </a:ext>
          </a:extLst>
        </xdr:cNvPr>
        <xdr:cNvSpPr txBox="1"/>
      </xdr:nvSpPr>
      <xdr:spPr>
        <a:xfrm>
          <a:off x="3343275" y="193165095"/>
          <a:ext cx="107061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cord is 36" long</a:t>
          </a:r>
        </a:p>
      </xdr:txBody>
    </xdr:sp>
    <xdr:clientData/>
  </xdr:twoCellAnchor>
  <xdr:twoCellAnchor>
    <xdr:from>
      <xdr:col>8</xdr:col>
      <xdr:colOff>43815</xdr:colOff>
      <xdr:row>1056</xdr:row>
      <xdr:rowOff>66675</xdr:rowOff>
    </xdr:from>
    <xdr:to>
      <xdr:col>17</xdr:col>
      <xdr:colOff>337185</xdr:colOff>
      <xdr:row>1057</xdr:row>
      <xdr:rowOff>142875</xdr:rowOff>
    </xdr:to>
    <xdr:sp macro="" textlink="">
      <xdr:nvSpPr>
        <xdr:cNvPr id="167" name="TextBox 166">
          <a:extLst>
            <a:ext uri="{FF2B5EF4-FFF2-40B4-BE49-F238E27FC236}">
              <a16:creationId xmlns:a16="http://schemas.microsoft.com/office/drawing/2014/main" id="{00000000-0008-0000-0100-0000A7000000}"/>
            </a:ext>
          </a:extLst>
        </xdr:cNvPr>
        <xdr:cNvSpPr txBox="1"/>
      </xdr:nvSpPr>
      <xdr:spPr>
        <a:xfrm>
          <a:off x="5141595" y="164468175"/>
          <a:ext cx="34480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123825</xdr:colOff>
      <xdr:row>1061</xdr:row>
      <xdr:rowOff>76199</xdr:rowOff>
    </xdr:from>
    <xdr:to>
      <xdr:col>16</xdr:col>
      <xdr:colOff>419100</xdr:colOff>
      <xdr:row>1065</xdr:row>
      <xdr:rowOff>114301</xdr:rowOff>
    </xdr:to>
    <xdr:sp macro="" textlink="">
      <xdr:nvSpPr>
        <xdr:cNvPr id="168" name="TextBox 167">
          <a:extLst>
            <a:ext uri="{FF2B5EF4-FFF2-40B4-BE49-F238E27FC236}">
              <a16:creationId xmlns:a16="http://schemas.microsoft.com/office/drawing/2014/main" id="{00000000-0008-0000-0100-0000A8000000}"/>
            </a:ext>
          </a:extLst>
        </xdr:cNvPr>
        <xdr:cNvSpPr txBox="1"/>
      </xdr:nvSpPr>
      <xdr:spPr>
        <a:xfrm>
          <a:off x="5236845" y="199819259"/>
          <a:ext cx="3190875" cy="6096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editAs="absolute">
    <xdr:from>
      <xdr:col>1</xdr:col>
      <xdr:colOff>132080</xdr:colOff>
      <xdr:row>525</xdr:row>
      <xdr:rowOff>19987</xdr:rowOff>
    </xdr:from>
    <xdr:to>
      <xdr:col>4</xdr:col>
      <xdr:colOff>170180</xdr:colOff>
      <xdr:row>532</xdr:row>
      <xdr:rowOff>467389</xdr:rowOff>
    </xdr:to>
    <xdr:sp macro="" textlink="">
      <xdr:nvSpPr>
        <xdr:cNvPr id="19623" name="Text Box 167" hidden="1">
          <a:extLst>
            <a:ext uri="{FF2B5EF4-FFF2-40B4-BE49-F238E27FC236}">
              <a16:creationId xmlns:a16="http://schemas.microsoft.com/office/drawing/2014/main" id="{00000000-0008-0000-0100-0000A74C0000}"/>
            </a:ext>
          </a:extLst>
        </xdr:cNvPr>
        <xdr:cNvSpPr txBox="1">
          <a:spLocks noChangeArrowheads="1"/>
        </xdr:cNvSpPr>
      </xdr:nvSpPr>
      <xdr:spPr bwMode="auto">
        <a:xfrm>
          <a:off x="1333500" y="103612950"/>
          <a:ext cx="1476375" cy="23431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613</xdr:row>
      <xdr:rowOff>91784</xdr:rowOff>
    </xdr:from>
    <xdr:to>
      <xdr:col>5</xdr:col>
      <xdr:colOff>393065</xdr:colOff>
      <xdr:row>642</xdr:row>
      <xdr:rowOff>2196</xdr:rowOff>
    </xdr:to>
    <xdr:sp macro="" textlink="">
      <xdr:nvSpPr>
        <xdr:cNvPr id="19658" name="Text Box 202" hidden="1">
          <a:extLst>
            <a:ext uri="{FF2B5EF4-FFF2-40B4-BE49-F238E27FC236}">
              <a16:creationId xmlns:a16="http://schemas.microsoft.com/office/drawing/2014/main" id="{00000000-0008-0000-0100-0000CA4C0000}"/>
            </a:ext>
          </a:extLst>
        </xdr:cNvPr>
        <xdr:cNvSpPr txBox="1">
          <a:spLocks noChangeArrowheads="1"/>
        </xdr:cNvSpPr>
      </xdr:nvSpPr>
      <xdr:spPr bwMode="auto">
        <a:xfrm>
          <a:off x="2286000" y="123063000"/>
          <a:ext cx="1552575" cy="54673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670</xdr:row>
      <xdr:rowOff>173158</xdr:rowOff>
    </xdr:from>
    <xdr:to>
      <xdr:col>5</xdr:col>
      <xdr:colOff>735965</xdr:colOff>
      <xdr:row>680</xdr:row>
      <xdr:rowOff>124369</xdr:rowOff>
    </xdr:to>
    <xdr:sp macro="" textlink="">
      <xdr:nvSpPr>
        <xdr:cNvPr id="19659" name="Text Box 203" hidden="1">
          <a:extLst>
            <a:ext uri="{FF2B5EF4-FFF2-40B4-BE49-F238E27FC236}">
              <a16:creationId xmlns:a16="http://schemas.microsoft.com/office/drawing/2014/main" id="{00000000-0008-0000-0100-0000CB4C0000}"/>
            </a:ext>
          </a:extLst>
        </xdr:cNvPr>
        <xdr:cNvSpPr txBox="1">
          <a:spLocks noChangeArrowheads="1"/>
        </xdr:cNvSpPr>
      </xdr:nvSpPr>
      <xdr:spPr bwMode="auto">
        <a:xfrm>
          <a:off x="2286000" y="134035800"/>
          <a:ext cx="1895475" cy="1857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673</xdr:row>
      <xdr:rowOff>173158</xdr:rowOff>
    </xdr:from>
    <xdr:to>
      <xdr:col>5</xdr:col>
      <xdr:colOff>735965</xdr:colOff>
      <xdr:row>677</xdr:row>
      <xdr:rowOff>189062</xdr:rowOff>
    </xdr:to>
    <xdr:sp macro="" textlink="">
      <xdr:nvSpPr>
        <xdr:cNvPr id="19660" name="Text Box 204" hidden="1">
          <a:extLst>
            <a:ext uri="{FF2B5EF4-FFF2-40B4-BE49-F238E27FC236}">
              <a16:creationId xmlns:a16="http://schemas.microsoft.com/office/drawing/2014/main" id="{00000000-0008-0000-0100-0000CC4C0000}"/>
            </a:ext>
          </a:extLst>
        </xdr:cNvPr>
        <xdr:cNvSpPr txBox="1">
          <a:spLocks noChangeArrowheads="1"/>
        </xdr:cNvSpPr>
      </xdr:nvSpPr>
      <xdr:spPr bwMode="auto">
        <a:xfrm>
          <a:off x="2286000" y="134607300"/>
          <a:ext cx="1895475" cy="762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xdr:col>
      <xdr:colOff>38100</xdr:colOff>
      <xdr:row>699</xdr:row>
      <xdr:rowOff>93088</xdr:rowOff>
    </xdr:from>
    <xdr:to>
      <xdr:col>5</xdr:col>
      <xdr:colOff>774065</xdr:colOff>
      <xdr:row>704</xdr:row>
      <xdr:rowOff>58192</xdr:rowOff>
    </xdr:to>
    <xdr:sp macro="" textlink="">
      <xdr:nvSpPr>
        <xdr:cNvPr id="19671" name="Text Box 215" hidden="1">
          <a:extLst>
            <a:ext uri="{FF2B5EF4-FFF2-40B4-BE49-F238E27FC236}">
              <a16:creationId xmlns:a16="http://schemas.microsoft.com/office/drawing/2014/main" id="{00000000-0008-0000-0100-0000D74C0000}"/>
            </a:ext>
          </a:extLst>
        </xdr:cNvPr>
        <xdr:cNvSpPr txBox="1">
          <a:spLocks noChangeArrowheads="1"/>
        </xdr:cNvSpPr>
      </xdr:nvSpPr>
      <xdr:spPr bwMode="auto">
        <a:xfrm>
          <a:off x="1809750" y="139436475"/>
          <a:ext cx="2409825" cy="971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206110</xdr:colOff>
      <xdr:row>19</xdr:row>
      <xdr:rowOff>125730</xdr:rowOff>
    </xdr:from>
    <xdr:to>
      <xdr:col>31</xdr:col>
      <xdr:colOff>106309</xdr:colOff>
      <xdr:row>23</xdr:row>
      <xdr:rowOff>105410</xdr:rowOff>
    </xdr:to>
    <xdr:sp macro="" textlink="">
      <xdr:nvSpPr>
        <xdr:cNvPr id="19675" name="Text Box 219" hidden="1">
          <a:extLst>
            <a:ext uri="{FF2B5EF4-FFF2-40B4-BE49-F238E27FC236}">
              <a16:creationId xmlns:a16="http://schemas.microsoft.com/office/drawing/2014/main" id="{00000000-0008-0000-0100-0000DB4C0000}"/>
            </a:ext>
          </a:extLst>
        </xdr:cNvPr>
        <xdr:cNvSpPr txBox="1">
          <a:spLocks noChangeArrowheads="1"/>
        </xdr:cNvSpPr>
      </xdr:nvSpPr>
      <xdr:spPr bwMode="auto">
        <a:xfrm>
          <a:off x="15154275" y="4705350"/>
          <a:ext cx="1476375" cy="781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1105059</xdr:colOff>
      <xdr:row>33</xdr:row>
      <xdr:rowOff>139364</xdr:rowOff>
    </xdr:from>
    <xdr:to>
      <xdr:col>26</xdr:col>
      <xdr:colOff>173462</xdr:colOff>
      <xdr:row>35</xdr:row>
      <xdr:rowOff>86288</xdr:rowOff>
    </xdr:to>
    <xdr:sp macro="" textlink="">
      <xdr:nvSpPr>
        <xdr:cNvPr id="19679" name="Text Box 223" hidden="1">
          <a:extLst>
            <a:ext uri="{FF2B5EF4-FFF2-40B4-BE49-F238E27FC236}">
              <a16:creationId xmlns:a16="http://schemas.microsoft.com/office/drawing/2014/main" id="{00000000-0008-0000-0100-0000DF4C0000}"/>
            </a:ext>
          </a:extLst>
        </xdr:cNvPr>
        <xdr:cNvSpPr txBox="1">
          <a:spLocks noChangeArrowheads="1"/>
        </xdr:cNvSpPr>
      </xdr:nvSpPr>
      <xdr:spPr bwMode="auto">
        <a:xfrm>
          <a:off x="13201650" y="7553325"/>
          <a:ext cx="1019175" cy="361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12</xdr:col>
      <xdr:colOff>344276</xdr:colOff>
      <xdr:row>18</xdr:row>
      <xdr:rowOff>55880</xdr:rowOff>
    </xdr:from>
    <xdr:to>
      <xdr:col>17</xdr:col>
      <xdr:colOff>34555</xdr:colOff>
      <xdr:row>21</xdr:row>
      <xdr:rowOff>193040</xdr:rowOff>
    </xdr:to>
    <xdr:sp macro="" textlink="">
      <xdr:nvSpPr>
        <xdr:cNvPr id="19682" name="Text Box 226" hidden="1">
          <a:extLst>
            <a:ext uri="{FF2B5EF4-FFF2-40B4-BE49-F238E27FC236}">
              <a16:creationId xmlns:a16="http://schemas.microsoft.com/office/drawing/2014/main" id="{00000000-0008-0000-0100-0000E24C0000}"/>
            </a:ext>
          </a:extLst>
        </xdr:cNvPr>
        <xdr:cNvSpPr txBox="1">
          <a:spLocks noChangeArrowheads="1"/>
        </xdr:cNvSpPr>
      </xdr:nvSpPr>
      <xdr:spPr bwMode="auto">
        <a:xfrm>
          <a:off x="7286625" y="4457700"/>
          <a:ext cx="1857375"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28205</xdr:colOff>
      <xdr:row>26</xdr:row>
      <xdr:rowOff>167640</xdr:rowOff>
    </xdr:from>
    <xdr:to>
      <xdr:col>26</xdr:col>
      <xdr:colOff>178542</xdr:colOff>
      <xdr:row>28</xdr:row>
      <xdr:rowOff>139767</xdr:rowOff>
    </xdr:to>
    <xdr:sp macro="" textlink="">
      <xdr:nvSpPr>
        <xdr:cNvPr id="19684" name="Text Box 228" hidden="1">
          <a:extLst>
            <a:ext uri="{FF2B5EF4-FFF2-40B4-BE49-F238E27FC236}">
              <a16:creationId xmlns:a16="http://schemas.microsoft.com/office/drawing/2014/main" id="{00000000-0008-0000-0100-0000E44C0000}"/>
            </a:ext>
          </a:extLst>
        </xdr:cNvPr>
        <xdr:cNvSpPr txBox="1">
          <a:spLocks noChangeArrowheads="1"/>
        </xdr:cNvSpPr>
      </xdr:nvSpPr>
      <xdr:spPr bwMode="auto">
        <a:xfrm>
          <a:off x="13258800" y="6153150"/>
          <a:ext cx="9715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163</xdr:row>
      <xdr:rowOff>123885</xdr:rowOff>
    </xdr:from>
    <xdr:to>
      <xdr:col>26</xdr:col>
      <xdr:colOff>178542</xdr:colOff>
      <xdr:row>165</xdr:row>
      <xdr:rowOff>170014</xdr:rowOff>
    </xdr:to>
    <xdr:sp macro="" textlink="">
      <xdr:nvSpPr>
        <xdr:cNvPr id="19685" name="Text Box 229" hidden="1">
          <a:extLst>
            <a:ext uri="{FF2B5EF4-FFF2-40B4-BE49-F238E27FC236}">
              <a16:creationId xmlns:a16="http://schemas.microsoft.com/office/drawing/2014/main" id="{00000000-0008-0000-0100-0000E54C0000}"/>
            </a:ext>
          </a:extLst>
        </xdr:cNvPr>
        <xdr:cNvSpPr txBox="1">
          <a:spLocks noChangeArrowheads="1"/>
        </xdr:cNvSpPr>
      </xdr:nvSpPr>
      <xdr:spPr bwMode="auto">
        <a:xfrm>
          <a:off x="13268325" y="32708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173</xdr:row>
      <xdr:rowOff>125858</xdr:rowOff>
    </xdr:from>
    <xdr:to>
      <xdr:col>26</xdr:col>
      <xdr:colOff>178542</xdr:colOff>
      <xdr:row>175</xdr:row>
      <xdr:rowOff>133096</xdr:rowOff>
    </xdr:to>
    <xdr:sp macro="" textlink="">
      <xdr:nvSpPr>
        <xdr:cNvPr id="19688" name="Text Box 232" hidden="1">
          <a:extLst>
            <a:ext uri="{FF2B5EF4-FFF2-40B4-BE49-F238E27FC236}">
              <a16:creationId xmlns:a16="http://schemas.microsoft.com/office/drawing/2014/main" id="{00000000-0008-0000-0100-0000E84C0000}"/>
            </a:ext>
          </a:extLst>
        </xdr:cNvPr>
        <xdr:cNvSpPr txBox="1">
          <a:spLocks noChangeArrowheads="1"/>
        </xdr:cNvSpPr>
      </xdr:nvSpPr>
      <xdr:spPr bwMode="auto">
        <a:xfrm>
          <a:off x="13268325" y="34613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181</xdr:row>
      <xdr:rowOff>117475</xdr:rowOff>
    </xdr:from>
    <xdr:to>
      <xdr:col>26</xdr:col>
      <xdr:colOff>178542</xdr:colOff>
      <xdr:row>184</xdr:row>
      <xdr:rowOff>6954</xdr:rowOff>
    </xdr:to>
    <xdr:sp macro="" textlink="">
      <xdr:nvSpPr>
        <xdr:cNvPr id="19690" name="Text Box 234" hidden="1">
          <a:extLst>
            <a:ext uri="{FF2B5EF4-FFF2-40B4-BE49-F238E27FC236}">
              <a16:creationId xmlns:a16="http://schemas.microsoft.com/office/drawing/2014/main" id="{00000000-0008-0000-0100-0000EA4C0000}"/>
            </a:ext>
          </a:extLst>
        </xdr:cNvPr>
        <xdr:cNvSpPr txBox="1">
          <a:spLocks noChangeArrowheads="1"/>
        </xdr:cNvSpPr>
      </xdr:nvSpPr>
      <xdr:spPr bwMode="auto">
        <a:xfrm>
          <a:off x="13268325" y="36137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541</xdr:row>
      <xdr:rowOff>200569</xdr:rowOff>
    </xdr:from>
    <xdr:to>
      <xdr:col>26</xdr:col>
      <xdr:colOff>206482</xdr:colOff>
      <xdr:row>551</xdr:row>
      <xdr:rowOff>32206</xdr:rowOff>
    </xdr:to>
    <xdr:sp macro="" textlink="">
      <xdr:nvSpPr>
        <xdr:cNvPr id="19691" name="Text Box 235" hidden="1">
          <a:extLst>
            <a:ext uri="{FF2B5EF4-FFF2-40B4-BE49-F238E27FC236}">
              <a16:creationId xmlns:a16="http://schemas.microsoft.com/office/drawing/2014/main" id="{00000000-0008-0000-0100-0000EB4C0000}"/>
            </a:ext>
          </a:extLst>
        </xdr:cNvPr>
        <xdr:cNvSpPr txBox="1">
          <a:spLocks noChangeArrowheads="1"/>
        </xdr:cNvSpPr>
      </xdr:nvSpPr>
      <xdr:spPr bwMode="auto">
        <a:xfrm>
          <a:off x="13268325" y="108775500"/>
          <a:ext cx="971550" cy="24384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543</xdr:row>
      <xdr:rowOff>134922</xdr:rowOff>
    </xdr:from>
    <xdr:to>
      <xdr:col>26</xdr:col>
      <xdr:colOff>206482</xdr:colOff>
      <xdr:row>548</xdr:row>
      <xdr:rowOff>39136</xdr:rowOff>
    </xdr:to>
    <xdr:sp macro="" textlink="">
      <xdr:nvSpPr>
        <xdr:cNvPr id="19692" name="Text Box 236" hidden="1">
          <a:extLst>
            <a:ext uri="{FF2B5EF4-FFF2-40B4-BE49-F238E27FC236}">
              <a16:creationId xmlns:a16="http://schemas.microsoft.com/office/drawing/2014/main" id="{00000000-0008-0000-0100-0000EC4C0000}"/>
            </a:ext>
          </a:extLst>
        </xdr:cNvPr>
        <xdr:cNvSpPr txBox="1">
          <a:spLocks noChangeArrowheads="1"/>
        </xdr:cNvSpPr>
      </xdr:nvSpPr>
      <xdr:spPr bwMode="auto">
        <a:xfrm>
          <a:off x="13268325" y="109794675"/>
          <a:ext cx="971550" cy="8667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546</xdr:row>
      <xdr:rowOff>114531</xdr:rowOff>
    </xdr:from>
    <xdr:to>
      <xdr:col>26</xdr:col>
      <xdr:colOff>206482</xdr:colOff>
      <xdr:row>555</xdr:row>
      <xdr:rowOff>94437</xdr:rowOff>
    </xdr:to>
    <xdr:sp macro="" textlink="">
      <xdr:nvSpPr>
        <xdr:cNvPr id="19693" name="Text Box 237" hidden="1">
          <a:extLst>
            <a:ext uri="{FF2B5EF4-FFF2-40B4-BE49-F238E27FC236}">
              <a16:creationId xmlns:a16="http://schemas.microsoft.com/office/drawing/2014/main" id="{00000000-0008-0000-0100-0000ED4C0000}"/>
            </a:ext>
          </a:extLst>
        </xdr:cNvPr>
        <xdr:cNvSpPr txBox="1">
          <a:spLocks noChangeArrowheads="1"/>
        </xdr:cNvSpPr>
      </xdr:nvSpPr>
      <xdr:spPr bwMode="auto">
        <a:xfrm>
          <a:off x="13268325" y="110347125"/>
          <a:ext cx="971550" cy="17145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551</xdr:row>
      <xdr:rowOff>32206</xdr:rowOff>
    </xdr:from>
    <xdr:to>
      <xdr:col>26</xdr:col>
      <xdr:colOff>206482</xdr:colOff>
      <xdr:row>559</xdr:row>
      <xdr:rowOff>79318</xdr:rowOff>
    </xdr:to>
    <xdr:sp macro="" textlink="">
      <xdr:nvSpPr>
        <xdr:cNvPr id="19694" name="Text Box 238" hidden="1">
          <a:extLst>
            <a:ext uri="{FF2B5EF4-FFF2-40B4-BE49-F238E27FC236}">
              <a16:creationId xmlns:a16="http://schemas.microsoft.com/office/drawing/2014/main" id="{00000000-0008-0000-0100-0000EE4C0000}"/>
            </a:ext>
          </a:extLst>
        </xdr:cNvPr>
        <xdr:cNvSpPr txBox="1">
          <a:spLocks noChangeArrowheads="1"/>
        </xdr:cNvSpPr>
      </xdr:nvSpPr>
      <xdr:spPr bwMode="auto">
        <a:xfrm>
          <a:off x="13268325" y="111213900"/>
          <a:ext cx="971550" cy="1609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533</xdr:row>
      <xdr:rowOff>28786</xdr:rowOff>
    </xdr:from>
    <xdr:to>
      <xdr:col>29</xdr:col>
      <xdr:colOff>200713</xdr:colOff>
      <xdr:row>603</xdr:row>
      <xdr:rowOff>188847</xdr:rowOff>
    </xdr:to>
    <xdr:sp macro="" textlink="">
      <xdr:nvSpPr>
        <xdr:cNvPr id="19702" name="Text Box 246" hidden="1">
          <a:extLst>
            <a:ext uri="{FF2B5EF4-FFF2-40B4-BE49-F238E27FC236}">
              <a16:creationId xmlns:a16="http://schemas.microsoft.com/office/drawing/2014/main" id="{00000000-0008-0000-0100-0000F64C0000}"/>
            </a:ext>
          </a:extLst>
        </xdr:cNvPr>
        <xdr:cNvSpPr txBox="1">
          <a:spLocks noChangeArrowheads="1"/>
        </xdr:cNvSpPr>
      </xdr:nvSpPr>
      <xdr:spPr bwMode="auto">
        <a:xfrm>
          <a:off x="13268325" y="106337100"/>
          <a:ext cx="2381250" cy="149066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537</xdr:row>
      <xdr:rowOff>31176</xdr:rowOff>
    </xdr:from>
    <xdr:to>
      <xdr:col>29</xdr:col>
      <xdr:colOff>200713</xdr:colOff>
      <xdr:row>555</xdr:row>
      <xdr:rowOff>18052</xdr:rowOff>
    </xdr:to>
    <xdr:sp macro="" textlink="">
      <xdr:nvSpPr>
        <xdr:cNvPr id="19703" name="Text Box 247" hidden="1">
          <a:extLst>
            <a:ext uri="{FF2B5EF4-FFF2-40B4-BE49-F238E27FC236}">
              <a16:creationId xmlns:a16="http://schemas.microsoft.com/office/drawing/2014/main" id="{00000000-0008-0000-0100-0000F74C0000}"/>
            </a:ext>
          </a:extLst>
        </xdr:cNvPr>
        <xdr:cNvSpPr txBox="1">
          <a:spLocks noChangeArrowheads="1"/>
        </xdr:cNvSpPr>
      </xdr:nvSpPr>
      <xdr:spPr bwMode="auto">
        <a:xfrm>
          <a:off x="13268325" y="107127675"/>
          <a:ext cx="2381250" cy="48482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30</xdr:col>
      <xdr:colOff>63977</xdr:colOff>
      <xdr:row>539</xdr:row>
      <xdr:rowOff>218496</xdr:rowOff>
    </xdr:from>
    <xdr:to>
      <xdr:col>34</xdr:col>
      <xdr:colOff>276490</xdr:colOff>
      <xdr:row>542</xdr:row>
      <xdr:rowOff>168693</xdr:rowOff>
    </xdr:to>
    <xdr:sp macro="" textlink="">
      <xdr:nvSpPr>
        <xdr:cNvPr id="19704" name="Text Box 248" hidden="1">
          <a:extLst>
            <a:ext uri="{FF2B5EF4-FFF2-40B4-BE49-F238E27FC236}">
              <a16:creationId xmlns:a16="http://schemas.microsoft.com/office/drawing/2014/main" id="{00000000-0008-0000-0100-0000F84C0000}"/>
            </a:ext>
          </a:extLst>
        </xdr:cNvPr>
        <xdr:cNvSpPr txBox="1">
          <a:spLocks noChangeArrowheads="1"/>
        </xdr:cNvSpPr>
      </xdr:nvSpPr>
      <xdr:spPr bwMode="auto">
        <a:xfrm>
          <a:off x="16011525" y="108137325"/>
          <a:ext cx="2390775" cy="904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263260</xdr:colOff>
      <xdr:row>598</xdr:row>
      <xdr:rowOff>167885</xdr:rowOff>
    </xdr:from>
    <xdr:to>
      <xdr:col>30</xdr:col>
      <xdr:colOff>520911</xdr:colOff>
      <xdr:row>629</xdr:row>
      <xdr:rowOff>45739</xdr:rowOff>
    </xdr:to>
    <xdr:sp macro="" textlink="">
      <xdr:nvSpPr>
        <xdr:cNvPr id="19705" name="Text Box 249" hidden="1">
          <a:extLst>
            <a:ext uri="{FF2B5EF4-FFF2-40B4-BE49-F238E27FC236}">
              <a16:creationId xmlns:a16="http://schemas.microsoft.com/office/drawing/2014/main" id="{00000000-0008-0000-0100-0000F94C0000}"/>
            </a:ext>
          </a:extLst>
        </xdr:cNvPr>
        <xdr:cNvSpPr txBox="1">
          <a:spLocks noChangeArrowheads="1"/>
        </xdr:cNvSpPr>
      </xdr:nvSpPr>
      <xdr:spPr bwMode="auto">
        <a:xfrm>
          <a:off x="15211425" y="120224550"/>
          <a:ext cx="1247775" cy="5857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206375</xdr:colOff>
      <xdr:row>272</xdr:row>
      <xdr:rowOff>105077</xdr:rowOff>
    </xdr:from>
    <xdr:to>
      <xdr:col>8</xdr:col>
      <xdr:colOff>135467</xdr:colOff>
      <xdr:row>277</xdr:row>
      <xdr:rowOff>136667</xdr:rowOff>
    </xdr:to>
    <xdr:sp macro="" textlink="">
      <xdr:nvSpPr>
        <xdr:cNvPr id="19709" name="Text Box 253" hidden="1">
          <a:extLst>
            <a:ext uri="{FF2B5EF4-FFF2-40B4-BE49-F238E27FC236}">
              <a16:creationId xmlns:a16="http://schemas.microsoft.com/office/drawing/2014/main" id="{00000000-0008-0000-0100-0000FD4C0000}"/>
            </a:ext>
          </a:extLst>
        </xdr:cNvPr>
        <xdr:cNvSpPr txBox="1">
          <a:spLocks noChangeArrowheads="1"/>
        </xdr:cNvSpPr>
      </xdr:nvSpPr>
      <xdr:spPr bwMode="auto">
        <a:xfrm>
          <a:off x="2400300" y="53616225"/>
          <a:ext cx="3057525" cy="9906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263260</xdr:colOff>
      <xdr:row>275</xdr:row>
      <xdr:rowOff>846</xdr:rowOff>
    </xdr:from>
    <xdr:to>
      <xdr:col>30</xdr:col>
      <xdr:colOff>520911</xdr:colOff>
      <xdr:row>275</xdr:row>
      <xdr:rowOff>846</xdr:rowOff>
    </xdr:to>
    <xdr:sp macro="" textlink="">
      <xdr:nvSpPr>
        <xdr:cNvPr id="19710" name="Text Box 254" hidden="1">
          <a:extLst>
            <a:ext uri="{FF2B5EF4-FFF2-40B4-BE49-F238E27FC236}">
              <a16:creationId xmlns:a16="http://schemas.microsoft.com/office/drawing/2014/main" id="{00000000-0008-0000-0100-0000FE4C0000}"/>
            </a:ext>
          </a:extLst>
        </xdr:cNvPr>
        <xdr:cNvSpPr txBox="1">
          <a:spLocks noChangeArrowheads="1"/>
        </xdr:cNvSpPr>
      </xdr:nvSpPr>
      <xdr:spPr bwMode="auto">
        <a:xfrm>
          <a:off x="15211425" y="54102000"/>
          <a:ext cx="124777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85</xdr:row>
      <xdr:rowOff>98837</xdr:rowOff>
    </xdr:from>
    <xdr:to>
      <xdr:col>26</xdr:col>
      <xdr:colOff>178542</xdr:colOff>
      <xdr:row>85</xdr:row>
      <xdr:rowOff>151542</xdr:rowOff>
    </xdr:to>
    <xdr:sp macro="" textlink="">
      <xdr:nvSpPr>
        <xdr:cNvPr id="19736" name="Text Box 280" hidden="1">
          <a:extLst>
            <a:ext uri="{FF2B5EF4-FFF2-40B4-BE49-F238E27FC236}">
              <a16:creationId xmlns:a16="http://schemas.microsoft.com/office/drawing/2014/main" id="{00000000-0008-0000-0100-0000184D0000}"/>
            </a:ext>
          </a:extLst>
        </xdr:cNvPr>
        <xdr:cNvSpPr txBox="1">
          <a:spLocks noChangeArrowheads="1"/>
        </xdr:cNvSpPr>
      </xdr:nvSpPr>
      <xdr:spPr bwMode="auto">
        <a:xfrm>
          <a:off x="13239750" y="17621250"/>
          <a:ext cx="990600" cy="666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100</xdr:row>
      <xdr:rowOff>167870</xdr:rowOff>
    </xdr:from>
    <xdr:to>
      <xdr:col>26</xdr:col>
      <xdr:colOff>178542</xdr:colOff>
      <xdr:row>103</xdr:row>
      <xdr:rowOff>17232</xdr:rowOff>
    </xdr:to>
    <xdr:sp macro="" textlink="">
      <xdr:nvSpPr>
        <xdr:cNvPr id="19742" name="Text Box 286" hidden="1">
          <a:extLst>
            <a:ext uri="{FF2B5EF4-FFF2-40B4-BE49-F238E27FC236}">
              <a16:creationId xmlns:a16="http://schemas.microsoft.com/office/drawing/2014/main" id="{00000000-0008-0000-0100-00001E4D0000}"/>
            </a:ext>
          </a:extLst>
        </xdr:cNvPr>
        <xdr:cNvSpPr txBox="1">
          <a:spLocks noChangeArrowheads="1"/>
        </xdr:cNvSpPr>
      </xdr:nvSpPr>
      <xdr:spPr bwMode="auto">
        <a:xfrm>
          <a:off x="13239750" y="20602575"/>
          <a:ext cx="990600" cy="4286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113</xdr:row>
      <xdr:rowOff>162790</xdr:rowOff>
    </xdr:from>
    <xdr:to>
      <xdr:col>26</xdr:col>
      <xdr:colOff>178542</xdr:colOff>
      <xdr:row>115</xdr:row>
      <xdr:rowOff>150875</xdr:rowOff>
    </xdr:to>
    <xdr:sp macro="" textlink="">
      <xdr:nvSpPr>
        <xdr:cNvPr id="19746" name="Text Box 290" hidden="1">
          <a:extLst>
            <a:ext uri="{FF2B5EF4-FFF2-40B4-BE49-F238E27FC236}">
              <a16:creationId xmlns:a16="http://schemas.microsoft.com/office/drawing/2014/main" id="{00000000-0008-0000-0100-0000224D0000}"/>
            </a:ext>
          </a:extLst>
        </xdr:cNvPr>
        <xdr:cNvSpPr txBox="1">
          <a:spLocks noChangeArrowheads="1"/>
        </xdr:cNvSpPr>
      </xdr:nvSpPr>
      <xdr:spPr bwMode="auto">
        <a:xfrm>
          <a:off x="13239750" y="23079075"/>
          <a:ext cx="990600" cy="3714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17</xdr:col>
      <xdr:colOff>221880</xdr:colOff>
      <xdr:row>710</xdr:row>
      <xdr:rowOff>135590</xdr:rowOff>
    </xdr:from>
    <xdr:to>
      <xdr:col>21</xdr:col>
      <xdr:colOff>278228</xdr:colOff>
      <xdr:row>714</xdr:row>
      <xdr:rowOff>63928</xdr:rowOff>
    </xdr:to>
    <xdr:sp macro="" textlink="">
      <xdr:nvSpPr>
        <xdr:cNvPr id="19762" name="Text Box 306" hidden="1">
          <a:extLst>
            <a:ext uri="{FF2B5EF4-FFF2-40B4-BE49-F238E27FC236}">
              <a16:creationId xmlns:a16="http://schemas.microsoft.com/office/drawing/2014/main" id="{00000000-0008-0000-0100-0000324D0000}"/>
            </a:ext>
          </a:extLst>
        </xdr:cNvPr>
        <xdr:cNvSpPr txBox="1">
          <a:spLocks noChangeArrowheads="1"/>
        </xdr:cNvSpPr>
      </xdr:nvSpPr>
      <xdr:spPr bwMode="auto">
        <a:xfrm>
          <a:off x="9305925" y="142055850"/>
          <a:ext cx="1733550"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730</xdr:row>
      <xdr:rowOff>50438</xdr:rowOff>
    </xdr:from>
    <xdr:to>
      <xdr:col>16</xdr:col>
      <xdr:colOff>28206</xdr:colOff>
      <xdr:row>730</xdr:row>
      <xdr:rowOff>50438</xdr:rowOff>
    </xdr:to>
    <xdr:sp macro="" textlink="">
      <xdr:nvSpPr>
        <xdr:cNvPr id="19763" name="Text Box 307" hidden="1">
          <a:extLst>
            <a:ext uri="{FF2B5EF4-FFF2-40B4-BE49-F238E27FC236}">
              <a16:creationId xmlns:a16="http://schemas.microsoft.com/office/drawing/2014/main" id="{00000000-0008-0000-0100-0000334D0000}"/>
            </a:ext>
          </a:extLst>
        </xdr:cNvPr>
        <xdr:cNvSpPr txBox="1">
          <a:spLocks noChangeArrowheads="1"/>
        </xdr:cNvSpPr>
      </xdr:nvSpPr>
      <xdr:spPr bwMode="auto">
        <a:xfrm>
          <a:off x="6743700" y="145789650"/>
          <a:ext cx="174307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17</xdr:col>
      <xdr:colOff>221880</xdr:colOff>
      <xdr:row>533</xdr:row>
      <xdr:rowOff>34678</xdr:rowOff>
    </xdr:from>
    <xdr:to>
      <xdr:col>21</xdr:col>
      <xdr:colOff>278228</xdr:colOff>
      <xdr:row>673</xdr:row>
      <xdr:rowOff>54096</xdr:rowOff>
    </xdr:to>
    <xdr:sp macro="" textlink="">
      <xdr:nvSpPr>
        <xdr:cNvPr id="19765" name="Text Box 309" hidden="1">
          <a:extLst>
            <a:ext uri="{FF2B5EF4-FFF2-40B4-BE49-F238E27FC236}">
              <a16:creationId xmlns:a16="http://schemas.microsoft.com/office/drawing/2014/main" id="{00000000-0008-0000-0100-0000354D0000}"/>
            </a:ext>
          </a:extLst>
        </xdr:cNvPr>
        <xdr:cNvSpPr txBox="1">
          <a:spLocks noChangeArrowheads="1"/>
        </xdr:cNvSpPr>
      </xdr:nvSpPr>
      <xdr:spPr bwMode="auto">
        <a:xfrm>
          <a:off x="9305925" y="106327575"/>
          <a:ext cx="1733550" cy="28165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33</xdr:col>
      <xdr:colOff>435451</xdr:colOff>
      <xdr:row>538</xdr:row>
      <xdr:rowOff>726</xdr:rowOff>
    </xdr:from>
    <xdr:to>
      <xdr:col>35</xdr:col>
      <xdr:colOff>76041</xdr:colOff>
      <xdr:row>538</xdr:row>
      <xdr:rowOff>726</xdr:rowOff>
    </xdr:to>
    <xdr:sp macro="" textlink="">
      <xdr:nvSpPr>
        <xdr:cNvPr id="19768" name="Text Box 312" hidden="1">
          <a:extLst>
            <a:ext uri="{FF2B5EF4-FFF2-40B4-BE49-F238E27FC236}">
              <a16:creationId xmlns:a16="http://schemas.microsoft.com/office/drawing/2014/main" id="{00000000-0008-0000-0100-0000384D0000}"/>
            </a:ext>
          </a:extLst>
        </xdr:cNvPr>
        <xdr:cNvSpPr txBox="1">
          <a:spLocks noChangeArrowheads="1"/>
        </xdr:cNvSpPr>
      </xdr:nvSpPr>
      <xdr:spPr bwMode="auto">
        <a:xfrm>
          <a:off x="17878425" y="107289600"/>
          <a:ext cx="99060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0</xdr:col>
      <xdr:colOff>244475</xdr:colOff>
      <xdr:row>566</xdr:row>
      <xdr:rowOff>167939</xdr:rowOff>
    </xdr:from>
    <xdr:to>
      <xdr:col>0</xdr:col>
      <xdr:colOff>914400</xdr:colOff>
      <xdr:row>570</xdr:row>
      <xdr:rowOff>122006</xdr:rowOff>
    </xdr:to>
    <xdr:sp macro="" textlink="">
      <xdr:nvSpPr>
        <xdr:cNvPr id="19788" name="Text Box 332" hidden="1">
          <a:extLst>
            <a:ext uri="{FF2B5EF4-FFF2-40B4-BE49-F238E27FC236}">
              <a16:creationId xmlns:a16="http://schemas.microsoft.com/office/drawing/2014/main" id="{00000000-0008-0000-0100-00004C4D0000}"/>
            </a:ext>
          </a:extLst>
        </xdr:cNvPr>
        <xdr:cNvSpPr txBox="1">
          <a:spLocks noChangeArrowheads="1"/>
        </xdr:cNvSpPr>
      </xdr:nvSpPr>
      <xdr:spPr bwMode="auto">
        <a:xfrm>
          <a:off x="247650" y="114223800"/>
          <a:ext cx="666750"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247756</xdr:colOff>
      <xdr:row>204</xdr:row>
      <xdr:rowOff>136990</xdr:rowOff>
    </xdr:from>
    <xdr:to>
      <xdr:col>17</xdr:col>
      <xdr:colOff>111390</xdr:colOff>
      <xdr:row>210</xdr:row>
      <xdr:rowOff>16148</xdr:rowOff>
    </xdr:to>
    <xdr:sp macro="" textlink="">
      <xdr:nvSpPr>
        <xdr:cNvPr id="19800" name="Text Box 344" hidden="1">
          <a:extLst>
            <a:ext uri="{FF2B5EF4-FFF2-40B4-BE49-F238E27FC236}">
              <a16:creationId xmlns:a16="http://schemas.microsoft.com/office/drawing/2014/main" id="{00000000-0008-0000-0100-0000584D0000}"/>
            </a:ext>
          </a:extLst>
        </xdr:cNvPr>
        <xdr:cNvSpPr txBox="1">
          <a:spLocks noChangeArrowheads="1"/>
        </xdr:cNvSpPr>
      </xdr:nvSpPr>
      <xdr:spPr bwMode="auto">
        <a:xfrm>
          <a:off x="8001000" y="40214550"/>
          <a:ext cx="1209675" cy="1019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247756</xdr:colOff>
      <xdr:row>572</xdr:row>
      <xdr:rowOff>79072</xdr:rowOff>
    </xdr:from>
    <xdr:to>
      <xdr:col>17</xdr:col>
      <xdr:colOff>111390</xdr:colOff>
      <xdr:row>575</xdr:row>
      <xdr:rowOff>167938</xdr:rowOff>
    </xdr:to>
    <xdr:sp macro="" textlink="">
      <xdr:nvSpPr>
        <xdr:cNvPr id="19802" name="Text Box 346" hidden="1">
          <a:extLst>
            <a:ext uri="{FF2B5EF4-FFF2-40B4-BE49-F238E27FC236}">
              <a16:creationId xmlns:a16="http://schemas.microsoft.com/office/drawing/2014/main" id="{00000000-0008-0000-0100-00005A4D0000}"/>
            </a:ext>
          </a:extLst>
        </xdr:cNvPr>
        <xdr:cNvSpPr txBox="1">
          <a:spLocks noChangeArrowheads="1"/>
        </xdr:cNvSpPr>
      </xdr:nvSpPr>
      <xdr:spPr bwMode="auto">
        <a:xfrm>
          <a:off x="8001000" y="115300125"/>
          <a:ext cx="120967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134355</xdr:colOff>
      <xdr:row>574</xdr:row>
      <xdr:rowOff>3118</xdr:rowOff>
    </xdr:from>
    <xdr:to>
      <xdr:col>32</xdr:col>
      <xdr:colOff>18045</xdr:colOff>
      <xdr:row>576</xdr:row>
      <xdr:rowOff>122642</xdr:rowOff>
    </xdr:to>
    <xdr:sp macro="" textlink="">
      <xdr:nvSpPr>
        <xdr:cNvPr id="19809" name="Text Box 353" hidden="1">
          <a:extLst>
            <a:ext uri="{FF2B5EF4-FFF2-40B4-BE49-F238E27FC236}">
              <a16:creationId xmlns:a16="http://schemas.microsoft.com/office/drawing/2014/main" id="{00000000-0008-0000-0100-0000614D0000}"/>
            </a:ext>
          </a:extLst>
        </xdr:cNvPr>
        <xdr:cNvSpPr txBox="1">
          <a:spLocks noChangeArrowheads="1"/>
        </xdr:cNvSpPr>
      </xdr:nvSpPr>
      <xdr:spPr bwMode="auto">
        <a:xfrm>
          <a:off x="15068550" y="115604925"/>
          <a:ext cx="1914525" cy="466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134355</xdr:colOff>
      <xdr:row>581</xdr:row>
      <xdr:rowOff>160564</xdr:rowOff>
    </xdr:from>
    <xdr:to>
      <xdr:col>32</xdr:col>
      <xdr:colOff>20585</xdr:colOff>
      <xdr:row>584</xdr:row>
      <xdr:rowOff>41376</xdr:rowOff>
    </xdr:to>
    <xdr:sp macro="" textlink="">
      <xdr:nvSpPr>
        <xdr:cNvPr id="19812" name="Text Box 356" hidden="1">
          <a:extLst>
            <a:ext uri="{FF2B5EF4-FFF2-40B4-BE49-F238E27FC236}">
              <a16:creationId xmlns:a16="http://schemas.microsoft.com/office/drawing/2014/main" id="{00000000-0008-0000-0100-0000644D0000}"/>
            </a:ext>
          </a:extLst>
        </xdr:cNvPr>
        <xdr:cNvSpPr txBox="1">
          <a:spLocks noChangeArrowheads="1"/>
        </xdr:cNvSpPr>
      </xdr:nvSpPr>
      <xdr:spPr bwMode="auto">
        <a:xfrm>
          <a:off x="15068550" y="117043200"/>
          <a:ext cx="1895475" cy="4572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7</xdr:col>
      <xdr:colOff>636</xdr:colOff>
      <xdr:row>581</xdr:row>
      <xdr:rowOff>48043</xdr:rowOff>
    </xdr:from>
    <xdr:to>
      <xdr:col>11</xdr:col>
      <xdr:colOff>28151</xdr:colOff>
      <xdr:row>584</xdr:row>
      <xdr:rowOff>160564</xdr:rowOff>
    </xdr:to>
    <xdr:sp macro="" textlink="">
      <xdr:nvSpPr>
        <xdr:cNvPr id="19813" name="Text Box 357" hidden="1">
          <a:extLst>
            <a:ext uri="{FF2B5EF4-FFF2-40B4-BE49-F238E27FC236}">
              <a16:creationId xmlns:a16="http://schemas.microsoft.com/office/drawing/2014/main" id="{00000000-0008-0000-0100-0000654D0000}"/>
            </a:ext>
          </a:extLst>
        </xdr:cNvPr>
        <xdr:cNvSpPr txBox="1">
          <a:spLocks noChangeArrowheads="1"/>
        </xdr:cNvSpPr>
      </xdr:nvSpPr>
      <xdr:spPr bwMode="auto">
        <a:xfrm>
          <a:off x="5248275" y="116947950"/>
          <a:ext cx="151447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0</xdr:col>
      <xdr:colOff>342900</xdr:colOff>
      <xdr:row>573</xdr:row>
      <xdr:rowOff>79073</xdr:rowOff>
    </xdr:from>
    <xdr:to>
      <xdr:col>0</xdr:col>
      <xdr:colOff>1044575</xdr:colOff>
      <xdr:row>576</xdr:row>
      <xdr:rowOff>167938</xdr:rowOff>
    </xdr:to>
    <xdr:sp macro="" textlink="">
      <xdr:nvSpPr>
        <xdr:cNvPr id="19815" name="Text Box 359" hidden="1">
          <a:extLst>
            <a:ext uri="{FF2B5EF4-FFF2-40B4-BE49-F238E27FC236}">
              <a16:creationId xmlns:a16="http://schemas.microsoft.com/office/drawing/2014/main" id="{00000000-0008-0000-0100-0000674D0000}"/>
            </a:ext>
          </a:extLst>
        </xdr:cNvPr>
        <xdr:cNvSpPr txBox="1">
          <a:spLocks noChangeArrowheads="1"/>
        </xdr:cNvSpPr>
      </xdr:nvSpPr>
      <xdr:spPr bwMode="auto">
        <a:xfrm>
          <a:off x="342900" y="115490625"/>
          <a:ext cx="69532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59109</xdr:colOff>
      <xdr:row>37</xdr:row>
      <xdr:rowOff>159244</xdr:rowOff>
    </xdr:from>
    <xdr:to>
      <xdr:col>18</xdr:col>
      <xdr:colOff>72866</xdr:colOff>
      <xdr:row>39</xdr:row>
      <xdr:rowOff>146635</xdr:rowOff>
    </xdr:to>
    <xdr:sp macro="" textlink="">
      <xdr:nvSpPr>
        <xdr:cNvPr id="19836" name="Text Box 380" hidden="1">
          <a:extLst>
            <a:ext uri="{FF2B5EF4-FFF2-40B4-BE49-F238E27FC236}">
              <a16:creationId xmlns:a16="http://schemas.microsoft.com/office/drawing/2014/main" id="{00000000-0008-0000-0100-00007C4D0000}"/>
            </a:ext>
          </a:extLst>
        </xdr:cNvPr>
        <xdr:cNvSpPr txBox="1">
          <a:spLocks noChangeArrowheads="1"/>
        </xdr:cNvSpPr>
      </xdr:nvSpPr>
      <xdr:spPr bwMode="auto">
        <a:xfrm>
          <a:off x="8324850" y="8391525"/>
          <a:ext cx="11906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114354</xdr:colOff>
      <xdr:row>56</xdr:row>
      <xdr:rowOff>112768</xdr:rowOff>
    </xdr:from>
    <xdr:to>
      <xdr:col>18</xdr:col>
      <xdr:colOff>40481</xdr:colOff>
      <xdr:row>58</xdr:row>
      <xdr:rowOff>117848</xdr:rowOff>
    </xdr:to>
    <xdr:sp macro="" textlink="">
      <xdr:nvSpPr>
        <xdr:cNvPr id="19837" name="Text Box 381" hidden="1">
          <a:extLst>
            <a:ext uri="{FF2B5EF4-FFF2-40B4-BE49-F238E27FC236}">
              <a16:creationId xmlns:a16="http://schemas.microsoft.com/office/drawing/2014/main" id="{00000000-0008-0000-0100-00007D4D0000}"/>
            </a:ext>
          </a:extLst>
        </xdr:cNvPr>
        <xdr:cNvSpPr txBox="1">
          <a:spLocks noChangeArrowheads="1"/>
        </xdr:cNvSpPr>
      </xdr:nvSpPr>
      <xdr:spPr bwMode="auto">
        <a:xfrm>
          <a:off x="8391525" y="11972925"/>
          <a:ext cx="1095375" cy="400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101</xdr:row>
      <xdr:rowOff>110720</xdr:rowOff>
    </xdr:from>
    <xdr:to>
      <xdr:col>16</xdr:col>
      <xdr:colOff>530066</xdr:colOff>
      <xdr:row>103</xdr:row>
      <xdr:rowOff>148820</xdr:rowOff>
    </xdr:to>
    <xdr:sp macro="" textlink="">
      <xdr:nvSpPr>
        <xdr:cNvPr id="19839" name="Text Box 383" hidden="1">
          <a:extLst>
            <a:ext uri="{FF2B5EF4-FFF2-40B4-BE49-F238E27FC236}">
              <a16:creationId xmlns:a16="http://schemas.microsoft.com/office/drawing/2014/main" id="{00000000-0008-0000-0100-00007F4D0000}"/>
            </a:ext>
          </a:extLst>
        </xdr:cNvPr>
        <xdr:cNvSpPr txBox="1">
          <a:spLocks noChangeArrowheads="1"/>
        </xdr:cNvSpPr>
      </xdr:nvSpPr>
      <xdr:spPr bwMode="auto">
        <a:xfrm>
          <a:off x="6743700" y="20735925"/>
          <a:ext cx="2266950" cy="4191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114354</xdr:colOff>
      <xdr:row>87</xdr:row>
      <xdr:rowOff>28299</xdr:rowOff>
    </xdr:from>
    <xdr:to>
      <xdr:col>18</xdr:col>
      <xdr:colOff>40481</xdr:colOff>
      <xdr:row>90</xdr:row>
      <xdr:rowOff>91670</xdr:rowOff>
    </xdr:to>
    <xdr:sp macro="" textlink="">
      <xdr:nvSpPr>
        <xdr:cNvPr id="19841" name="Text Box 385" hidden="1">
          <a:extLst>
            <a:ext uri="{FF2B5EF4-FFF2-40B4-BE49-F238E27FC236}">
              <a16:creationId xmlns:a16="http://schemas.microsoft.com/office/drawing/2014/main" id="{00000000-0008-0000-0100-0000814D0000}"/>
            </a:ext>
          </a:extLst>
        </xdr:cNvPr>
        <xdr:cNvSpPr txBox="1">
          <a:spLocks noChangeArrowheads="1"/>
        </xdr:cNvSpPr>
      </xdr:nvSpPr>
      <xdr:spPr bwMode="auto">
        <a:xfrm>
          <a:off x="8391525" y="17973675"/>
          <a:ext cx="1095375" cy="6477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54</xdr:colOff>
      <xdr:row>115</xdr:row>
      <xdr:rowOff>135485</xdr:rowOff>
    </xdr:from>
    <xdr:to>
      <xdr:col>18</xdr:col>
      <xdr:colOff>39846</xdr:colOff>
      <xdr:row>117</xdr:row>
      <xdr:rowOff>130330</xdr:rowOff>
    </xdr:to>
    <xdr:sp macro="" textlink="">
      <xdr:nvSpPr>
        <xdr:cNvPr id="19843" name="Text Box 387" hidden="1">
          <a:extLst>
            <a:ext uri="{FF2B5EF4-FFF2-40B4-BE49-F238E27FC236}">
              <a16:creationId xmlns:a16="http://schemas.microsoft.com/office/drawing/2014/main" id="{00000000-0008-0000-0100-0000834D0000}"/>
            </a:ext>
          </a:extLst>
        </xdr:cNvPr>
        <xdr:cNvSpPr txBox="1">
          <a:spLocks noChangeArrowheads="1"/>
        </xdr:cNvSpPr>
      </xdr:nvSpPr>
      <xdr:spPr bwMode="auto">
        <a:xfrm>
          <a:off x="8277225" y="23441025"/>
          <a:ext cx="121920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114</xdr:row>
      <xdr:rowOff>93575</xdr:rowOff>
    </xdr:from>
    <xdr:to>
      <xdr:col>16</xdr:col>
      <xdr:colOff>530066</xdr:colOff>
      <xdr:row>116</xdr:row>
      <xdr:rowOff>97385</xdr:rowOff>
    </xdr:to>
    <xdr:sp macro="" textlink="">
      <xdr:nvSpPr>
        <xdr:cNvPr id="19844" name="Text Box 388" hidden="1">
          <a:extLst>
            <a:ext uri="{FF2B5EF4-FFF2-40B4-BE49-F238E27FC236}">
              <a16:creationId xmlns:a16="http://schemas.microsoft.com/office/drawing/2014/main" id="{00000000-0008-0000-0100-0000844D0000}"/>
            </a:ext>
          </a:extLst>
        </xdr:cNvPr>
        <xdr:cNvSpPr txBox="1">
          <a:spLocks noChangeArrowheads="1"/>
        </xdr:cNvSpPr>
      </xdr:nvSpPr>
      <xdr:spPr bwMode="auto">
        <a:xfrm>
          <a:off x="6743700" y="23212425"/>
          <a:ext cx="22669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59109</xdr:colOff>
      <xdr:row>96</xdr:row>
      <xdr:rowOff>91670</xdr:rowOff>
    </xdr:from>
    <xdr:to>
      <xdr:col>17</xdr:col>
      <xdr:colOff>336180</xdr:colOff>
      <xdr:row>98</xdr:row>
      <xdr:rowOff>93575</xdr:rowOff>
    </xdr:to>
    <xdr:sp macro="" textlink="">
      <xdr:nvSpPr>
        <xdr:cNvPr id="19846" name="Text Box 390" hidden="1">
          <a:extLst>
            <a:ext uri="{FF2B5EF4-FFF2-40B4-BE49-F238E27FC236}">
              <a16:creationId xmlns:a16="http://schemas.microsoft.com/office/drawing/2014/main" id="{00000000-0008-0000-0100-0000864D0000}"/>
            </a:ext>
          </a:extLst>
        </xdr:cNvPr>
        <xdr:cNvSpPr txBox="1">
          <a:spLocks noChangeArrowheads="1"/>
        </xdr:cNvSpPr>
      </xdr:nvSpPr>
      <xdr:spPr bwMode="auto">
        <a:xfrm>
          <a:off x="8324850" y="19764375"/>
          <a:ext cx="1095375" cy="3905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489427</xdr:colOff>
      <xdr:row>47</xdr:row>
      <xdr:rowOff>181913</xdr:rowOff>
    </xdr:from>
    <xdr:to>
      <xdr:col>18</xdr:col>
      <xdr:colOff>38576</xdr:colOff>
      <xdr:row>50</xdr:row>
      <xdr:rowOff>93151</xdr:rowOff>
    </xdr:to>
    <xdr:sp macro="" textlink="">
      <xdr:nvSpPr>
        <xdr:cNvPr id="19847" name="Text Box 391" hidden="1">
          <a:extLst>
            <a:ext uri="{FF2B5EF4-FFF2-40B4-BE49-F238E27FC236}">
              <a16:creationId xmlns:a16="http://schemas.microsoft.com/office/drawing/2014/main" id="{00000000-0008-0000-0100-0000874D0000}"/>
            </a:ext>
          </a:extLst>
        </xdr:cNvPr>
        <xdr:cNvSpPr txBox="1">
          <a:spLocks noChangeArrowheads="1"/>
        </xdr:cNvSpPr>
      </xdr:nvSpPr>
      <xdr:spPr bwMode="auto">
        <a:xfrm>
          <a:off x="8267700" y="10344150"/>
          <a:ext cx="1200150" cy="4857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22</xdr:row>
      <xdr:rowOff>103505</xdr:rowOff>
    </xdr:from>
    <xdr:to>
      <xdr:col>14</xdr:col>
      <xdr:colOff>209656</xdr:colOff>
      <xdr:row>26</xdr:row>
      <xdr:rowOff>22596</xdr:rowOff>
    </xdr:to>
    <xdr:sp macro="" textlink="">
      <xdr:nvSpPr>
        <xdr:cNvPr id="19848" name="Text Box 392" hidden="1">
          <a:extLst>
            <a:ext uri="{FF2B5EF4-FFF2-40B4-BE49-F238E27FC236}">
              <a16:creationId xmlns:a16="http://schemas.microsoft.com/office/drawing/2014/main" id="{00000000-0008-0000-0100-0000884D0000}"/>
            </a:ext>
          </a:extLst>
        </xdr:cNvPr>
        <xdr:cNvSpPr txBox="1">
          <a:spLocks noChangeArrowheads="1"/>
        </xdr:cNvSpPr>
      </xdr:nvSpPr>
      <xdr:spPr bwMode="auto">
        <a:xfrm>
          <a:off x="6743700" y="5267325"/>
          <a:ext cx="1219200" cy="723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538</xdr:row>
      <xdr:rowOff>95976</xdr:rowOff>
    </xdr:from>
    <xdr:to>
      <xdr:col>15</xdr:col>
      <xdr:colOff>190554</xdr:colOff>
      <xdr:row>540</xdr:row>
      <xdr:rowOff>30445</xdr:rowOff>
    </xdr:to>
    <xdr:sp macro="" textlink="">
      <xdr:nvSpPr>
        <xdr:cNvPr id="19851" name="Text Box 395" hidden="1">
          <a:extLst>
            <a:ext uri="{FF2B5EF4-FFF2-40B4-BE49-F238E27FC236}">
              <a16:creationId xmlns:a16="http://schemas.microsoft.com/office/drawing/2014/main" id="{00000000-0008-0000-0100-00008B4D0000}"/>
            </a:ext>
          </a:extLst>
        </xdr:cNvPr>
        <xdr:cNvSpPr txBox="1">
          <a:spLocks noChangeArrowheads="1"/>
        </xdr:cNvSpPr>
      </xdr:nvSpPr>
      <xdr:spPr bwMode="auto">
        <a:xfrm>
          <a:off x="6743700" y="107375325"/>
          <a:ext cx="1724025" cy="904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163</xdr:row>
      <xdr:rowOff>161123</xdr:rowOff>
    </xdr:from>
    <xdr:to>
      <xdr:col>16</xdr:col>
      <xdr:colOff>207804</xdr:colOff>
      <xdr:row>168</xdr:row>
      <xdr:rowOff>136290</xdr:rowOff>
    </xdr:to>
    <xdr:sp macro="" textlink="">
      <xdr:nvSpPr>
        <xdr:cNvPr id="19855" name="Text Box 399" hidden="1">
          <a:extLst>
            <a:ext uri="{FF2B5EF4-FFF2-40B4-BE49-F238E27FC236}">
              <a16:creationId xmlns:a16="http://schemas.microsoft.com/office/drawing/2014/main" id="{00000000-0008-0000-0100-00008F4D0000}"/>
            </a:ext>
          </a:extLst>
        </xdr:cNvPr>
        <xdr:cNvSpPr txBox="1">
          <a:spLocks noChangeArrowheads="1"/>
        </xdr:cNvSpPr>
      </xdr:nvSpPr>
      <xdr:spPr bwMode="auto">
        <a:xfrm>
          <a:off x="6743700" y="32737425"/>
          <a:ext cx="1933575" cy="9334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6</xdr:col>
      <xdr:colOff>472440</xdr:colOff>
      <xdr:row>7</xdr:row>
      <xdr:rowOff>92075</xdr:rowOff>
    </xdr:from>
    <xdr:to>
      <xdr:col>9</xdr:col>
      <xdr:colOff>181187</xdr:colOff>
      <xdr:row>10</xdr:row>
      <xdr:rowOff>27305</xdr:rowOff>
    </xdr:to>
    <xdr:sp macro="" textlink="">
      <xdr:nvSpPr>
        <xdr:cNvPr id="19859" name="Text Box 403" hidden="1">
          <a:extLst>
            <a:ext uri="{FF2B5EF4-FFF2-40B4-BE49-F238E27FC236}">
              <a16:creationId xmlns:a16="http://schemas.microsoft.com/office/drawing/2014/main" id="{00000000-0008-0000-0100-0000934D0000}"/>
            </a:ext>
          </a:extLst>
        </xdr:cNvPr>
        <xdr:cNvSpPr txBox="1">
          <a:spLocks noChangeArrowheads="1"/>
        </xdr:cNvSpPr>
      </xdr:nvSpPr>
      <xdr:spPr bwMode="auto">
        <a:xfrm>
          <a:off x="4905375" y="2028825"/>
          <a:ext cx="1238250"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713</xdr:row>
      <xdr:rowOff>149773</xdr:rowOff>
    </xdr:from>
    <xdr:to>
      <xdr:col>14</xdr:col>
      <xdr:colOff>316284</xdr:colOff>
      <xdr:row>729</xdr:row>
      <xdr:rowOff>182</xdr:rowOff>
    </xdr:to>
    <xdr:sp macro="" textlink="">
      <xdr:nvSpPr>
        <xdr:cNvPr id="19891" name="Text Box 435" hidden="1">
          <a:extLst>
            <a:ext uri="{FF2B5EF4-FFF2-40B4-BE49-F238E27FC236}">
              <a16:creationId xmlns:a16="http://schemas.microsoft.com/office/drawing/2014/main" id="{00000000-0008-0000-0100-0000B34D0000}"/>
            </a:ext>
          </a:extLst>
        </xdr:cNvPr>
        <xdr:cNvSpPr txBox="1">
          <a:spLocks noChangeArrowheads="1"/>
        </xdr:cNvSpPr>
      </xdr:nvSpPr>
      <xdr:spPr bwMode="auto">
        <a:xfrm>
          <a:off x="6743700" y="142674975"/>
          <a:ext cx="1343025" cy="28860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349938</xdr:colOff>
      <xdr:row>730</xdr:row>
      <xdr:rowOff>50438</xdr:rowOff>
    </xdr:from>
    <xdr:to>
      <xdr:col>25</xdr:col>
      <xdr:colOff>630608</xdr:colOff>
      <xdr:row>751</xdr:row>
      <xdr:rowOff>47539</xdr:rowOff>
    </xdr:to>
    <xdr:sp macro="" textlink="">
      <xdr:nvSpPr>
        <xdr:cNvPr id="19892" name="Text Box 436" hidden="1">
          <a:extLst>
            <a:ext uri="{FF2B5EF4-FFF2-40B4-BE49-F238E27FC236}">
              <a16:creationId xmlns:a16="http://schemas.microsoft.com/office/drawing/2014/main" id="{00000000-0008-0000-0100-0000B44D0000}"/>
            </a:ext>
          </a:extLst>
        </xdr:cNvPr>
        <xdr:cNvSpPr txBox="1">
          <a:spLocks noChangeArrowheads="1"/>
        </xdr:cNvSpPr>
      </xdr:nvSpPr>
      <xdr:spPr bwMode="auto">
        <a:xfrm>
          <a:off x="11134725" y="145789650"/>
          <a:ext cx="2743200" cy="39909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719</xdr:row>
      <xdr:rowOff>2248</xdr:rowOff>
    </xdr:from>
    <xdr:to>
      <xdr:col>14</xdr:col>
      <xdr:colOff>316284</xdr:colOff>
      <xdr:row>729</xdr:row>
      <xdr:rowOff>182</xdr:rowOff>
    </xdr:to>
    <xdr:sp macro="" textlink="">
      <xdr:nvSpPr>
        <xdr:cNvPr id="19893" name="Text Box 437" hidden="1">
          <a:extLst>
            <a:ext uri="{FF2B5EF4-FFF2-40B4-BE49-F238E27FC236}">
              <a16:creationId xmlns:a16="http://schemas.microsoft.com/office/drawing/2014/main" id="{00000000-0008-0000-0100-0000B54D0000}"/>
            </a:ext>
          </a:extLst>
        </xdr:cNvPr>
        <xdr:cNvSpPr txBox="1">
          <a:spLocks noChangeArrowheads="1"/>
        </xdr:cNvSpPr>
      </xdr:nvSpPr>
      <xdr:spPr bwMode="auto">
        <a:xfrm>
          <a:off x="6743700" y="143694150"/>
          <a:ext cx="1343025" cy="1866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278228</xdr:colOff>
      <xdr:row>735</xdr:row>
      <xdr:rowOff>2722</xdr:rowOff>
    </xdr:from>
    <xdr:to>
      <xdr:col>25</xdr:col>
      <xdr:colOff>370734</xdr:colOff>
      <xdr:row>751</xdr:row>
      <xdr:rowOff>47539</xdr:rowOff>
    </xdr:to>
    <xdr:sp macro="" textlink="">
      <xdr:nvSpPr>
        <xdr:cNvPr id="19894" name="Text Box 438" hidden="1">
          <a:extLst>
            <a:ext uri="{FF2B5EF4-FFF2-40B4-BE49-F238E27FC236}">
              <a16:creationId xmlns:a16="http://schemas.microsoft.com/office/drawing/2014/main" id="{00000000-0008-0000-0100-0000B64D0000}"/>
            </a:ext>
          </a:extLst>
        </xdr:cNvPr>
        <xdr:cNvSpPr txBox="1">
          <a:spLocks noChangeArrowheads="1"/>
        </xdr:cNvSpPr>
      </xdr:nvSpPr>
      <xdr:spPr bwMode="auto">
        <a:xfrm>
          <a:off x="11039475" y="146704050"/>
          <a:ext cx="2571750" cy="3076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727</xdr:row>
      <xdr:rowOff>136470</xdr:rowOff>
    </xdr:from>
    <xdr:to>
      <xdr:col>14</xdr:col>
      <xdr:colOff>316284</xdr:colOff>
      <xdr:row>727</xdr:row>
      <xdr:rowOff>136470</xdr:rowOff>
    </xdr:to>
    <xdr:sp macro="" textlink="">
      <xdr:nvSpPr>
        <xdr:cNvPr id="19895" name="Text Box 439" hidden="1">
          <a:extLst>
            <a:ext uri="{FF2B5EF4-FFF2-40B4-BE49-F238E27FC236}">
              <a16:creationId xmlns:a16="http://schemas.microsoft.com/office/drawing/2014/main" id="{00000000-0008-0000-0100-0000B74D0000}"/>
            </a:ext>
          </a:extLst>
        </xdr:cNvPr>
        <xdr:cNvSpPr txBox="1">
          <a:spLocks noChangeArrowheads="1"/>
        </xdr:cNvSpPr>
      </xdr:nvSpPr>
      <xdr:spPr bwMode="auto">
        <a:xfrm>
          <a:off x="6743700" y="145294350"/>
          <a:ext cx="134302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317553</xdr:colOff>
      <xdr:row>744</xdr:row>
      <xdr:rowOff>150263</xdr:rowOff>
    </xdr:from>
    <xdr:to>
      <xdr:col>25</xdr:col>
      <xdr:colOff>177218</xdr:colOff>
      <xdr:row>751</xdr:row>
      <xdr:rowOff>47539</xdr:rowOff>
    </xdr:to>
    <xdr:sp macro="" textlink="">
      <xdr:nvSpPr>
        <xdr:cNvPr id="19896" name="Text Box 440" hidden="1">
          <a:extLst>
            <a:ext uri="{FF2B5EF4-FFF2-40B4-BE49-F238E27FC236}">
              <a16:creationId xmlns:a16="http://schemas.microsoft.com/office/drawing/2014/main" id="{00000000-0008-0000-0100-0000B84D0000}"/>
            </a:ext>
          </a:extLst>
        </xdr:cNvPr>
        <xdr:cNvSpPr txBox="1">
          <a:spLocks noChangeArrowheads="1"/>
        </xdr:cNvSpPr>
      </xdr:nvSpPr>
      <xdr:spPr bwMode="auto">
        <a:xfrm>
          <a:off x="11106150" y="148551900"/>
          <a:ext cx="2324100" cy="1228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730</xdr:row>
      <xdr:rowOff>50438</xdr:rowOff>
    </xdr:from>
    <xdr:to>
      <xdr:col>14</xdr:col>
      <xdr:colOff>316284</xdr:colOff>
      <xdr:row>751</xdr:row>
      <xdr:rowOff>47539</xdr:rowOff>
    </xdr:to>
    <xdr:sp macro="" textlink="">
      <xdr:nvSpPr>
        <xdr:cNvPr id="19897" name="Text Box 441" hidden="1">
          <a:extLst>
            <a:ext uri="{FF2B5EF4-FFF2-40B4-BE49-F238E27FC236}">
              <a16:creationId xmlns:a16="http://schemas.microsoft.com/office/drawing/2014/main" id="{00000000-0008-0000-0100-0000B94D0000}"/>
            </a:ext>
          </a:extLst>
        </xdr:cNvPr>
        <xdr:cNvSpPr txBox="1">
          <a:spLocks noChangeArrowheads="1"/>
        </xdr:cNvSpPr>
      </xdr:nvSpPr>
      <xdr:spPr bwMode="auto">
        <a:xfrm>
          <a:off x="6743700" y="145789650"/>
          <a:ext cx="1343025" cy="39909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277548</xdr:colOff>
      <xdr:row>745</xdr:row>
      <xdr:rowOff>17397</xdr:rowOff>
    </xdr:from>
    <xdr:to>
      <xdr:col>25</xdr:col>
      <xdr:colOff>293899</xdr:colOff>
      <xdr:row>774</xdr:row>
      <xdr:rowOff>187097</xdr:rowOff>
    </xdr:to>
    <xdr:sp macro="" textlink="">
      <xdr:nvSpPr>
        <xdr:cNvPr id="19898" name="Text Box 442" hidden="1">
          <a:extLst>
            <a:ext uri="{FF2B5EF4-FFF2-40B4-BE49-F238E27FC236}">
              <a16:creationId xmlns:a16="http://schemas.microsoft.com/office/drawing/2014/main" id="{00000000-0008-0000-0100-0000BA4D0000}"/>
            </a:ext>
          </a:extLst>
        </xdr:cNvPr>
        <xdr:cNvSpPr txBox="1">
          <a:spLocks noChangeArrowheads="1"/>
        </xdr:cNvSpPr>
      </xdr:nvSpPr>
      <xdr:spPr bwMode="auto">
        <a:xfrm>
          <a:off x="11049000" y="148609050"/>
          <a:ext cx="2476500" cy="65532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18</xdr:col>
      <xdr:colOff>434868</xdr:colOff>
      <xdr:row>538</xdr:row>
      <xdr:rowOff>571319</xdr:rowOff>
    </xdr:from>
    <xdr:to>
      <xdr:col>20</xdr:col>
      <xdr:colOff>84084</xdr:colOff>
      <xdr:row>539</xdr:row>
      <xdr:rowOff>256631</xdr:rowOff>
    </xdr:to>
    <xdr:sp macro="" textlink="">
      <xdr:nvSpPr>
        <xdr:cNvPr id="19906" name="Text Box 450" hidden="1">
          <a:extLst>
            <a:ext uri="{FF2B5EF4-FFF2-40B4-BE49-F238E27FC236}">
              <a16:creationId xmlns:a16="http://schemas.microsoft.com/office/drawing/2014/main" id="{00000000-0008-0000-0100-0000C24D0000}"/>
            </a:ext>
          </a:extLst>
        </xdr:cNvPr>
        <xdr:cNvSpPr txBox="1">
          <a:spLocks noChangeArrowheads="1"/>
        </xdr:cNvSpPr>
      </xdr:nvSpPr>
      <xdr:spPr bwMode="auto">
        <a:xfrm>
          <a:off x="9877425" y="107851575"/>
          <a:ext cx="876300" cy="352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38100</xdr:colOff>
      <xdr:row>511</xdr:row>
      <xdr:rowOff>74044</xdr:rowOff>
    </xdr:from>
    <xdr:to>
      <xdr:col>7</xdr:col>
      <xdr:colOff>28787</xdr:colOff>
      <xdr:row>511</xdr:row>
      <xdr:rowOff>74044</xdr:rowOff>
    </xdr:to>
    <xdr:sp macro="" textlink="">
      <xdr:nvSpPr>
        <xdr:cNvPr id="19910" name="Text Box 454" hidden="1">
          <a:extLst>
            <a:ext uri="{FF2B5EF4-FFF2-40B4-BE49-F238E27FC236}">
              <a16:creationId xmlns:a16="http://schemas.microsoft.com/office/drawing/2014/main" id="{00000000-0008-0000-0100-0000C64D0000}"/>
            </a:ext>
          </a:extLst>
        </xdr:cNvPr>
        <xdr:cNvSpPr txBox="1">
          <a:spLocks noChangeArrowheads="1"/>
        </xdr:cNvSpPr>
      </xdr:nvSpPr>
      <xdr:spPr bwMode="auto">
        <a:xfrm>
          <a:off x="2238375" y="100965000"/>
          <a:ext cx="304800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288342</xdr:colOff>
      <xdr:row>615</xdr:row>
      <xdr:rowOff>86227</xdr:rowOff>
    </xdr:from>
    <xdr:to>
      <xdr:col>30</xdr:col>
      <xdr:colOff>559011</xdr:colOff>
      <xdr:row>646</xdr:row>
      <xdr:rowOff>43917</xdr:rowOff>
    </xdr:to>
    <xdr:sp macro="" textlink="">
      <xdr:nvSpPr>
        <xdr:cNvPr id="19945" name="Text Box 489" hidden="1">
          <a:extLst>
            <a:ext uri="{FF2B5EF4-FFF2-40B4-BE49-F238E27FC236}">
              <a16:creationId xmlns:a16="http://schemas.microsoft.com/office/drawing/2014/main" id="{00000000-0008-0000-0100-0000E94D0000}"/>
            </a:ext>
          </a:extLst>
        </xdr:cNvPr>
        <xdr:cNvSpPr txBox="1">
          <a:spLocks noChangeArrowheads="1"/>
        </xdr:cNvSpPr>
      </xdr:nvSpPr>
      <xdr:spPr bwMode="auto">
        <a:xfrm>
          <a:off x="15230475" y="123444000"/>
          <a:ext cx="1266825" cy="59055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457371</xdr:colOff>
      <xdr:row>104</xdr:row>
      <xdr:rowOff>148820</xdr:rowOff>
    </xdr:from>
    <xdr:to>
      <xdr:col>26</xdr:col>
      <xdr:colOff>655011</xdr:colOff>
      <xdr:row>107</xdr:row>
      <xdr:rowOff>17232</xdr:rowOff>
    </xdr:to>
    <xdr:sp macro="" textlink="">
      <xdr:nvSpPr>
        <xdr:cNvPr id="19965" name="Text Box 509" hidden="1">
          <a:extLst>
            <a:ext uri="{FF2B5EF4-FFF2-40B4-BE49-F238E27FC236}">
              <a16:creationId xmlns:a16="http://schemas.microsoft.com/office/drawing/2014/main" id="{00000000-0008-0000-0100-0000FD4D0000}"/>
            </a:ext>
          </a:extLst>
        </xdr:cNvPr>
        <xdr:cNvSpPr txBox="1">
          <a:spLocks noChangeArrowheads="1"/>
        </xdr:cNvSpPr>
      </xdr:nvSpPr>
      <xdr:spPr bwMode="auto">
        <a:xfrm>
          <a:off x="13696950" y="21345525"/>
          <a:ext cx="1009650" cy="4476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105</xdr:row>
      <xdr:rowOff>145234</xdr:rowOff>
    </xdr:from>
    <xdr:to>
      <xdr:col>16</xdr:col>
      <xdr:colOff>530066</xdr:colOff>
      <xdr:row>107</xdr:row>
      <xdr:rowOff>148820</xdr:rowOff>
    </xdr:to>
    <xdr:sp macro="" textlink="">
      <xdr:nvSpPr>
        <xdr:cNvPr id="19966" name="Text Box 510" hidden="1">
          <a:extLst>
            <a:ext uri="{FF2B5EF4-FFF2-40B4-BE49-F238E27FC236}">
              <a16:creationId xmlns:a16="http://schemas.microsoft.com/office/drawing/2014/main" id="{00000000-0008-0000-0100-0000FE4D0000}"/>
            </a:ext>
          </a:extLst>
        </xdr:cNvPr>
        <xdr:cNvSpPr txBox="1">
          <a:spLocks noChangeArrowheads="1"/>
        </xdr:cNvSpPr>
      </xdr:nvSpPr>
      <xdr:spPr bwMode="auto">
        <a:xfrm>
          <a:off x="6743700" y="21536025"/>
          <a:ext cx="22669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457371</xdr:colOff>
      <xdr:row>120</xdr:row>
      <xdr:rowOff>96115</xdr:rowOff>
    </xdr:from>
    <xdr:to>
      <xdr:col>26</xdr:col>
      <xdr:colOff>655011</xdr:colOff>
      <xdr:row>123</xdr:row>
      <xdr:rowOff>9531</xdr:rowOff>
    </xdr:to>
    <xdr:sp macro="" textlink="">
      <xdr:nvSpPr>
        <xdr:cNvPr id="19981" name="Text Box 525" hidden="1">
          <a:extLst>
            <a:ext uri="{FF2B5EF4-FFF2-40B4-BE49-F238E27FC236}">
              <a16:creationId xmlns:a16="http://schemas.microsoft.com/office/drawing/2014/main" id="{00000000-0008-0000-0100-00000D4E0000}"/>
            </a:ext>
          </a:extLst>
        </xdr:cNvPr>
        <xdr:cNvSpPr txBox="1">
          <a:spLocks noChangeArrowheads="1"/>
        </xdr:cNvSpPr>
      </xdr:nvSpPr>
      <xdr:spPr bwMode="auto">
        <a:xfrm>
          <a:off x="13696950" y="24345900"/>
          <a:ext cx="1009650" cy="4953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122</xdr:row>
      <xdr:rowOff>69364</xdr:rowOff>
    </xdr:from>
    <xdr:to>
      <xdr:col>16</xdr:col>
      <xdr:colOff>530066</xdr:colOff>
      <xdr:row>122</xdr:row>
      <xdr:rowOff>69364</xdr:rowOff>
    </xdr:to>
    <xdr:sp macro="" textlink="">
      <xdr:nvSpPr>
        <xdr:cNvPr id="19982" name="Text Box 526" hidden="1">
          <a:extLst>
            <a:ext uri="{FF2B5EF4-FFF2-40B4-BE49-F238E27FC236}">
              <a16:creationId xmlns:a16="http://schemas.microsoft.com/office/drawing/2014/main" id="{00000000-0008-0000-0100-00000E4E0000}"/>
            </a:ext>
          </a:extLst>
        </xdr:cNvPr>
        <xdr:cNvSpPr txBox="1">
          <a:spLocks noChangeArrowheads="1"/>
        </xdr:cNvSpPr>
      </xdr:nvSpPr>
      <xdr:spPr bwMode="auto">
        <a:xfrm>
          <a:off x="6743700" y="24717375"/>
          <a:ext cx="226695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18</xdr:col>
      <xdr:colOff>434868</xdr:colOff>
      <xdr:row>125</xdr:row>
      <xdr:rowOff>94765</xdr:rowOff>
    </xdr:from>
    <xdr:to>
      <xdr:col>24</xdr:col>
      <xdr:colOff>333851</xdr:colOff>
      <xdr:row>131</xdr:row>
      <xdr:rowOff>184455</xdr:rowOff>
    </xdr:to>
    <xdr:sp macro="" textlink="">
      <xdr:nvSpPr>
        <xdr:cNvPr id="19983" name="Text Box 527" hidden="1">
          <a:extLst>
            <a:ext uri="{FF2B5EF4-FFF2-40B4-BE49-F238E27FC236}">
              <a16:creationId xmlns:a16="http://schemas.microsoft.com/office/drawing/2014/main" id="{00000000-0008-0000-0100-00000F4E0000}"/>
            </a:ext>
          </a:extLst>
        </xdr:cNvPr>
        <xdr:cNvSpPr txBox="1">
          <a:spLocks noChangeArrowheads="1"/>
        </xdr:cNvSpPr>
      </xdr:nvSpPr>
      <xdr:spPr bwMode="auto">
        <a:xfrm>
          <a:off x="9877425" y="25307925"/>
          <a:ext cx="2552700" cy="1171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13</xdr:col>
      <xdr:colOff>143244</xdr:colOff>
      <xdr:row>128</xdr:row>
      <xdr:rowOff>150962</xdr:rowOff>
    </xdr:from>
    <xdr:to>
      <xdr:col>16</xdr:col>
      <xdr:colOff>360204</xdr:colOff>
      <xdr:row>132</xdr:row>
      <xdr:rowOff>940</xdr:rowOff>
    </xdr:to>
    <xdr:sp macro="" textlink="">
      <xdr:nvSpPr>
        <xdr:cNvPr id="20000" name="Text Box 544" hidden="1">
          <a:extLst>
            <a:ext uri="{FF2B5EF4-FFF2-40B4-BE49-F238E27FC236}">
              <a16:creationId xmlns:a16="http://schemas.microsoft.com/office/drawing/2014/main" id="{00000000-0008-0000-0100-0000204E0000}"/>
            </a:ext>
          </a:extLst>
        </xdr:cNvPr>
        <xdr:cNvSpPr txBox="1">
          <a:spLocks noChangeArrowheads="1"/>
        </xdr:cNvSpPr>
      </xdr:nvSpPr>
      <xdr:spPr bwMode="auto">
        <a:xfrm>
          <a:off x="7724775" y="25908000"/>
          <a:ext cx="1104900" cy="590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19</xdr:col>
      <xdr:colOff>532818</xdr:colOff>
      <xdr:row>145</xdr:row>
      <xdr:rowOff>163920</xdr:rowOff>
    </xdr:from>
    <xdr:to>
      <xdr:col>23</xdr:col>
      <xdr:colOff>132345</xdr:colOff>
      <xdr:row>148</xdr:row>
      <xdr:rowOff>35439</xdr:rowOff>
    </xdr:to>
    <xdr:sp macro="" textlink="">
      <xdr:nvSpPr>
        <xdr:cNvPr id="20003" name="Text Box 547" hidden="1">
          <a:extLst>
            <a:ext uri="{FF2B5EF4-FFF2-40B4-BE49-F238E27FC236}">
              <a16:creationId xmlns:a16="http://schemas.microsoft.com/office/drawing/2014/main" id="{00000000-0008-0000-0100-0000234E0000}"/>
            </a:ext>
          </a:extLst>
        </xdr:cNvPr>
        <xdr:cNvSpPr txBox="1">
          <a:spLocks noChangeArrowheads="1"/>
        </xdr:cNvSpPr>
      </xdr:nvSpPr>
      <xdr:spPr bwMode="auto">
        <a:xfrm>
          <a:off x="10591800" y="29251275"/>
          <a:ext cx="1200150" cy="4762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xdr:col>
      <xdr:colOff>354330</xdr:colOff>
      <xdr:row>724</xdr:row>
      <xdr:rowOff>83820</xdr:rowOff>
    </xdr:from>
    <xdr:to>
      <xdr:col>5</xdr:col>
      <xdr:colOff>802005</xdr:colOff>
      <xdr:row>739</xdr:row>
      <xdr:rowOff>64770</xdr:rowOff>
    </xdr:to>
    <xdr:pic>
      <xdr:nvPicPr>
        <xdr:cNvPr id="430857" name="Picture 80649">
          <a:extLst>
            <a:ext uri="{FF2B5EF4-FFF2-40B4-BE49-F238E27FC236}">
              <a16:creationId xmlns:a16="http://schemas.microsoft.com/office/drawing/2014/main" id="{00000000-0008-0000-0100-0000099306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122170" y="110459520"/>
          <a:ext cx="2116455" cy="2838450"/>
        </a:xfrm>
        <a:prstGeom prst="rect">
          <a:avLst/>
        </a:prstGeom>
        <a:noFill/>
        <a:ln w="1">
          <a:noFill/>
          <a:miter lim="800000"/>
          <a:headEnd/>
          <a:tailEnd type="none" w="med" len="med"/>
        </a:ln>
        <a:effectLst/>
      </xdr:spPr>
    </xdr:pic>
    <xdr:clientData/>
  </xdr:twoCellAnchor>
  <xdr:twoCellAnchor>
    <xdr:from>
      <xdr:col>2</xdr:col>
      <xdr:colOff>238125</xdr:colOff>
      <xdr:row>581</xdr:row>
      <xdr:rowOff>123825</xdr:rowOff>
    </xdr:from>
    <xdr:to>
      <xdr:col>6</xdr:col>
      <xdr:colOff>438150</xdr:colOff>
      <xdr:row>593</xdr:row>
      <xdr:rowOff>9525</xdr:rowOff>
    </xdr:to>
    <xdr:pic>
      <xdr:nvPicPr>
        <xdr:cNvPr id="430858" name="Picture 80650">
          <a:extLst>
            <a:ext uri="{FF2B5EF4-FFF2-40B4-BE49-F238E27FC236}">
              <a16:creationId xmlns:a16="http://schemas.microsoft.com/office/drawing/2014/main" id="{00000000-0008-0000-0100-00000A9306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009775" y="80048100"/>
          <a:ext cx="2800350" cy="2171700"/>
        </a:xfrm>
        <a:prstGeom prst="rect">
          <a:avLst/>
        </a:prstGeom>
        <a:noFill/>
        <a:ln w="1">
          <a:noFill/>
          <a:miter lim="800000"/>
          <a:headEnd/>
          <a:tailEnd type="none" w="med" len="med"/>
        </a:ln>
        <a:effectLst/>
      </xdr:spPr>
    </xdr:pic>
    <xdr:clientData/>
  </xdr:twoCellAnchor>
  <xdr:twoCellAnchor>
    <xdr:from>
      <xdr:col>2</xdr:col>
      <xdr:colOff>183515</xdr:colOff>
      <xdr:row>555</xdr:row>
      <xdr:rowOff>175260</xdr:rowOff>
    </xdr:from>
    <xdr:to>
      <xdr:col>6</xdr:col>
      <xdr:colOff>440690</xdr:colOff>
      <xdr:row>580</xdr:row>
      <xdr:rowOff>103961</xdr:rowOff>
    </xdr:to>
    <xdr:pic>
      <xdr:nvPicPr>
        <xdr:cNvPr id="430859" name="Picture 80651">
          <a:extLst>
            <a:ext uri="{FF2B5EF4-FFF2-40B4-BE49-F238E27FC236}">
              <a16:creationId xmlns:a16="http://schemas.microsoft.com/office/drawing/2014/main" id="{00000000-0008-0000-0100-00000B9306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1951355" y="102831900"/>
          <a:ext cx="2847975" cy="4675961"/>
        </a:xfrm>
        <a:prstGeom prst="rect">
          <a:avLst/>
        </a:prstGeom>
        <a:noFill/>
        <a:ln w="1">
          <a:noFill/>
          <a:miter lim="800000"/>
          <a:headEnd/>
          <a:tailEnd type="none" w="med" len="med"/>
        </a:ln>
        <a:effectLst/>
      </xdr:spPr>
    </xdr:pic>
    <xdr:clientData/>
  </xdr:twoCellAnchor>
  <xdr:twoCellAnchor>
    <xdr:from>
      <xdr:col>5</xdr:col>
      <xdr:colOff>790576</xdr:colOff>
      <xdr:row>745</xdr:row>
      <xdr:rowOff>76201</xdr:rowOff>
    </xdr:from>
    <xdr:to>
      <xdr:col>6</xdr:col>
      <xdr:colOff>531759</xdr:colOff>
      <xdr:row>749</xdr:row>
      <xdr:rowOff>171451</xdr:rowOff>
    </xdr:to>
    <xdr:pic>
      <xdr:nvPicPr>
        <xdr:cNvPr id="430864" name="Picture 80656">
          <a:extLst>
            <a:ext uri="{FF2B5EF4-FFF2-40B4-BE49-F238E27FC236}">
              <a16:creationId xmlns:a16="http://schemas.microsoft.com/office/drawing/2014/main" id="{00000000-0008-0000-0100-0000109306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4238626" y="111842551"/>
          <a:ext cx="665108" cy="857250"/>
        </a:xfrm>
        <a:prstGeom prst="rect">
          <a:avLst/>
        </a:prstGeom>
        <a:noFill/>
        <a:ln w="1">
          <a:noFill/>
          <a:miter lim="800000"/>
          <a:headEnd/>
          <a:tailEnd type="none" w="med" len="med"/>
        </a:ln>
        <a:effectLst/>
      </xdr:spPr>
    </xdr:pic>
    <xdr:clientData/>
  </xdr:twoCellAnchor>
  <xdr:twoCellAnchor>
    <xdr:from>
      <xdr:col>5</xdr:col>
      <xdr:colOff>800101</xdr:colOff>
      <xdr:row>752</xdr:row>
      <xdr:rowOff>38100</xdr:rowOff>
    </xdr:from>
    <xdr:to>
      <xdr:col>6</xdr:col>
      <xdr:colOff>667484</xdr:colOff>
      <xdr:row>758</xdr:row>
      <xdr:rowOff>114300</xdr:rowOff>
    </xdr:to>
    <xdr:pic>
      <xdr:nvPicPr>
        <xdr:cNvPr id="430865" name="Picture 80657">
          <a:extLst>
            <a:ext uri="{FF2B5EF4-FFF2-40B4-BE49-F238E27FC236}">
              <a16:creationId xmlns:a16="http://schemas.microsoft.com/office/drawing/2014/main" id="{00000000-0008-0000-0100-0000119306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4248151" y="113137950"/>
          <a:ext cx="791308" cy="1219200"/>
        </a:xfrm>
        <a:prstGeom prst="rect">
          <a:avLst/>
        </a:prstGeom>
        <a:noFill/>
        <a:ln w="1">
          <a:noFill/>
          <a:miter lim="800000"/>
          <a:headEnd/>
          <a:tailEnd type="none" w="med" len="med"/>
        </a:ln>
        <a:effectLst/>
      </xdr:spPr>
    </xdr:pic>
    <xdr:clientData/>
  </xdr:twoCellAnchor>
  <xdr:twoCellAnchor>
    <xdr:from>
      <xdr:col>1</xdr:col>
      <xdr:colOff>281940</xdr:colOff>
      <xdr:row>918</xdr:row>
      <xdr:rowOff>179071</xdr:rowOff>
    </xdr:from>
    <xdr:to>
      <xdr:col>2</xdr:col>
      <xdr:colOff>408692</xdr:colOff>
      <xdr:row>921</xdr:row>
      <xdr:rowOff>64770</xdr:rowOff>
    </xdr:to>
    <xdr:pic>
      <xdr:nvPicPr>
        <xdr:cNvPr id="2" name="Picture 80649">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1470660" y="141933931"/>
          <a:ext cx="705872" cy="457199"/>
        </a:xfrm>
        <a:prstGeom prst="rect">
          <a:avLst/>
        </a:prstGeom>
        <a:noFill/>
        <a:ln w="1">
          <a:noFill/>
          <a:miter lim="800000"/>
          <a:headEnd/>
          <a:tailEnd type="none" w="med" len="med"/>
        </a:ln>
        <a:effectLst/>
      </xdr:spPr>
    </xdr:pic>
    <xdr:clientData/>
  </xdr:twoCellAnchor>
  <xdr:twoCellAnchor>
    <xdr:from>
      <xdr:col>2</xdr:col>
      <xdr:colOff>1</xdr:colOff>
      <xdr:row>986</xdr:row>
      <xdr:rowOff>1</xdr:rowOff>
    </xdr:from>
    <xdr:to>
      <xdr:col>4</xdr:col>
      <xdr:colOff>266700</xdr:colOff>
      <xdr:row>989</xdr:row>
      <xdr:rowOff>137233</xdr:rowOff>
    </xdr:to>
    <xdr:pic>
      <xdr:nvPicPr>
        <xdr:cNvPr id="3" name="Picture 80650">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1771651" y="149561551"/>
          <a:ext cx="1123949" cy="708732"/>
        </a:xfrm>
        <a:prstGeom prst="rect">
          <a:avLst/>
        </a:prstGeom>
        <a:noFill/>
        <a:ln w="1">
          <a:noFill/>
          <a:miter lim="800000"/>
          <a:headEnd/>
          <a:tailEnd type="none" w="med" len="med"/>
        </a:ln>
        <a:effectLst/>
      </xdr:spPr>
    </xdr:pic>
    <xdr:clientData/>
  </xdr:twoCellAnchor>
  <xdr:twoCellAnchor>
    <xdr:from>
      <xdr:col>4</xdr:col>
      <xdr:colOff>781050</xdr:colOff>
      <xdr:row>985</xdr:row>
      <xdr:rowOff>171450</xdr:rowOff>
    </xdr:from>
    <xdr:to>
      <xdr:col>6</xdr:col>
      <xdr:colOff>38100</xdr:colOff>
      <xdr:row>989</xdr:row>
      <xdr:rowOff>136813</xdr:rowOff>
    </xdr:to>
    <xdr:pic>
      <xdr:nvPicPr>
        <xdr:cNvPr id="4" name="Picture 8065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3409950" y="149542500"/>
          <a:ext cx="1000125" cy="727363"/>
        </a:xfrm>
        <a:prstGeom prst="rect">
          <a:avLst/>
        </a:prstGeom>
        <a:noFill/>
        <a:ln w="1">
          <a:noFill/>
          <a:miter lim="800000"/>
          <a:headEnd/>
          <a:tailEnd type="none" w="med" len="med"/>
        </a:ln>
        <a:effectLst/>
      </xdr:spPr>
    </xdr:pic>
    <xdr:clientData/>
  </xdr:twoCellAnchor>
  <xdr:twoCellAnchor>
    <xdr:from>
      <xdr:col>2</xdr:col>
      <xdr:colOff>339090</xdr:colOff>
      <xdr:row>991</xdr:row>
      <xdr:rowOff>169545</xdr:rowOff>
    </xdr:from>
    <xdr:to>
      <xdr:col>4</xdr:col>
      <xdr:colOff>624840</xdr:colOff>
      <xdr:row>993</xdr:row>
      <xdr:rowOff>121920</xdr:rowOff>
    </xdr:to>
    <xdr:pic>
      <xdr:nvPicPr>
        <xdr:cNvPr id="430860" name="Picture 80652">
          <a:extLst>
            <a:ext uri="{FF2B5EF4-FFF2-40B4-BE49-F238E27FC236}">
              <a16:creationId xmlns:a16="http://schemas.microsoft.com/office/drawing/2014/main" id="{00000000-0008-0000-0100-00000C9306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106930" y="184436385"/>
          <a:ext cx="1139190" cy="333375"/>
        </a:xfrm>
        <a:prstGeom prst="rect">
          <a:avLst/>
        </a:prstGeom>
        <a:noFill/>
        <a:ln w="1">
          <a:noFill/>
          <a:miter lim="800000"/>
          <a:headEnd/>
          <a:tailEnd type="none" w="med" len="med"/>
        </a:ln>
        <a:effectLst/>
      </xdr:spPr>
    </xdr:pic>
    <xdr:clientData/>
  </xdr:twoCellAnchor>
  <xdr:twoCellAnchor>
    <xdr:from>
      <xdr:col>2</xdr:col>
      <xdr:colOff>266700</xdr:colOff>
      <xdr:row>1005</xdr:row>
      <xdr:rowOff>114300</xdr:rowOff>
    </xdr:from>
    <xdr:to>
      <xdr:col>4</xdr:col>
      <xdr:colOff>552450</xdr:colOff>
      <xdr:row>1007</xdr:row>
      <xdr:rowOff>114300</xdr:rowOff>
    </xdr:to>
    <xdr:pic>
      <xdr:nvPicPr>
        <xdr:cNvPr id="221" name="Picture 80652">
          <a:extLst>
            <a:ext uri="{FF2B5EF4-FFF2-40B4-BE49-F238E27FC236}">
              <a16:creationId xmlns:a16="http://schemas.microsoft.com/office/drawing/2014/main" id="{00000000-0008-0000-0100-0000D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038350" y="152914350"/>
          <a:ext cx="1143000" cy="381000"/>
        </a:xfrm>
        <a:prstGeom prst="rect">
          <a:avLst/>
        </a:prstGeom>
        <a:noFill/>
        <a:ln w="1">
          <a:noFill/>
          <a:miter lim="800000"/>
          <a:headEnd/>
          <a:tailEnd type="none" w="med" len="med"/>
        </a:ln>
        <a:effectLst/>
      </xdr:spPr>
    </xdr:pic>
    <xdr:clientData/>
  </xdr:twoCellAnchor>
  <xdr:twoCellAnchor>
    <xdr:from>
      <xdr:col>2</xdr:col>
      <xdr:colOff>325755</xdr:colOff>
      <xdr:row>996</xdr:row>
      <xdr:rowOff>171450</xdr:rowOff>
    </xdr:from>
    <xdr:to>
      <xdr:col>4</xdr:col>
      <xdr:colOff>278130</xdr:colOff>
      <xdr:row>998</xdr:row>
      <xdr:rowOff>161925</xdr:rowOff>
    </xdr:to>
    <xdr:pic>
      <xdr:nvPicPr>
        <xdr:cNvPr id="5" name="Picture 80653">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2093595" y="185200290"/>
          <a:ext cx="805815" cy="371475"/>
        </a:xfrm>
        <a:prstGeom prst="rect">
          <a:avLst/>
        </a:prstGeom>
        <a:noFill/>
        <a:ln w="1">
          <a:noFill/>
          <a:miter lim="800000"/>
          <a:headEnd/>
          <a:tailEnd type="none" w="med" len="med"/>
        </a:ln>
        <a:effectLst/>
      </xdr:spPr>
    </xdr:pic>
    <xdr:clientData/>
  </xdr:twoCellAnchor>
  <xdr:twoCellAnchor>
    <xdr:from>
      <xdr:col>5</xdr:col>
      <xdr:colOff>396126</xdr:colOff>
      <xdr:row>1000</xdr:row>
      <xdr:rowOff>80011</xdr:rowOff>
    </xdr:from>
    <xdr:to>
      <xdr:col>6</xdr:col>
      <xdr:colOff>501016</xdr:colOff>
      <xdr:row>1003</xdr:row>
      <xdr:rowOff>150553</xdr:rowOff>
    </xdr:to>
    <xdr:pic>
      <xdr:nvPicPr>
        <xdr:cNvPr id="6" name="Picture 80654">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3832746" y="185680351"/>
          <a:ext cx="1072630" cy="642042"/>
        </a:xfrm>
        <a:prstGeom prst="rect">
          <a:avLst/>
        </a:prstGeom>
        <a:noFill/>
        <a:ln w="1">
          <a:noFill/>
          <a:miter lim="800000"/>
          <a:headEnd/>
          <a:tailEnd type="none" w="med" len="med"/>
        </a:ln>
        <a:effectLst/>
      </xdr:spPr>
    </xdr:pic>
    <xdr:clientData/>
  </xdr:twoCellAnchor>
  <xdr:twoCellAnchor>
    <xdr:from>
      <xdr:col>2</xdr:col>
      <xdr:colOff>152400</xdr:colOff>
      <xdr:row>181</xdr:row>
      <xdr:rowOff>76200</xdr:rowOff>
    </xdr:from>
    <xdr:to>
      <xdr:col>4</xdr:col>
      <xdr:colOff>438150</xdr:colOff>
      <xdr:row>183</xdr:row>
      <xdr:rowOff>68580</xdr:rowOff>
    </xdr:to>
    <xdr:pic>
      <xdr:nvPicPr>
        <xdr:cNvPr id="219" name="Picture 80652">
          <a:extLst>
            <a:ext uri="{FF2B5EF4-FFF2-40B4-BE49-F238E27FC236}">
              <a16:creationId xmlns:a16="http://schemas.microsoft.com/office/drawing/2014/main" id="{00000000-0008-0000-0100-0000DB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1924050" y="22383750"/>
          <a:ext cx="1143000" cy="381000"/>
        </a:xfrm>
        <a:prstGeom prst="rect">
          <a:avLst/>
        </a:prstGeom>
        <a:noFill/>
        <a:ln w="1">
          <a:noFill/>
          <a:miter lim="800000"/>
          <a:headEnd/>
          <a:tailEnd type="none" w="med" len="med"/>
        </a:ln>
        <a:effectLst/>
      </xdr:spPr>
    </xdr:pic>
    <xdr:clientData/>
  </xdr:twoCellAnchor>
  <xdr:twoCellAnchor>
    <xdr:from>
      <xdr:col>2</xdr:col>
      <xdr:colOff>19050</xdr:colOff>
      <xdr:row>507</xdr:row>
      <xdr:rowOff>104775</xdr:rowOff>
    </xdr:from>
    <xdr:to>
      <xdr:col>3</xdr:col>
      <xdr:colOff>371475</xdr:colOff>
      <xdr:row>509</xdr:row>
      <xdr:rowOff>76200</xdr:rowOff>
    </xdr:to>
    <xdr:pic>
      <xdr:nvPicPr>
        <xdr:cNvPr id="430856" name="Picture 80648">
          <a:extLst>
            <a:ext uri="{FF2B5EF4-FFF2-40B4-BE49-F238E27FC236}">
              <a16:creationId xmlns:a16="http://schemas.microsoft.com/office/drawing/2014/main" id="{00000000-0008-0000-0100-0000089306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790700" y="69551550"/>
          <a:ext cx="781050" cy="352425"/>
        </a:xfrm>
        <a:prstGeom prst="rect">
          <a:avLst/>
        </a:prstGeom>
        <a:noFill/>
        <a:ln w="1">
          <a:noFill/>
          <a:miter lim="800000"/>
          <a:headEnd/>
          <a:tailEnd type="none" w="med" len="med"/>
        </a:ln>
        <a:effectLst/>
      </xdr:spPr>
    </xdr:pic>
    <xdr:clientData/>
  </xdr:twoCellAnchor>
  <xdr:twoCellAnchor>
    <xdr:from>
      <xdr:col>23</xdr:col>
      <xdr:colOff>158115</xdr:colOff>
      <xdr:row>1211</xdr:row>
      <xdr:rowOff>184785</xdr:rowOff>
    </xdr:from>
    <xdr:to>
      <xdr:col>28</xdr:col>
      <xdr:colOff>361950</xdr:colOff>
      <xdr:row>1215</xdr:row>
      <xdr:rowOff>55245</xdr:rowOff>
    </xdr:to>
    <xdr:sp macro="" textlink="">
      <xdr:nvSpPr>
        <xdr:cNvPr id="222" name="TextBox 221">
          <a:extLst>
            <a:ext uri="{FF2B5EF4-FFF2-40B4-BE49-F238E27FC236}">
              <a16:creationId xmlns:a16="http://schemas.microsoft.com/office/drawing/2014/main" id="{00000000-0008-0000-0100-0000DE000000}"/>
            </a:ext>
          </a:extLst>
        </xdr:cNvPr>
        <xdr:cNvSpPr txBox="1"/>
      </xdr:nvSpPr>
      <xdr:spPr>
        <a:xfrm>
          <a:off x="11138535" y="224266125"/>
          <a:ext cx="187261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SS if &lt; 80 UI AND &lt;= 12 sq ft</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DS if &lt; 115 UI AND &lt;= 22 sq ft</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5 mm if &lt;= 35 sq ft</a:t>
          </a:r>
          <a:endParaRPr lang="en-US"/>
        </a:p>
        <a:p>
          <a:endParaRPr lang="en-US" sz="1100"/>
        </a:p>
      </xdr:txBody>
    </xdr:sp>
    <xdr:clientData/>
  </xdr:twoCellAnchor>
  <xdr:twoCellAnchor>
    <xdr:from>
      <xdr:col>28</xdr:col>
      <xdr:colOff>219075</xdr:colOff>
      <xdr:row>276</xdr:row>
      <xdr:rowOff>28574</xdr:rowOff>
    </xdr:from>
    <xdr:to>
      <xdr:col>33</xdr:col>
      <xdr:colOff>533400</xdr:colOff>
      <xdr:row>278</xdr:row>
      <xdr:rowOff>95250</xdr:rowOff>
    </xdr:to>
    <xdr:sp macro="" textlink="">
      <xdr:nvSpPr>
        <xdr:cNvPr id="223" name="TextBox 222">
          <a:extLst>
            <a:ext uri="{FF2B5EF4-FFF2-40B4-BE49-F238E27FC236}">
              <a16:creationId xmlns:a16="http://schemas.microsoft.com/office/drawing/2014/main" id="{00000000-0008-0000-0100-0000DF000000}"/>
            </a:ext>
          </a:extLst>
        </xdr:cNvPr>
        <xdr:cNvSpPr txBox="1"/>
      </xdr:nvSpPr>
      <xdr:spPr>
        <a:xfrm>
          <a:off x="12725400" y="31613474"/>
          <a:ext cx="2819400" cy="447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1.024 sq in</a:t>
          </a:r>
          <a:r>
            <a:rPr lang="en-US" sz="1000" baseline="0">
              <a:solidFill>
                <a:srgbClr val="FF0000"/>
              </a:solidFill>
            </a:rPr>
            <a:t> (profile area) </a:t>
          </a:r>
          <a:r>
            <a:rPr lang="en-US" sz="1000">
              <a:solidFill>
                <a:srgbClr val="FF0000"/>
              </a:solidFill>
            </a:rPr>
            <a:t>should</a:t>
          </a:r>
          <a:r>
            <a:rPr lang="en-US" sz="1000" baseline="0">
              <a:solidFill>
                <a:srgbClr val="FF0000"/>
              </a:solidFill>
            </a:rPr>
            <a:t> NOT be used</a:t>
          </a:r>
        </a:p>
        <a:p>
          <a:r>
            <a:rPr lang="en-US" sz="1000" baseline="0">
              <a:solidFill>
                <a:srgbClr val="FF0000"/>
              </a:solidFill>
            </a:rPr>
            <a:t>$0.5541 &amp; $0.6014 &amp; $0.6666 should not be  used.</a:t>
          </a:r>
          <a:endParaRPr lang="en-US" sz="1000">
            <a:solidFill>
              <a:srgbClr val="FF0000"/>
            </a:solidFill>
          </a:endParaRPr>
        </a:p>
      </xdr:txBody>
    </xdr:sp>
    <xdr:clientData/>
  </xdr:twoCellAnchor>
  <xdr:twoCellAnchor>
    <xdr:from>
      <xdr:col>35</xdr:col>
      <xdr:colOff>142876</xdr:colOff>
      <xdr:row>275</xdr:row>
      <xdr:rowOff>28574</xdr:rowOff>
    </xdr:from>
    <xdr:to>
      <xdr:col>37</xdr:col>
      <xdr:colOff>781050</xdr:colOff>
      <xdr:row>278</xdr:row>
      <xdr:rowOff>171450</xdr:rowOff>
    </xdr:to>
    <xdr:sp macro="" textlink="">
      <xdr:nvSpPr>
        <xdr:cNvPr id="224" name="TextBox 223">
          <a:extLst>
            <a:ext uri="{FF2B5EF4-FFF2-40B4-BE49-F238E27FC236}">
              <a16:creationId xmlns:a16="http://schemas.microsoft.com/office/drawing/2014/main" id="{00000000-0008-0000-0100-0000E0000000}"/>
            </a:ext>
          </a:extLst>
        </xdr:cNvPr>
        <xdr:cNvSpPr txBox="1"/>
      </xdr:nvSpPr>
      <xdr:spPr>
        <a:xfrm>
          <a:off x="16506826" y="31422974"/>
          <a:ext cx="2314574"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non-J</a:t>
          </a:r>
          <a:r>
            <a:rPr lang="en-US" sz="1000" baseline="0">
              <a:solidFill>
                <a:srgbClr val="FF0000"/>
              </a:solidFill>
            </a:rPr>
            <a:t> is extruded with the J-leg and then the J-leg is cut off in line at L.T., so the cost is the same as with J, so the cost should not be cheaper.</a:t>
          </a:r>
          <a:endParaRPr lang="en-US" sz="1000">
            <a:solidFill>
              <a:srgbClr val="FF0000"/>
            </a:solidFill>
          </a:endParaRPr>
        </a:p>
      </xdr:txBody>
    </xdr:sp>
    <xdr:clientData/>
  </xdr:twoCellAnchor>
  <xdr:twoCellAnchor>
    <xdr:from>
      <xdr:col>28</xdr:col>
      <xdr:colOff>209551</xdr:colOff>
      <xdr:row>331</xdr:row>
      <xdr:rowOff>66675</xdr:rowOff>
    </xdr:from>
    <xdr:to>
      <xdr:col>33</xdr:col>
      <xdr:colOff>523876</xdr:colOff>
      <xdr:row>333</xdr:row>
      <xdr:rowOff>76200</xdr:rowOff>
    </xdr:to>
    <xdr:sp macro="" textlink="">
      <xdr:nvSpPr>
        <xdr:cNvPr id="225" name="TextBox 224">
          <a:extLst>
            <a:ext uri="{FF2B5EF4-FFF2-40B4-BE49-F238E27FC236}">
              <a16:creationId xmlns:a16="http://schemas.microsoft.com/office/drawing/2014/main" id="{00000000-0008-0000-0100-0000E1000000}"/>
            </a:ext>
          </a:extLst>
        </xdr:cNvPr>
        <xdr:cNvSpPr txBox="1"/>
      </xdr:nvSpPr>
      <xdr:spPr>
        <a:xfrm>
          <a:off x="12715876" y="36795075"/>
          <a:ext cx="2819400"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a:solidFill>
                <a:srgbClr val="FF0000"/>
              </a:solidFill>
              <a:latin typeface="+mn-lt"/>
              <a:ea typeface="+mn-ea"/>
              <a:cs typeface="+mn-cs"/>
            </a:rPr>
            <a:t>.918</a:t>
          </a:r>
          <a:r>
            <a:rPr lang="en-US" sz="1000" baseline="0">
              <a:solidFill>
                <a:srgbClr val="FF0000"/>
              </a:solidFill>
              <a:latin typeface="+mn-lt"/>
              <a:ea typeface="+mn-ea"/>
              <a:cs typeface="+mn-cs"/>
            </a:rPr>
            <a:t> </a:t>
          </a:r>
          <a:r>
            <a:rPr lang="en-US" sz="1000">
              <a:solidFill>
                <a:srgbClr val="FF0000"/>
              </a:solidFill>
              <a:latin typeface="+mn-lt"/>
              <a:ea typeface="+mn-ea"/>
              <a:cs typeface="+mn-cs"/>
            </a:rPr>
            <a:t>sq in (profile area)</a:t>
          </a:r>
          <a:r>
            <a:rPr lang="en-US" sz="1000" baseline="0">
              <a:solidFill>
                <a:srgbClr val="FF0000"/>
              </a:solidFill>
              <a:latin typeface="+mn-lt"/>
              <a:ea typeface="+mn-ea"/>
              <a:cs typeface="+mn-cs"/>
            </a:rPr>
            <a:t> </a:t>
          </a:r>
          <a:r>
            <a:rPr lang="en-US" sz="1000">
              <a:solidFill>
                <a:srgbClr val="FF0000"/>
              </a:solidFill>
              <a:latin typeface="+mn-lt"/>
              <a:ea typeface="+mn-ea"/>
              <a:cs typeface="+mn-cs"/>
            </a:rPr>
            <a:t>should</a:t>
          </a:r>
          <a:r>
            <a:rPr lang="en-US" sz="1000" baseline="0">
              <a:solidFill>
                <a:srgbClr val="FF0000"/>
              </a:solidFill>
              <a:latin typeface="+mn-lt"/>
              <a:ea typeface="+mn-ea"/>
              <a:cs typeface="+mn-cs"/>
            </a:rPr>
            <a:t> NOT be used. $0.5063 &amp; $0.5486 &amp; $0.6071 should not be used.</a:t>
          </a:r>
          <a:endParaRPr lang="en-US" sz="1000">
            <a:solidFill>
              <a:srgbClr val="FF0000"/>
            </a:solidFill>
          </a:endParaRPr>
        </a:p>
      </xdr:txBody>
    </xdr:sp>
    <xdr:clientData/>
  </xdr:twoCellAnchor>
  <xdr:twoCellAnchor>
    <xdr:from>
      <xdr:col>35</xdr:col>
      <xdr:colOff>123824</xdr:colOff>
      <xdr:row>330</xdr:row>
      <xdr:rowOff>32970</xdr:rowOff>
    </xdr:from>
    <xdr:to>
      <xdr:col>37</xdr:col>
      <xdr:colOff>600807</xdr:colOff>
      <xdr:row>333</xdr:row>
      <xdr:rowOff>179872</xdr:rowOff>
    </xdr:to>
    <xdr:sp macro="" textlink="">
      <xdr:nvSpPr>
        <xdr:cNvPr id="226" name="TextBox 225">
          <a:extLst>
            <a:ext uri="{FF2B5EF4-FFF2-40B4-BE49-F238E27FC236}">
              <a16:creationId xmlns:a16="http://schemas.microsoft.com/office/drawing/2014/main" id="{00000000-0008-0000-0100-0000E2000000}"/>
            </a:ext>
          </a:extLst>
        </xdr:cNvPr>
        <xdr:cNvSpPr txBox="1"/>
      </xdr:nvSpPr>
      <xdr:spPr>
        <a:xfrm>
          <a:off x="16487774" y="36570870"/>
          <a:ext cx="2153383" cy="718402"/>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rgbClr val="FF0000"/>
              </a:solidFill>
              <a:latin typeface="+mn-lt"/>
              <a:ea typeface="+mn-ea"/>
              <a:cs typeface="+mn-cs"/>
            </a:rPr>
            <a:t>R &amp;R is extruded with the J-leg and Nailfin then both are cut off in line at L.T., so the cost is the same as with J, so the cost should not be cheaper.</a:t>
          </a:r>
          <a:endParaRPr lang="en-US" sz="1100"/>
        </a:p>
      </xdr:txBody>
    </xdr:sp>
    <xdr:clientData/>
  </xdr:twoCellAnchor>
  <xdr:twoCellAnchor>
    <xdr:from>
      <xdr:col>9</xdr:col>
      <xdr:colOff>142876</xdr:colOff>
      <xdr:row>918</xdr:row>
      <xdr:rowOff>142876</xdr:rowOff>
    </xdr:from>
    <xdr:to>
      <xdr:col>14</xdr:col>
      <xdr:colOff>7620</xdr:colOff>
      <xdr:row>920</xdr:row>
      <xdr:rowOff>22860</xdr:rowOff>
    </xdr:to>
    <xdr:sp macro="" textlink="">
      <xdr:nvSpPr>
        <xdr:cNvPr id="230" name="TextBox 229">
          <a:extLst>
            <a:ext uri="{FF2B5EF4-FFF2-40B4-BE49-F238E27FC236}">
              <a16:creationId xmlns:a16="http://schemas.microsoft.com/office/drawing/2014/main" id="{00000000-0008-0000-0100-0000E6000000}"/>
            </a:ext>
          </a:extLst>
        </xdr:cNvPr>
        <xdr:cNvSpPr txBox="1"/>
      </xdr:nvSpPr>
      <xdr:spPr>
        <a:xfrm>
          <a:off x="5667376" y="141897736"/>
          <a:ext cx="1464944" cy="260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Part is 42.8125</a:t>
          </a:r>
          <a:r>
            <a:rPr lang="en-US" sz="1100" baseline="0"/>
            <a:t>" long</a:t>
          </a:r>
          <a:endParaRPr lang="en-US" sz="1100"/>
        </a:p>
      </xdr:txBody>
    </xdr:sp>
    <xdr:clientData/>
  </xdr:twoCellAnchor>
  <xdr:twoCellAnchor>
    <xdr:from>
      <xdr:col>1</xdr:col>
      <xdr:colOff>219075</xdr:colOff>
      <xdr:row>861</xdr:row>
      <xdr:rowOff>171450</xdr:rowOff>
    </xdr:from>
    <xdr:to>
      <xdr:col>2</xdr:col>
      <xdr:colOff>228600</xdr:colOff>
      <xdr:row>864</xdr:row>
      <xdr:rowOff>142875</xdr:rowOff>
    </xdr:to>
    <xdr:pic>
      <xdr:nvPicPr>
        <xdr:cNvPr id="8" name="Picture 80656">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1409700" y="130454400"/>
          <a:ext cx="590550" cy="542925"/>
        </a:xfrm>
        <a:prstGeom prst="rect">
          <a:avLst/>
        </a:prstGeom>
        <a:noFill/>
        <a:ln w="1">
          <a:noFill/>
          <a:miter lim="800000"/>
          <a:headEnd/>
          <a:tailEnd type="none" w="med" len="med"/>
        </a:ln>
        <a:effectLst/>
      </xdr:spPr>
    </xdr:pic>
    <xdr:clientData/>
  </xdr:twoCellAnchor>
  <xdr:twoCellAnchor>
    <xdr:from>
      <xdr:col>5</xdr:col>
      <xdr:colOff>598715</xdr:colOff>
      <xdr:row>542</xdr:row>
      <xdr:rowOff>148999</xdr:rowOff>
    </xdr:from>
    <xdr:to>
      <xdr:col>6</xdr:col>
      <xdr:colOff>397329</xdr:colOff>
      <xdr:row>542</xdr:row>
      <xdr:rowOff>784372</xdr:rowOff>
    </xdr:to>
    <xdr:pic>
      <xdr:nvPicPr>
        <xdr:cNvPr id="9" name="Picture 80657">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rot="5400000">
          <a:off x="4093750" y="110039564"/>
          <a:ext cx="635373" cy="767443"/>
        </a:xfrm>
        <a:prstGeom prst="rect">
          <a:avLst/>
        </a:prstGeom>
        <a:noFill/>
        <a:ln w="1">
          <a:noFill/>
          <a:miter lim="800000"/>
          <a:headEnd/>
          <a:tailEnd type="none" w="med" len="med"/>
        </a:ln>
        <a:effectLst/>
      </xdr:spPr>
    </xdr:pic>
    <xdr:clientData/>
  </xdr:twoCellAnchor>
  <xdr:twoCellAnchor>
    <xdr:from>
      <xdr:col>30</xdr:col>
      <xdr:colOff>167640</xdr:colOff>
      <xdr:row>915</xdr:row>
      <xdr:rowOff>22860</xdr:rowOff>
    </xdr:from>
    <xdr:to>
      <xdr:col>35</xdr:col>
      <xdr:colOff>579120</xdr:colOff>
      <xdr:row>916</xdr:row>
      <xdr:rowOff>76200</xdr:rowOff>
    </xdr:to>
    <xdr:sp macro="" textlink="">
      <xdr:nvSpPr>
        <xdr:cNvPr id="231" name="TextBox 230">
          <a:extLst>
            <a:ext uri="{FF2B5EF4-FFF2-40B4-BE49-F238E27FC236}">
              <a16:creationId xmlns:a16="http://schemas.microsoft.com/office/drawing/2014/main" id="{00000000-0008-0000-0100-0000E7000000}"/>
            </a:ext>
          </a:extLst>
        </xdr:cNvPr>
        <xdr:cNvSpPr txBox="1"/>
      </xdr:nvSpPr>
      <xdr:spPr>
        <a:xfrm>
          <a:off x="13616940" y="141015720"/>
          <a:ext cx="3268980" cy="243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total  = (inch x qty ) / 12 inch per ft / </a:t>
          </a:r>
          <a:r>
            <a:rPr lang="en-US" sz="1100" baseline="0"/>
            <a:t>12 foot  per stick</a:t>
          </a:r>
          <a:endParaRPr lang="en-US" sz="1100"/>
        </a:p>
      </xdr:txBody>
    </xdr:sp>
    <xdr:clientData/>
  </xdr:twoCellAnchor>
  <xdr:twoCellAnchor>
    <xdr:from>
      <xdr:col>50</xdr:col>
      <xdr:colOff>739140</xdr:colOff>
      <xdr:row>11</xdr:row>
      <xdr:rowOff>152400</xdr:rowOff>
    </xdr:from>
    <xdr:to>
      <xdr:col>51</xdr:col>
      <xdr:colOff>160020</xdr:colOff>
      <xdr:row>11</xdr:row>
      <xdr:rowOff>342900</xdr:rowOff>
    </xdr:to>
    <xdr:sp macro="" textlink="">
      <xdr:nvSpPr>
        <xdr:cNvPr id="234" name="Left Arrow 233">
          <a:extLst>
            <a:ext uri="{FF2B5EF4-FFF2-40B4-BE49-F238E27FC236}">
              <a16:creationId xmlns:a16="http://schemas.microsoft.com/office/drawing/2014/main" id="{00000000-0008-0000-0100-0000EA000000}"/>
            </a:ext>
          </a:extLst>
        </xdr:cNvPr>
        <xdr:cNvSpPr/>
      </xdr:nvSpPr>
      <xdr:spPr>
        <a:xfrm>
          <a:off x="27439620" y="2842260"/>
          <a:ext cx="236220" cy="19050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42</xdr:col>
      <xdr:colOff>571500</xdr:colOff>
      <xdr:row>3</xdr:row>
      <xdr:rowOff>205740</xdr:rowOff>
    </xdr:from>
    <xdr:to>
      <xdr:col>43</xdr:col>
      <xdr:colOff>68580</xdr:colOff>
      <xdr:row>4</xdr:row>
      <xdr:rowOff>205740</xdr:rowOff>
    </xdr:to>
    <xdr:sp macro="" textlink="">
      <xdr:nvSpPr>
        <xdr:cNvPr id="237" name="Left Arrow 236">
          <a:extLst>
            <a:ext uri="{FF2B5EF4-FFF2-40B4-BE49-F238E27FC236}">
              <a16:creationId xmlns:a16="http://schemas.microsoft.com/office/drawing/2014/main" id="{00000000-0008-0000-0100-0000ED000000}"/>
            </a:ext>
          </a:extLst>
        </xdr:cNvPr>
        <xdr:cNvSpPr/>
      </xdr:nvSpPr>
      <xdr:spPr>
        <a:xfrm>
          <a:off x="21564600" y="114300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2</xdr:col>
      <xdr:colOff>137160</xdr:colOff>
      <xdr:row>1184</xdr:row>
      <xdr:rowOff>129540</xdr:rowOff>
    </xdr:from>
    <xdr:to>
      <xdr:col>6</xdr:col>
      <xdr:colOff>167640</xdr:colOff>
      <xdr:row>1187</xdr:row>
      <xdr:rowOff>30480</xdr:rowOff>
    </xdr:to>
    <xdr:sp macro="" textlink="">
      <xdr:nvSpPr>
        <xdr:cNvPr id="241" name="TextBox 240">
          <a:extLst>
            <a:ext uri="{FF2B5EF4-FFF2-40B4-BE49-F238E27FC236}">
              <a16:creationId xmlns:a16="http://schemas.microsoft.com/office/drawing/2014/main" id="{00000000-0008-0000-0100-0000F1000000}"/>
            </a:ext>
          </a:extLst>
        </xdr:cNvPr>
        <xdr:cNvSpPr txBox="1"/>
      </xdr:nvSpPr>
      <xdr:spPr>
        <a:xfrm>
          <a:off x="1905000" y="177485040"/>
          <a:ext cx="2621280" cy="472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Assumes smallest</a:t>
          </a:r>
          <a:r>
            <a:rPr lang="en-US" sz="1100" baseline="0"/>
            <a:t> glass daylight dimension to determine length of film to be used.</a:t>
          </a:r>
          <a:endParaRPr lang="en-US" sz="1100"/>
        </a:p>
      </xdr:txBody>
    </xdr:sp>
    <xdr:clientData/>
  </xdr:twoCellAnchor>
  <xdr:twoCellAnchor>
    <xdr:from>
      <xdr:col>4</xdr:col>
      <xdr:colOff>738516</xdr:colOff>
      <xdr:row>492</xdr:row>
      <xdr:rowOff>22860</xdr:rowOff>
    </xdr:from>
    <xdr:to>
      <xdr:col>6</xdr:col>
      <xdr:colOff>105833</xdr:colOff>
      <xdr:row>495</xdr:row>
      <xdr:rowOff>175260</xdr:rowOff>
    </xdr:to>
    <xdr:pic>
      <xdr:nvPicPr>
        <xdr:cNvPr id="430883" name="Picture 80675">
          <a:extLst>
            <a:ext uri="{FF2B5EF4-FFF2-40B4-BE49-F238E27FC236}">
              <a16:creationId xmlns:a16="http://schemas.microsoft.com/office/drawing/2014/main" id="{00000000-0008-0000-0100-0000239306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bwMode="auto">
        <a:xfrm>
          <a:off x="3384349" y="64496527"/>
          <a:ext cx="1102984" cy="723900"/>
        </a:xfrm>
        <a:prstGeom prst="rect">
          <a:avLst/>
        </a:prstGeom>
        <a:noFill/>
        <a:ln w="1">
          <a:noFill/>
          <a:miter lim="800000"/>
          <a:headEnd/>
          <a:tailEnd type="none" w="med" len="med"/>
        </a:ln>
        <a:effectLst/>
      </xdr:spPr>
    </xdr:pic>
    <xdr:clientData/>
  </xdr:twoCellAnchor>
  <xdr:twoCellAnchor>
    <xdr:from>
      <xdr:col>9</xdr:col>
      <xdr:colOff>122343</xdr:colOff>
      <xdr:row>789</xdr:row>
      <xdr:rowOff>175471</xdr:rowOff>
    </xdr:from>
    <xdr:to>
      <xdr:col>17</xdr:col>
      <xdr:colOff>246168</xdr:colOff>
      <xdr:row>791</xdr:row>
      <xdr:rowOff>37888</xdr:rowOff>
    </xdr:to>
    <xdr:sp macro="" textlink="">
      <xdr:nvSpPr>
        <xdr:cNvPr id="239" name="TextBox 238">
          <a:extLst>
            <a:ext uri="{FF2B5EF4-FFF2-40B4-BE49-F238E27FC236}">
              <a16:creationId xmlns:a16="http://schemas.microsoft.com/office/drawing/2014/main" id="{00000000-0008-0000-0100-0000EF000000}"/>
            </a:ext>
          </a:extLst>
        </xdr:cNvPr>
        <xdr:cNvSpPr txBox="1"/>
      </xdr:nvSpPr>
      <xdr:spPr>
        <a:xfrm>
          <a:off x="5854276" y="152634738"/>
          <a:ext cx="2943225" cy="251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EJAGSH1004 for setting block specifications</a:t>
          </a:r>
        </a:p>
      </xdr:txBody>
    </xdr:sp>
    <xdr:clientData/>
  </xdr:twoCellAnchor>
  <xdr:twoCellAnchor>
    <xdr:from>
      <xdr:col>8</xdr:col>
      <xdr:colOff>288713</xdr:colOff>
      <xdr:row>1030</xdr:row>
      <xdr:rowOff>112394</xdr:rowOff>
    </xdr:from>
    <xdr:to>
      <xdr:col>17</xdr:col>
      <xdr:colOff>265853</xdr:colOff>
      <xdr:row>1031</xdr:row>
      <xdr:rowOff>126153</xdr:rowOff>
    </xdr:to>
    <xdr:sp macro="" textlink="">
      <xdr:nvSpPr>
        <xdr:cNvPr id="242" name="TextBox 241">
          <a:extLst>
            <a:ext uri="{FF2B5EF4-FFF2-40B4-BE49-F238E27FC236}">
              <a16:creationId xmlns:a16="http://schemas.microsoft.com/office/drawing/2014/main" id="{00000000-0008-0000-0100-0000F2000000}"/>
            </a:ext>
          </a:extLst>
        </xdr:cNvPr>
        <xdr:cNvSpPr txBox="1"/>
      </xdr:nvSpPr>
      <xdr:spPr>
        <a:xfrm>
          <a:off x="5554980" y="198367861"/>
          <a:ext cx="3448473" cy="208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a:t>see E1SJAGSH101 for sash setting block specifications</a:t>
          </a:r>
        </a:p>
      </xdr:txBody>
    </xdr:sp>
    <xdr:clientData/>
  </xdr:twoCellAnchor>
  <xdr:twoCellAnchor>
    <xdr:from>
      <xdr:col>5</xdr:col>
      <xdr:colOff>444500</xdr:colOff>
      <xdr:row>766</xdr:row>
      <xdr:rowOff>47979</xdr:rowOff>
    </xdr:from>
    <xdr:to>
      <xdr:col>6</xdr:col>
      <xdr:colOff>52917</xdr:colOff>
      <xdr:row>769</xdr:row>
      <xdr:rowOff>97369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3" cstate="print"/>
        <a:stretch>
          <a:fillRect/>
        </a:stretch>
      </xdr:blipFill>
      <xdr:spPr>
        <a:xfrm>
          <a:off x="3905250" y="118665979"/>
          <a:ext cx="529167" cy="493890"/>
        </a:xfrm>
        <a:prstGeom prst="rect">
          <a:avLst/>
        </a:prstGeom>
      </xdr:spPr>
    </xdr:pic>
    <xdr:clientData/>
  </xdr:twoCellAnchor>
  <xdr:twoCellAnchor>
    <xdr:from>
      <xdr:col>2</xdr:col>
      <xdr:colOff>31751</xdr:colOff>
      <xdr:row>708</xdr:row>
      <xdr:rowOff>21168</xdr:rowOff>
    </xdr:from>
    <xdr:to>
      <xdr:col>4</xdr:col>
      <xdr:colOff>33170</xdr:colOff>
      <xdr:row>720</xdr:row>
      <xdr:rowOff>84667</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 cstate="print"/>
        <a:stretch>
          <a:fillRect/>
        </a:stretch>
      </xdr:blipFill>
      <xdr:spPr>
        <a:xfrm>
          <a:off x="1809751" y="107590168"/>
          <a:ext cx="869252" cy="2349499"/>
        </a:xfrm>
        <a:prstGeom prst="rect">
          <a:avLst/>
        </a:prstGeom>
      </xdr:spPr>
    </xdr:pic>
    <xdr:clientData/>
  </xdr:twoCellAnchor>
  <xdr:twoCellAnchor>
    <xdr:from>
      <xdr:col>3</xdr:col>
      <xdr:colOff>264583</xdr:colOff>
      <xdr:row>707</xdr:row>
      <xdr:rowOff>179917</xdr:rowOff>
    </xdr:from>
    <xdr:to>
      <xdr:col>4</xdr:col>
      <xdr:colOff>613835</xdr:colOff>
      <xdr:row>720</xdr:row>
      <xdr:rowOff>139978</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5" cstate="print"/>
        <a:stretch>
          <a:fillRect/>
        </a:stretch>
      </xdr:blipFill>
      <xdr:spPr>
        <a:xfrm>
          <a:off x="2476500" y="107558417"/>
          <a:ext cx="783168" cy="2436561"/>
        </a:xfrm>
        <a:prstGeom prst="rect">
          <a:avLst/>
        </a:prstGeom>
      </xdr:spPr>
    </xdr:pic>
    <xdr:clientData/>
  </xdr:twoCellAnchor>
  <xdr:twoCellAnchor>
    <xdr:from>
      <xdr:col>4</xdr:col>
      <xdr:colOff>470583</xdr:colOff>
      <xdr:row>709</xdr:row>
      <xdr:rowOff>84666</xdr:rowOff>
    </xdr:from>
    <xdr:to>
      <xdr:col>6</xdr:col>
      <xdr:colOff>675637</xdr:colOff>
      <xdr:row>718</xdr:row>
      <xdr:rowOff>179917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6" cstate="print"/>
        <a:stretch>
          <a:fillRect/>
        </a:stretch>
      </xdr:blipFill>
      <xdr:spPr>
        <a:xfrm>
          <a:off x="3116416" y="107844166"/>
          <a:ext cx="1940721" cy="1809751"/>
        </a:xfrm>
        <a:prstGeom prst="rect">
          <a:avLst/>
        </a:prstGeom>
      </xdr:spPr>
    </xdr:pic>
    <xdr:clientData/>
  </xdr:twoCellAnchor>
  <xdr:twoCellAnchor>
    <xdr:from>
      <xdr:col>2</xdr:col>
      <xdr:colOff>124945</xdr:colOff>
      <xdr:row>189</xdr:row>
      <xdr:rowOff>11144</xdr:rowOff>
    </xdr:from>
    <xdr:to>
      <xdr:col>5</xdr:col>
      <xdr:colOff>84667</xdr:colOff>
      <xdr:row>190</xdr:row>
      <xdr:rowOff>113709</xdr:rowOff>
    </xdr:to>
    <xdr:pic>
      <xdr:nvPicPr>
        <xdr:cNvPr id="244" name="Picture 80538">
          <a:extLst>
            <a:ext uri="{FF2B5EF4-FFF2-40B4-BE49-F238E27FC236}">
              <a16:creationId xmlns:a16="http://schemas.microsoft.com/office/drawing/2014/main" id="{00000000-0008-0000-0100-0000F4000000}"/>
            </a:ext>
          </a:extLst>
        </xdr:cNvPr>
        <xdr:cNvPicPr>
          <a:picLocks noChangeAspect="1" noChangeArrowheads="1"/>
        </xdr:cNvPicPr>
      </xdr:nvPicPr>
      <xdr:blipFill>
        <a:blip xmlns:r="http://schemas.openxmlformats.org/officeDocument/2006/relationships" r:embed="rId47" cstate="print"/>
        <a:srcRect/>
        <a:stretch>
          <a:fillRect/>
        </a:stretch>
      </xdr:blipFill>
      <xdr:spPr bwMode="auto">
        <a:xfrm>
          <a:off x="1886012" y="26655744"/>
          <a:ext cx="1619188" cy="297297"/>
        </a:xfrm>
        <a:prstGeom prst="rect">
          <a:avLst/>
        </a:prstGeom>
        <a:noFill/>
        <a:ln w="1">
          <a:noFill/>
          <a:miter lim="800000"/>
          <a:headEnd/>
          <a:tailEnd type="none" w="med" len="med"/>
        </a:ln>
        <a:effectLst/>
      </xdr:spPr>
    </xdr:pic>
    <xdr:clientData/>
  </xdr:twoCellAnchor>
  <xdr:twoCellAnchor>
    <xdr:from>
      <xdr:col>4</xdr:col>
      <xdr:colOff>232833</xdr:colOff>
      <xdr:row>391</xdr:row>
      <xdr:rowOff>95250</xdr:rowOff>
    </xdr:from>
    <xdr:to>
      <xdr:col>6</xdr:col>
      <xdr:colOff>453601</xdr:colOff>
      <xdr:row>393</xdr:row>
      <xdr:rowOff>141937</xdr:rowOff>
    </xdr:to>
    <xdr:pic>
      <xdr:nvPicPr>
        <xdr:cNvPr id="246" name="Picture 102">
          <a:extLst>
            <a:ext uri="{FF2B5EF4-FFF2-40B4-BE49-F238E27FC236}">
              <a16:creationId xmlns:a16="http://schemas.microsoft.com/office/drawing/2014/main" id="{00000000-0008-0000-0100-0000F6000000}"/>
            </a:ext>
          </a:extLst>
        </xdr:cNvPr>
        <xdr:cNvPicPr>
          <a:picLocks noChangeAspect="1" noChangeArrowheads="1"/>
        </xdr:cNvPicPr>
      </xdr:nvPicPr>
      <xdr:blipFill>
        <a:blip xmlns:r="http://schemas.openxmlformats.org/officeDocument/2006/relationships" r:embed="rId48" cstate="print"/>
        <a:srcRect/>
        <a:stretch>
          <a:fillRect/>
        </a:stretch>
      </xdr:blipFill>
      <xdr:spPr bwMode="auto">
        <a:xfrm>
          <a:off x="2878666" y="48450500"/>
          <a:ext cx="1956435" cy="427686"/>
        </a:xfrm>
        <a:prstGeom prst="rect">
          <a:avLst/>
        </a:prstGeom>
        <a:noFill/>
        <a:ln w="1">
          <a:noFill/>
          <a:miter lim="800000"/>
          <a:headEnd/>
          <a:tailEnd type="none" w="med" len="med"/>
        </a:ln>
        <a:effectLst/>
      </xdr:spPr>
    </xdr:pic>
    <xdr:clientData/>
  </xdr:twoCellAnchor>
  <xdr:twoCellAnchor>
    <xdr:from>
      <xdr:col>16</xdr:col>
      <xdr:colOff>0</xdr:colOff>
      <xdr:row>557</xdr:row>
      <xdr:rowOff>0</xdr:rowOff>
    </xdr:from>
    <xdr:to>
      <xdr:col>23</xdr:col>
      <xdr:colOff>349249</xdr:colOff>
      <xdr:row>559</xdr:row>
      <xdr:rowOff>158750</xdr:rowOff>
    </xdr:to>
    <xdr:cxnSp macro="">
      <xdr:nvCxnSpPr>
        <xdr:cNvPr id="247" name="Straight Connector 246">
          <a:extLst>
            <a:ext uri="{FF2B5EF4-FFF2-40B4-BE49-F238E27FC236}">
              <a16:creationId xmlns:a16="http://schemas.microsoft.com/office/drawing/2014/main" id="{00000000-0008-0000-0100-0000F7000000}"/>
            </a:ext>
          </a:extLst>
        </xdr:cNvPr>
        <xdr:cNvCxnSpPr/>
      </xdr:nvCxnSpPr>
      <xdr:spPr>
        <a:xfrm flipV="1">
          <a:off x="7884583" y="84137500"/>
          <a:ext cx="3344333" cy="53975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105833</xdr:colOff>
      <xdr:row>557</xdr:row>
      <xdr:rowOff>42333</xdr:rowOff>
    </xdr:from>
    <xdr:to>
      <xdr:col>24</xdr:col>
      <xdr:colOff>21166</xdr:colOff>
      <xdr:row>559</xdr:row>
      <xdr:rowOff>148167</xdr:rowOff>
    </xdr:to>
    <xdr:cxnSp macro="">
      <xdr:nvCxnSpPr>
        <xdr:cNvPr id="248" name="Straight Connector 247">
          <a:extLst>
            <a:ext uri="{FF2B5EF4-FFF2-40B4-BE49-F238E27FC236}">
              <a16:creationId xmlns:a16="http://schemas.microsoft.com/office/drawing/2014/main" id="{00000000-0008-0000-0100-0000F8000000}"/>
            </a:ext>
          </a:extLst>
        </xdr:cNvPr>
        <xdr:cNvCxnSpPr/>
      </xdr:nvCxnSpPr>
      <xdr:spPr>
        <a:xfrm flipH="1" flipV="1">
          <a:off x="7990416" y="84179833"/>
          <a:ext cx="3354917" cy="486834"/>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20</xdr:col>
      <xdr:colOff>101600</xdr:colOff>
      <xdr:row>557</xdr:row>
      <xdr:rowOff>39369</xdr:rowOff>
    </xdr:from>
    <xdr:to>
      <xdr:col>24</xdr:col>
      <xdr:colOff>937260</xdr:colOff>
      <xdr:row>559</xdr:row>
      <xdr:rowOff>155786</xdr:rowOff>
    </xdr:to>
    <xdr:sp macro="" textlink="">
      <xdr:nvSpPr>
        <xdr:cNvPr id="249" name="Rectangle 248">
          <a:extLst>
            <a:ext uri="{FF2B5EF4-FFF2-40B4-BE49-F238E27FC236}">
              <a16:creationId xmlns:a16="http://schemas.microsoft.com/office/drawing/2014/main" id="{00000000-0008-0000-0100-0000F9000000}"/>
            </a:ext>
          </a:extLst>
        </xdr:cNvPr>
        <xdr:cNvSpPr/>
      </xdr:nvSpPr>
      <xdr:spPr>
        <a:xfrm>
          <a:off x="10243820" y="105020109"/>
          <a:ext cx="2260600" cy="497417"/>
        </a:xfrm>
        <a:prstGeom prst="rect">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solidFill>
                <a:srgbClr val="FF0000"/>
              </a:solidFill>
            </a:rPr>
            <a:t>These balances</a:t>
          </a:r>
          <a:r>
            <a:rPr lang="en-US" sz="1100" baseline="0">
              <a:solidFill>
                <a:srgbClr val="FF0000"/>
              </a:solidFill>
            </a:rPr>
            <a:t> n</a:t>
          </a:r>
          <a:r>
            <a:rPr lang="en-US" sz="1100">
              <a:solidFill>
                <a:srgbClr val="FF0000"/>
              </a:solidFill>
            </a:rPr>
            <a:t>ot needed due</a:t>
          </a:r>
          <a:r>
            <a:rPr lang="en-US" sz="1100" baseline="0">
              <a:solidFill>
                <a:srgbClr val="FF0000"/>
              </a:solidFill>
            </a:rPr>
            <a:t> to minimum allowed sash size.</a:t>
          </a:r>
          <a:endParaRPr lang="en-US" sz="1100">
            <a:solidFill>
              <a:srgbClr val="FF0000"/>
            </a:solidFill>
          </a:endParaRPr>
        </a:p>
      </xdr:txBody>
    </xdr:sp>
    <xdr:clientData/>
  </xdr:twoCellAnchor>
  <xdr:twoCellAnchor editAs="oneCell">
    <xdr:from>
      <xdr:col>5</xdr:col>
      <xdr:colOff>207434</xdr:colOff>
      <xdr:row>704</xdr:row>
      <xdr:rowOff>31750</xdr:rowOff>
    </xdr:from>
    <xdr:to>
      <xdr:col>6</xdr:col>
      <xdr:colOff>102870</xdr:colOff>
      <xdr:row>704</xdr:row>
      <xdr:rowOff>591354</xdr:rowOff>
    </xdr:to>
    <xdr:pic>
      <xdr:nvPicPr>
        <xdr:cNvPr id="250" name="Picture 249">
          <a:extLst>
            <a:ext uri="{FF2B5EF4-FFF2-40B4-BE49-F238E27FC236}">
              <a16:creationId xmlns:a16="http://schemas.microsoft.com/office/drawing/2014/main" id="{00000000-0008-0000-0100-0000FA000000}"/>
            </a:ext>
          </a:extLst>
        </xdr:cNvPr>
        <xdr:cNvPicPr>
          <a:picLocks noChangeAspect="1"/>
        </xdr:cNvPicPr>
      </xdr:nvPicPr>
      <xdr:blipFill rotWithShape="1">
        <a:blip xmlns:r="http://schemas.openxmlformats.org/officeDocument/2006/relationships" r:embed="rId49"/>
        <a:srcRect t="5355"/>
        <a:stretch/>
      </xdr:blipFill>
      <xdr:spPr>
        <a:xfrm>
          <a:off x="3644054" y="130067050"/>
          <a:ext cx="866986" cy="559604"/>
        </a:xfrm>
        <a:prstGeom prst="rect">
          <a:avLst/>
        </a:prstGeom>
      </xdr:spPr>
    </xdr:pic>
    <xdr:clientData/>
  </xdr:twoCellAnchor>
  <xdr:twoCellAnchor>
    <xdr:from>
      <xdr:col>1</xdr:col>
      <xdr:colOff>323850</xdr:colOff>
      <xdr:row>538</xdr:row>
      <xdr:rowOff>273844</xdr:rowOff>
    </xdr:from>
    <xdr:to>
      <xdr:col>4</xdr:col>
      <xdr:colOff>352425</xdr:colOff>
      <xdr:row>538</xdr:row>
      <xdr:rowOff>580065</xdr:rowOff>
    </xdr:to>
    <xdr:pic>
      <xdr:nvPicPr>
        <xdr:cNvPr id="232" name="Picture 80550">
          <a:extLst>
            <a:ext uri="{FF2B5EF4-FFF2-40B4-BE49-F238E27FC236}">
              <a16:creationId xmlns:a16="http://schemas.microsoft.com/office/drawing/2014/main" id="{00000000-0008-0000-0100-0000E8000000}"/>
            </a:ext>
          </a:extLst>
        </xdr:cNvPr>
        <xdr:cNvPicPr>
          <a:picLocks noChangeAspect="1" noChangeArrowheads="1"/>
        </xdr:cNvPicPr>
      </xdr:nvPicPr>
      <xdr:blipFill>
        <a:blip xmlns:r="http://schemas.openxmlformats.org/officeDocument/2006/relationships" r:embed="rId50" cstate="print"/>
        <a:srcRect/>
        <a:stretch>
          <a:fillRect/>
        </a:stretch>
      </xdr:blipFill>
      <xdr:spPr bwMode="auto">
        <a:xfrm>
          <a:off x="1514475" y="70749319"/>
          <a:ext cx="1466850" cy="306221"/>
        </a:xfrm>
        <a:prstGeom prst="rect">
          <a:avLst/>
        </a:prstGeom>
        <a:noFill/>
        <a:ln w="1">
          <a:noFill/>
          <a:miter lim="800000"/>
          <a:headEnd/>
          <a:tailEnd type="none" w="med" len="med"/>
        </a:ln>
        <a:effectLst/>
      </xdr:spPr>
    </xdr:pic>
    <xdr:clientData/>
  </xdr:twoCellAnchor>
  <xdr:twoCellAnchor>
    <xdr:from>
      <xdr:col>5</xdr:col>
      <xdr:colOff>180140</xdr:colOff>
      <xdr:row>526</xdr:row>
      <xdr:rowOff>23812</xdr:rowOff>
    </xdr:from>
    <xdr:to>
      <xdr:col>5</xdr:col>
      <xdr:colOff>597409</xdr:colOff>
      <xdr:row>529</xdr:row>
      <xdr:rowOff>136801</xdr:rowOff>
    </xdr:to>
    <xdr:pic>
      <xdr:nvPicPr>
        <xdr:cNvPr id="236" name="Picture 235">
          <a:extLst>
            <a:ext uri="{FF2B5EF4-FFF2-40B4-BE49-F238E27FC236}">
              <a16:creationId xmlns:a16="http://schemas.microsoft.com/office/drawing/2014/main" id="{24AFD1E7-B6CB-4C8D-952C-6EC9FD3899A3}"/>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3359585" y="6414230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807820</xdr:colOff>
      <xdr:row>200</xdr:row>
      <xdr:rowOff>159117</xdr:rowOff>
    </xdr:from>
    <xdr:to>
      <xdr:col>6</xdr:col>
      <xdr:colOff>461010</xdr:colOff>
      <xdr:row>203</xdr:row>
      <xdr:rowOff>81566</xdr:rowOff>
    </xdr:to>
    <xdr:pic>
      <xdr:nvPicPr>
        <xdr:cNvPr id="42" name="Picture 41">
          <a:extLst>
            <a:ext uri="{FF2B5EF4-FFF2-40B4-BE49-F238E27FC236}">
              <a16:creationId xmlns:a16="http://schemas.microsoft.com/office/drawing/2014/main" id="{201462C2-FF66-43FF-9D41-1B462B752279}"/>
            </a:ext>
          </a:extLst>
        </xdr:cNvPr>
        <xdr:cNvPicPr>
          <a:picLocks noChangeAspect="1"/>
        </xdr:cNvPicPr>
      </xdr:nvPicPr>
      <xdr:blipFill>
        <a:blip xmlns:r="http://schemas.openxmlformats.org/officeDocument/2006/relationships" r:embed="rId52"/>
        <a:stretch>
          <a:fillRect/>
        </a:stretch>
      </xdr:blipFill>
      <xdr:spPr>
        <a:xfrm>
          <a:off x="4255870" y="37801917"/>
          <a:ext cx="624740" cy="436799"/>
        </a:xfrm>
        <a:prstGeom prst="rect">
          <a:avLst/>
        </a:prstGeom>
      </xdr:spPr>
    </xdr:pic>
    <xdr:clientData/>
  </xdr:twoCellAnchor>
  <xdr:twoCellAnchor>
    <xdr:from>
      <xdr:col>18</xdr:col>
      <xdr:colOff>487680</xdr:colOff>
      <xdr:row>1149</xdr:row>
      <xdr:rowOff>106680</xdr:rowOff>
    </xdr:from>
    <xdr:to>
      <xdr:col>30</xdr:col>
      <xdr:colOff>99060</xdr:colOff>
      <xdr:row>1153</xdr:row>
      <xdr:rowOff>114300</xdr:rowOff>
    </xdr:to>
    <xdr:cxnSp macro="">
      <xdr:nvCxnSpPr>
        <xdr:cNvPr id="16" name="Straight Arrow Connector 15">
          <a:extLst>
            <a:ext uri="{FF2B5EF4-FFF2-40B4-BE49-F238E27FC236}">
              <a16:creationId xmlns:a16="http://schemas.microsoft.com/office/drawing/2014/main" id="{6C114010-D4A3-4EB7-B6C7-7C92C6F1F1C6}"/>
            </a:ext>
          </a:extLst>
        </xdr:cNvPr>
        <xdr:cNvCxnSpPr/>
      </xdr:nvCxnSpPr>
      <xdr:spPr>
        <a:xfrm flipV="1">
          <a:off x="9281160" y="218846400"/>
          <a:ext cx="4457700" cy="769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708660</xdr:colOff>
      <xdr:row>933</xdr:row>
      <xdr:rowOff>22860</xdr:rowOff>
    </xdr:from>
    <xdr:to>
      <xdr:col>44</xdr:col>
      <xdr:colOff>472440</xdr:colOff>
      <xdr:row>935</xdr:row>
      <xdr:rowOff>91440</xdr:rowOff>
    </xdr:to>
    <xdr:sp macro="" textlink="">
      <xdr:nvSpPr>
        <xdr:cNvPr id="43" name="TextBox 42">
          <a:extLst>
            <a:ext uri="{FF2B5EF4-FFF2-40B4-BE49-F238E27FC236}">
              <a16:creationId xmlns:a16="http://schemas.microsoft.com/office/drawing/2014/main" id="{7026D86B-2912-4D0B-B6E1-1FB296558D02}"/>
            </a:ext>
          </a:extLst>
        </xdr:cNvPr>
        <xdr:cNvSpPr txBox="1"/>
      </xdr:nvSpPr>
      <xdr:spPr>
        <a:xfrm>
          <a:off x="21076920" y="177302160"/>
          <a:ext cx="302514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Steel</a:t>
          </a:r>
          <a:r>
            <a:rPr lang="en-US" sz="1100" baseline="0"/>
            <a:t> Reinforcement is required in the sash stiles:</a:t>
          </a:r>
        </a:p>
        <a:p>
          <a:r>
            <a:rPr lang="en-US" sz="1100" baseline="0"/>
            <a:t>- for Standard if width &gt; 35.5 OR height &gt; 73.5</a:t>
          </a:r>
        </a:p>
      </xdr:txBody>
    </xdr:sp>
    <xdr:clientData/>
  </xdr:twoCellAnchor>
  <xdr:twoCellAnchor>
    <xdr:from>
      <xdr:col>34</xdr:col>
      <xdr:colOff>328507</xdr:colOff>
      <xdr:row>909</xdr:row>
      <xdr:rowOff>121920</xdr:rowOff>
    </xdr:from>
    <xdr:to>
      <xdr:col>38</xdr:col>
      <xdr:colOff>386926</xdr:colOff>
      <xdr:row>913</xdr:row>
      <xdr:rowOff>0</xdr:rowOff>
    </xdr:to>
    <xdr:sp macro="" textlink="">
      <xdr:nvSpPr>
        <xdr:cNvPr id="264" name="TextBox 263">
          <a:extLst>
            <a:ext uri="{FF2B5EF4-FFF2-40B4-BE49-F238E27FC236}">
              <a16:creationId xmlns:a16="http://schemas.microsoft.com/office/drawing/2014/main" id="{06AEB6AA-4568-46EA-9BE7-DA96EE495EA1}"/>
            </a:ext>
          </a:extLst>
        </xdr:cNvPr>
        <xdr:cNvSpPr txBox="1"/>
      </xdr:nvSpPr>
      <xdr:spPr>
        <a:xfrm>
          <a:off x="18277840" y="172012187"/>
          <a:ext cx="3224953" cy="657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Steel</a:t>
          </a:r>
          <a:r>
            <a:rPr lang="en-US" sz="1100" baseline="0"/>
            <a:t> Reinforcement is required in the sash Lock Rail:</a:t>
          </a:r>
        </a:p>
        <a:p>
          <a:r>
            <a:rPr lang="en-US" sz="1100" baseline="0"/>
            <a:t>- for Standard if width &gt; 35.5 OR height &gt; 73.5</a:t>
          </a:r>
        </a:p>
        <a:p>
          <a:r>
            <a:rPr lang="en-US" sz="1100" baseline="0"/>
            <a:t>- for ALL Impact</a:t>
          </a:r>
          <a:endParaRPr lang="en-US" sz="1100"/>
        </a:p>
      </xdr:txBody>
    </xdr:sp>
    <xdr:clientData/>
  </xdr:twoCellAnchor>
  <xdr:twoCellAnchor>
    <xdr:from>
      <xdr:col>18</xdr:col>
      <xdr:colOff>495300</xdr:colOff>
      <xdr:row>1145</xdr:row>
      <xdr:rowOff>99060</xdr:rowOff>
    </xdr:from>
    <xdr:to>
      <xdr:col>30</xdr:col>
      <xdr:colOff>114300</xdr:colOff>
      <xdr:row>1147</xdr:row>
      <xdr:rowOff>76200</xdr:rowOff>
    </xdr:to>
    <xdr:cxnSp macro="">
      <xdr:nvCxnSpPr>
        <xdr:cNvPr id="265" name="Straight Arrow Connector 264">
          <a:extLst>
            <a:ext uri="{FF2B5EF4-FFF2-40B4-BE49-F238E27FC236}">
              <a16:creationId xmlns:a16="http://schemas.microsoft.com/office/drawing/2014/main" id="{2B8E4635-4549-4871-A1DD-81317E939AAE}"/>
            </a:ext>
          </a:extLst>
        </xdr:cNvPr>
        <xdr:cNvCxnSpPr/>
      </xdr:nvCxnSpPr>
      <xdr:spPr>
        <a:xfrm flipV="1">
          <a:off x="9288780" y="213504780"/>
          <a:ext cx="446532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106680</xdr:colOff>
      <xdr:row>452</xdr:row>
      <xdr:rowOff>114300</xdr:rowOff>
    </xdr:from>
    <xdr:to>
      <xdr:col>37</xdr:col>
      <xdr:colOff>571500</xdr:colOff>
      <xdr:row>454</xdr:row>
      <xdr:rowOff>30480</xdr:rowOff>
    </xdr:to>
    <xdr:sp macro="" textlink="">
      <xdr:nvSpPr>
        <xdr:cNvPr id="15" name="TextBox 14">
          <a:extLst>
            <a:ext uri="{FF2B5EF4-FFF2-40B4-BE49-F238E27FC236}">
              <a16:creationId xmlns:a16="http://schemas.microsoft.com/office/drawing/2014/main" id="{0255FB45-7EB8-40F5-9598-35875EB6C368}"/>
            </a:ext>
          </a:extLst>
        </xdr:cNvPr>
        <xdr:cNvSpPr txBox="1"/>
      </xdr:nvSpPr>
      <xdr:spPr>
        <a:xfrm>
          <a:off x="16603980" y="82958940"/>
          <a:ext cx="214122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take JDE cost for 12 ft / 12 = $/ft</a:t>
          </a:r>
        </a:p>
      </xdr:txBody>
    </xdr:sp>
    <xdr:clientData/>
  </xdr:twoCellAnchor>
  <xdr:twoCellAnchor>
    <xdr:from>
      <xdr:col>8</xdr:col>
      <xdr:colOff>274320</xdr:colOff>
      <xdr:row>1231</xdr:row>
      <xdr:rowOff>114300</xdr:rowOff>
    </xdr:from>
    <xdr:to>
      <xdr:col>12</xdr:col>
      <xdr:colOff>45720</xdr:colOff>
      <xdr:row>1242</xdr:row>
      <xdr:rowOff>152400</xdr:rowOff>
    </xdr:to>
    <xdr:sp macro="" textlink="">
      <xdr:nvSpPr>
        <xdr:cNvPr id="17" name="TextBox 16">
          <a:extLst>
            <a:ext uri="{FF2B5EF4-FFF2-40B4-BE49-F238E27FC236}">
              <a16:creationId xmlns:a16="http://schemas.microsoft.com/office/drawing/2014/main" id="{9657439E-42ED-47B5-8B33-D637E8D0611E}"/>
            </a:ext>
          </a:extLst>
        </xdr:cNvPr>
        <xdr:cNvSpPr txBox="1"/>
      </xdr:nvSpPr>
      <xdr:spPr>
        <a:xfrm>
          <a:off x="5387340" y="229392480"/>
          <a:ext cx="114300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Copied from Opie's Glass &amp; AQ Offsets sheet from 7/10/12, and then rounded to the nearest 1/32nd.</a:t>
          </a:r>
        </a:p>
      </xdr:txBody>
    </xdr:sp>
    <xdr:clientData/>
  </xdr:twoCellAnchor>
  <xdr:twoCellAnchor>
    <xdr:from>
      <xdr:col>39</xdr:col>
      <xdr:colOff>76200</xdr:colOff>
      <xdr:row>14</xdr:row>
      <xdr:rowOff>22860</xdr:rowOff>
    </xdr:from>
    <xdr:to>
      <xdr:col>45</xdr:col>
      <xdr:colOff>464820</xdr:colOff>
      <xdr:row>14</xdr:row>
      <xdr:rowOff>220980</xdr:rowOff>
    </xdr:to>
    <xdr:sp macro="" textlink="">
      <xdr:nvSpPr>
        <xdr:cNvPr id="39" name="TextBox 38">
          <a:extLst>
            <a:ext uri="{FF2B5EF4-FFF2-40B4-BE49-F238E27FC236}">
              <a16:creationId xmlns:a16="http://schemas.microsoft.com/office/drawing/2014/main" id="{4DE3DEE9-CCBA-40A6-B39B-21BA4F46A0BD}"/>
            </a:ext>
          </a:extLst>
        </xdr:cNvPr>
        <xdr:cNvSpPr txBox="1"/>
      </xdr:nvSpPr>
      <xdr:spPr>
        <a:xfrm>
          <a:off x="19629120" y="3512820"/>
          <a:ext cx="5280660" cy="198120"/>
        </a:xfrm>
        <a:prstGeom prst="rect">
          <a:avLst/>
        </a:prstGeom>
        <a:solidFill>
          <a:schemeClr val="accent4">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 BM Frame + Bev Frame + Common Frame + Sash + Half Screen + Solar Screen + Accy + Packaging</a:t>
          </a:r>
        </a:p>
      </xdr:txBody>
    </xdr:sp>
    <xdr:clientData/>
  </xdr:twoCellAnchor>
  <xdr:twoCellAnchor>
    <xdr:from>
      <xdr:col>5</xdr:col>
      <xdr:colOff>271159</xdr:colOff>
      <xdr:row>516</xdr:row>
      <xdr:rowOff>47260</xdr:rowOff>
    </xdr:from>
    <xdr:to>
      <xdr:col>6</xdr:col>
      <xdr:colOff>401571</xdr:colOff>
      <xdr:row>519</xdr:row>
      <xdr:rowOff>144780</xdr:rowOff>
    </xdr:to>
    <xdr:pic>
      <xdr:nvPicPr>
        <xdr:cNvPr id="52" name="Picture 51">
          <a:extLst>
            <a:ext uri="{FF2B5EF4-FFF2-40B4-BE49-F238E27FC236}">
              <a16:creationId xmlns:a16="http://schemas.microsoft.com/office/drawing/2014/main" id="{64400772-2182-47EE-AC3F-1CC76598A660}"/>
            </a:ext>
          </a:extLst>
        </xdr:cNvPr>
        <xdr:cNvPicPr>
          <a:picLocks noChangeAspect="1"/>
        </xdr:cNvPicPr>
      </xdr:nvPicPr>
      <xdr:blipFill>
        <a:blip xmlns:r="http://schemas.openxmlformats.org/officeDocument/2006/relationships" r:embed="rId53"/>
        <a:stretch>
          <a:fillRect/>
        </a:stretch>
      </xdr:blipFill>
      <xdr:spPr>
        <a:xfrm>
          <a:off x="3707779" y="93544660"/>
          <a:ext cx="1098152" cy="669020"/>
        </a:xfrm>
        <a:prstGeom prst="rect">
          <a:avLst/>
        </a:prstGeom>
      </xdr:spPr>
    </xdr:pic>
    <xdr:clientData/>
  </xdr:twoCellAnchor>
  <xdr:twoCellAnchor>
    <xdr:from>
      <xdr:col>21</xdr:col>
      <xdr:colOff>169333</xdr:colOff>
      <xdr:row>958</xdr:row>
      <xdr:rowOff>8467</xdr:rowOff>
    </xdr:from>
    <xdr:to>
      <xdr:col>24</xdr:col>
      <xdr:colOff>865909</xdr:colOff>
      <xdr:row>960</xdr:row>
      <xdr:rowOff>95250</xdr:rowOff>
    </xdr:to>
    <xdr:cxnSp macro="">
      <xdr:nvCxnSpPr>
        <xdr:cNvPr id="56" name="Straight Connector 55">
          <a:extLst>
            <a:ext uri="{FF2B5EF4-FFF2-40B4-BE49-F238E27FC236}">
              <a16:creationId xmlns:a16="http://schemas.microsoft.com/office/drawing/2014/main" id="{101BB413-BBC4-4789-B77E-A800025E1CDF}"/>
            </a:ext>
          </a:extLst>
        </xdr:cNvPr>
        <xdr:cNvCxnSpPr/>
      </xdr:nvCxnSpPr>
      <xdr:spPr>
        <a:xfrm>
          <a:off x="10566400" y="184336267"/>
          <a:ext cx="2000442" cy="47625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181841</xdr:colOff>
      <xdr:row>958</xdr:row>
      <xdr:rowOff>43296</xdr:rowOff>
    </xdr:from>
    <xdr:to>
      <xdr:col>24</xdr:col>
      <xdr:colOff>839932</xdr:colOff>
      <xdr:row>960</xdr:row>
      <xdr:rowOff>95250</xdr:rowOff>
    </xdr:to>
    <xdr:cxnSp macro="">
      <xdr:nvCxnSpPr>
        <xdr:cNvPr id="266" name="Straight Connector 265">
          <a:extLst>
            <a:ext uri="{FF2B5EF4-FFF2-40B4-BE49-F238E27FC236}">
              <a16:creationId xmlns:a16="http://schemas.microsoft.com/office/drawing/2014/main" id="{BDD3E507-6E4E-487B-BD0B-C6EE52F411E9}"/>
            </a:ext>
          </a:extLst>
        </xdr:cNvPr>
        <xdr:cNvCxnSpPr/>
      </xdr:nvCxnSpPr>
      <xdr:spPr>
        <a:xfrm flipH="1">
          <a:off x="10356273" y="183321614"/>
          <a:ext cx="1982932" cy="432954"/>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173182</xdr:colOff>
      <xdr:row>966</xdr:row>
      <xdr:rowOff>103910</xdr:rowOff>
    </xdr:from>
    <xdr:to>
      <xdr:col>24</xdr:col>
      <xdr:colOff>891886</xdr:colOff>
      <xdr:row>968</xdr:row>
      <xdr:rowOff>112568</xdr:rowOff>
    </xdr:to>
    <xdr:cxnSp macro="">
      <xdr:nvCxnSpPr>
        <xdr:cNvPr id="267" name="Straight Connector 266">
          <a:extLst>
            <a:ext uri="{FF2B5EF4-FFF2-40B4-BE49-F238E27FC236}">
              <a16:creationId xmlns:a16="http://schemas.microsoft.com/office/drawing/2014/main" id="{4F4299D5-572A-4C7B-90DB-F4A060C0919E}"/>
            </a:ext>
          </a:extLst>
        </xdr:cNvPr>
        <xdr:cNvCxnSpPr/>
      </xdr:nvCxnSpPr>
      <xdr:spPr>
        <a:xfrm flipV="1">
          <a:off x="10347614" y="184715728"/>
          <a:ext cx="2043545" cy="389658"/>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262466</xdr:colOff>
      <xdr:row>966</xdr:row>
      <xdr:rowOff>0</xdr:rowOff>
    </xdr:from>
    <xdr:to>
      <xdr:col>24</xdr:col>
      <xdr:colOff>857250</xdr:colOff>
      <xdr:row>968</xdr:row>
      <xdr:rowOff>103909</xdr:rowOff>
    </xdr:to>
    <xdr:cxnSp macro="">
      <xdr:nvCxnSpPr>
        <xdr:cNvPr id="268" name="Straight Connector 267">
          <a:extLst>
            <a:ext uri="{FF2B5EF4-FFF2-40B4-BE49-F238E27FC236}">
              <a16:creationId xmlns:a16="http://schemas.microsoft.com/office/drawing/2014/main" id="{81792018-F665-44C8-8824-8141464105DA}"/>
            </a:ext>
          </a:extLst>
        </xdr:cNvPr>
        <xdr:cNvCxnSpPr/>
      </xdr:nvCxnSpPr>
      <xdr:spPr>
        <a:xfrm>
          <a:off x="10659533" y="185690933"/>
          <a:ext cx="1898650" cy="493376"/>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397933</xdr:colOff>
      <xdr:row>225</xdr:row>
      <xdr:rowOff>33867</xdr:rowOff>
    </xdr:from>
    <xdr:to>
      <xdr:col>18</xdr:col>
      <xdr:colOff>270935</xdr:colOff>
      <xdr:row>229</xdr:row>
      <xdr:rowOff>118534</xdr:rowOff>
    </xdr:to>
    <xdr:sp macro="" textlink="">
      <xdr:nvSpPr>
        <xdr:cNvPr id="61" name="TextBox 60">
          <a:extLst>
            <a:ext uri="{FF2B5EF4-FFF2-40B4-BE49-F238E27FC236}">
              <a16:creationId xmlns:a16="http://schemas.microsoft.com/office/drawing/2014/main" id="{68ECC36F-0660-4799-8622-EE5F45D47EC6}"/>
            </a:ext>
          </a:extLst>
        </xdr:cNvPr>
        <xdr:cNvSpPr txBox="1"/>
      </xdr:nvSpPr>
      <xdr:spPr>
        <a:xfrm>
          <a:off x="6324600" y="41664467"/>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11</xdr:col>
      <xdr:colOff>186267</xdr:colOff>
      <xdr:row>238</xdr:row>
      <xdr:rowOff>50800</xdr:rowOff>
    </xdr:from>
    <xdr:to>
      <xdr:col>18</xdr:col>
      <xdr:colOff>558802</xdr:colOff>
      <xdr:row>241</xdr:row>
      <xdr:rowOff>169334</xdr:rowOff>
    </xdr:to>
    <xdr:sp macro="" textlink="">
      <xdr:nvSpPr>
        <xdr:cNvPr id="62" name="TextBox 61">
          <a:extLst>
            <a:ext uri="{FF2B5EF4-FFF2-40B4-BE49-F238E27FC236}">
              <a16:creationId xmlns:a16="http://schemas.microsoft.com/office/drawing/2014/main" id="{1D702C8D-4560-C44C-877C-46488D039696}"/>
            </a:ext>
          </a:extLst>
        </xdr:cNvPr>
        <xdr:cNvSpPr txBox="1"/>
      </xdr:nvSpPr>
      <xdr:spPr>
        <a:xfrm>
          <a:off x="6612467" y="44212933"/>
          <a:ext cx="2844802" cy="7027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11</xdr:col>
      <xdr:colOff>160867</xdr:colOff>
      <xdr:row>248</xdr:row>
      <xdr:rowOff>67733</xdr:rowOff>
    </xdr:from>
    <xdr:to>
      <xdr:col>18</xdr:col>
      <xdr:colOff>533402</xdr:colOff>
      <xdr:row>252</xdr:row>
      <xdr:rowOff>152400</xdr:rowOff>
    </xdr:to>
    <xdr:sp macro="" textlink="">
      <xdr:nvSpPr>
        <xdr:cNvPr id="63" name="TextBox 62">
          <a:extLst>
            <a:ext uri="{FF2B5EF4-FFF2-40B4-BE49-F238E27FC236}">
              <a16:creationId xmlns:a16="http://schemas.microsoft.com/office/drawing/2014/main" id="{2E348951-A04D-00CB-3606-CF4D1D5FB510}"/>
            </a:ext>
          </a:extLst>
        </xdr:cNvPr>
        <xdr:cNvSpPr txBox="1"/>
      </xdr:nvSpPr>
      <xdr:spPr>
        <a:xfrm>
          <a:off x="6587067" y="46371933"/>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220134</xdr:colOff>
      <xdr:row>270</xdr:row>
      <xdr:rowOff>25400</xdr:rowOff>
    </xdr:from>
    <xdr:to>
      <xdr:col>19</xdr:col>
      <xdr:colOff>169336</xdr:colOff>
      <xdr:row>274</xdr:row>
      <xdr:rowOff>110066</xdr:rowOff>
    </xdr:to>
    <xdr:sp macro="" textlink="">
      <xdr:nvSpPr>
        <xdr:cNvPr id="64" name="TextBox 63">
          <a:extLst>
            <a:ext uri="{FF2B5EF4-FFF2-40B4-BE49-F238E27FC236}">
              <a16:creationId xmlns:a16="http://schemas.microsoft.com/office/drawing/2014/main" id="{1516990B-E9C7-6589-86D1-50C5DC11F0D0}"/>
            </a:ext>
          </a:extLst>
        </xdr:cNvPr>
        <xdr:cNvSpPr txBox="1"/>
      </xdr:nvSpPr>
      <xdr:spPr>
        <a:xfrm>
          <a:off x="6841067" y="50613733"/>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279401</xdr:colOff>
      <xdr:row>284</xdr:row>
      <xdr:rowOff>25399</xdr:rowOff>
    </xdr:from>
    <xdr:to>
      <xdr:col>19</xdr:col>
      <xdr:colOff>228603</xdr:colOff>
      <xdr:row>286</xdr:row>
      <xdr:rowOff>118532</xdr:rowOff>
    </xdr:to>
    <xdr:sp macro="" textlink="">
      <xdr:nvSpPr>
        <xdr:cNvPr id="68" name="TextBox 67">
          <a:extLst>
            <a:ext uri="{FF2B5EF4-FFF2-40B4-BE49-F238E27FC236}">
              <a16:creationId xmlns:a16="http://schemas.microsoft.com/office/drawing/2014/main" id="{1575EFE5-5F87-215D-C9CD-FFAF6981E38E}"/>
            </a:ext>
          </a:extLst>
        </xdr:cNvPr>
        <xdr:cNvSpPr txBox="1"/>
      </xdr:nvSpPr>
      <xdr:spPr>
        <a:xfrm>
          <a:off x="6900334" y="53145266"/>
          <a:ext cx="2844802"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262469</xdr:colOff>
      <xdr:row>293</xdr:row>
      <xdr:rowOff>50801</xdr:rowOff>
    </xdr:from>
    <xdr:to>
      <xdr:col>19</xdr:col>
      <xdr:colOff>211671</xdr:colOff>
      <xdr:row>297</xdr:row>
      <xdr:rowOff>135467</xdr:rowOff>
    </xdr:to>
    <xdr:sp macro="" textlink="">
      <xdr:nvSpPr>
        <xdr:cNvPr id="69" name="TextBox 68">
          <a:extLst>
            <a:ext uri="{FF2B5EF4-FFF2-40B4-BE49-F238E27FC236}">
              <a16:creationId xmlns:a16="http://schemas.microsoft.com/office/drawing/2014/main" id="{B7F844FB-784A-5977-C22C-DC1BC7AA2FDF}"/>
            </a:ext>
          </a:extLst>
        </xdr:cNvPr>
        <xdr:cNvSpPr txBox="1"/>
      </xdr:nvSpPr>
      <xdr:spPr>
        <a:xfrm>
          <a:off x="6883402" y="55312734"/>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2</xdr:col>
      <xdr:colOff>65617</xdr:colOff>
      <xdr:row>317</xdr:row>
      <xdr:rowOff>186268</xdr:rowOff>
    </xdr:from>
    <xdr:to>
      <xdr:col>4</xdr:col>
      <xdr:colOff>143935</xdr:colOff>
      <xdr:row>322</xdr:row>
      <xdr:rowOff>166491</xdr:rowOff>
    </xdr:to>
    <xdr:pic>
      <xdr:nvPicPr>
        <xdr:cNvPr id="74" name="Picture 73">
          <a:extLst>
            <a:ext uri="{FF2B5EF4-FFF2-40B4-BE49-F238E27FC236}">
              <a16:creationId xmlns:a16="http://schemas.microsoft.com/office/drawing/2014/main" id="{7AF22E2C-2F88-BA3B-BCA3-B2F80E05DA3C}"/>
            </a:ext>
          </a:extLst>
        </xdr:cNvPr>
        <xdr:cNvPicPr>
          <a:picLocks noChangeAspect="1"/>
        </xdr:cNvPicPr>
      </xdr:nvPicPr>
      <xdr:blipFill>
        <a:blip xmlns:r="http://schemas.openxmlformats.org/officeDocument/2006/relationships" r:embed="rId54"/>
        <a:stretch>
          <a:fillRect/>
        </a:stretch>
      </xdr:blipFill>
      <xdr:spPr>
        <a:xfrm>
          <a:off x="1826684" y="58369201"/>
          <a:ext cx="924984" cy="953890"/>
        </a:xfrm>
        <a:prstGeom prst="rect">
          <a:avLst/>
        </a:prstGeom>
      </xdr:spPr>
    </xdr:pic>
    <xdr:clientData/>
  </xdr:twoCellAnchor>
  <xdr:twoCellAnchor>
    <xdr:from>
      <xdr:col>3</xdr:col>
      <xdr:colOff>321734</xdr:colOff>
      <xdr:row>325</xdr:row>
      <xdr:rowOff>67733</xdr:rowOff>
    </xdr:from>
    <xdr:to>
      <xdr:col>4</xdr:col>
      <xdr:colOff>753535</xdr:colOff>
      <xdr:row>329</xdr:row>
      <xdr:rowOff>170656</xdr:rowOff>
    </xdr:to>
    <xdr:pic>
      <xdr:nvPicPr>
        <xdr:cNvPr id="81" name="Picture 80">
          <a:extLst>
            <a:ext uri="{FF2B5EF4-FFF2-40B4-BE49-F238E27FC236}">
              <a16:creationId xmlns:a16="http://schemas.microsoft.com/office/drawing/2014/main" id="{D4F21F73-D206-4CCC-B290-80996E8CD12A}"/>
            </a:ext>
          </a:extLst>
        </xdr:cNvPr>
        <xdr:cNvPicPr>
          <a:picLocks noChangeAspect="1"/>
        </xdr:cNvPicPr>
      </xdr:nvPicPr>
      <xdr:blipFill>
        <a:blip xmlns:r="http://schemas.openxmlformats.org/officeDocument/2006/relationships" r:embed="rId54"/>
        <a:stretch>
          <a:fillRect/>
        </a:stretch>
      </xdr:blipFill>
      <xdr:spPr>
        <a:xfrm>
          <a:off x="2506134" y="61755866"/>
          <a:ext cx="855134" cy="881857"/>
        </a:xfrm>
        <a:prstGeom prst="rect">
          <a:avLst/>
        </a:prstGeom>
      </xdr:spPr>
    </xdr:pic>
    <xdr:clientData/>
  </xdr:twoCellAnchor>
  <xdr:twoCellAnchor>
    <xdr:from>
      <xdr:col>2</xdr:col>
      <xdr:colOff>33866</xdr:colOff>
      <xdr:row>331</xdr:row>
      <xdr:rowOff>2</xdr:rowOff>
    </xdr:from>
    <xdr:to>
      <xdr:col>4</xdr:col>
      <xdr:colOff>76200</xdr:colOff>
      <xdr:row>335</xdr:row>
      <xdr:rowOff>105556</xdr:rowOff>
    </xdr:to>
    <xdr:pic>
      <xdr:nvPicPr>
        <xdr:cNvPr id="82" name="Picture 81">
          <a:extLst>
            <a:ext uri="{FF2B5EF4-FFF2-40B4-BE49-F238E27FC236}">
              <a16:creationId xmlns:a16="http://schemas.microsoft.com/office/drawing/2014/main" id="{DDBB730E-97C6-C868-0071-2EB012FA130C}"/>
            </a:ext>
          </a:extLst>
        </xdr:cNvPr>
        <xdr:cNvPicPr>
          <a:picLocks noChangeAspect="1"/>
        </xdr:cNvPicPr>
      </xdr:nvPicPr>
      <xdr:blipFill>
        <a:blip xmlns:r="http://schemas.openxmlformats.org/officeDocument/2006/relationships" r:embed="rId55"/>
        <a:stretch>
          <a:fillRect/>
        </a:stretch>
      </xdr:blipFill>
      <xdr:spPr>
        <a:xfrm>
          <a:off x="1794933" y="60909202"/>
          <a:ext cx="889000" cy="884487"/>
        </a:xfrm>
        <a:prstGeom prst="rect">
          <a:avLst/>
        </a:prstGeom>
      </xdr:spPr>
    </xdr:pic>
    <xdr:clientData/>
  </xdr:twoCellAnchor>
  <xdr:twoCellAnchor>
    <xdr:from>
      <xdr:col>3</xdr:col>
      <xdr:colOff>330200</xdr:colOff>
      <xdr:row>338</xdr:row>
      <xdr:rowOff>50802</xdr:rowOff>
    </xdr:from>
    <xdr:to>
      <xdr:col>4</xdr:col>
      <xdr:colOff>791890</xdr:colOff>
      <xdr:row>342</xdr:row>
      <xdr:rowOff>152400</xdr:rowOff>
    </xdr:to>
    <xdr:pic>
      <xdr:nvPicPr>
        <xdr:cNvPr id="83" name="Picture 82">
          <a:extLst>
            <a:ext uri="{FF2B5EF4-FFF2-40B4-BE49-F238E27FC236}">
              <a16:creationId xmlns:a16="http://schemas.microsoft.com/office/drawing/2014/main" id="{94E2EB22-2549-97F1-20A7-02D88F758837}"/>
            </a:ext>
          </a:extLst>
        </xdr:cNvPr>
        <xdr:cNvPicPr>
          <a:picLocks noChangeAspect="1"/>
        </xdr:cNvPicPr>
      </xdr:nvPicPr>
      <xdr:blipFill>
        <a:blip xmlns:r="http://schemas.openxmlformats.org/officeDocument/2006/relationships" r:embed="rId55"/>
        <a:stretch>
          <a:fillRect/>
        </a:stretch>
      </xdr:blipFill>
      <xdr:spPr>
        <a:xfrm>
          <a:off x="2514600" y="64465202"/>
          <a:ext cx="885023" cy="880531"/>
        </a:xfrm>
        <a:prstGeom prst="rect">
          <a:avLst/>
        </a:prstGeom>
      </xdr:spPr>
    </xdr:pic>
    <xdr:clientData/>
  </xdr:twoCellAnchor>
  <xdr:twoCellAnchor>
    <xdr:from>
      <xdr:col>10</xdr:col>
      <xdr:colOff>59265</xdr:colOff>
      <xdr:row>345</xdr:row>
      <xdr:rowOff>76200</xdr:rowOff>
    </xdr:from>
    <xdr:to>
      <xdr:col>18</xdr:col>
      <xdr:colOff>287866</xdr:colOff>
      <xdr:row>348</xdr:row>
      <xdr:rowOff>135465</xdr:rowOff>
    </xdr:to>
    <xdr:sp macro="" textlink="">
      <xdr:nvSpPr>
        <xdr:cNvPr id="84" name="TextBox 83">
          <a:extLst>
            <a:ext uri="{FF2B5EF4-FFF2-40B4-BE49-F238E27FC236}">
              <a16:creationId xmlns:a16="http://schemas.microsoft.com/office/drawing/2014/main" id="{2C682D34-743A-44BF-B9AB-842B6AB43F11}"/>
            </a:ext>
          </a:extLst>
        </xdr:cNvPr>
        <xdr:cNvSpPr txBox="1"/>
      </xdr:nvSpPr>
      <xdr:spPr>
        <a:xfrm>
          <a:off x="6129865" y="63711667"/>
          <a:ext cx="3462868" cy="6434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a:solidFill>
                <a:sysClr val="windowText" lastClr="000000"/>
              </a:solidFill>
            </a:rPr>
            <a:t>207959 is not extruded at this time.</a:t>
          </a:r>
        </a:p>
        <a:p>
          <a:pPr algn="l"/>
          <a:r>
            <a:rPr lang="en-US" sz="1600">
              <a:solidFill>
                <a:sysClr val="windowText" lastClr="000000"/>
              </a:solidFill>
            </a:rPr>
            <a:t>Use 200136 and cut off nailfin.</a:t>
          </a:r>
        </a:p>
      </xdr:txBody>
    </xdr:sp>
    <xdr:clientData/>
  </xdr:twoCellAnchor>
  <xdr:twoCellAnchor>
    <xdr:from>
      <xdr:col>27</xdr:col>
      <xdr:colOff>59267</xdr:colOff>
      <xdr:row>1287</xdr:row>
      <xdr:rowOff>42333</xdr:rowOff>
    </xdr:from>
    <xdr:to>
      <xdr:col>31</xdr:col>
      <xdr:colOff>397933</xdr:colOff>
      <xdr:row>1292</xdr:row>
      <xdr:rowOff>33867</xdr:rowOff>
    </xdr:to>
    <xdr:sp macro="" textlink="">
      <xdr:nvSpPr>
        <xdr:cNvPr id="25" name="TextBox 24">
          <a:extLst>
            <a:ext uri="{FF2B5EF4-FFF2-40B4-BE49-F238E27FC236}">
              <a16:creationId xmlns:a16="http://schemas.microsoft.com/office/drawing/2014/main" id="{0C22DAB2-5BB7-1DE8-9581-2804240D1394}"/>
            </a:ext>
          </a:extLst>
        </xdr:cNvPr>
        <xdr:cNvSpPr txBox="1"/>
      </xdr:nvSpPr>
      <xdr:spPr>
        <a:xfrm>
          <a:off x="14351000" y="249072400"/>
          <a:ext cx="1972733" cy="965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3 columns below became #REF when Performance: Std or Upgrade was removed from inputs at top</a:t>
          </a:r>
          <a:r>
            <a:rPr lang="en-US" sz="1100" baseline="0">
              <a:solidFill>
                <a:srgbClr val="FF0000"/>
              </a:solidFill>
            </a:rPr>
            <a:t> </a:t>
          </a:r>
          <a:r>
            <a:rPr lang="en-US" sz="1100">
              <a:solidFill>
                <a:srgbClr val="FF0000"/>
              </a:solidFill>
            </a:rPr>
            <a:t>in Rev D since</a:t>
          </a:r>
          <a:r>
            <a:rPr lang="en-US" sz="1100" baseline="0">
              <a:solidFill>
                <a:srgbClr val="FF0000"/>
              </a:solidFill>
            </a:rPr>
            <a:t> 2014</a:t>
          </a:r>
          <a:endParaRPr lang="en-US" sz="1100">
            <a:solidFill>
              <a:srgbClr val="FF0000"/>
            </a:solidFill>
          </a:endParaRPr>
        </a:p>
      </xdr:txBody>
    </xdr:sp>
    <xdr:clientData/>
  </xdr:twoCellAnchor>
  <xdr:twoCellAnchor>
    <xdr:from>
      <xdr:col>21</xdr:col>
      <xdr:colOff>143933</xdr:colOff>
      <xdr:row>372</xdr:row>
      <xdr:rowOff>25400</xdr:rowOff>
    </xdr:from>
    <xdr:to>
      <xdr:col>25</xdr:col>
      <xdr:colOff>186267</xdr:colOff>
      <xdr:row>375</xdr:row>
      <xdr:rowOff>59268</xdr:rowOff>
    </xdr:to>
    <xdr:sp macro="" textlink="">
      <xdr:nvSpPr>
        <xdr:cNvPr id="26" name="TextBox 25">
          <a:extLst>
            <a:ext uri="{FF2B5EF4-FFF2-40B4-BE49-F238E27FC236}">
              <a16:creationId xmlns:a16="http://schemas.microsoft.com/office/drawing/2014/main" id="{BF6C65C3-1810-B225-ABC5-9547A913723B}"/>
            </a:ext>
          </a:extLst>
        </xdr:cNvPr>
        <xdr:cNvSpPr txBox="1"/>
      </xdr:nvSpPr>
      <xdr:spPr>
        <a:xfrm>
          <a:off x="10354733" y="71357067"/>
          <a:ext cx="2497667" cy="7281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Design Notes:</a:t>
          </a:r>
        </a:p>
        <a:p>
          <a:r>
            <a:rPr lang="en-US" sz="1100"/>
            <a:t>9/11/12 moved Keeper Rail</a:t>
          </a:r>
          <a:r>
            <a:rPr lang="en-US" sz="1100" baseline="0"/>
            <a:t> down 1/16"</a:t>
          </a:r>
        </a:p>
        <a:p>
          <a:r>
            <a:rPr lang="en-US" sz="1100" baseline="0"/>
            <a:t>3/27/13 moved Keeper Rail up 1/16"</a:t>
          </a:r>
          <a:endParaRPr lang="en-US" sz="1100"/>
        </a:p>
      </xdr:txBody>
    </xdr:sp>
    <xdr:clientData/>
  </xdr:twoCellAnchor>
  <xdr:twoCellAnchor>
    <xdr:from>
      <xdr:col>8</xdr:col>
      <xdr:colOff>76199</xdr:colOff>
      <xdr:row>521</xdr:row>
      <xdr:rowOff>42333</xdr:rowOff>
    </xdr:from>
    <xdr:to>
      <xdr:col>18</xdr:col>
      <xdr:colOff>143933</xdr:colOff>
      <xdr:row>524</xdr:row>
      <xdr:rowOff>135466</xdr:rowOff>
    </xdr:to>
    <xdr:sp macro="" textlink="">
      <xdr:nvSpPr>
        <xdr:cNvPr id="48" name="TextBox 47">
          <a:extLst>
            <a:ext uri="{FF2B5EF4-FFF2-40B4-BE49-F238E27FC236}">
              <a16:creationId xmlns:a16="http://schemas.microsoft.com/office/drawing/2014/main" id="{C5C65C40-CC44-4920-9D26-B6C4AA412AFB}"/>
            </a:ext>
          </a:extLst>
        </xdr:cNvPr>
        <xdr:cNvSpPr txBox="1"/>
      </xdr:nvSpPr>
      <xdr:spPr>
        <a:xfrm>
          <a:off x="5342466" y="98162533"/>
          <a:ext cx="3699934"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2</xdr:col>
      <xdr:colOff>76200</xdr:colOff>
      <xdr:row>18</xdr:row>
      <xdr:rowOff>171450</xdr:rowOff>
    </xdr:from>
    <xdr:to>
      <xdr:col>4</xdr:col>
      <xdr:colOff>533400</xdr:colOff>
      <xdr:row>25</xdr:row>
      <xdr:rowOff>0</xdr:rowOff>
    </xdr:to>
    <xdr:pic>
      <xdr:nvPicPr>
        <xdr:cNvPr id="46" name="Picture 45">
          <a:extLst>
            <a:ext uri="{FF2B5EF4-FFF2-40B4-BE49-F238E27FC236}">
              <a16:creationId xmlns:a16="http://schemas.microsoft.com/office/drawing/2014/main" id="{4D59B49D-FDA6-2DB6-4D45-F8DAC036A8DE}"/>
            </a:ext>
          </a:extLst>
        </xdr:cNvPr>
        <xdr:cNvPicPr>
          <a:picLocks noChangeAspect="1"/>
        </xdr:cNvPicPr>
      </xdr:nvPicPr>
      <xdr:blipFill>
        <a:blip xmlns:r="http://schemas.openxmlformats.org/officeDocument/2006/relationships" r:embed="rId56"/>
        <a:stretch>
          <a:fillRect/>
        </a:stretch>
      </xdr:blipFill>
      <xdr:spPr>
        <a:xfrm>
          <a:off x="1847850" y="4457700"/>
          <a:ext cx="1314450" cy="1272049"/>
        </a:xfrm>
        <a:prstGeom prst="rect">
          <a:avLst/>
        </a:prstGeom>
      </xdr:spPr>
    </xdr:pic>
    <xdr:clientData/>
  </xdr:twoCellAnchor>
  <xdr:twoCellAnchor>
    <xdr:from>
      <xdr:col>2</xdr:col>
      <xdr:colOff>126576</xdr:colOff>
      <xdr:row>30</xdr:row>
      <xdr:rowOff>30269</xdr:rowOff>
    </xdr:from>
    <xdr:to>
      <xdr:col>4</xdr:col>
      <xdr:colOff>450528</xdr:colOff>
      <xdr:row>35</xdr:row>
      <xdr:rowOff>167952</xdr:rowOff>
    </xdr:to>
    <xdr:pic>
      <xdr:nvPicPr>
        <xdr:cNvPr id="76" name="Picture 75">
          <a:extLst>
            <a:ext uri="{FF2B5EF4-FFF2-40B4-BE49-F238E27FC236}">
              <a16:creationId xmlns:a16="http://schemas.microsoft.com/office/drawing/2014/main" id="{FE43AC87-72DA-C7E3-4C55-F28CF3D8F899}"/>
            </a:ext>
          </a:extLst>
        </xdr:cNvPr>
        <xdr:cNvPicPr>
          <a:picLocks noChangeAspect="1"/>
        </xdr:cNvPicPr>
      </xdr:nvPicPr>
      <xdr:blipFill>
        <a:blip xmlns:r="http://schemas.openxmlformats.org/officeDocument/2006/relationships" r:embed="rId56"/>
        <a:stretch>
          <a:fillRect/>
        </a:stretch>
      </xdr:blipFill>
      <xdr:spPr>
        <a:xfrm>
          <a:off x="1894416" y="6111029"/>
          <a:ext cx="1177392" cy="1128283"/>
        </a:xfrm>
        <a:prstGeom prst="rect">
          <a:avLst/>
        </a:prstGeom>
      </xdr:spPr>
    </xdr:pic>
    <xdr:clientData/>
  </xdr:twoCellAnchor>
  <xdr:twoCellAnchor>
    <xdr:from>
      <xdr:col>1</xdr:col>
      <xdr:colOff>552450</xdr:colOff>
      <xdr:row>41</xdr:row>
      <xdr:rowOff>0</xdr:rowOff>
    </xdr:from>
    <xdr:to>
      <xdr:col>4</xdr:col>
      <xdr:colOff>762000</xdr:colOff>
      <xdr:row>44</xdr:row>
      <xdr:rowOff>187113</xdr:rowOff>
    </xdr:to>
    <xdr:pic>
      <xdr:nvPicPr>
        <xdr:cNvPr id="86" name="Picture 85">
          <a:extLst>
            <a:ext uri="{FF2B5EF4-FFF2-40B4-BE49-F238E27FC236}">
              <a16:creationId xmlns:a16="http://schemas.microsoft.com/office/drawing/2014/main" id="{EE0DFD86-0EA2-D6CC-53EE-B4FBA1186098}"/>
            </a:ext>
          </a:extLst>
        </xdr:cNvPr>
        <xdr:cNvPicPr>
          <a:picLocks noChangeAspect="1"/>
        </xdr:cNvPicPr>
      </xdr:nvPicPr>
      <xdr:blipFill>
        <a:blip xmlns:r="http://schemas.openxmlformats.org/officeDocument/2006/relationships" r:embed="rId57"/>
        <a:stretch>
          <a:fillRect/>
        </a:stretch>
      </xdr:blipFill>
      <xdr:spPr>
        <a:xfrm>
          <a:off x="1743075" y="8048625"/>
          <a:ext cx="1647825" cy="730419"/>
        </a:xfrm>
        <a:prstGeom prst="rect">
          <a:avLst/>
        </a:prstGeom>
      </xdr:spPr>
    </xdr:pic>
    <xdr:clientData/>
  </xdr:twoCellAnchor>
  <xdr:twoCellAnchor>
    <xdr:from>
      <xdr:col>2</xdr:col>
      <xdr:colOff>133350</xdr:colOff>
      <xdr:row>48</xdr:row>
      <xdr:rowOff>76200</xdr:rowOff>
    </xdr:from>
    <xdr:to>
      <xdr:col>4</xdr:col>
      <xdr:colOff>61028</xdr:colOff>
      <xdr:row>53</xdr:row>
      <xdr:rowOff>0</xdr:rowOff>
    </xdr:to>
    <xdr:pic>
      <xdr:nvPicPr>
        <xdr:cNvPr id="87" name="Picture 86">
          <a:extLst>
            <a:ext uri="{FF2B5EF4-FFF2-40B4-BE49-F238E27FC236}">
              <a16:creationId xmlns:a16="http://schemas.microsoft.com/office/drawing/2014/main" id="{B4191119-3843-F710-1EE8-C2E0D0CE10FC}"/>
            </a:ext>
          </a:extLst>
        </xdr:cNvPr>
        <xdr:cNvPicPr>
          <a:picLocks noChangeAspect="1"/>
        </xdr:cNvPicPr>
      </xdr:nvPicPr>
      <xdr:blipFill>
        <a:blip xmlns:r="http://schemas.openxmlformats.org/officeDocument/2006/relationships" r:embed="rId58"/>
        <a:stretch>
          <a:fillRect/>
        </a:stretch>
      </xdr:blipFill>
      <xdr:spPr>
        <a:xfrm>
          <a:off x="1905000" y="9458325"/>
          <a:ext cx="784928" cy="815411"/>
        </a:xfrm>
        <a:prstGeom prst="rect">
          <a:avLst/>
        </a:prstGeom>
      </xdr:spPr>
    </xdr:pic>
    <xdr:clientData/>
  </xdr:twoCellAnchor>
  <xdr:twoCellAnchor>
    <xdr:from>
      <xdr:col>2</xdr:col>
      <xdr:colOff>9526</xdr:colOff>
      <xdr:row>55</xdr:row>
      <xdr:rowOff>1</xdr:rowOff>
    </xdr:from>
    <xdr:to>
      <xdr:col>4</xdr:col>
      <xdr:colOff>314326</xdr:colOff>
      <xdr:row>57</xdr:row>
      <xdr:rowOff>106495</xdr:rowOff>
    </xdr:to>
    <xdr:pic>
      <xdr:nvPicPr>
        <xdr:cNvPr id="90" name="Picture 89">
          <a:extLst>
            <a:ext uri="{FF2B5EF4-FFF2-40B4-BE49-F238E27FC236}">
              <a16:creationId xmlns:a16="http://schemas.microsoft.com/office/drawing/2014/main" id="{F7153A64-89B9-AB8C-5B68-9643463D05EA}"/>
            </a:ext>
          </a:extLst>
        </xdr:cNvPr>
        <xdr:cNvPicPr>
          <a:picLocks noChangeAspect="1"/>
        </xdr:cNvPicPr>
      </xdr:nvPicPr>
      <xdr:blipFill>
        <a:blip xmlns:r="http://schemas.openxmlformats.org/officeDocument/2006/relationships" r:embed="rId59"/>
        <a:stretch>
          <a:fillRect/>
        </a:stretch>
      </xdr:blipFill>
      <xdr:spPr>
        <a:xfrm>
          <a:off x="1781176" y="10715626"/>
          <a:ext cx="1162050" cy="487494"/>
        </a:xfrm>
        <a:prstGeom prst="rect">
          <a:avLst/>
        </a:prstGeom>
      </xdr:spPr>
    </xdr:pic>
    <xdr:clientData/>
  </xdr:twoCellAnchor>
  <xdr:twoCellAnchor>
    <xdr:from>
      <xdr:col>2</xdr:col>
      <xdr:colOff>0</xdr:colOff>
      <xdr:row>59</xdr:row>
      <xdr:rowOff>180975</xdr:rowOff>
    </xdr:from>
    <xdr:to>
      <xdr:col>4</xdr:col>
      <xdr:colOff>364038</xdr:colOff>
      <xdr:row>64</xdr:row>
      <xdr:rowOff>0</xdr:rowOff>
    </xdr:to>
    <xdr:pic>
      <xdr:nvPicPr>
        <xdr:cNvPr id="91" name="Picture 90">
          <a:extLst>
            <a:ext uri="{FF2B5EF4-FFF2-40B4-BE49-F238E27FC236}">
              <a16:creationId xmlns:a16="http://schemas.microsoft.com/office/drawing/2014/main" id="{B467FB14-50CD-CE4E-0112-6B8067812462}"/>
            </a:ext>
          </a:extLst>
        </xdr:cNvPr>
        <xdr:cNvPicPr>
          <a:picLocks noChangeAspect="1"/>
        </xdr:cNvPicPr>
      </xdr:nvPicPr>
      <xdr:blipFill>
        <a:blip xmlns:r="http://schemas.openxmlformats.org/officeDocument/2006/relationships" r:embed="rId60"/>
        <a:stretch>
          <a:fillRect/>
        </a:stretch>
      </xdr:blipFill>
      <xdr:spPr>
        <a:xfrm>
          <a:off x="1771650" y="11658600"/>
          <a:ext cx="1221288" cy="685800"/>
        </a:xfrm>
        <a:prstGeom prst="rect">
          <a:avLst/>
        </a:prstGeom>
      </xdr:spPr>
    </xdr:pic>
    <xdr:clientData/>
  </xdr:twoCellAnchor>
  <xdr:twoCellAnchor>
    <xdr:from>
      <xdr:col>1</xdr:col>
      <xdr:colOff>523875</xdr:colOff>
      <xdr:row>67</xdr:row>
      <xdr:rowOff>104775</xdr:rowOff>
    </xdr:from>
    <xdr:to>
      <xdr:col>4</xdr:col>
      <xdr:colOff>400050</xdr:colOff>
      <xdr:row>74</xdr:row>
      <xdr:rowOff>0</xdr:rowOff>
    </xdr:to>
    <xdr:pic>
      <xdr:nvPicPr>
        <xdr:cNvPr id="96" name="Picture 95">
          <a:extLst>
            <a:ext uri="{FF2B5EF4-FFF2-40B4-BE49-F238E27FC236}">
              <a16:creationId xmlns:a16="http://schemas.microsoft.com/office/drawing/2014/main" id="{7FB17D7C-7BAC-4578-A68B-660A44C12FED}"/>
            </a:ext>
          </a:extLst>
        </xdr:cNvPr>
        <xdr:cNvPicPr>
          <a:picLocks noChangeAspect="1"/>
        </xdr:cNvPicPr>
      </xdr:nvPicPr>
      <xdr:blipFill>
        <a:blip xmlns:r="http://schemas.openxmlformats.org/officeDocument/2006/relationships" r:embed="rId56"/>
        <a:stretch>
          <a:fillRect/>
        </a:stretch>
      </xdr:blipFill>
      <xdr:spPr>
        <a:xfrm>
          <a:off x="1714500" y="13106400"/>
          <a:ext cx="1314450" cy="1272049"/>
        </a:xfrm>
        <a:prstGeom prst="rect">
          <a:avLst/>
        </a:prstGeom>
      </xdr:spPr>
    </xdr:pic>
    <xdr:clientData/>
  </xdr:twoCellAnchor>
  <xdr:twoCellAnchor>
    <xdr:from>
      <xdr:col>2</xdr:col>
      <xdr:colOff>0</xdr:colOff>
      <xdr:row>79</xdr:row>
      <xdr:rowOff>28575</xdr:rowOff>
    </xdr:from>
    <xdr:to>
      <xdr:col>4</xdr:col>
      <xdr:colOff>457200</xdr:colOff>
      <xdr:row>84</xdr:row>
      <xdr:rowOff>100474</xdr:rowOff>
    </xdr:to>
    <xdr:pic>
      <xdr:nvPicPr>
        <xdr:cNvPr id="100" name="Picture 99">
          <a:extLst>
            <a:ext uri="{FF2B5EF4-FFF2-40B4-BE49-F238E27FC236}">
              <a16:creationId xmlns:a16="http://schemas.microsoft.com/office/drawing/2014/main" id="{4B8A03B3-8E3F-6413-AB02-5AD12199873B}"/>
            </a:ext>
          </a:extLst>
        </xdr:cNvPr>
        <xdr:cNvPicPr>
          <a:picLocks noChangeAspect="1"/>
        </xdr:cNvPicPr>
      </xdr:nvPicPr>
      <xdr:blipFill>
        <a:blip xmlns:r="http://schemas.openxmlformats.org/officeDocument/2006/relationships" r:embed="rId56"/>
        <a:stretch>
          <a:fillRect/>
        </a:stretch>
      </xdr:blipFill>
      <xdr:spPr>
        <a:xfrm>
          <a:off x="1771650" y="14954250"/>
          <a:ext cx="1314450" cy="1272049"/>
        </a:xfrm>
        <a:prstGeom prst="rect">
          <a:avLst/>
        </a:prstGeom>
      </xdr:spPr>
    </xdr:pic>
    <xdr:clientData/>
  </xdr:twoCellAnchor>
  <xdr:twoCellAnchor>
    <xdr:from>
      <xdr:col>2</xdr:col>
      <xdr:colOff>123825</xdr:colOff>
      <xdr:row>97</xdr:row>
      <xdr:rowOff>123825</xdr:rowOff>
    </xdr:from>
    <xdr:to>
      <xdr:col>4</xdr:col>
      <xdr:colOff>51503</xdr:colOff>
      <xdr:row>102</xdr:row>
      <xdr:rowOff>0</xdr:rowOff>
    </xdr:to>
    <xdr:pic>
      <xdr:nvPicPr>
        <xdr:cNvPr id="101" name="Picture 100">
          <a:extLst>
            <a:ext uri="{FF2B5EF4-FFF2-40B4-BE49-F238E27FC236}">
              <a16:creationId xmlns:a16="http://schemas.microsoft.com/office/drawing/2014/main" id="{1550B1CC-B14E-4E21-8C24-569857DDBDA4}"/>
            </a:ext>
          </a:extLst>
        </xdr:cNvPr>
        <xdr:cNvPicPr>
          <a:picLocks noChangeAspect="1"/>
        </xdr:cNvPicPr>
      </xdr:nvPicPr>
      <xdr:blipFill>
        <a:blip xmlns:r="http://schemas.openxmlformats.org/officeDocument/2006/relationships" r:embed="rId58"/>
        <a:stretch>
          <a:fillRect/>
        </a:stretch>
      </xdr:blipFill>
      <xdr:spPr>
        <a:xfrm>
          <a:off x="1895475" y="18164175"/>
          <a:ext cx="784928" cy="815411"/>
        </a:xfrm>
        <a:prstGeom prst="rect">
          <a:avLst/>
        </a:prstGeom>
      </xdr:spPr>
    </xdr:pic>
    <xdr:clientData/>
  </xdr:twoCellAnchor>
  <xdr:twoCellAnchor>
    <xdr:from>
      <xdr:col>2</xdr:col>
      <xdr:colOff>0</xdr:colOff>
      <xdr:row>90</xdr:row>
      <xdr:rowOff>0</xdr:rowOff>
    </xdr:from>
    <xdr:to>
      <xdr:col>4</xdr:col>
      <xdr:colOff>790575</xdr:colOff>
      <xdr:row>93</xdr:row>
      <xdr:rowOff>187113</xdr:rowOff>
    </xdr:to>
    <xdr:pic>
      <xdr:nvPicPr>
        <xdr:cNvPr id="103" name="Picture 102">
          <a:extLst>
            <a:ext uri="{FF2B5EF4-FFF2-40B4-BE49-F238E27FC236}">
              <a16:creationId xmlns:a16="http://schemas.microsoft.com/office/drawing/2014/main" id="{9CA8D572-87F9-4DFC-AC46-3CB4C00DAB35}"/>
            </a:ext>
          </a:extLst>
        </xdr:cNvPr>
        <xdr:cNvPicPr>
          <a:picLocks noChangeAspect="1"/>
        </xdr:cNvPicPr>
      </xdr:nvPicPr>
      <xdr:blipFill>
        <a:blip xmlns:r="http://schemas.openxmlformats.org/officeDocument/2006/relationships" r:embed="rId57"/>
        <a:stretch>
          <a:fillRect/>
        </a:stretch>
      </xdr:blipFill>
      <xdr:spPr>
        <a:xfrm>
          <a:off x="1771650" y="16706850"/>
          <a:ext cx="1647825" cy="730419"/>
        </a:xfrm>
        <a:prstGeom prst="rect">
          <a:avLst/>
        </a:prstGeom>
      </xdr:spPr>
    </xdr:pic>
    <xdr:clientData/>
  </xdr:twoCellAnchor>
  <xdr:twoCellAnchor>
    <xdr:from>
      <xdr:col>2</xdr:col>
      <xdr:colOff>0</xdr:colOff>
      <xdr:row>105</xdr:row>
      <xdr:rowOff>0</xdr:rowOff>
    </xdr:from>
    <xdr:to>
      <xdr:col>4</xdr:col>
      <xdr:colOff>364038</xdr:colOff>
      <xdr:row>108</xdr:row>
      <xdr:rowOff>187113</xdr:rowOff>
    </xdr:to>
    <xdr:pic>
      <xdr:nvPicPr>
        <xdr:cNvPr id="106" name="Picture 105">
          <a:extLst>
            <a:ext uri="{FF2B5EF4-FFF2-40B4-BE49-F238E27FC236}">
              <a16:creationId xmlns:a16="http://schemas.microsoft.com/office/drawing/2014/main" id="{5B4F3637-F841-4554-99F1-B97BD825B33A}"/>
            </a:ext>
          </a:extLst>
        </xdr:cNvPr>
        <xdr:cNvPicPr>
          <a:picLocks noChangeAspect="1"/>
        </xdr:cNvPicPr>
      </xdr:nvPicPr>
      <xdr:blipFill>
        <a:blip xmlns:r="http://schemas.openxmlformats.org/officeDocument/2006/relationships" r:embed="rId60"/>
        <a:stretch>
          <a:fillRect/>
        </a:stretch>
      </xdr:blipFill>
      <xdr:spPr>
        <a:xfrm>
          <a:off x="1771650" y="19564350"/>
          <a:ext cx="1221288" cy="685800"/>
        </a:xfrm>
        <a:prstGeom prst="rect">
          <a:avLst/>
        </a:prstGeom>
      </xdr:spPr>
    </xdr:pic>
    <xdr:clientData/>
  </xdr:twoCellAnchor>
  <xdr:twoCellAnchor>
    <xdr:from>
      <xdr:col>1</xdr:col>
      <xdr:colOff>571500</xdr:colOff>
      <xdr:row>120</xdr:row>
      <xdr:rowOff>171450</xdr:rowOff>
    </xdr:from>
    <xdr:to>
      <xdr:col>4</xdr:col>
      <xdr:colOff>781050</xdr:colOff>
      <xdr:row>124</xdr:row>
      <xdr:rowOff>139870</xdr:rowOff>
    </xdr:to>
    <xdr:pic>
      <xdr:nvPicPr>
        <xdr:cNvPr id="110" name="Picture 109">
          <a:extLst>
            <a:ext uri="{FF2B5EF4-FFF2-40B4-BE49-F238E27FC236}">
              <a16:creationId xmlns:a16="http://schemas.microsoft.com/office/drawing/2014/main" id="{1D9732FA-E81F-44B4-A6E2-96D379C73DCB}"/>
            </a:ext>
          </a:extLst>
        </xdr:cNvPr>
        <xdr:cNvPicPr>
          <a:picLocks noChangeAspect="1"/>
        </xdr:cNvPicPr>
      </xdr:nvPicPr>
      <xdr:blipFill>
        <a:blip xmlns:r="http://schemas.openxmlformats.org/officeDocument/2006/relationships" r:embed="rId57"/>
        <a:stretch>
          <a:fillRect/>
        </a:stretch>
      </xdr:blipFill>
      <xdr:spPr>
        <a:xfrm>
          <a:off x="1762125" y="22402800"/>
          <a:ext cx="1647825" cy="730419"/>
        </a:xfrm>
        <a:prstGeom prst="rect">
          <a:avLst/>
        </a:prstGeom>
      </xdr:spPr>
    </xdr:pic>
    <xdr:clientData/>
  </xdr:twoCellAnchor>
  <xdr:twoCellAnchor>
    <xdr:from>
      <xdr:col>2</xdr:col>
      <xdr:colOff>38099</xdr:colOff>
      <xdr:row>130</xdr:row>
      <xdr:rowOff>57150</xdr:rowOff>
    </xdr:from>
    <xdr:to>
      <xdr:col>4</xdr:col>
      <xdr:colOff>428624</xdr:colOff>
      <xdr:row>136</xdr:row>
      <xdr:rowOff>63975</xdr:rowOff>
    </xdr:to>
    <xdr:pic>
      <xdr:nvPicPr>
        <xdr:cNvPr id="115" name="Picture 114">
          <a:extLst>
            <a:ext uri="{FF2B5EF4-FFF2-40B4-BE49-F238E27FC236}">
              <a16:creationId xmlns:a16="http://schemas.microsoft.com/office/drawing/2014/main" id="{35D8A13B-E57C-D636-507E-99E7176DC42C}"/>
            </a:ext>
          </a:extLst>
        </xdr:cNvPr>
        <xdr:cNvPicPr>
          <a:picLocks noChangeAspect="1"/>
        </xdr:cNvPicPr>
      </xdr:nvPicPr>
      <xdr:blipFill>
        <a:blip xmlns:r="http://schemas.openxmlformats.org/officeDocument/2006/relationships" r:embed="rId61"/>
        <a:stretch>
          <a:fillRect/>
        </a:stretch>
      </xdr:blipFill>
      <xdr:spPr>
        <a:xfrm>
          <a:off x="1809749" y="24193500"/>
          <a:ext cx="1247775" cy="1159350"/>
        </a:xfrm>
        <a:prstGeom prst="rect">
          <a:avLst/>
        </a:prstGeom>
      </xdr:spPr>
    </xdr:pic>
    <xdr:clientData/>
  </xdr:twoCellAnchor>
  <xdr:twoCellAnchor>
    <xdr:from>
      <xdr:col>2</xdr:col>
      <xdr:colOff>118109</xdr:colOff>
      <xdr:row>141</xdr:row>
      <xdr:rowOff>186690</xdr:rowOff>
    </xdr:from>
    <xdr:to>
      <xdr:col>4</xdr:col>
      <xdr:colOff>508634</xdr:colOff>
      <xdr:row>147</xdr:row>
      <xdr:rowOff>145890</xdr:rowOff>
    </xdr:to>
    <xdr:pic>
      <xdr:nvPicPr>
        <xdr:cNvPr id="118" name="Picture 117">
          <a:extLst>
            <a:ext uri="{FF2B5EF4-FFF2-40B4-BE49-F238E27FC236}">
              <a16:creationId xmlns:a16="http://schemas.microsoft.com/office/drawing/2014/main" id="{D23E0430-6602-5DFD-03EF-A27529A1CF80}"/>
            </a:ext>
          </a:extLst>
        </xdr:cNvPr>
        <xdr:cNvPicPr>
          <a:picLocks noChangeAspect="1"/>
        </xdr:cNvPicPr>
      </xdr:nvPicPr>
      <xdr:blipFill>
        <a:blip xmlns:r="http://schemas.openxmlformats.org/officeDocument/2006/relationships" r:embed="rId61"/>
        <a:stretch>
          <a:fillRect/>
        </a:stretch>
      </xdr:blipFill>
      <xdr:spPr>
        <a:xfrm>
          <a:off x="1885949" y="25226010"/>
          <a:ext cx="1243965" cy="1147920"/>
        </a:xfrm>
        <a:prstGeom prst="rect">
          <a:avLst/>
        </a:prstGeom>
      </xdr:spPr>
    </xdr:pic>
    <xdr:clientData/>
  </xdr:twoCellAnchor>
  <xdr:twoCellAnchor>
    <xdr:from>
      <xdr:col>2</xdr:col>
      <xdr:colOff>137160</xdr:colOff>
      <xdr:row>153</xdr:row>
      <xdr:rowOff>83820</xdr:rowOff>
    </xdr:from>
    <xdr:to>
      <xdr:col>4</xdr:col>
      <xdr:colOff>64838</xdr:colOff>
      <xdr:row>157</xdr:row>
      <xdr:rowOff>137231</xdr:rowOff>
    </xdr:to>
    <xdr:pic>
      <xdr:nvPicPr>
        <xdr:cNvPr id="119" name="Picture 118">
          <a:extLst>
            <a:ext uri="{FF2B5EF4-FFF2-40B4-BE49-F238E27FC236}">
              <a16:creationId xmlns:a16="http://schemas.microsoft.com/office/drawing/2014/main" id="{0748D35B-656A-4AEC-99E4-720947C21CFA}"/>
            </a:ext>
          </a:extLst>
        </xdr:cNvPr>
        <xdr:cNvPicPr>
          <a:picLocks noChangeAspect="1"/>
        </xdr:cNvPicPr>
      </xdr:nvPicPr>
      <xdr:blipFill>
        <a:blip xmlns:r="http://schemas.openxmlformats.org/officeDocument/2006/relationships" r:embed="rId58"/>
        <a:stretch>
          <a:fillRect/>
        </a:stretch>
      </xdr:blipFill>
      <xdr:spPr>
        <a:xfrm>
          <a:off x="1905000" y="26890980"/>
          <a:ext cx="781118" cy="815411"/>
        </a:xfrm>
        <a:prstGeom prst="rect">
          <a:avLst/>
        </a:prstGeom>
      </xdr:spPr>
    </xdr:pic>
    <xdr:clientData/>
  </xdr:twoCellAnchor>
  <xdr:twoCellAnchor>
    <xdr:from>
      <xdr:col>2</xdr:col>
      <xdr:colOff>95250</xdr:colOff>
      <xdr:row>161</xdr:row>
      <xdr:rowOff>0</xdr:rowOff>
    </xdr:from>
    <xdr:to>
      <xdr:col>4</xdr:col>
      <xdr:colOff>459288</xdr:colOff>
      <xdr:row>164</xdr:row>
      <xdr:rowOff>114300</xdr:rowOff>
    </xdr:to>
    <xdr:pic>
      <xdr:nvPicPr>
        <xdr:cNvPr id="122" name="Picture 121">
          <a:extLst>
            <a:ext uri="{FF2B5EF4-FFF2-40B4-BE49-F238E27FC236}">
              <a16:creationId xmlns:a16="http://schemas.microsoft.com/office/drawing/2014/main" id="{A33AE87A-D96E-4437-B6AD-74F73E237226}"/>
            </a:ext>
          </a:extLst>
        </xdr:cNvPr>
        <xdr:cNvPicPr>
          <a:picLocks noChangeAspect="1"/>
        </xdr:cNvPicPr>
      </xdr:nvPicPr>
      <xdr:blipFill>
        <a:blip xmlns:r="http://schemas.openxmlformats.org/officeDocument/2006/relationships" r:embed="rId60"/>
        <a:stretch>
          <a:fillRect/>
        </a:stretch>
      </xdr:blipFill>
      <xdr:spPr>
        <a:xfrm>
          <a:off x="1866900" y="29365575"/>
          <a:ext cx="1221288" cy="685800"/>
        </a:xfrm>
        <a:prstGeom prst="rect">
          <a:avLst/>
        </a:prstGeom>
      </xdr:spPr>
    </xdr:pic>
    <xdr:clientData/>
  </xdr:twoCellAnchor>
  <xdr:twoCellAnchor>
    <xdr:from>
      <xdr:col>2</xdr:col>
      <xdr:colOff>232416</xdr:colOff>
      <xdr:row>167</xdr:row>
      <xdr:rowOff>43807</xdr:rowOff>
    </xdr:from>
    <xdr:to>
      <xdr:col>4</xdr:col>
      <xdr:colOff>114299</xdr:colOff>
      <xdr:row>172</xdr:row>
      <xdr:rowOff>19730</xdr:rowOff>
    </xdr:to>
    <xdr:pic>
      <xdr:nvPicPr>
        <xdr:cNvPr id="125" name="Picture 124">
          <a:extLst>
            <a:ext uri="{FF2B5EF4-FFF2-40B4-BE49-F238E27FC236}">
              <a16:creationId xmlns:a16="http://schemas.microsoft.com/office/drawing/2014/main" id="{DDAD7086-AED6-D93D-CF55-6589A143FA29}"/>
            </a:ext>
          </a:extLst>
        </xdr:cNvPr>
        <xdr:cNvPicPr>
          <a:picLocks noChangeAspect="1"/>
        </xdr:cNvPicPr>
      </xdr:nvPicPr>
      <xdr:blipFill>
        <a:blip xmlns:r="http://schemas.openxmlformats.org/officeDocument/2006/relationships" r:embed="rId62"/>
        <a:stretch>
          <a:fillRect/>
        </a:stretch>
      </xdr:blipFill>
      <xdr:spPr>
        <a:xfrm rot="16200000">
          <a:off x="1909421" y="30647027"/>
          <a:ext cx="928423" cy="739133"/>
        </a:xfrm>
        <a:prstGeom prst="rect">
          <a:avLst/>
        </a:prstGeom>
      </xdr:spPr>
    </xdr:pic>
    <xdr:clientData/>
  </xdr:twoCellAnchor>
  <xdr:twoCellAnchor>
    <xdr:from>
      <xdr:col>2</xdr:col>
      <xdr:colOff>57150</xdr:colOff>
      <xdr:row>194</xdr:row>
      <xdr:rowOff>152400</xdr:rowOff>
    </xdr:from>
    <xdr:to>
      <xdr:col>4</xdr:col>
      <xdr:colOff>209550</xdr:colOff>
      <xdr:row>198</xdr:row>
      <xdr:rowOff>171058</xdr:rowOff>
    </xdr:to>
    <xdr:pic>
      <xdr:nvPicPr>
        <xdr:cNvPr id="141" name="Picture 140">
          <a:extLst>
            <a:ext uri="{FF2B5EF4-FFF2-40B4-BE49-F238E27FC236}">
              <a16:creationId xmlns:a16="http://schemas.microsoft.com/office/drawing/2014/main" id="{66FB3ED8-AFD6-F4B9-845B-59C3853FDCCC}"/>
            </a:ext>
          </a:extLst>
        </xdr:cNvPr>
        <xdr:cNvPicPr>
          <a:picLocks noChangeAspect="1"/>
        </xdr:cNvPicPr>
      </xdr:nvPicPr>
      <xdr:blipFill>
        <a:blip xmlns:r="http://schemas.openxmlformats.org/officeDocument/2006/relationships" r:embed="rId63"/>
        <a:stretch>
          <a:fillRect/>
        </a:stretch>
      </xdr:blipFill>
      <xdr:spPr>
        <a:xfrm>
          <a:off x="1828800" y="35604450"/>
          <a:ext cx="1009650" cy="780658"/>
        </a:xfrm>
        <a:prstGeom prst="rect">
          <a:avLst/>
        </a:prstGeom>
      </xdr:spPr>
    </xdr:pic>
    <xdr:clientData/>
  </xdr:twoCellAnchor>
  <xdr:twoCellAnchor>
    <xdr:from>
      <xdr:col>1</xdr:col>
      <xdr:colOff>514350</xdr:colOff>
      <xdr:row>218</xdr:row>
      <xdr:rowOff>180975</xdr:rowOff>
    </xdr:from>
    <xdr:to>
      <xdr:col>3</xdr:col>
      <xdr:colOff>355600</xdr:colOff>
      <xdr:row>223</xdr:row>
      <xdr:rowOff>135203</xdr:rowOff>
    </xdr:to>
    <xdr:pic>
      <xdr:nvPicPr>
        <xdr:cNvPr id="142" name="Picture 141">
          <a:extLst>
            <a:ext uri="{FF2B5EF4-FFF2-40B4-BE49-F238E27FC236}">
              <a16:creationId xmlns:a16="http://schemas.microsoft.com/office/drawing/2014/main" id="{38AF78BC-AFC3-CB64-E144-D095FCE0F147}"/>
            </a:ext>
          </a:extLst>
        </xdr:cNvPr>
        <xdr:cNvPicPr>
          <a:picLocks noChangeAspect="1"/>
        </xdr:cNvPicPr>
      </xdr:nvPicPr>
      <xdr:blipFill>
        <a:blip xmlns:r="http://schemas.openxmlformats.org/officeDocument/2006/relationships" r:embed="rId64"/>
        <a:stretch>
          <a:fillRect/>
        </a:stretch>
      </xdr:blipFill>
      <xdr:spPr>
        <a:xfrm>
          <a:off x="1699683" y="39669508"/>
          <a:ext cx="840317" cy="927895"/>
        </a:xfrm>
        <a:prstGeom prst="rect">
          <a:avLst/>
        </a:prstGeom>
      </xdr:spPr>
    </xdr:pic>
    <xdr:clientData/>
  </xdr:twoCellAnchor>
  <xdr:twoCellAnchor>
    <xdr:from>
      <xdr:col>3</xdr:col>
      <xdr:colOff>304800</xdr:colOff>
      <xdr:row>225</xdr:row>
      <xdr:rowOff>47626</xdr:rowOff>
    </xdr:from>
    <xdr:to>
      <xdr:col>4</xdr:col>
      <xdr:colOff>714770</xdr:colOff>
      <xdr:row>229</xdr:row>
      <xdr:rowOff>161925</xdr:rowOff>
    </xdr:to>
    <xdr:pic>
      <xdr:nvPicPr>
        <xdr:cNvPr id="143" name="Picture 142">
          <a:extLst>
            <a:ext uri="{FF2B5EF4-FFF2-40B4-BE49-F238E27FC236}">
              <a16:creationId xmlns:a16="http://schemas.microsoft.com/office/drawing/2014/main" id="{5C3830A7-BBC1-6119-E1D9-3DFDC3BD4BD0}"/>
            </a:ext>
          </a:extLst>
        </xdr:cNvPr>
        <xdr:cNvPicPr>
          <a:picLocks noChangeAspect="1"/>
        </xdr:cNvPicPr>
      </xdr:nvPicPr>
      <xdr:blipFill>
        <a:blip xmlns:r="http://schemas.openxmlformats.org/officeDocument/2006/relationships" r:embed="rId64"/>
        <a:stretch>
          <a:fillRect/>
        </a:stretch>
      </xdr:blipFill>
      <xdr:spPr>
        <a:xfrm>
          <a:off x="2505075" y="41195626"/>
          <a:ext cx="838595" cy="914400"/>
        </a:xfrm>
        <a:prstGeom prst="rect">
          <a:avLst/>
        </a:prstGeom>
      </xdr:spPr>
    </xdr:pic>
    <xdr:clientData/>
  </xdr:twoCellAnchor>
  <xdr:twoCellAnchor>
    <xdr:from>
      <xdr:col>2</xdr:col>
      <xdr:colOff>47626</xdr:colOff>
      <xdr:row>231</xdr:row>
      <xdr:rowOff>161925</xdr:rowOff>
    </xdr:from>
    <xdr:to>
      <xdr:col>4</xdr:col>
      <xdr:colOff>83104</xdr:colOff>
      <xdr:row>236</xdr:row>
      <xdr:rowOff>160867</xdr:rowOff>
    </xdr:to>
    <xdr:pic>
      <xdr:nvPicPr>
        <xdr:cNvPr id="145" name="Picture 144">
          <a:extLst>
            <a:ext uri="{FF2B5EF4-FFF2-40B4-BE49-F238E27FC236}">
              <a16:creationId xmlns:a16="http://schemas.microsoft.com/office/drawing/2014/main" id="{1F3308E7-8E67-5123-B3C2-D6ACC9CE79B7}"/>
            </a:ext>
          </a:extLst>
        </xdr:cNvPr>
        <xdr:cNvPicPr>
          <a:picLocks noChangeAspect="1"/>
        </xdr:cNvPicPr>
      </xdr:nvPicPr>
      <xdr:blipFill>
        <a:blip xmlns:r="http://schemas.openxmlformats.org/officeDocument/2006/relationships" r:embed="rId65"/>
        <a:stretch>
          <a:fillRect/>
        </a:stretch>
      </xdr:blipFill>
      <xdr:spPr>
        <a:xfrm>
          <a:off x="1808693" y="41987258"/>
          <a:ext cx="882144" cy="972609"/>
        </a:xfrm>
        <a:prstGeom prst="rect">
          <a:avLst/>
        </a:prstGeom>
      </xdr:spPr>
    </xdr:pic>
    <xdr:clientData/>
  </xdr:twoCellAnchor>
  <xdr:twoCellAnchor>
    <xdr:from>
      <xdr:col>3</xdr:col>
      <xdr:colOff>266700</xdr:colOff>
      <xdr:row>237</xdr:row>
      <xdr:rowOff>66675</xdr:rowOff>
    </xdr:from>
    <xdr:to>
      <xdr:col>4</xdr:col>
      <xdr:colOff>647458</xdr:colOff>
      <xdr:row>241</xdr:row>
      <xdr:rowOff>152400</xdr:rowOff>
    </xdr:to>
    <xdr:pic>
      <xdr:nvPicPr>
        <xdr:cNvPr id="146" name="Picture 145">
          <a:extLst>
            <a:ext uri="{FF2B5EF4-FFF2-40B4-BE49-F238E27FC236}">
              <a16:creationId xmlns:a16="http://schemas.microsoft.com/office/drawing/2014/main" id="{C47E09D9-5F8F-F741-5184-185C09A8084C}"/>
            </a:ext>
          </a:extLst>
        </xdr:cNvPr>
        <xdr:cNvPicPr>
          <a:picLocks noChangeAspect="1"/>
        </xdr:cNvPicPr>
      </xdr:nvPicPr>
      <xdr:blipFill>
        <a:blip xmlns:r="http://schemas.openxmlformats.org/officeDocument/2006/relationships" r:embed="rId65"/>
        <a:stretch>
          <a:fillRect/>
        </a:stretch>
      </xdr:blipFill>
      <xdr:spPr>
        <a:xfrm>
          <a:off x="2466975" y="43586400"/>
          <a:ext cx="809383" cy="885825"/>
        </a:xfrm>
        <a:prstGeom prst="rect">
          <a:avLst/>
        </a:prstGeom>
      </xdr:spPr>
    </xdr:pic>
    <xdr:clientData/>
  </xdr:twoCellAnchor>
  <xdr:twoCellAnchor>
    <xdr:from>
      <xdr:col>2</xdr:col>
      <xdr:colOff>190500</xdr:colOff>
      <xdr:row>243</xdr:row>
      <xdr:rowOff>76200</xdr:rowOff>
    </xdr:from>
    <xdr:to>
      <xdr:col>4</xdr:col>
      <xdr:colOff>368110</xdr:colOff>
      <xdr:row>246</xdr:row>
      <xdr:rowOff>161925</xdr:rowOff>
    </xdr:to>
    <xdr:pic>
      <xdr:nvPicPr>
        <xdr:cNvPr id="169" name="Picture 168">
          <a:extLst>
            <a:ext uri="{FF2B5EF4-FFF2-40B4-BE49-F238E27FC236}">
              <a16:creationId xmlns:a16="http://schemas.microsoft.com/office/drawing/2014/main" id="{49E8F3F4-0A8A-DE42-ACAB-7EA39EB2362A}"/>
            </a:ext>
          </a:extLst>
        </xdr:cNvPr>
        <xdr:cNvPicPr>
          <a:picLocks noChangeAspect="1"/>
        </xdr:cNvPicPr>
      </xdr:nvPicPr>
      <xdr:blipFill>
        <a:blip xmlns:r="http://schemas.openxmlformats.org/officeDocument/2006/relationships" r:embed="rId66"/>
        <a:stretch>
          <a:fillRect/>
        </a:stretch>
      </xdr:blipFill>
      <xdr:spPr>
        <a:xfrm>
          <a:off x="1962150" y="44796075"/>
          <a:ext cx="1034860" cy="685800"/>
        </a:xfrm>
        <a:prstGeom prst="rect">
          <a:avLst/>
        </a:prstGeom>
      </xdr:spPr>
    </xdr:pic>
    <xdr:clientData/>
  </xdr:twoCellAnchor>
  <xdr:twoCellAnchor>
    <xdr:from>
      <xdr:col>3</xdr:col>
      <xdr:colOff>160867</xdr:colOff>
      <xdr:row>249</xdr:row>
      <xdr:rowOff>10583</xdr:rowOff>
    </xdr:from>
    <xdr:to>
      <xdr:col>4</xdr:col>
      <xdr:colOff>767102</xdr:colOff>
      <xdr:row>252</xdr:row>
      <xdr:rowOff>96308</xdr:rowOff>
    </xdr:to>
    <xdr:pic>
      <xdr:nvPicPr>
        <xdr:cNvPr id="170" name="Picture 169">
          <a:extLst>
            <a:ext uri="{FF2B5EF4-FFF2-40B4-BE49-F238E27FC236}">
              <a16:creationId xmlns:a16="http://schemas.microsoft.com/office/drawing/2014/main" id="{C28EB64C-67F6-9D3D-5BF2-233598266C60}"/>
            </a:ext>
          </a:extLst>
        </xdr:cNvPr>
        <xdr:cNvPicPr>
          <a:picLocks noChangeAspect="1"/>
        </xdr:cNvPicPr>
      </xdr:nvPicPr>
      <xdr:blipFill>
        <a:blip xmlns:r="http://schemas.openxmlformats.org/officeDocument/2006/relationships" r:embed="rId66"/>
        <a:stretch>
          <a:fillRect/>
        </a:stretch>
      </xdr:blipFill>
      <xdr:spPr>
        <a:xfrm>
          <a:off x="2345267" y="45146383"/>
          <a:ext cx="1029568" cy="669925"/>
        </a:xfrm>
        <a:prstGeom prst="rect">
          <a:avLst/>
        </a:prstGeom>
      </xdr:spPr>
    </xdr:pic>
    <xdr:clientData/>
  </xdr:twoCellAnchor>
  <xdr:twoCellAnchor>
    <xdr:from>
      <xdr:col>3</xdr:col>
      <xdr:colOff>85724</xdr:colOff>
      <xdr:row>254</xdr:row>
      <xdr:rowOff>28575</xdr:rowOff>
    </xdr:from>
    <xdr:to>
      <xdr:col>4</xdr:col>
      <xdr:colOff>200024</xdr:colOff>
      <xdr:row>258</xdr:row>
      <xdr:rowOff>60081</xdr:rowOff>
    </xdr:to>
    <xdr:pic>
      <xdr:nvPicPr>
        <xdr:cNvPr id="171" name="Picture 170">
          <a:extLst>
            <a:ext uri="{FF2B5EF4-FFF2-40B4-BE49-F238E27FC236}">
              <a16:creationId xmlns:a16="http://schemas.microsoft.com/office/drawing/2014/main" id="{20A08BA4-6D57-6184-7D07-AE1532FF0B80}"/>
            </a:ext>
          </a:extLst>
        </xdr:cNvPr>
        <xdr:cNvPicPr>
          <a:picLocks noChangeAspect="1"/>
        </xdr:cNvPicPr>
      </xdr:nvPicPr>
      <xdr:blipFill>
        <a:blip xmlns:r="http://schemas.openxmlformats.org/officeDocument/2006/relationships" r:embed="rId67"/>
        <a:stretch>
          <a:fillRect/>
        </a:stretch>
      </xdr:blipFill>
      <xdr:spPr>
        <a:xfrm>
          <a:off x="2285999" y="47139225"/>
          <a:ext cx="542925" cy="793506"/>
        </a:xfrm>
        <a:prstGeom prst="rect">
          <a:avLst/>
        </a:prstGeom>
      </xdr:spPr>
    </xdr:pic>
    <xdr:clientData/>
  </xdr:twoCellAnchor>
  <xdr:twoCellAnchor>
    <xdr:from>
      <xdr:col>4</xdr:col>
      <xdr:colOff>809625</xdr:colOff>
      <xdr:row>259</xdr:row>
      <xdr:rowOff>57150</xdr:rowOff>
    </xdr:from>
    <xdr:to>
      <xdr:col>5</xdr:col>
      <xdr:colOff>752475</xdr:colOff>
      <xdr:row>261</xdr:row>
      <xdr:rowOff>128034</xdr:rowOff>
    </xdr:to>
    <xdr:pic>
      <xdr:nvPicPr>
        <xdr:cNvPr id="172" name="Picture 171">
          <a:extLst>
            <a:ext uri="{FF2B5EF4-FFF2-40B4-BE49-F238E27FC236}">
              <a16:creationId xmlns:a16="http://schemas.microsoft.com/office/drawing/2014/main" id="{3C2F4B73-329C-FC58-7689-B321C1D6440A}"/>
            </a:ext>
          </a:extLst>
        </xdr:cNvPr>
        <xdr:cNvPicPr>
          <a:picLocks noChangeAspect="1"/>
        </xdr:cNvPicPr>
      </xdr:nvPicPr>
      <xdr:blipFill>
        <a:blip xmlns:r="http://schemas.openxmlformats.org/officeDocument/2006/relationships" r:embed="rId68"/>
        <a:stretch>
          <a:fillRect/>
        </a:stretch>
      </xdr:blipFill>
      <xdr:spPr>
        <a:xfrm>
          <a:off x="3438525" y="48120300"/>
          <a:ext cx="762000" cy="451884"/>
        </a:xfrm>
        <a:prstGeom prst="rect">
          <a:avLst/>
        </a:prstGeom>
      </xdr:spPr>
    </xdr:pic>
    <xdr:clientData/>
  </xdr:twoCellAnchor>
  <xdr:twoCellAnchor>
    <xdr:from>
      <xdr:col>2</xdr:col>
      <xdr:colOff>1</xdr:colOff>
      <xdr:row>264</xdr:row>
      <xdr:rowOff>0</xdr:rowOff>
    </xdr:from>
    <xdr:to>
      <xdr:col>3</xdr:col>
      <xdr:colOff>419101</xdr:colOff>
      <xdr:row>268</xdr:row>
      <xdr:rowOff>152939</xdr:rowOff>
    </xdr:to>
    <xdr:pic>
      <xdr:nvPicPr>
        <xdr:cNvPr id="173" name="Picture 172">
          <a:extLst>
            <a:ext uri="{FF2B5EF4-FFF2-40B4-BE49-F238E27FC236}">
              <a16:creationId xmlns:a16="http://schemas.microsoft.com/office/drawing/2014/main" id="{58DC4199-AE50-4AA0-8899-88B598100D5B}"/>
            </a:ext>
          </a:extLst>
        </xdr:cNvPr>
        <xdr:cNvPicPr>
          <a:picLocks noChangeAspect="1"/>
        </xdr:cNvPicPr>
      </xdr:nvPicPr>
      <xdr:blipFill>
        <a:blip xmlns:r="http://schemas.openxmlformats.org/officeDocument/2006/relationships" r:embed="rId64"/>
        <a:stretch>
          <a:fillRect/>
        </a:stretch>
      </xdr:blipFill>
      <xdr:spPr>
        <a:xfrm>
          <a:off x="1767841" y="47503080"/>
          <a:ext cx="845820" cy="922559"/>
        </a:xfrm>
        <a:prstGeom prst="rect">
          <a:avLst/>
        </a:prstGeom>
      </xdr:spPr>
    </xdr:pic>
    <xdr:clientData/>
  </xdr:twoCellAnchor>
  <xdr:twoCellAnchor>
    <xdr:from>
      <xdr:col>3</xdr:col>
      <xdr:colOff>371475</xdr:colOff>
      <xdr:row>270</xdr:row>
      <xdr:rowOff>66676</xdr:rowOff>
    </xdr:from>
    <xdr:to>
      <xdr:col>4</xdr:col>
      <xdr:colOff>781445</xdr:colOff>
      <xdr:row>274</xdr:row>
      <xdr:rowOff>180976</xdr:rowOff>
    </xdr:to>
    <xdr:pic>
      <xdr:nvPicPr>
        <xdr:cNvPr id="174" name="Picture 173">
          <a:extLst>
            <a:ext uri="{FF2B5EF4-FFF2-40B4-BE49-F238E27FC236}">
              <a16:creationId xmlns:a16="http://schemas.microsoft.com/office/drawing/2014/main" id="{1D1B42FC-BB96-4C4F-A35A-DAC07B680F36}"/>
            </a:ext>
          </a:extLst>
        </xdr:cNvPr>
        <xdr:cNvPicPr>
          <a:picLocks noChangeAspect="1"/>
        </xdr:cNvPicPr>
      </xdr:nvPicPr>
      <xdr:blipFill>
        <a:blip xmlns:r="http://schemas.openxmlformats.org/officeDocument/2006/relationships" r:embed="rId64"/>
        <a:stretch>
          <a:fillRect/>
        </a:stretch>
      </xdr:blipFill>
      <xdr:spPr>
        <a:xfrm>
          <a:off x="2571750" y="50253901"/>
          <a:ext cx="838595" cy="914400"/>
        </a:xfrm>
        <a:prstGeom prst="rect">
          <a:avLst/>
        </a:prstGeom>
      </xdr:spPr>
    </xdr:pic>
    <xdr:clientData/>
  </xdr:twoCellAnchor>
  <xdr:twoCellAnchor>
    <xdr:from>
      <xdr:col>2</xdr:col>
      <xdr:colOff>114301</xdr:colOff>
      <xdr:row>275</xdr:row>
      <xdr:rowOff>158116</xdr:rowOff>
    </xdr:from>
    <xdr:to>
      <xdr:col>4</xdr:col>
      <xdr:colOff>79661</xdr:colOff>
      <xdr:row>280</xdr:row>
      <xdr:rowOff>87207</xdr:rowOff>
    </xdr:to>
    <xdr:pic>
      <xdr:nvPicPr>
        <xdr:cNvPr id="175" name="Picture 174">
          <a:extLst>
            <a:ext uri="{FF2B5EF4-FFF2-40B4-BE49-F238E27FC236}">
              <a16:creationId xmlns:a16="http://schemas.microsoft.com/office/drawing/2014/main" id="{DBEF3D9C-1E87-485A-9A78-3A8183F32D2E}"/>
            </a:ext>
          </a:extLst>
        </xdr:cNvPr>
        <xdr:cNvPicPr>
          <a:picLocks noChangeAspect="1"/>
        </xdr:cNvPicPr>
      </xdr:nvPicPr>
      <xdr:blipFill>
        <a:blip xmlns:r="http://schemas.openxmlformats.org/officeDocument/2006/relationships" r:embed="rId65"/>
        <a:stretch>
          <a:fillRect/>
        </a:stretch>
      </xdr:blipFill>
      <xdr:spPr>
        <a:xfrm>
          <a:off x="1882141" y="49619536"/>
          <a:ext cx="818800" cy="889211"/>
        </a:xfrm>
        <a:prstGeom prst="rect">
          <a:avLst/>
        </a:prstGeom>
      </xdr:spPr>
    </xdr:pic>
    <xdr:clientData/>
  </xdr:twoCellAnchor>
  <xdr:twoCellAnchor>
    <xdr:from>
      <xdr:col>3</xdr:col>
      <xdr:colOff>333375</xdr:colOff>
      <xdr:row>282</xdr:row>
      <xdr:rowOff>95250</xdr:rowOff>
    </xdr:from>
    <xdr:to>
      <xdr:col>4</xdr:col>
      <xdr:colOff>714133</xdr:colOff>
      <xdr:row>286</xdr:row>
      <xdr:rowOff>180974</xdr:rowOff>
    </xdr:to>
    <xdr:pic>
      <xdr:nvPicPr>
        <xdr:cNvPr id="176" name="Picture 175">
          <a:extLst>
            <a:ext uri="{FF2B5EF4-FFF2-40B4-BE49-F238E27FC236}">
              <a16:creationId xmlns:a16="http://schemas.microsoft.com/office/drawing/2014/main" id="{10C1103F-A910-456D-B2B3-567D43A04D97}"/>
            </a:ext>
          </a:extLst>
        </xdr:cNvPr>
        <xdr:cNvPicPr>
          <a:picLocks noChangeAspect="1"/>
        </xdr:cNvPicPr>
      </xdr:nvPicPr>
      <xdr:blipFill>
        <a:blip xmlns:r="http://schemas.openxmlformats.org/officeDocument/2006/relationships" r:embed="rId65"/>
        <a:stretch>
          <a:fillRect/>
        </a:stretch>
      </xdr:blipFill>
      <xdr:spPr>
        <a:xfrm>
          <a:off x="2533650" y="52644675"/>
          <a:ext cx="809383" cy="885825"/>
        </a:xfrm>
        <a:prstGeom prst="rect">
          <a:avLst/>
        </a:prstGeom>
      </xdr:spPr>
    </xdr:pic>
    <xdr:clientData/>
  </xdr:twoCellAnchor>
  <xdr:twoCellAnchor>
    <xdr:from>
      <xdr:col>2</xdr:col>
      <xdr:colOff>133350</xdr:colOff>
      <xdr:row>288</xdr:row>
      <xdr:rowOff>66675</xdr:rowOff>
    </xdr:from>
    <xdr:to>
      <xdr:col>4</xdr:col>
      <xdr:colOff>310960</xdr:colOff>
      <xdr:row>291</xdr:row>
      <xdr:rowOff>180975</xdr:rowOff>
    </xdr:to>
    <xdr:pic>
      <xdr:nvPicPr>
        <xdr:cNvPr id="177" name="Picture 176">
          <a:extLst>
            <a:ext uri="{FF2B5EF4-FFF2-40B4-BE49-F238E27FC236}">
              <a16:creationId xmlns:a16="http://schemas.microsoft.com/office/drawing/2014/main" id="{0B6A2932-F3EA-40C2-AEEB-385D4F63AD4C}"/>
            </a:ext>
          </a:extLst>
        </xdr:cNvPr>
        <xdr:cNvPicPr>
          <a:picLocks noChangeAspect="1"/>
        </xdr:cNvPicPr>
      </xdr:nvPicPr>
      <xdr:blipFill>
        <a:blip xmlns:r="http://schemas.openxmlformats.org/officeDocument/2006/relationships" r:embed="rId66"/>
        <a:stretch>
          <a:fillRect/>
        </a:stretch>
      </xdr:blipFill>
      <xdr:spPr>
        <a:xfrm>
          <a:off x="1905000" y="53806725"/>
          <a:ext cx="1034860" cy="685800"/>
        </a:xfrm>
        <a:prstGeom prst="rect">
          <a:avLst/>
        </a:prstGeom>
      </xdr:spPr>
    </xdr:pic>
    <xdr:clientData/>
  </xdr:twoCellAnchor>
  <xdr:twoCellAnchor>
    <xdr:from>
      <xdr:col>3</xdr:col>
      <xdr:colOff>270933</xdr:colOff>
      <xdr:row>293</xdr:row>
      <xdr:rowOff>190501</xdr:rowOff>
    </xdr:from>
    <xdr:to>
      <xdr:col>5</xdr:col>
      <xdr:colOff>58018</xdr:colOff>
      <xdr:row>297</xdr:row>
      <xdr:rowOff>76201</xdr:rowOff>
    </xdr:to>
    <xdr:pic>
      <xdr:nvPicPr>
        <xdr:cNvPr id="178" name="Picture 177">
          <a:extLst>
            <a:ext uri="{FF2B5EF4-FFF2-40B4-BE49-F238E27FC236}">
              <a16:creationId xmlns:a16="http://schemas.microsoft.com/office/drawing/2014/main" id="{9CC35013-9E9C-462E-8EE0-AC3425ECE981}"/>
            </a:ext>
          </a:extLst>
        </xdr:cNvPr>
        <xdr:cNvPicPr>
          <a:picLocks noChangeAspect="1"/>
        </xdr:cNvPicPr>
      </xdr:nvPicPr>
      <xdr:blipFill>
        <a:blip xmlns:r="http://schemas.openxmlformats.org/officeDocument/2006/relationships" r:embed="rId66"/>
        <a:stretch>
          <a:fillRect/>
        </a:stretch>
      </xdr:blipFill>
      <xdr:spPr>
        <a:xfrm>
          <a:off x="2455333" y="53699834"/>
          <a:ext cx="1023218" cy="664633"/>
        </a:xfrm>
        <a:prstGeom prst="rect">
          <a:avLst/>
        </a:prstGeom>
      </xdr:spPr>
    </xdr:pic>
    <xdr:clientData/>
  </xdr:twoCellAnchor>
  <xdr:twoCellAnchor>
    <xdr:from>
      <xdr:col>3</xdr:col>
      <xdr:colOff>28574</xdr:colOff>
      <xdr:row>299</xdr:row>
      <xdr:rowOff>47625</xdr:rowOff>
    </xdr:from>
    <xdr:to>
      <xdr:col>4</xdr:col>
      <xdr:colOff>142874</xdr:colOff>
      <xdr:row>303</xdr:row>
      <xdr:rowOff>79131</xdr:rowOff>
    </xdr:to>
    <xdr:pic>
      <xdr:nvPicPr>
        <xdr:cNvPr id="179" name="Picture 178">
          <a:extLst>
            <a:ext uri="{FF2B5EF4-FFF2-40B4-BE49-F238E27FC236}">
              <a16:creationId xmlns:a16="http://schemas.microsoft.com/office/drawing/2014/main" id="{90F5483B-651A-40D6-9EBF-4EAB07528F59}"/>
            </a:ext>
          </a:extLst>
        </xdr:cNvPr>
        <xdr:cNvPicPr>
          <a:picLocks noChangeAspect="1"/>
        </xdr:cNvPicPr>
      </xdr:nvPicPr>
      <xdr:blipFill>
        <a:blip xmlns:r="http://schemas.openxmlformats.org/officeDocument/2006/relationships" r:embed="rId67"/>
        <a:stretch>
          <a:fillRect/>
        </a:stretch>
      </xdr:blipFill>
      <xdr:spPr>
        <a:xfrm>
          <a:off x="2228849" y="56149875"/>
          <a:ext cx="542925" cy="793506"/>
        </a:xfrm>
        <a:prstGeom prst="rect">
          <a:avLst/>
        </a:prstGeom>
      </xdr:spPr>
    </xdr:pic>
    <xdr:clientData/>
  </xdr:twoCellAnchor>
  <xdr:twoCellAnchor>
    <xdr:from>
      <xdr:col>2</xdr:col>
      <xdr:colOff>257175</xdr:colOff>
      <xdr:row>304</xdr:row>
      <xdr:rowOff>180976</xdr:rowOff>
    </xdr:from>
    <xdr:to>
      <xdr:col>4</xdr:col>
      <xdr:colOff>186108</xdr:colOff>
      <xdr:row>309</xdr:row>
      <xdr:rowOff>85726</xdr:rowOff>
    </xdr:to>
    <xdr:pic>
      <xdr:nvPicPr>
        <xdr:cNvPr id="182" name="Picture 181">
          <a:extLst>
            <a:ext uri="{FF2B5EF4-FFF2-40B4-BE49-F238E27FC236}">
              <a16:creationId xmlns:a16="http://schemas.microsoft.com/office/drawing/2014/main" id="{0C06F533-0392-41AC-B0A9-0F570849597D}"/>
            </a:ext>
          </a:extLst>
        </xdr:cNvPr>
        <xdr:cNvPicPr>
          <a:picLocks noChangeAspect="1"/>
        </xdr:cNvPicPr>
      </xdr:nvPicPr>
      <xdr:blipFill>
        <a:blip xmlns:r="http://schemas.openxmlformats.org/officeDocument/2006/relationships" r:embed="rId64"/>
        <a:stretch>
          <a:fillRect/>
        </a:stretch>
      </xdr:blipFill>
      <xdr:spPr>
        <a:xfrm>
          <a:off x="2028825" y="57235726"/>
          <a:ext cx="786183" cy="857250"/>
        </a:xfrm>
        <a:prstGeom prst="rect">
          <a:avLst/>
        </a:prstGeom>
      </xdr:spPr>
    </xdr:pic>
    <xdr:clientData/>
  </xdr:twoCellAnchor>
  <xdr:twoCellAnchor>
    <xdr:from>
      <xdr:col>2</xdr:col>
      <xdr:colOff>247650</xdr:colOff>
      <xdr:row>311</xdr:row>
      <xdr:rowOff>28575</xdr:rowOff>
    </xdr:from>
    <xdr:to>
      <xdr:col>4</xdr:col>
      <xdr:colOff>183795</xdr:colOff>
      <xdr:row>315</xdr:row>
      <xdr:rowOff>134902</xdr:rowOff>
    </xdr:to>
    <xdr:pic>
      <xdr:nvPicPr>
        <xdr:cNvPr id="183" name="Picture 182">
          <a:extLst>
            <a:ext uri="{FF2B5EF4-FFF2-40B4-BE49-F238E27FC236}">
              <a16:creationId xmlns:a16="http://schemas.microsoft.com/office/drawing/2014/main" id="{E15C9EFE-789F-4BDE-9279-261B828F46C1}"/>
            </a:ext>
          </a:extLst>
        </xdr:cNvPr>
        <xdr:cNvPicPr>
          <a:picLocks noChangeAspect="1"/>
        </xdr:cNvPicPr>
      </xdr:nvPicPr>
      <xdr:blipFill>
        <a:blip xmlns:r="http://schemas.openxmlformats.org/officeDocument/2006/relationships" r:embed="rId65"/>
        <a:stretch>
          <a:fillRect/>
        </a:stretch>
      </xdr:blipFill>
      <xdr:spPr>
        <a:xfrm>
          <a:off x="2019300" y="58416825"/>
          <a:ext cx="793395" cy="868327"/>
        </a:xfrm>
        <a:prstGeom prst="rect">
          <a:avLst/>
        </a:prstGeom>
      </xdr:spPr>
    </xdr:pic>
    <xdr:clientData/>
  </xdr:twoCellAnchor>
  <xdr:twoCellAnchor>
    <xdr:from>
      <xdr:col>2</xdr:col>
      <xdr:colOff>0</xdr:colOff>
      <xdr:row>352</xdr:row>
      <xdr:rowOff>0</xdr:rowOff>
    </xdr:from>
    <xdr:to>
      <xdr:col>3</xdr:col>
      <xdr:colOff>114300</xdr:colOff>
      <xdr:row>356</xdr:row>
      <xdr:rowOff>31506</xdr:rowOff>
    </xdr:to>
    <xdr:pic>
      <xdr:nvPicPr>
        <xdr:cNvPr id="184" name="Picture 183">
          <a:extLst>
            <a:ext uri="{FF2B5EF4-FFF2-40B4-BE49-F238E27FC236}">
              <a16:creationId xmlns:a16="http://schemas.microsoft.com/office/drawing/2014/main" id="{49F19510-B2A4-49CF-9DA1-6F3FCBD49F49}"/>
            </a:ext>
          </a:extLst>
        </xdr:cNvPr>
        <xdr:cNvPicPr>
          <a:picLocks noChangeAspect="1"/>
        </xdr:cNvPicPr>
      </xdr:nvPicPr>
      <xdr:blipFill>
        <a:blip xmlns:r="http://schemas.openxmlformats.org/officeDocument/2006/relationships" r:embed="rId67"/>
        <a:stretch>
          <a:fillRect/>
        </a:stretch>
      </xdr:blipFill>
      <xdr:spPr>
        <a:xfrm>
          <a:off x="1771650" y="66989325"/>
          <a:ext cx="542925" cy="793506"/>
        </a:xfrm>
        <a:prstGeom prst="rect">
          <a:avLst/>
        </a:prstGeom>
      </xdr:spPr>
    </xdr:pic>
    <xdr:clientData/>
  </xdr:twoCellAnchor>
  <xdr:twoCellAnchor>
    <xdr:from>
      <xdr:col>1</xdr:col>
      <xdr:colOff>66675</xdr:colOff>
      <xdr:row>358</xdr:row>
      <xdr:rowOff>66675</xdr:rowOff>
    </xdr:from>
    <xdr:to>
      <xdr:col>3</xdr:col>
      <xdr:colOff>45767</xdr:colOff>
      <xdr:row>361</xdr:row>
      <xdr:rowOff>104775</xdr:rowOff>
    </xdr:to>
    <xdr:pic>
      <xdr:nvPicPr>
        <xdr:cNvPr id="185" name="Picture 184">
          <a:extLst>
            <a:ext uri="{FF2B5EF4-FFF2-40B4-BE49-F238E27FC236}">
              <a16:creationId xmlns:a16="http://schemas.microsoft.com/office/drawing/2014/main" id="{7F586993-488F-13EB-4958-22BA4CC34697}"/>
            </a:ext>
          </a:extLst>
        </xdr:cNvPr>
        <xdr:cNvPicPr>
          <a:picLocks noChangeAspect="1"/>
        </xdr:cNvPicPr>
      </xdr:nvPicPr>
      <xdr:blipFill>
        <a:blip xmlns:r="http://schemas.openxmlformats.org/officeDocument/2006/relationships" r:embed="rId69"/>
        <a:stretch>
          <a:fillRect/>
        </a:stretch>
      </xdr:blipFill>
      <xdr:spPr>
        <a:xfrm>
          <a:off x="1257300" y="68199000"/>
          <a:ext cx="988742" cy="723900"/>
        </a:xfrm>
        <a:prstGeom prst="rect">
          <a:avLst/>
        </a:prstGeom>
      </xdr:spPr>
    </xdr:pic>
    <xdr:clientData/>
  </xdr:twoCellAnchor>
  <xdr:twoCellAnchor>
    <xdr:from>
      <xdr:col>5</xdr:col>
      <xdr:colOff>891295</xdr:colOff>
      <xdr:row>426</xdr:row>
      <xdr:rowOff>178503</xdr:rowOff>
    </xdr:from>
    <xdr:to>
      <xdr:col>6</xdr:col>
      <xdr:colOff>487139</xdr:colOff>
      <xdr:row>431</xdr:row>
      <xdr:rowOff>99153</xdr:rowOff>
    </xdr:to>
    <xdr:pic>
      <xdr:nvPicPr>
        <xdr:cNvPr id="189" name="Picture 188">
          <a:extLst>
            <a:ext uri="{FF2B5EF4-FFF2-40B4-BE49-F238E27FC236}">
              <a16:creationId xmlns:a16="http://schemas.microsoft.com/office/drawing/2014/main" id="{BF0C9CFE-CF0E-82F0-B983-891D3E635D39}"/>
            </a:ext>
          </a:extLst>
        </xdr:cNvPr>
        <xdr:cNvPicPr>
          <a:picLocks noChangeAspect="1"/>
        </xdr:cNvPicPr>
      </xdr:nvPicPr>
      <xdr:blipFill>
        <a:blip xmlns:r="http://schemas.openxmlformats.org/officeDocument/2006/relationships" r:embed="rId70"/>
        <a:stretch>
          <a:fillRect/>
        </a:stretch>
      </xdr:blipFill>
      <xdr:spPr>
        <a:xfrm rot="16200000">
          <a:off x="4152450" y="84786834"/>
          <a:ext cx="900364" cy="564673"/>
        </a:xfrm>
        <a:prstGeom prst="rect">
          <a:avLst/>
        </a:prstGeom>
      </xdr:spPr>
    </xdr:pic>
    <xdr:clientData/>
  </xdr:twoCellAnchor>
  <xdr:twoCellAnchor>
    <xdr:from>
      <xdr:col>5</xdr:col>
      <xdr:colOff>630845</xdr:colOff>
      <xdr:row>432</xdr:row>
      <xdr:rowOff>179326</xdr:rowOff>
    </xdr:from>
    <xdr:to>
      <xdr:col>6</xdr:col>
      <xdr:colOff>129597</xdr:colOff>
      <xdr:row>437</xdr:row>
      <xdr:rowOff>42237</xdr:rowOff>
    </xdr:to>
    <xdr:pic>
      <xdr:nvPicPr>
        <xdr:cNvPr id="190" name="Picture 189">
          <a:extLst>
            <a:ext uri="{FF2B5EF4-FFF2-40B4-BE49-F238E27FC236}">
              <a16:creationId xmlns:a16="http://schemas.microsoft.com/office/drawing/2014/main" id="{1EE09BB6-2D15-06AB-42F9-84D55058F208}"/>
            </a:ext>
          </a:extLst>
        </xdr:cNvPr>
        <xdr:cNvPicPr>
          <a:picLocks noChangeAspect="1"/>
        </xdr:cNvPicPr>
      </xdr:nvPicPr>
      <xdr:blipFill>
        <a:blip xmlns:r="http://schemas.openxmlformats.org/officeDocument/2006/relationships" r:embed="rId71"/>
        <a:stretch>
          <a:fillRect/>
        </a:stretch>
      </xdr:blipFill>
      <xdr:spPr>
        <a:xfrm rot="16200000">
          <a:off x="3925390" y="85358423"/>
          <a:ext cx="815411" cy="464860"/>
        </a:xfrm>
        <a:prstGeom prst="rect">
          <a:avLst/>
        </a:prstGeom>
      </xdr:spPr>
    </xdr:pic>
    <xdr:clientData/>
  </xdr:twoCellAnchor>
  <xdr:twoCellAnchor>
    <xdr:from>
      <xdr:col>5</xdr:col>
      <xdr:colOff>201410</xdr:colOff>
      <xdr:row>439</xdr:row>
      <xdr:rowOff>23655</xdr:rowOff>
    </xdr:from>
    <xdr:to>
      <xdr:col>5</xdr:col>
      <xdr:colOff>585932</xdr:colOff>
      <xdr:row>443</xdr:row>
      <xdr:rowOff>19867</xdr:rowOff>
    </xdr:to>
    <xdr:pic>
      <xdr:nvPicPr>
        <xdr:cNvPr id="191" name="Picture 190">
          <a:extLst>
            <a:ext uri="{FF2B5EF4-FFF2-40B4-BE49-F238E27FC236}">
              <a16:creationId xmlns:a16="http://schemas.microsoft.com/office/drawing/2014/main" id="{2838E4CA-CC97-AA02-2F58-18BA19F5A0B3}"/>
            </a:ext>
          </a:extLst>
        </xdr:cNvPr>
        <xdr:cNvPicPr>
          <a:picLocks noChangeAspect="1"/>
        </xdr:cNvPicPr>
      </xdr:nvPicPr>
      <xdr:blipFill>
        <a:blip xmlns:r="http://schemas.openxmlformats.org/officeDocument/2006/relationships" r:embed="rId72"/>
        <a:stretch>
          <a:fillRect/>
        </a:stretch>
      </xdr:blipFill>
      <xdr:spPr>
        <a:xfrm rot="16200000">
          <a:off x="3484386" y="86547821"/>
          <a:ext cx="758212" cy="384522"/>
        </a:xfrm>
        <a:prstGeom prst="rect">
          <a:avLst/>
        </a:prstGeom>
      </xdr:spPr>
    </xdr:pic>
    <xdr:clientData/>
  </xdr:twoCellAnchor>
  <xdr:twoCellAnchor>
    <xdr:from>
      <xdr:col>6</xdr:col>
      <xdr:colOff>38100</xdr:colOff>
      <xdr:row>409</xdr:row>
      <xdr:rowOff>14150</xdr:rowOff>
    </xdr:from>
    <xdr:to>
      <xdr:col>6</xdr:col>
      <xdr:colOff>556055</xdr:colOff>
      <xdr:row>413</xdr:row>
      <xdr:rowOff>95249</xdr:rowOff>
    </xdr:to>
    <xdr:pic>
      <xdr:nvPicPr>
        <xdr:cNvPr id="430723" name="Picture 430722">
          <a:extLst>
            <a:ext uri="{FF2B5EF4-FFF2-40B4-BE49-F238E27FC236}">
              <a16:creationId xmlns:a16="http://schemas.microsoft.com/office/drawing/2014/main" id="{E3D0C542-7915-41B2-BB8B-F47AD43F2908}"/>
            </a:ext>
          </a:extLst>
        </xdr:cNvPr>
        <xdr:cNvPicPr>
          <a:picLocks noChangeAspect="1"/>
        </xdr:cNvPicPr>
      </xdr:nvPicPr>
      <xdr:blipFill>
        <a:blip xmlns:r="http://schemas.openxmlformats.org/officeDocument/2006/relationships" r:embed="rId70"/>
        <a:stretch>
          <a:fillRect/>
        </a:stretch>
      </xdr:blipFill>
      <xdr:spPr>
        <a:xfrm rot="16200000">
          <a:off x="4262471" y="81297065"/>
          <a:ext cx="864871" cy="517955"/>
        </a:xfrm>
        <a:prstGeom prst="rect">
          <a:avLst/>
        </a:prstGeom>
      </xdr:spPr>
    </xdr:pic>
    <xdr:clientData/>
  </xdr:twoCellAnchor>
  <xdr:twoCellAnchor>
    <xdr:from>
      <xdr:col>5</xdr:col>
      <xdr:colOff>835203</xdr:colOff>
      <xdr:row>415</xdr:row>
      <xdr:rowOff>55250</xdr:rowOff>
    </xdr:from>
    <xdr:to>
      <xdr:col>6</xdr:col>
      <xdr:colOff>328513</xdr:colOff>
      <xdr:row>419</xdr:row>
      <xdr:rowOff>108661</xdr:rowOff>
    </xdr:to>
    <xdr:pic>
      <xdr:nvPicPr>
        <xdr:cNvPr id="430724" name="Picture 430723">
          <a:extLst>
            <a:ext uri="{FF2B5EF4-FFF2-40B4-BE49-F238E27FC236}">
              <a16:creationId xmlns:a16="http://schemas.microsoft.com/office/drawing/2014/main" id="{98DCDDDD-ECCE-4C0A-B44D-62EF84953DA1}"/>
            </a:ext>
          </a:extLst>
        </xdr:cNvPr>
        <xdr:cNvPicPr>
          <a:picLocks noChangeAspect="1"/>
        </xdr:cNvPicPr>
      </xdr:nvPicPr>
      <xdr:blipFill>
        <a:blip xmlns:r="http://schemas.openxmlformats.org/officeDocument/2006/relationships" r:embed="rId71"/>
        <a:stretch>
          <a:fillRect/>
        </a:stretch>
      </xdr:blipFill>
      <xdr:spPr>
        <a:xfrm rot="16200000">
          <a:off x="4127027" y="81998568"/>
          <a:ext cx="815411" cy="459418"/>
        </a:xfrm>
        <a:prstGeom prst="rect">
          <a:avLst/>
        </a:prstGeom>
      </xdr:spPr>
    </xdr:pic>
    <xdr:clientData/>
  </xdr:twoCellAnchor>
  <xdr:twoCellAnchor>
    <xdr:from>
      <xdr:col>5</xdr:col>
      <xdr:colOff>326845</xdr:colOff>
      <xdr:row>421</xdr:row>
      <xdr:rowOff>85996</xdr:rowOff>
    </xdr:from>
    <xdr:to>
      <xdr:col>5</xdr:col>
      <xdr:colOff>705925</xdr:colOff>
      <xdr:row>425</xdr:row>
      <xdr:rowOff>82208</xdr:rowOff>
    </xdr:to>
    <xdr:pic>
      <xdr:nvPicPr>
        <xdr:cNvPr id="430725" name="Picture 430724">
          <a:extLst>
            <a:ext uri="{FF2B5EF4-FFF2-40B4-BE49-F238E27FC236}">
              <a16:creationId xmlns:a16="http://schemas.microsoft.com/office/drawing/2014/main" id="{8CA9B385-C719-47D4-9E44-5C4E306E08C7}"/>
            </a:ext>
          </a:extLst>
        </xdr:cNvPr>
        <xdr:cNvPicPr>
          <a:picLocks noChangeAspect="1"/>
        </xdr:cNvPicPr>
      </xdr:nvPicPr>
      <xdr:blipFill>
        <a:blip xmlns:r="http://schemas.openxmlformats.org/officeDocument/2006/relationships" r:embed="rId72"/>
        <a:stretch>
          <a:fillRect/>
        </a:stretch>
      </xdr:blipFill>
      <xdr:spPr>
        <a:xfrm rot="16200000">
          <a:off x="3607100" y="83183883"/>
          <a:ext cx="758212" cy="379080"/>
        </a:xfrm>
        <a:prstGeom prst="rect">
          <a:avLst/>
        </a:prstGeom>
      </xdr:spPr>
    </xdr:pic>
    <xdr:clientData/>
  </xdr:twoCellAnchor>
  <xdr:twoCellAnchor>
    <xdr:from>
      <xdr:col>5</xdr:col>
      <xdr:colOff>409575</xdr:colOff>
      <xdr:row>451</xdr:row>
      <xdr:rowOff>114300</xdr:rowOff>
    </xdr:from>
    <xdr:to>
      <xdr:col>6</xdr:col>
      <xdr:colOff>322022</xdr:colOff>
      <xdr:row>454</xdr:row>
      <xdr:rowOff>83867</xdr:rowOff>
    </xdr:to>
    <xdr:pic>
      <xdr:nvPicPr>
        <xdr:cNvPr id="430727" name="Picture 430726">
          <a:extLst>
            <a:ext uri="{FF2B5EF4-FFF2-40B4-BE49-F238E27FC236}">
              <a16:creationId xmlns:a16="http://schemas.microsoft.com/office/drawing/2014/main" id="{5295B310-DC71-ED1C-C575-0EE70DE4AA89}"/>
            </a:ext>
          </a:extLst>
        </xdr:cNvPr>
        <xdr:cNvPicPr>
          <a:picLocks noChangeAspect="1"/>
        </xdr:cNvPicPr>
      </xdr:nvPicPr>
      <xdr:blipFill>
        <a:blip xmlns:r="http://schemas.openxmlformats.org/officeDocument/2006/relationships" r:embed="rId73"/>
        <a:stretch>
          <a:fillRect/>
        </a:stretch>
      </xdr:blipFill>
      <xdr:spPr>
        <a:xfrm>
          <a:off x="3857625" y="84743925"/>
          <a:ext cx="883997" cy="541067"/>
        </a:xfrm>
        <a:prstGeom prst="rect">
          <a:avLst/>
        </a:prstGeom>
      </xdr:spPr>
    </xdr:pic>
    <xdr:clientData/>
  </xdr:twoCellAnchor>
  <xdr:twoCellAnchor>
    <xdr:from>
      <xdr:col>3</xdr:col>
      <xdr:colOff>171450</xdr:colOff>
      <xdr:row>455</xdr:row>
      <xdr:rowOff>152400</xdr:rowOff>
    </xdr:from>
    <xdr:to>
      <xdr:col>4</xdr:col>
      <xdr:colOff>748752</xdr:colOff>
      <xdr:row>458</xdr:row>
      <xdr:rowOff>34331</xdr:rowOff>
    </xdr:to>
    <xdr:pic>
      <xdr:nvPicPr>
        <xdr:cNvPr id="430728" name="Picture 430727">
          <a:extLst>
            <a:ext uri="{FF2B5EF4-FFF2-40B4-BE49-F238E27FC236}">
              <a16:creationId xmlns:a16="http://schemas.microsoft.com/office/drawing/2014/main" id="{46E5A914-1B78-2F8A-9F4D-038E60829249}"/>
            </a:ext>
          </a:extLst>
        </xdr:cNvPr>
        <xdr:cNvPicPr>
          <a:picLocks noChangeAspect="1"/>
        </xdr:cNvPicPr>
      </xdr:nvPicPr>
      <xdr:blipFill>
        <a:blip xmlns:r="http://schemas.openxmlformats.org/officeDocument/2006/relationships" r:embed="rId74"/>
        <a:stretch>
          <a:fillRect/>
        </a:stretch>
      </xdr:blipFill>
      <xdr:spPr>
        <a:xfrm>
          <a:off x="2371725" y="85553550"/>
          <a:ext cx="1005927" cy="472481"/>
        </a:xfrm>
        <a:prstGeom prst="rect">
          <a:avLst/>
        </a:prstGeom>
      </xdr:spPr>
    </xdr:pic>
    <xdr:clientData/>
  </xdr:twoCellAnchor>
  <xdr:twoCellAnchor>
    <xdr:from>
      <xdr:col>2</xdr:col>
      <xdr:colOff>314325</xdr:colOff>
      <xdr:row>465</xdr:row>
      <xdr:rowOff>132984</xdr:rowOff>
    </xdr:from>
    <xdr:to>
      <xdr:col>4</xdr:col>
      <xdr:colOff>594412</xdr:colOff>
      <xdr:row>470</xdr:row>
      <xdr:rowOff>99102</xdr:rowOff>
    </xdr:to>
    <xdr:pic>
      <xdr:nvPicPr>
        <xdr:cNvPr id="430730" name="Picture 430729">
          <a:extLst>
            <a:ext uri="{FF2B5EF4-FFF2-40B4-BE49-F238E27FC236}">
              <a16:creationId xmlns:a16="http://schemas.microsoft.com/office/drawing/2014/main" id="{468D55A0-142C-4743-FE03-B0A0798A96D1}"/>
            </a:ext>
          </a:extLst>
        </xdr:cNvPr>
        <xdr:cNvPicPr>
          <a:picLocks noChangeAspect="1"/>
        </xdr:cNvPicPr>
      </xdr:nvPicPr>
      <xdr:blipFill>
        <a:blip xmlns:r="http://schemas.openxmlformats.org/officeDocument/2006/relationships" r:embed="rId75"/>
        <a:stretch>
          <a:fillRect/>
        </a:stretch>
      </xdr:blipFill>
      <xdr:spPr>
        <a:xfrm>
          <a:off x="2085975" y="87467709"/>
          <a:ext cx="1137337" cy="918618"/>
        </a:xfrm>
        <a:prstGeom prst="rect">
          <a:avLst/>
        </a:prstGeom>
      </xdr:spPr>
    </xdr:pic>
    <xdr:clientData/>
  </xdr:twoCellAnchor>
  <xdr:twoCellAnchor>
    <xdr:from>
      <xdr:col>2</xdr:col>
      <xdr:colOff>340995</xdr:colOff>
      <xdr:row>478</xdr:row>
      <xdr:rowOff>144780</xdr:rowOff>
    </xdr:from>
    <xdr:to>
      <xdr:col>4</xdr:col>
      <xdr:colOff>621082</xdr:colOff>
      <xdr:row>483</xdr:row>
      <xdr:rowOff>110898</xdr:rowOff>
    </xdr:to>
    <xdr:pic>
      <xdr:nvPicPr>
        <xdr:cNvPr id="430731" name="Picture 430730">
          <a:extLst>
            <a:ext uri="{FF2B5EF4-FFF2-40B4-BE49-F238E27FC236}">
              <a16:creationId xmlns:a16="http://schemas.microsoft.com/office/drawing/2014/main" id="{2DAC0283-1BB4-433F-B268-6AFCFA524982}"/>
            </a:ext>
          </a:extLst>
        </xdr:cNvPr>
        <xdr:cNvPicPr>
          <a:picLocks noChangeAspect="1"/>
        </xdr:cNvPicPr>
      </xdr:nvPicPr>
      <xdr:blipFill>
        <a:blip xmlns:r="http://schemas.openxmlformats.org/officeDocument/2006/relationships" r:embed="rId75"/>
        <a:stretch>
          <a:fillRect/>
        </a:stretch>
      </xdr:blipFill>
      <xdr:spPr>
        <a:xfrm>
          <a:off x="2108835" y="87149940"/>
          <a:ext cx="1133527" cy="918618"/>
        </a:xfrm>
        <a:prstGeom prst="rect">
          <a:avLst/>
        </a:prstGeom>
      </xdr:spPr>
    </xdr:pic>
    <xdr:clientData/>
  </xdr:twoCellAnchor>
  <xdr:twoCellAnchor>
    <xdr:from>
      <xdr:col>6</xdr:col>
      <xdr:colOff>40005</xdr:colOff>
      <xdr:row>887</xdr:row>
      <xdr:rowOff>104775</xdr:rowOff>
    </xdr:from>
    <xdr:to>
      <xdr:col>6</xdr:col>
      <xdr:colOff>498662</xdr:colOff>
      <xdr:row>891</xdr:row>
      <xdr:rowOff>180997</xdr:rowOff>
    </xdr:to>
    <xdr:pic>
      <xdr:nvPicPr>
        <xdr:cNvPr id="430742" name="Picture 430741">
          <a:extLst>
            <a:ext uri="{FF2B5EF4-FFF2-40B4-BE49-F238E27FC236}">
              <a16:creationId xmlns:a16="http://schemas.microsoft.com/office/drawing/2014/main" id="{006FED1E-DB4D-4D07-99CC-D4441AF2F884}"/>
            </a:ext>
          </a:extLst>
        </xdr:cNvPr>
        <xdr:cNvPicPr>
          <a:picLocks noChangeAspect="1"/>
        </xdr:cNvPicPr>
      </xdr:nvPicPr>
      <xdr:blipFill>
        <a:blip xmlns:r="http://schemas.openxmlformats.org/officeDocument/2006/relationships" r:embed="rId70"/>
        <a:stretch>
          <a:fillRect/>
        </a:stretch>
      </xdr:blipFill>
      <xdr:spPr>
        <a:xfrm rot="16200000">
          <a:off x="4254583" y="165534257"/>
          <a:ext cx="838222" cy="458657"/>
        </a:xfrm>
        <a:prstGeom prst="rect">
          <a:avLst/>
        </a:prstGeom>
      </xdr:spPr>
    </xdr:pic>
    <xdr:clientData/>
  </xdr:twoCellAnchor>
  <xdr:twoCellAnchor>
    <xdr:from>
      <xdr:col>6</xdr:col>
      <xdr:colOff>72386</xdr:colOff>
      <xdr:row>894</xdr:row>
      <xdr:rowOff>158120</xdr:rowOff>
    </xdr:from>
    <xdr:to>
      <xdr:col>6</xdr:col>
      <xdr:colOff>533436</xdr:colOff>
      <xdr:row>899</xdr:row>
      <xdr:rowOff>21030</xdr:rowOff>
    </xdr:to>
    <xdr:pic>
      <xdr:nvPicPr>
        <xdr:cNvPr id="430743" name="Picture 430742">
          <a:extLst>
            <a:ext uri="{FF2B5EF4-FFF2-40B4-BE49-F238E27FC236}">
              <a16:creationId xmlns:a16="http://schemas.microsoft.com/office/drawing/2014/main" id="{17AFA306-568A-4B47-990B-2BF3F7980E20}"/>
            </a:ext>
          </a:extLst>
        </xdr:cNvPr>
        <xdr:cNvPicPr>
          <a:picLocks noChangeAspect="1"/>
        </xdr:cNvPicPr>
      </xdr:nvPicPr>
      <xdr:blipFill>
        <a:blip xmlns:r="http://schemas.openxmlformats.org/officeDocument/2006/relationships" r:embed="rId71"/>
        <a:stretch>
          <a:fillRect/>
        </a:stretch>
      </xdr:blipFill>
      <xdr:spPr>
        <a:xfrm rot="16200000">
          <a:off x="4299566" y="166908500"/>
          <a:ext cx="815410" cy="461050"/>
        </a:xfrm>
        <a:prstGeom prst="rect">
          <a:avLst/>
        </a:prstGeom>
      </xdr:spPr>
    </xdr:pic>
    <xdr:clientData/>
  </xdr:twoCellAnchor>
  <xdr:twoCellAnchor>
    <xdr:from>
      <xdr:col>6</xdr:col>
      <xdr:colOff>83821</xdr:colOff>
      <xdr:row>901</xdr:row>
      <xdr:rowOff>41909</xdr:rowOff>
    </xdr:from>
    <xdr:to>
      <xdr:col>6</xdr:col>
      <xdr:colOff>464533</xdr:colOff>
      <xdr:row>905</xdr:row>
      <xdr:rowOff>38120</xdr:rowOff>
    </xdr:to>
    <xdr:pic>
      <xdr:nvPicPr>
        <xdr:cNvPr id="430744" name="Picture 430743">
          <a:extLst>
            <a:ext uri="{FF2B5EF4-FFF2-40B4-BE49-F238E27FC236}">
              <a16:creationId xmlns:a16="http://schemas.microsoft.com/office/drawing/2014/main" id="{760438BB-2E4C-4184-8A01-FFCB9C6627AA}"/>
            </a:ext>
          </a:extLst>
        </xdr:cNvPr>
        <xdr:cNvPicPr>
          <a:picLocks noChangeAspect="1"/>
        </xdr:cNvPicPr>
      </xdr:nvPicPr>
      <xdr:blipFill>
        <a:blip xmlns:r="http://schemas.openxmlformats.org/officeDocument/2006/relationships" r:embed="rId72"/>
        <a:stretch>
          <a:fillRect/>
        </a:stretch>
      </xdr:blipFill>
      <xdr:spPr>
        <a:xfrm rot="16200000">
          <a:off x="4299431" y="168137359"/>
          <a:ext cx="758211" cy="380712"/>
        </a:xfrm>
        <a:prstGeom prst="rect">
          <a:avLst/>
        </a:prstGeom>
      </xdr:spPr>
    </xdr:pic>
    <xdr:clientData/>
  </xdr:twoCellAnchor>
  <xdr:twoCellAnchor>
    <xdr:from>
      <xdr:col>6</xdr:col>
      <xdr:colOff>108042</xdr:colOff>
      <xdr:row>880</xdr:row>
      <xdr:rowOff>89534</xdr:rowOff>
    </xdr:from>
    <xdr:to>
      <xdr:col>6</xdr:col>
      <xdr:colOff>492564</xdr:colOff>
      <xdr:row>884</xdr:row>
      <xdr:rowOff>85746</xdr:rowOff>
    </xdr:to>
    <xdr:pic>
      <xdr:nvPicPr>
        <xdr:cNvPr id="430747" name="Picture 430746">
          <a:extLst>
            <a:ext uri="{FF2B5EF4-FFF2-40B4-BE49-F238E27FC236}">
              <a16:creationId xmlns:a16="http://schemas.microsoft.com/office/drawing/2014/main" id="{44E6BF6F-A70C-4009-ABC3-6D9DBD0AB4CF}"/>
            </a:ext>
          </a:extLst>
        </xdr:cNvPr>
        <xdr:cNvPicPr>
          <a:picLocks noChangeAspect="1"/>
        </xdr:cNvPicPr>
      </xdr:nvPicPr>
      <xdr:blipFill>
        <a:blip xmlns:r="http://schemas.openxmlformats.org/officeDocument/2006/relationships" r:embed="rId72"/>
        <a:stretch>
          <a:fillRect/>
        </a:stretch>
      </xdr:blipFill>
      <xdr:spPr>
        <a:xfrm rot="16200000">
          <a:off x="4308140" y="178758551"/>
          <a:ext cx="779983" cy="384522"/>
        </a:xfrm>
        <a:prstGeom prst="rect">
          <a:avLst/>
        </a:prstGeom>
      </xdr:spPr>
    </xdr:pic>
    <xdr:clientData/>
  </xdr:twoCellAnchor>
  <xdr:twoCellAnchor>
    <xdr:from>
      <xdr:col>2</xdr:col>
      <xdr:colOff>57150</xdr:colOff>
      <xdr:row>1050</xdr:row>
      <xdr:rowOff>47625</xdr:rowOff>
    </xdr:from>
    <xdr:to>
      <xdr:col>4</xdr:col>
      <xdr:colOff>539172</xdr:colOff>
      <xdr:row>1052</xdr:row>
      <xdr:rowOff>40005</xdr:rowOff>
    </xdr:to>
    <xdr:pic>
      <xdr:nvPicPr>
        <xdr:cNvPr id="430750" name="Picture 430749">
          <a:extLst>
            <a:ext uri="{FF2B5EF4-FFF2-40B4-BE49-F238E27FC236}">
              <a16:creationId xmlns:a16="http://schemas.microsoft.com/office/drawing/2014/main" id="{84774D32-D203-4847-F38E-874B3460C7C3}"/>
            </a:ext>
          </a:extLst>
        </xdr:cNvPr>
        <xdr:cNvPicPr>
          <a:picLocks noChangeAspect="1"/>
        </xdr:cNvPicPr>
      </xdr:nvPicPr>
      <xdr:blipFill>
        <a:blip xmlns:r="http://schemas.openxmlformats.org/officeDocument/2006/relationships" r:embed="rId76"/>
        <a:stretch>
          <a:fillRect/>
        </a:stretch>
      </xdr:blipFill>
      <xdr:spPr>
        <a:xfrm>
          <a:off x="1828800" y="200386950"/>
          <a:ext cx="1339272" cy="381000"/>
        </a:xfrm>
        <a:prstGeom prst="rect">
          <a:avLst/>
        </a:prstGeom>
      </xdr:spPr>
    </xdr:pic>
    <xdr:clientData/>
  </xdr:twoCellAnchor>
  <xdr:twoCellAnchor>
    <xdr:from>
      <xdr:col>4</xdr:col>
      <xdr:colOff>561975</xdr:colOff>
      <xdr:row>1126</xdr:row>
      <xdr:rowOff>47625</xdr:rowOff>
    </xdr:from>
    <xdr:to>
      <xdr:col>5</xdr:col>
      <xdr:colOff>676275</xdr:colOff>
      <xdr:row>1127</xdr:row>
      <xdr:rowOff>148828</xdr:rowOff>
    </xdr:to>
    <xdr:pic>
      <xdr:nvPicPr>
        <xdr:cNvPr id="430752" name="Picture 430751">
          <a:extLst>
            <a:ext uri="{FF2B5EF4-FFF2-40B4-BE49-F238E27FC236}">
              <a16:creationId xmlns:a16="http://schemas.microsoft.com/office/drawing/2014/main" id="{510BFAD3-2A17-BF29-0672-BE4F39D83917}"/>
            </a:ext>
          </a:extLst>
        </xdr:cNvPr>
        <xdr:cNvPicPr>
          <a:picLocks noChangeAspect="1"/>
        </xdr:cNvPicPr>
      </xdr:nvPicPr>
      <xdr:blipFill>
        <a:blip xmlns:r="http://schemas.openxmlformats.org/officeDocument/2006/relationships" r:embed="rId77"/>
        <a:stretch>
          <a:fillRect/>
        </a:stretch>
      </xdr:blipFill>
      <xdr:spPr>
        <a:xfrm>
          <a:off x="3190875" y="212388450"/>
          <a:ext cx="933450" cy="291703"/>
        </a:xfrm>
        <a:prstGeom prst="rect">
          <a:avLst/>
        </a:prstGeom>
      </xdr:spPr>
    </xdr:pic>
    <xdr:clientData/>
  </xdr:twoCellAnchor>
  <xdr:twoCellAnchor>
    <xdr:from>
      <xdr:col>3</xdr:col>
      <xdr:colOff>398780</xdr:colOff>
      <xdr:row>812</xdr:row>
      <xdr:rowOff>185845</xdr:rowOff>
    </xdr:from>
    <xdr:to>
      <xdr:col>5</xdr:col>
      <xdr:colOff>897467</xdr:colOff>
      <xdr:row>816</xdr:row>
      <xdr:rowOff>67735</xdr:rowOff>
    </xdr:to>
    <xdr:sp macro="" textlink="">
      <xdr:nvSpPr>
        <xdr:cNvPr id="430754" name="TextBox 430753">
          <a:extLst>
            <a:ext uri="{FF2B5EF4-FFF2-40B4-BE49-F238E27FC236}">
              <a16:creationId xmlns:a16="http://schemas.microsoft.com/office/drawing/2014/main" id="{C247DC4E-3338-D543-C243-1F657C19A12B}"/>
            </a:ext>
          </a:extLst>
        </xdr:cNvPr>
        <xdr:cNvSpPr txBox="1"/>
      </xdr:nvSpPr>
      <xdr:spPr>
        <a:xfrm>
          <a:off x="2583180" y="157081645"/>
          <a:ext cx="1734820" cy="466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p</a:t>
          </a:r>
          <a:r>
            <a:rPr lang="en-US" sz="1100"/>
            <a:t>rofile contains finseal inserted into both T-slots.</a:t>
          </a:r>
        </a:p>
      </xdr:txBody>
    </xdr:sp>
    <xdr:clientData/>
  </xdr:twoCellAnchor>
  <xdr:twoCellAnchor>
    <xdr:from>
      <xdr:col>2</xdr:col>
      <xdr:colOff>67733</xdr:colOff>
      <xdr:row>111</xdr:row>
      <xdr:rowOff>93133</xdr:rowOff>
    </xdr:from>
    <xdr:to>
      <xdr:col>4</xdr:col>
      <xdr:colOff>519642</xdr:colOff>
      <xdr:row>117</xdr:row>
      <xdr:rowOff>183091</xdr:rowOff>
    </xdr:to>
    <xdr:pic>
      <xdr:nvPicPr>
        <xdr:cNvPr id="7" name="Picture 6">
          <a:extLst>
            <a:ext uri="{FF2B5EF4-FFF2-40B4-BE49-F238E27FC236}">
              <a16:creationId xmlns:a16="http://schemas.microsoft.com/office/drawing/2014/main" id="{DBD49E2A-4E32-44F6-9E7D-E2C094C10C17}"/>
            </a:ext>
          </a:extLst>
        </xdr:cNvPr>
        <xdr:cNvPicPr>
          <a:picLocks noChangeAspect="1"/>
        </xdr:cNvPicPr>
      </xdr:nvPicPr>
      <xdr:blipFill>
        <a:blip xmlns:r="http://schemas.openxmlformats.org/officeDocument/2006/relationships" r:embed="rId56"/>
        <a:stretch>
          <a:fillRect/>
        </a:stretch>
      </xdr:blipFill>
      <xdr:spPr>
        <a:xfrm>
          <a:off x="1828800" y="20218400"/>
          <a:ext cx="1298575" cy="1258358"/>
        </a:xfrm>
        <a:prstGeom prst="rect">
          <a:avLst/>
        </a:prstGeom>
      </xdr:spPr>
    </xdr:pic>
    <xdr:clientData/>
  </xdr:twoCellAnchor>
  <xdr:twoCellAnchor>
    <xdr:from>
      <xdr:col>5</xdr:col>
      <xdr:colOff>417195</xdr:colOff>
      <xdr:row>446</xdr:row>
      <xdr:rowOff>0</xdr:rowOff>
    </xdr:from>
    <xdr:to>
      <xdr:col>6</xdr:col>
      <xdr:colOff>329642</xdr:colOff>
      <xdr:row>448</xdr:row>
      <xdr:rowOff>152447</xdr:rowOff>
    </xdr:to>
    <xdr:pic>
      <xdr:nvPicPr>
        <xdr:cNvPr id="14" name="Picture 13">
          <a:extLst>
            <a:ext uri="{FF2B5EF4-FFF2-40B4-BE49-F238E27FC236}">
              <a16:creationId xmlns:a16="http://schemas.microsoft.com/office/drawing/2014/main" id="{2E82A491-CA72-EA79-DE5B-10B4A3ADA2A6}"/>
            </a:ext>
          </a:extLst>
        </xdr:cNvPr>
        <xdr:cNvPicPr>
          <a:picLocks noChangeAspect="1"/>
        </xdr:cNvPicPr>
      </xdr:nvPicPr>
      <xdr:blipFill>
        <a:blip xmlns:r="http://schemas.openxmlformats.org/officeDocument/2006/relationships" r:embed="rId73"/>
        <a:stretch>
          <a:fillRect/>
        </a:stretch>
      </xdr:blipFill>
      <xdr:spPr>
        <a:xfrm>
          <a:off x="3853815" y="80848200"/>
          <a:ext cx="880187" cy="541067"/>
        </a:xfrm>
        <a:prstGeom prst="rect">
          <a:avLst/>
        </a:prstGeom>
      </xdr:spPr>
    </xdr:pic>
    <xdr:clientData/>
  </xdr:twoCellAnchor>
  <xdr:twoCellAnchor>
    <xdr:from>
      <xdr:col>1</xdr:col>
      <xdr:colOff>312420</xdr:colOff>
      <xdr:row>396</xdr:row>
      <xdr:rowOff>38101</xdr:rowOff>
    </xdr:from>
    <xdr:to>
      <xdr:col>4</xdr:col>
      <xdr:colOff>91922</xdr:colOff>
      <xdr:row>403</xdr:row>
      <xdr:rowOff>99061</xdr:rowOff>
    </xdr:to>
    <xdr:pic>
      <xdr:nvPicPr>
        <xdr:cNvPr id="18" name="Picture 17">
          <a:extLst>
            <a:ext uri="{FF2B5EF4-FFF2-40B4-BE49-F238E27FC236}">
              <a16:creationId xmlns:a16="http://schemas.microsoft.com/office/drawing/2014/main" id="{FC8589A6-8CE5-DBFB-518E-FEA01131AEF3}"/>
            </a:ext>
          </a:extLst>
        </xdr:cNvPr>
        <xdr:cNvPicPr>
          <a:picLocks noChangeAspect="1"/>
        </xdr:cNvPicPr>
      </xdr:nvPicPr>
      <xdr:blipFill>
        <a:blip xmlns:r="http://schemas.openxmlformats.org/officeDocument/2006/relationships" r:embed="rId78"/>
        <a:stretch>
          <a:fillRect/>
        </a:stretch>
      </xdr:blipFill>
      <xdr:spPr>
        <a:xfrm>
          <a:off x="1501140" y="72885301"/>
          <a:ext cx="1212062" cy="1394460"/>
        </a:xfrm>
        <a:prstGeom prst="rect">
          <a:avLst/>
        </a:prstGeom>
      </xdr:spPr>
    </xdr:pic>
    <xdr:clientData/>
  </xdr:twoCellAnchor>
  <xdr:twoCellAnchor>
    <xdr:from>
      <xdr:col>2</xdr:col>
      <xdr:colOff>39371</xdr:colOff>
      <xdr:row>707</xdr:row>
      <xdr:rowOff>188808</xdr:rowOff>
    </xdr:from>
    <xdr:to>
      <xdr:col>4</xdr:col>
      <xdr:colOff>40790</xdr:colOff>
      <xdr:row>720</xdr:row>
      <xdr:rowOff>61807</xdr:rowOff>
    </xdr:to>
    <xdr:pic>
      <xdr:nvPicPr>
        <xdr:cNvPr id="19" name="Picture 18">
          <a:extLst>
            <a:ext uri="{FF2B5EF4-FFF2-40B4-BE49-F238E27FC236}">
              <a16:creationId xmlns:a16="http://schemas.microsoft.com/office/drawing/2014/main" id="{5EBAB5AC-3A71-6953-03CD-DB4BBDC22A9C}"/>
            </a:ext>
          </a:extLst>
        </xdr:cNvPr>
        <xdr:cNvPicPr>
          <a:picLocks noChangeAspect="1"/>
        </xdr:cNvPicPr>
      </xdr:nvPicPr>
      <xdr:blipFill>
        <a:blip xmlns:r="http://schemas.openxmlformats.org/officeDocument/2006/relationships" r:embed="rId44" cstate="print"/>
        <a:stretch>
          <a:fillRect/>
        </a:stretch>
      </xdr:blipFill>
      <xdr:spPr>
        <a:xfrm>
          <a:off x="1807211" y="131351868"/>
          <a:ext cx="854859" cy="2349499"/>
        </a:xfrm>
        <a:prstGeom prst="rect">
          <a:avLst/>
        </a:prstGeom>
      </xdr:spPr>
    </xdr:pic>
    <xdr:clientData/>
  </xdr:twoCellAnchor>
  <xdr:twoCellAnchor>
    <xdr:from>
      <xdr:col>5</xdr:col>
      <xdr:colOff>215054</xdr:colOff>
      <xdr:row>704</xdr:row>
      <xdr:rowOff>8890</xdr:rowOff>
    </xdr:from>
    <xdr:to>
      <xdr:col>6</xdr:col>
      <xdr:colOff>112395</xdr:colOff>
      <xdr:row>704</xdr:row>
      <xdr:rowOff>564684</xdr:rowOff>
    </xdr:to>
    <xdr:pic>
      <xdr:nvPicPr>
        <xdr:cNvPr id="20" name="Picture 19">
          <a:extLst>
            <a:ext uri="{FF2B5EF4-FFF2-40B4-BE49-F238E27FC236}">
              <a16:creationId xmlns:a16="http://schemas.microsoft.com/office/drawing/2014/main" id="{720DEE7D-A67B-B987-ECB4-53B95D40F764}"/>
            </a:ext>
          </a:extLst>
        </xdr:cNvPr>
        <xdr:cNvPicPr>
          <a:picLocks noChangeAspect="1"/>
        </xdr:cNvPicPr>
      </xdr:nvPicPr>
      <xdr:blipFill rotWithShape="1">
        <a:blip xmlns:r="http://schemas.openxmlformats.org/officeDocument/2006/relationships" r:embed="rId49"/>
        <a:srcRect t="5355"/>
        <a:stretch/>
      </xdr:blipFill>
      <xdr:spPr>
        <a:xfrm>
          <a:off x="3651674" y="130173730"/>
          <a:ext cx="865081" cy="555794"/>
        </a:xfrm>
        <a:prstGeom prst="rect">
          <a:avLst/>
        </a:prstGeom>
      </xdr:spPr>
    </xdr:pic>
    <xdr:clientData/>
  </xdr:twoCellAnchor>
  <xdr:twoCellAnchor>
    <xdr:from>
      <xdr:col>1</xdr:col>
      <xdr:colOff>45720</xdr:colOff>
      <xdr:row>803</xdr:row>
      <xdr:rowOff>30480</xdr:rowOff>
    </xdr:from>
    <xdr:to>
      <xdr:col>3</xdr:col>
      <xdr:colOff>68669</xdr:colOff>
      <xdr:row>808</xdr:row>
      <xdr:rowOff>182976</xdr:rowOff>
    </xdr:to>
    <xdr:pic>
      <xdr:nvPicPr>
        <xdr:cNvPr id="22" name="Picture 21">
          <a:extLst>
            <a:ext uri="{FF2B5EF4-FFF2-40B4-BE49-F238E27FC236}">
              <a16:creationId xmlns:a16="http://schemas.microsoft.com/office/drawing/2014/main" id="{5595C17B-DE94-0CAA-D59F-EA584187246C}"/>
            </a:ext>
          </a:extLst>
        </xdr:cNvPr>
        <xdr:cNvPicPr>
          <a:picLocks noChangeAspect="1"/>
        </xdr:cNvPicPr>
      </xdr:nvPicPr>
      <xdr:blipFill>
        <a:blip xmlns:r="http://schemas.openxmlformats.org/officeDocument/2006/relationships" r:embed="rId79"/>
        <a:stretch>
          <a:fillRect/>
        </a:stretch>
      </xdr:blipFill>
      <xdr:spPr>
        <a:xfrm>
          <a:off x="1234440" y="150411180"/>
          <a:ext cx="1028789" cy="1104996"/>
        </a:xfrm>
        <a:prstGeom prst="rect">
          <a:avLst/>
        </a:prstGeom>
      </xdr:spPr>
    </xdr:pic>
    <xdr:clientData/>
  </xdr:twoCellAnchor>
  <xdr:twoCellAnchor>
    <xdr:from>
      <xdr:col>1</xdr:col>
      <xdr:colOff>60960</xdr:colOff>
      <xdr:row>811</xdr:row>
      <xdr:rowOff>167640</xdr:rowOff>
    </xdr:from>
    <xdr:to>
      <xdr:col>3</xdr:col>
      <xdr:colOff>83909</xdr:colOff>
      <xdr:row>817</xdr:row>
      <xdr:rowOff>129636</xdr:rowOff>
    </xdr:to>
    <xdr:pic>
      <xdr:nvPicPr>
        <xdr:cNvPr id="23" name="Picture 22">
          <a:extLst>
            <a:ext uri="{FF2B5EF4-FFF2-40B4-BE49-F238E27FC236}">
              <a16:creationId xmlns:a16="http://schemas.microsoft.com/office/drawing/2014/main" id="{4E3CD03C-96F6-AD98-46F8-74A90789F2B3}"/>
            </a:ext>
          </a:extLst>
        </xdr:cNvPr>
        <xdr:cNvPicPr>
          <a:picLocks noChangeAspect="1"/>
        </xdr:cNvPicPr>
      </xdr:nvPicPr>
      <xdr:blipFill>
        <a:blip xmlns:r="http://schemas.openxmlformats.org/officeDocument/2006/relationships" r:embed="rId79"/>
        <a:stretch>
          <a:fillRect/>
        </a:stretch>
      </xdr:blipFill>
      <xdr:spPr>
        <a:xfrm>
          <a:off x="1249680" y="151881840"/>
          <a:ext cx="1028789" cy="1104996"/>
        </a:xfrm>
        <a:prstGeom prst="rect">
          <a:avLst/>
        </a:prstGeom>
      </xdr:spPr>
    </xdr:pic>
    <xdr:clientData/>
  </xdr:twoCellAnchor>
  <xdr:twoCellAnchor>
    <xdr:from>
      <xdr:col>1</xdr:col>
      <xdr:colOff>129540</xdr:colOff>
      <xdr:row>825</xdr:row>
      <xdr:rowOff>76299</xdr:rowOff>
    </xdr:from>
    <xdr:to>
      <xdr:col>3</xdr:col>
      <xdr:colOff>419212</xdr:colOff>
      <xdr:row>831</xdr:row>
      <xdr:rowOff>68580</xdr:rowOff>
    </xdr:to>
    <xdr:pic>
      <xdr:nvPicPr>
        <xdr:cNvPr id="24" name="Picture 23">
          <a:extLst>
            <a:ext uri="{FF2B5EF4-FFF2-40B4-BE49-F238E27FC236}">
              <a16:creationId xmlns:a16="http://schemas.microsoft.com/office/drawing/2014/main" id="{C1868D97-148C-E7F9-CC28-F79E3D6F8414}"/>
            </a:ext>
          </a:extLst>
        </xdr:cNvPr>
        <xdr:cNvPicPr>
          <a:picLocks noChangeAspect="1"/>
        </xdr:cNvPicPr>
      </xdr:nvPicPr>
      <xdr:blipFill>
        <a:blip xmlns:r="http://schemas.openxmlformats.org/officeDocument/2006/relationships" r:embed="rId80"/>
        <a:stretch>
          <a:fillRect/>
        </a:stretch>
      </xdr:blipFill>
      <xdr:spPr>
        <a:xfrm flipV="1">
          <a:off x="1318260" y="154266999"/>
          <a:ext cx="1295512" cy="1142901"/>
        </a:xfrm>
        <a:prstGeom prst="rect">
          <a:avLst/>
        </a:prstGeom>
      </xdr:spPr>
    </xdr:pic>
    <xdr:clientData/>
  </xdr:twoCellAnchor>
  <xdr:twoCellAnchor>
    <xdr:from>
      <xdr:col>1</xdr:col>
      <xdr:colOff>91440</xdr:colOff>
      <xdr:row>833</xdr:row>
      <xdr:rowOff>160119</xdr:rowOff>
    </xdr:from>
    <xdr:to>
      <xdr:col>3</xdr:col>
      <xdr:colOff>381112</xdr:colOff>
      <xdr:row>839</xdr:row>
      <xdr:rowOff>160020</xdr:rowOff>
    </xdr:to>
    <xdr:pic>
      <xdr:nvPicPr>
        <xdr:cNvPr id="27" name="Picture 26">
          <a:extLst>
            <a:ext uri="{FF2B5EF4-FFF2-40B4-BE49-F238E27FC236}">
              <a16:creationId xmlns:a16="http://schemas.microsoft.com/office/drawing/2014/main" id="{69E08D74-8EA0-6F3C-0F2E-26B571CB1238}"/>
            </a:ext>
          </a:extLst>
        </xdr:cNvPr>
        <xdr:cNvPicPr>
          <a:picLocks noChangeAspect="1"/>
        </xdr:cNvPicPr>
      </xdr:nvPicPr>
      <xdr:blipFill>
        <a:blip xmlns:r="http://schemas.openxmlformats.org/officeDocument/2006/relationships" r:embed="rId80"/>
        <a:stretch>
          <a:fillRect/>
        </a:stretch>
      </xdr:blipFill>
      <xdr:spPr>
        <a:xfrm flipV="1">
          <a:off x="1280160" y="155684319"/>
          <a:ext cx="1295512" cy="1142901"/>
        </a:xfrm>
        <a:prstGeom prst="rect">
          <a:avLst/>
        </a:prstGeom>
      </xdr:spPr>
    </xdr:pic>
    <xdr:clientData/>
  </xdr:twoCellAnchor>
  <xdr:twoCellAnchor>
    <xdr:from>
      <xdr:col>0</xdr:col>
      <xdr:colOff>1158240</xdr:colOff>
      <xdr:row>844</xdr:row>
      <xdr:rowOff>60960</xdr:rowOff>
    </xdr:from>
    <xdr:to>
      <xdr:col>3</xdr:col>
      <xdr:colOff>236330</xdr:colOff>
      <xdr:row>850</xdr:row>
      <xdr:rowOff>68680</xdr:rowOff>
    </xdr:to>
    <xdr:pic>
      <xdr:nvPicPr>
        <xdr:cNvPr id="28" name="Picture 27">
          <a:extLst>
            <a:ext uri="{FF2B5EF4-FFF2-40B4-BE49-F238E27FC236}">
              <a16:creationId xmlns:a16="http://schemas.microsoft.com/office/drawing/2014/main" id="{10B3B981-0E31-EA8B-5140-F0353754A78C}"/>
            </a:ext>
          </a:extLst>
        </xdr:cNvPr>
        <xdr:cNvPicPr>
          <a:picLocks noChangeAspect="1"/>
        </xdr:cNvPicPr>
      </xdr:nvPicPr>
      <xdr:blipFill>
        <a:blip xmlns:r="http://schemas.openxmlformats.org/officeDocument/2006/relationships" r:embed="rId81"/>
        <a:stretch>
          <a:fillRect/>
        </a:stretch>
      </xdr:blipFill>
      <xdr:spPr>
        <a:xfrm>
          <a:off x="1158240" y="157490160"/>
          <a:ext cx="1272650" cy="1150720"/>
        </a:xfrm>
        <a:prstGeom prst="rect">
          <a:avLst/>
        </a:prstGeom>
      </xdr:spPr>
    </xdr:pic>
    <xdr:clientData/>
  </xdr:twoCellAnchor>
  <xdr:twoCellAnchor>
    <xdr:from>
      <xdr:col>0</xdr:col>
      <xdr:colOff>1150620</xdr:colOff>
      <xdr:row>852</xdr:row>
      <xdr:rowOff>175260</xdr:rowOff>
    </xdr:from>
    <xdr:to>
      <xdr:col>3</xdr:col>
      <xdr:colOff>228710</xdr:colOff>
      <xdr:row>858</xdr:row>
      <xdr:rowOff>182980</xdr:rowOff>
    </xdr:to>
    <xdr:pic>
      <xdr:nvPicPr>
        <xdr:cNvPr id="29" name="Picture 28">
          <a:extLst>
            <a:ext uri="{FF2B5EF4-FFF2-40B4-BE49-F238E27FC236}">
              <a16:creationId xmlns:a16="http://schemas.microsoft.com/office/drawing/2014/main" id="{F711EA08-9629-0150-31FF-8A69DBE746EE}"/>
            </a:ext>
          </a:extLst>
        </xdr:cNvPr>
        <xdr:cNvPicPr>
          <a:picLocks noChangeAspect="1"/>
        </xdr:cNvPicPr>
      </xdr:nvPicPr>
      <xdr:blipFill>
        <a:blip xmlns:r="http://schemas.openxmlformats.org/officeDocument/2006/relationships" r:embed="rId81"/>
        <a:stretch>
          <a:fillRect/>
        </a:stretch>
      </xdr:blipFill>
      <xdr:spPr>
        <a:xfrm>
          <a:off x="1150620" y="158937960"/>
          <a:ext cx="1272650" cy="1150720"/>
        </a:xfrm>
        <a:prstGeom prst="rect">
          <a:avLst/>
        </a:prstGeom>
      </xdr:spPr>
    </xdr:pic>
    <xdr:clientData/>
  </xdr:twoCellAnchor>
  <xdr:twoCellAnchor>
    <xdr:from>
      <xdr:col>25</xdr:col>
      <xdr:colOff>351790</xdr:colOff>
      <xdr:row>6</xdr:row>
      <xdr:rowOff>25824</xdr:rowOff>
    </xdr:from>
    <xdr:to>
      <xdr:col>33</xdr:col>
      <xdr:colOff>88900</xdr:colOff>
      <xdr:row>9</xdr:row>
      <xdr:rowOff>76200</xdr:rowOff>
    </xdr:to>
    <xdr:sp macro="" textlink="">
      <xdr:nvSpPr>
        <xdr:cNvPr id="38" name="TextBox 37">
          <a:extLst>
            <a:ext uri="{FF2B5EF4-FFF2-40B4-BE49-F238E27FC236}">
              <a16:creationId xmlns:a16="http://schemas.microsoft.com/office/drawing/2014/main" id="{6693F1F1-1D39-2EF9-D6B2-3C3FDD3905FC}"/>
            </a:ext>
          </a:extLst>
        </xdr:cNvPr>
        <xdr:cNvSpPr txBox="1"/>
      </xdr:nvSpPr>
      <xdr:spPr>
        <a:xfrm>
          <a:off x="13424323" y="1727624"/>
          <a:ext cx="3919644" cy="812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and size with cells"</a:t>
          </a:r>
        </a:p>
        <a:p>
          <a:r>
            <a:rPr lang="en-US" sz="1100"/>
            <a:t>so they disappear when Config Options is used</a:t>
          </a:r>
        </a:p>
      </xdr:txBody>
    </xdr:sp>
    <xdr:clientData/>
  </xdr:twoCellAnchor>
  <xdr:twoCellAnchor>
    <xdr:from>
      <xdr:col>6</xdr:col>
      <xdr:colOff>64226</xdr:colOff>
      <xdr:row>866</xdr:row>
      <xdr:rowOff>96883</xdr:rowOff>
    </xdr:from>
    <xdr:to>
      <xdr:col>6</xdr:col>
      <xdr:colOff>527782</xdr:colOff>
      <xdr:row>870</xdr:row>
      <xdr:rowOff>178546</xdr:rowOff>
    </xdr:to>
    <xdr:pic>
      <xdr:nvPicPr>
        <xdr:cNvPr id="41" name="Picture 40">
          <a:extLst>
            <a:ext uri="{FF2B5EF4-FFF2-40B4-BE49-F238E27FC236}">
              <a16:creationId xmlns:a16="http://schemas.microsoft.com/office/drawing/2014/main" id="{1D3587CC-989D-F2FE-EE2C-3192D126D362}"/>
            </a:ext>
          </a:extLst>
        </xdr:cNvPr>
        <xdr:cNvPicPr>
          <a:picLocks noChangeAspect="1"/>
        </xdr:cNvPicPr>
      </xdr:nvPicPr>
      <xdr:blipFill>
        <a:blip xmlns:r="http://schemas.openxmlformats.org/officeDocument/2006/relationships" r:embed="rId70"/>
        <a:stretch>
          <a:fillRect/>
        </a:stretch>
      </xdr:blipFill>
      <xdr:spPr>
        <a:xfrm rot="16200000">
          <a:off x="4261116" y="176025908"/>
          <a:ext cx="865434" cy="463556"/>
        </a:xfrm>
        <a:prstGeom prst="rect">
          <a:avLst/>
        </a:prstGeom>
      </xdr:spPr>
    </xdr:pic>
    <xdr:clientData/>
  </xdr:twoCellAnchor>
  <xdr:twoCellAnchor>
    <xdr:from>
      <xdr:col>6</xdr:col>
      <xdr:colOff>20407</xdr:colOff>
      <xdr:row>873</xdr:row>
      <xdr:rowOff>150228</xdr:rowOff>
    </xdr:from>
    <xdr:to>
      <xdr:col>6</xdr:col>
      <xdr:colOff>486356</xdr:colOff>
      <xdr:row>878</xdr:row>
      <xdr:rowOff>13139</xdr:rowOff>
    </xdr:to>
    <xdr:pic>
      <xdr:nvPicPr>
        <xdr:cNvPr id="44" name="Picture 43">
          <a:extLst>
            <a:ext uri="{FF2B5EF4-FFF2-40B4-BE49-F238E27FC236}">
              <a16:creationId xmlns:a16="http://schemas.microsoft.com/office/drawing/2014/main" id="{E8489714-0162-EF5E-4839-DB055D644C81}"/>
            </a:ext>
          </a:extLst>
        </xdr:cNvPr>
        <xdr:cNvPicPr>
          <a:picLocks noChangeAspect="1"/>
        </xdr:cNvPicPr>
      </xdr:nvPicPr>
      <xdr:blipFill>
        <a:blip xmlns:r="http://schemas.openxmlformats.org/officeDocument/2006/relationships" r:embed="rId71"/>
        <a:stretch>
          <a:fillRect/>
        </a:stretch>
      </xdr:blipFill>
      <xdr:spPr>
        <a:xfrm rot="16200000">
          <a:off x="4229898" y="177438252"/>
          <a:ext cx="842625" cy="465949"/>
        </a:xfrm>
        <a:prstGeom prst="rect">
          <a:avLst/>
        </a:prstGeom>
      </xdr:spPr>
    </xdr:pic>
    <xdr:clientData/>
  </xdr:twoCellAnchor>
  <xdr:twoCellAnchor>
    <xdr:from>
      <xdr:col>5</xdr:col>
      <xdr:colOff>343868</xdr:colOff>
      <xdr:row>511</xdr:row>
      <xdr:rowOff>47260</xdr:rowOff>
    </xdr:from>
    <xdr:to>
      <xdr:col>6</xdr:col>
      <xdr:colOff>328862</xdr:colOff>
      <xdr:row>514</xdr:row>
      <xdr:rowOff>144780</xdr:rowOff>
    </xdr:to>
    <xdr:pic>
      <xdr:nvPicPr>
        <xdr:cNvPr id="35" name="Picture 34">
          <a:extLst>
            <a:ext uri="{FF2B5EF4-FFF2-40B4-BE49-F238E27FC236}">
              <a16:creationId xmlns:a16="http://schemas.microsoft.com/office/drawing/2014/main" id="{1F5B4AE9-C916-432E-A949-73FB79C5C2E3}"/>
            </a:ext>
          </a:extLst>
        </xdr:cNvPr>
        <xdr:cNvPicPr>
          <a:picLocks noChangeAspect="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xdr:blipFill>
      <xdr:spPr>
        <a:xfrm>
          <a:off x="3791918" y="97945210"/>
          <a:ext cx="956544" cy="669020"/>
        </a:xfrm>
        <a:prstGeom prst="rect">
          <a:avLst/>
        </a:prstGeom>
      </xdr:spPr>
    </xdr:pic>
    <xdr:clientData/>
  </xdr:twoCellAnchor>
  <xdr:twoCellAnchor>
    <xdr:from>
      <xdr:col>8</xdr:col>
      <xdr:colOff>114300</xdr:colOff>
      <xdr:row>516</xdr:row>
      <xdr:rowOff>123825</xdr:rowOff>
    </xdr:from>
    <xdr:to>
      <xdr:col>18</xdr:col>
      <xdr:colOff>182034</xdr:colOff>
      <xdr:row>520</xdr:row>
      <xdr:rowOff>26458</xdr:rowOff>
    </xdr:to>
    <xdr:sp macro="" textlink="">
      <xdr:nvSpPr>
        <xdr:cNvPr id="36" name="TextBox 35">
          <a:extLst>
            <a:ext uri="{FF2B5EF4-FFF2-40B4-BE49-F238E27FC236}">
              <a16:creationId xmlns:a16="http://schemas.microsoft.com/office/drawing/2014/main" id="{CB298830-67F2-499D-AC0D-90D3BF58D072}"/>
            </a:ext>
          </a:extLst>
        </xdr:cNvPr>
        <xdr:cNvSpPr txBox="1"/>
      </xdr:nvSpPr>
      <xdr:spPr>
        <a:xfrm>
          <a:off x="5419725" y="98974275"/>
          <a:ext cx="4144434"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8</xdr:col>
      <xdr:colOff>200025</xdr:colOff>
      <xdr:row>511</xdr:row>
      <xdr:rowOff>123825</xdr:rowOff>
    </xdr:from>
    <xdr:to>
      <xdr:col>19</xdr:col>
      <xdr:colOff>76200</xdr:colOff>
      <xdr:row>515</xdr:row>
      <xdr:rowOff>26458</xdr:rowOff>
    </xdr:to>
    <xdr:sp macro="" textlink="">
      <xdr:nvSpPr>
        <xdr:cNvPr id="37" name="TextBox 36">
          <a:extLst>
            <a:ext uri="{FF2B5EF4-FFF2-40B4-BE49-F238E27FC236}">
              <a16:creationId xmlns:a16="http://schemas.microsoft.com/office/drawing/2014/main" id="{8619F239-B31F-4314-8ADC-D9671693BC74}"/>
            </a:ext>
          </a:extLst>
        </xdr:cNvPr>
        <xdr:cNvSpPr txBox="1"/>
      </xdr:nvSpPr>
      <xdr:spPr>
        <a:xfrm>
          <a:off x="5505450" y="98021775"/>
          <a:ext cx="4572000"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editAs="oneCell">
    <xdr:from>
      <xdr:col>5</xdr:col>
      <xdr:colOff>751114</xdr:colOff>
      <xdr:row>539</xdr:row>
      <xdr:rowOff>152401</xdr:rowOff>
    </xdr:from>
    <xdr:to>
      <xdr:col>6</xdr:col>
      <xdr:colOff>475161</xdr:colOff>
      <xdr:row>541</xdr:row>
      <xdr:rowOff>226085</xdr:rowOff>
    </xdr:to>
    <xdr:pic>
      <xdr:nvPicPr>
        <xdr:cNvPr id="40" name="Picture 39">
          <a:extLst>
            <a:ext uri="{FF2B5EF4-FFF2-40B4-BE49-F238E27FC236}">
              <a16:creationId xmlns:a16="http://schemas.microsoft.com/office/drawing/2014/main" id="{0291E4E7-1C12-1375-D5F0-83EB69B3BFA6}"/>
            </a:ext>
          </a:extLst>
        </xdr:cNvPr>
        <xdr:cNvPicPr>
          <a:picLocks noChangeAspect="1"/>
        </xdr:cNvPicPr>
      </xdr:nvPicPr>
      <xdr:blipFill>
        <a:blip xmlns:r="http://schemas.openxmlformats.org/officeDocument/2006/relationships" r:embed="rId83"/>
        <a:stretch>
          <a:fillRect/>
        </a:stretch>
      </xdr:blipFill>
      <xdr:spPr>
        <a:xfrm>
          <a:off x="4180114" y="109161944"/>
          <a:ext cx="696686" cy="705055"/>
        </a:xfrm>
        <a:prstGeom prst="rect">
          <a:avLst/>
        </a:prstGeom>
      </xdr:spPr>
    </xdr:pic>
    <xdr:clientData/>
  </xdr:twoCellAnchor>
  <xdr:twoCellAnchor>
    <xdr:from>
      <xdr:col>1</xdr:col>
      <xdr:colOff>500742</xdr:colOff>
      <xdr:row>1069</xdr:row>
      <xdr:rowOff>76200</xdr:rowOff>
    </xdr:from>
    <xdr:to>
      <xdr:col>6</xdr:col>
      <xdr:colOff>676274</xdr:colOff>
      <xdr:row>1073</xdr:row>
      <xdr:rowOff>114302</xdr:rowOff>
    </xdr:to>
    <xdr:sp macro="" textlink="">
      <xdr:nvSpPr>
        <xdr:cNvPr id="45" name="TextBox 44">
          <a:extLst>
            <a:ext uri="{FF2B5EF4-FFF2-40B4-BE49-F238E27FC236}">
              <a16:creationId xmlns:a16="http://schemas.microsoft.com/office/drawing/2014/main" id="{D83D57FB-D1E0-42FD-8A38-85CDCD2A35C1}"/>
            </a:ext>
          </a:extLst>
        </xdr:cNvPr>
        <xdr:cNvSpPr txBox="1"/>
      </xdr:nvSpPr>
      <xdr:spPr>
        <a:xfrm>
          <a:off x="1687285" y="216418886"/>
          <a:ext cx="3386818" cy="8218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rgbClr val="FF0000"/>
              </a:solidFill>
            </a:rPr>
            <a:t>Precut sizes are optional for use for commonly manufactured sizes.</a:t>
          </a:r>
        </a:p>
        <a:p>
          <a:r>
            <a:rPr lang="en-US" sz="1100" baseline="0">
              <a:solidFill>
                <a:srgbClr val="FF0000"/>
              </a:solidFill>
            </a:rPr>
            <a:t>(width precuts are 1/8"shorter than the specified cut size to account for manufacturing tolerances)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0</xdr:colOff>
      <xdr:row>4</xdr:row>
      <xdr:rowOff>104775</xdr:rowOff>
    </xdr:from>
    <xdr:to>
      <xdr:col>24</xdr:col>
      <xdr:colOff>0</xdr:colOff>
      <xdr:row>4</xdr:row>
      <xdr:rowOff>104775</xdr:rowOff>
    </xdr:to>
    <xdr:sp macro="" textlink="">
      <xdr:nvSpPr>
        <xdr:cNvPr id="530607" name="Line 1">
          <a:extLst>
            <a:ext uri="{FF2B5EF4-FFF2-40B4-BE49-F238E27FC236}">
              <a16:creationId xmlns:a16="http://schemas.microsoft.com/office/drawing/2014/main" id="{00000000-0008-0000-0200-0000AF180800}"/>
            </a:ext>
          </a:extLst>
        </xdr:cNvPr>
        <xdr:cNvSpPr>
          <a:spLocks noChangeShapeType="1"/>
        </xdr:cNvSpPr>
      </xdr:nvSpPr>
      <xdr:spPr bwMode="auto">
        <a:xfrm>
          <a:off x="11391900" y="1381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114300</xdr:rowOff>
    </xdr:from>
    <xdr:to>
      <xdr:col>24</xdr:col>
      <xdr:colOff>0</xdr:colOff>
      <xdr:row>4</xdr:row>
      <xdr:rowOff>114300</xdr:rowOff>
    </xdr:to>
    <xdr:sp macro="" textlink="">
      <xdr:nvSpPr>
        <xdr:cNvPr id="530610" name="Line 4">
          <a:extLst>
            <a:ext uri="{FF2B5EF4-FFF2-40B4-BE49-F238E27FC236}">
              <a16:creationId xmlns:a16="http://schemas.microsoft.com/office/drawing/2014/main" id="{00000000-0008-0000-0200-0000B2180800}"/>
            </a:ext>
          </a:extLst>
        </xdr:cNvPr>
        <xdr:cNvSpPr>
          <a:spLocks noChangeShapeType="1"/>
        </xdr:cNvSpPr>
      </xdr:nvSpPr>
      <xdr:spPr bwMode="auto">
        <a:xfrm>
          <a:off x="11391900" y="13906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104775</xdr:rowOff>
    </xdr:from>
    <xdr:to>
      <xdr:col>24</xdr:col>
      <xdr:colOff>0</xdr:colOff>
      <xdr:row>4</xdr:row>
      <xdr:rowOff>104775</xdr:rowOff>
    </xdr:to>
    <xdr:sp macro="" textlink="">
      <xdr:nvSpPr>
        <xdr:cNvPr id="530612" name="Line 10">
          <a:extLst>
            <a:ext uri="{FF2B5EF4-FFF2-40B4-BE49-F238E27FC236}">
              <a16:creationId xmlns:a16="http://schemas.microsoft.com/office/drawing/2014/main" id="{00000000-0008-0000-0200-0000B4180800}"/>
            </a:ext>
          </a:extLst>
        </xdr:cNvPr>
        <xdr:cNvSpPr>
          <a:spLocks noChangeShapeType="1"/>
        </xdr:cNvSpPr>
      </xdr:nvSpPr>
      <xdr:spPr bwMode="auto">
        <a:xfrm>
          <a:off x="11391900" y="1381125"/>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0614" name="Line 12">
          <a:extLst>
            <a:ext uri="{FF2B5EF4-FFF2-40B4-BE49-F238E27FC236}">
              <a16:creationId xmlns:a16="http://schemas.microsoft.com/office/drawing/2014/main" id="{00000000-0008-0000-0200-0000B6180800}"/>
            </a:ext>
          </a:extLst>
        </xdr:cNvPr>
        <xdr:cNvSpPr>
          <a:spLocks noChangeShapeType="1"/>
        </xdr:cNvSpPr>
      </xdr:nvSpPr>
      <xdr:spPr bwMode="auto">
        <a:xfrm>
          <a:off x="12915900" y="5619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17" name="Line 2">
          <a:extLst>
            <a:ext uri="{FF2B5EF4-FFF2-40B4-BE49-F238E27FC236}">
              <a16:creationId xmlns:a16="http://schemas.microsoft.com/office/drawing/2014/main" id="{00000000-0008-0000-0200-0000B9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0618" name="Line 3">
          <a:extLst>
            <a:ext uri="{FF2B5EF4-FFF2-40B4-BE49-F238E27FC236}">
              <a16:creationId xmlns:a16="http://schemas.microsoft.com/office/drawing/2014/main" id="{00000000-0008-0000-0200-0000BA180800}"/>
            </a:ext>
          </a:extLst>
        </xdr:cNvPr>
        <xdr:cNvSpPr>
          <a:spLocks noChangeShapeType="1"/>
        </xdr:cNvSpPr>
      </xdr:nvSpPr>
      <xdr:spPr bwMode="auto">
        <a:xfrm>
          <a:off x="12363450" y="8667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19" name="Line 5">
          <a:extLst>
            <a:ext uri="{FF2B5EF4-FFF2-40B4-BE49-F238E27FC236}">
              <a16:creationId xmlns:a16="http://schemas.microsoft.com/office/drawing/2014/main" id="{00000000-0008-0000-0200-0000BB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20" name="Line 11">
          <a:extLst>
            <a:ext uri="{FF2B5EF4-FFF2-40B4-BE49-F238E27FC236}">
              <a16:creationId xmlns:a16="http://schemas.microsoft.com/office/drawing/2014/main" id="{00000000-0008-0000-0200-0000BC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0621" name="Line 13">
          <a:extLst>
            <a:ext uri="{FF2B5EF4-FFF2-40B4-BE49-F238E27FC236}">
              <a16:creationId xmlns:a16="http://schemas.microsoft.com/office/drawing/2014/main" id="{00000000-0008-0000-0200-0000BD180800}"/>
            </a:ext>
          </a:extLst>
        </xdr:cNvPr>
        <xdr:cNvSpPr>
          <a:spLocks noChangeShapeType="1"/>
        </xdr:cNvSpPr>
      </xdr:nvSpPr>
      <xdr:spPr bwMode="auto">
        <a:xfrm>
          <a:off x="12430125" y="1381125"/>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0622" name="Line 28">
          <a:extLst>
            <a:ext uri="{FF2B5EF4-FFF2-40B4-BE49-F238E27FC236}">
              <a16:creationId xmlns:a16="http://schemas.microsoft.com/office/drawing/2014/main" id="{00000000-0008-0000-0200-0000BE180800}"/>
            </a:ext>
          </a:extLst>
        </xdr:cNvPr>
        <xdr:cNvSpPr>
          <a:spLocks noChangeShapeType="1"/>
        </xdr:cNvSpPr>
      </xdr:nvSpPr>
      <xdr:spPr bwMode="auto">
        <a:xfrm>
          <a:off x="5800725" y="1381125"/>
          <a:ext cx="0" cy="0"/>
        </a:xfrm>
        <a:prstGeom prst="line">
          <a:avLst/>
        </a:prstGeom>
        <a:noFill/>
        <a:ln w="9525">
          <a:solidFill>
            <a:srgbClr val="000000"/>
          </a:solidFill>
          <a:round/>
          <a:headEnd/>
          <a:tailEnd type="triangle" w="med" len="med"/>
        </a:ln>
      </xdr:spPr>
    </xdr:sp>
    <xdr:clientData/>
  </xdr:twoCellAnchor>
  <xdr:twoCellAnchor editAs="oneCell">
    <xdr:from>
      <xdr:col>4</xdr:col>
      <xdr:colOff>646018</xdr:colOff>
      <xdr:row>167</xdr:row>
      <xdr:rowOff>67235</xdr:rowOff>
    </xdr:from>
    <xdr:to>
      <xdr:col>5</xdr:col>
      <xdr:colOff>549087</xdr:colOff>
      <xdr:row>173</xdr:row>
      <xdr:rowOff>0</xdr:rowOff>
    </xdr:to>
    <xdr:pic>
      <xdr:nvPicPr>
        <xdr:cNvPr id="530652" name="Picture 209">
          <a:extLst>
            <a:ext uri="{FF2B5EF4-FFF2-40B4-BE49-F238E27FC236}">
              <a16:creationId xmlns:a16="http://schemas.microsoft.com/office/drawing/2014/main" id="{00000000-0008-0000-0200-0000DC1808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3010459" y="24070235"/>
          <a:ext cx="721099" cy="844932"/>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0671" name="Line 1">
          <a:extLst>
            <a:ext uri="{FF2B5EF4-FFF2-40B4-BE49-F238E27FC236}">
              <a16:creationId xmlns:a16="http://schemas.microsoft.com/office/drawing/2014/main" id="{00000000-0008-0000-0200-0000EF180800}"/>
            </a:ext>
          </a:extLst>
        </xdr:cNvPr>
        <xdr:cNvSpPr>
          <a:spLocks noChangeShapeType="1"/>
        </xdr:cNvSpPr>
      </xdr:nvSpPr>
      <xdr:spPr bwMode="auto">
        <a:xfrm>
          <a:off x="113919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0672" name="Line 4">
          <a:extLst>
            <a:ext uri="{FF2B5EF4-FFF2-40B4-BE49-F238E27FC236}">
              <a16:creationId xmlns:a16="http://schemas.microsoft.com/office/drawing/2014/main" id="{00000000-0008-0000-0200-0000F0180800}"/>
            </a:ext>
          </a:extLst>
        </xdr:cNvPr>
        <xdr:cNvSpPr>
          <a:spLocks noChangeShapeType="1"/>
        </xdr:cNvSpPr>
      </xdr:nvSpPr>
      <xdr:spPr bwMode="auto">
        <a:xfrm>
          <a:off x="11391900" y="876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0673" name="Line 10">
          <a:extLst>
            <a:ext uri="{FF2B5EF4-FFF2-40B4-BE49-F238E27FC236}">
              <a16:creationId xmlns:a16="http://schemas.microsoft.com/office/drawing/2014/main" id="{00000000-0008-0000-0200-0000F1180800}"/>
            </a:ext>
          </a:extLst>
        </xdr:cNvPr>
        <xdr:cNvSpPr>
          <a:spLocks noChangeShapeType="1"/>
        </xdr:cNvSpPr>
      </xdr:nvSpPr>
      <xdr:spPr bwMode="auto">
        <a:xfrm>
          <a:off x="113919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0674" name="Line 1">
          <a:extLst>
            <a:ext uri="{FF2B5EF4-FFF2-40B4-BE49-F238E27FC236}">
              <a16:creationId xmlns:a16="http://schemas.microsoft.com/office/drawing/2014/main" id="{00000000-0008-0000-0200-0000F2180800}"/>
            </a:ext>
          </a:extLst>
        </xdr:cNvPr>
        <xdr:cNvSpPr>
          <a:spLocks noChangeShapeType="1"/>
        </xdr:cNvSpPr>
      </xdr:nvSpPr>
      <xdr:spPr bwMode="auto">
        <a:xfrm>
          <a:off x="11391900" y="1123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0675" name="Line 4">
          <a:extLst>
            <a:ext uri="{FF2B5EF4-FFF2-40B4-BE49-F238E27FC236}">
              <a16:creationId xmlns:a16="http://schemas.microsoft.com/office/drawing/2014/main" id="{00000000-0008-0000-0200-0000F3180800}"/>
            </a:ext>
          </a:extLst>
        </xdr:cNvPr>
        <xdr:cNvSpPr>
          <a:spLocks noChangeShapeType="1"/>
        </xdr:cNvSpPr>
      </xdr:nvSpPr>
      <xdr:spPr bwMode="auto">
        <a:xfrm>
          <a:off x="11391900" y="1133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0676" name="Line 10">
          <a:extLst>
            <a:ext uri="{FF2B5EF4-FFF2-40B4-BE49-F238E27FC236}">
              <a16:creationId xmlns:a16="http://schemas.microsoft.com/office/drawing/2014/main" id="{00000000-0008-0000-0200-0000F4180800}"/>
            </a:ext>
          </a:extLst>
        </xdr:cNvPr>
        <xdr:cNvSpPr>
          <a:spLocks noChangeShapeType="1"/>
        </xdr:cNvSpPr>
      </xdr:nvSpPr>
      <xdr:spPr bwMode="auto">
        <a:xfrm>
          <a:off x="11391900" y="1123950"/>
          <a:ext cx="0" cy="0"/>
        </a:xfrm>
        <a:prstGeom prst="line">
          <a:avLst/>
        </a:prstGeom>
        <a:noFill/>
        <a:ln w="9525">
          <a:solidFill>
            <a:srgbClr val="000000"/>
          </a:solidFill>
          <a:round/>
          <a:headEnd/>
          <a:tailEnd type="triangle" w="med" len="med"/>
        </a:ln>
      </xdr:spPr>
    </xdr:sp>
    <xdr:clientData/>
  </xdr:twoCellAnchor>
  <xdr:twoCellAnchor editAs="oneCell">
    <xdr:from>
      <xdr:col>10</xdr:col>
      <xdr:colOff>272415</xdr:colOff>
      <xdr:row>617</xdr:row>
      <xdr:rowOff>20955</xdr:rowOff>
    </xdr:from>
    <xdr:to>
      <xdr:col>18</xdr:col>
      <xdr:colOff>43815</xdr:colOff>
      <xdr:row>627</xdr:row>
      <xdr:rowOff>74295</xdr:rowOff>
    </xdr:to>
    <xdr:grpSp>
      <xdr:nvGrpSpPr>
        <xdr:cNvPr id="530683" name="Group 274">
          <a:extLst>
            <a:ext uri="{FF2B5EF4-FFF2-40B4-BE49-F238E27FC236}">
              <a16:creationId xmlns:a16="http://schemas.microsoft.com/office/drawing/2014/main" id="{00000000-0008-0000-0200-0000FB180800}"/>
            </a:ext>
          </a:extLst>
        </xdr:cNvPr>
        <xdr:cNvGrpSpPr>
          <a:grpSpLocks/>
        </xdr:cNvGrpSpPr>
      </xdr:nvGrpSpPr>
      <xdr:grpSpPr bwMode="auto">
        <a:xfrm>
          <a:off x="5948499" y="119964109"/>
          <a:ext cx="2207078" cy="2043793"/>
          <a:chOff x="396" y="106"/>
          <a:chExt cx="527" cy="348"/>
        </a:xfrm>
      </xdr:grpSpPr>
      <xdr:pic>
        <xdr:nvPicPr>
          <xdr:cNvPr id="530723" name="Picture 4">
            <a:extLst>
              <a:ext uri="{FF2B5EF4-FFF2-40B4-BE49-F238E27FC236}">
                <a16:creationId xmlns:a16="http://schemas.microsoft.com/office/drawing/2014/main" id="{00000000-0008-0000-0200-000023190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6" y="106"/>
            <a:ext cx="269" cy="347"/>
          </a:xfrm>
          <a:prstGeom prst="rect">
            <a:avLst/>
          </a:prstGeom>
          <a:noFill/>
          <a:ln w="9525">
            <a:noFill/>
            <a:miter lim="800000"/>
            <a:headEnd/>
            <a:tailEnd/>
          </a:ln>
        </xdr:spPr>
      </xdr:pic>
      <xdr:pic>
        <xdr:nvPicPr>
          <xdr:cNvPr id="530724" name="Picture 5">
            <a:extLst>
              <a:ext uri="{FF2B5EF4-FFF2-40B4-BE49-F238E27FC236}">
                <a16:creationId xmlns:a16="http://schemas.microsoft.com/office/drawing/2014/main" id="{00000000-0008-0000-0200-000024190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1</xdr:col>
      <xdr:colOff>533400</xdr:colOff>
      <xdr:row>344</xdr:row>
      <xdr:rowOff>9525</xdr:rowOff>
    </xdr:from>
    <xdr:to>
      <xdr:col>4</xdr:col>
      <xdr:colOff>57150</xdr:colOff>
      <xdr:row>346</xdr:row>
      <xdr:rowOff>114300</xdr:rowOff>
    </xdr:to>
    <xdr:pic>
      <xdr:nvPicPr>
        <xdr:cNvPr id="530685" name="Picture 7629">
          <a:extLst>
            <a:ext uri="{FF2B5EF4-FFF2-40B4-BE49-F238E27FC236}">
              <a16:creationId xmlns:a16="http://schemas.microsoft.com/office/drawing/2014/main" id="{00000000-0008-0000-0200-0000FD1808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724025" y="28736925"/>
          <a:ext cx="695325" cy="485775"/>
        </a:xfrm>
        <a:prstGeom prst="rect">
          <a:avLst/>
        </a:prstGeom>
        <a:noFill/>
        <a:ln w="1">
          <a:noFill/>
          <a:miter lim="800000"/>
          <a:headEnd/>
          <a:tailEnd/>
        </a:ln>
      </xdr:spPr>
    </xdr:pic>
    <xdr:clientData/>
  </xdr:twoCellAnchor>
  <xdr:twoCellAnchor editAs="oneCell">
    <xdr:from>
      <xdr:col>5</xdr:col>
      <xdr:colOff>552449</xdr:colOff>
      <xdr:row>473</xdr:row>
      <xdr:rowOff>53340</xdr:rowOff>
    </xdr:from>
    <xdr:to>
      <xdr:col>6</xdr:col>
      <xdr:colOff>339983</xdr:colOff>
      <xdr:row>474</xdr:row>
      <xdr:rowOff>297180</xdr:rowOff>
    </xdr:to>
    <xdr:pic>
      <xdr:nvPicPr>
        <xdr:cNvPr id="530695" name="Picture 24078">
          <a:extLst>
            <a:ext uri="{FF2B5EF4-FFF2-40B4-BE49-F238E27FC236}">
              <a16:creationId xmlns:a16="http://schemas.microsoft.com/office/drawing/2014/main" id="{00000000-0008-0000-0200-0000071908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3714749" y="82654140"/>
          <a:ext cx="709554" cy="571500"/>
        </a:xfrm>
        <a:prstGeom prst="rect">
          <a:avLst/>
        </a:prstGeom>
        <a:noFill/>
        <a:ln w="1">
          <a:noFill/>
          <a:miter lim="800000"/>
          <a:headEnd/>
          <a:tailEnd/>
        </a:ln>
      </xdr:spPr>
    </xdr:pic>
    <xdr:clientData/>
  </xdr:twoCellAnchor>
  <xdr:twoCellAnchor editAs="oneCell">
    <xdr:from>
      <xdr:col>5</xdr:col>
      <xdr:colOff>541020</xdr:colOff>
      <xdr:row>475</xdr:row>
      <xdr:rowOff>45720</xdr:rowOff>
    </xdr:from>
    <xdr:to>
      <xdr:col>6</xdr:col>
      <xdr:colOff>262769</xdr:colOff>
      <xdr:row>476</xdr:row>
      <xdr:rowOff>274320</xdr:rowOff>
    </xdr:to>
    <xdr:pic>
      <xdr:nvPicPr>
        <xdr:cNvPr id="530696" name="Picture 24079">
          <a:extLst>
            <a:ext uri="{FF2B5EF4-FFF2-40B4-BE49-F238E27FC236}">
              <a16:creationId xmlns:a16="http://schemas.microsoft.com/office/drawing/2014/main" id="{00000000-0008-0000-0200-00000819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3703320" y="83301840"/>
          <a:ext cx="643769" cy="510540"/>
        </a:xfrm>
        <a:prstGeom prst="rect">
          <a:avLst/>
        </a:prstGeom>
        <a:noFill/>
        <a:ln w="1">
          <a:noFill/>
          <a:miter lim="800000"/>
          <a:headEnd/>
          <a:tailEnd/>
        </a:ln>
      </xdr:spPr>
    </xdr:pic>
    <xdr:clientData/>
  </xdr:twoCellAnchor>
  <xdr:twoCellAnchor editAs="oneCell">
    <xdr:from>
      <xdr:col>3</xdr:col>
      <xdr:colOff>28575</xdr:colOff>
      <xdr:row>338</xdr:row>
      <xdr:rowOff>0</xdr:rowOff>
    </xdr:from>
    <xdr:to>
      <xdr:col>4</xdr:col>
      <xdr:colOff>76200</xdr:colOff>
      <xdr:row>340</xdr:row>
      <xdr:rowOff>133350</xdr:rowOff>
    </xdr:to>
    <xdr:pic>
      <xdr:nvPicPr>
        <xdr:cNvPr id="530712" name="Picture 14885">
          <a:extLst>
            <a:ext uri="{FF2B5EF4-FFF2-40B4-BE49-F238E27FC236}">
              <a16:creationId xmlns:a16="http://schemas.microsoft.com/office/drawing/2014/main" id="{00000000-0008-0000-0200-000018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114550" y="27965400"/>
          <a:ext cx="323850" cy="514350"/>
        </a:xfrm>
        <a:prstGeom prst="rect">
          <a:avLst/>
        </a:prstGeom>
        <a:noFill/>
        <a:ln w="1">
          <a:noFill/>
          <a:miter lim="800000"/>
          <a:headEnd/>
          <a:tailEnd/>
        </a:ln>
      </xdr:spPr>
    </xdr:pic>
    <xdr:clientData/>
  </xdr:twoCellAnchor>
  <xdr:twoCellAnchor editAs="oneCell">
    <xdr:from>
      <xdr:col>2</xdr:col>
      <xdr:colOff>295275</xdr:colOff>
      <xdr:row>296</xdr:row>
      <xdr:rowOff>180975</xdr:rowOff>
    </xdr:from>
    <xdr:to>
      <xdr:col>4</xdr:col>
      <xdr:colOff>28575</xdr:colOff>
      <xdr:row>299</xdr:row>
      <xdr:rowOff>123825</xdr:rowOff>
    </xdr:to>
    <xdr:pic>
      <xdr:nvPicPr>
        <xdr:cNvPr id="530713" name="Picture 14885">
          <a:extLst>
            <a:ext uri="{FF2B5EF4-FFF2-40B4-BE49-F238E27FC236}">
              <a16:creationId xmlns:a16="http://schemas.microsoft.com/office/drawing/2014/main" id="{00000000-0008-0000-0200-000019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066925" y="23936325"/>
          <a:ext cx="323850" cy="514350"/>
        </a:xfrm>
        <a:prstGeom prst="rect">
          <a:avLst/>
        </a:prstGeom>
        <a:noFill/>
        <a:ln w="1">
          <a:noFill/>
          <a:miter lim="800000"/>
          <a:headEnd/>
          <a:tailEnd/>
        </a:ln>
      </xdr:spPr>
    </xdr:pic>
    <xdr:clientData/>
  </xdr:twoCellAnchor>
  <xdr:twoCellAnchor editAs="oneCell">
    <xdr:from>
      <xdr:col>2</xdr:col>
      <xdr:colOff>247650</xdr:colOff>
      <xdr:row>243</xdr:row>
      <xdr:rowOff>0</xdr:rowOff>
    </xdr:from>
    <xdr:to>
      <xdr:col>3</xdr:col>
      <xdr:colOff>257175</xdr:colOff>
      <xdr:row>245</xdr:row>
      <xdr:rowOff>133350</xdr:rowOff>
    </xdr:to>
    <xdr:pic>
      <xdr:nvPicPr>
        <xdr:cNvPr id="530714" name="Picture 14885">
          <a:extLst>
            <a:ext uri="{FF2B5EF4-FFF2-40B4-BE49-F238E27FC236}">
              <a16:creationId xmlns:a16="http://schemas.microsoft.com/office/drawing/2014/main" id="{00000000-0008-0000-0200-00001A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019300" y="19926300"/>
          <a:ext cx="323850" cy="514350"/>
        </a:xfrm>
        <a:prstGeom prst="rect">
          <a:avLst/>
        </a:prstGeom>
        <a:noFill/>
        <a:ln w="1">
          <a:noFill/>
          <a:miter lim="800000"/>
          <a:headEnd/>
          <a:tailEnd/>
        </a:ln>
      </xdr:spPr>
    </xdr:pic>
    <xdr:clientData/>
  </xdr:twoCellAnchor>
  <xdr:twoCellAnchor editAs="oneCell">
    <xdr:from>
      <xdr:col>8</xdr:col>
      <xdr:colOff>401955</xdr:colOff>
      <xdr:row>637</xdr:row>
      <xdr:rowOff>13335</xdr:rowOff>
    </xdr:from>
    <xdr:to>
      <xdr:col>16</xdr:col>
      <xdr:colOff>120015</xdr:colOff>
      <xdr:row>647</xdr:row>
      <xdr:rowOff>66675</xdr:rowOff>
    </xdr:to>
    <xdr:grpSp>
      <xdr:nvGrpSpPr>
        <xdr:cNvPr id="530715" name="Group 274">
          <a:extLst>
            <a:ext uri="{FF2B5EF4-FFF2-40B4-BE49-F238E27FC236}">
              <a16:creationId xmlns:a16="http://schemas.microsoft.com/office/drawing/2014/main" id="{00000000-0008-0000-0200-00001B190800}"/>
            </a:ext>
          </a:extLst>
        </xdr:cNvPr>
        <xdr:cNvGrpSpPr>
          <a:grpSpLocks/>
        </xdr:cNvGrpSpPr>
      </xdr:nvGrpSpPr>
      <xdr:grpSpPr bwMode="auto">
        <a:xfrm>
          <a:off x="5432788" y="124087074"/>
          <a:ext cx="2213882" cy="2034267"/>
          <a:chOff x="396" y="106"/>
          <a:chExt cx="527" cy="348"/>
        </a:xfrm>
      </xdr:grpSpPr>
      <xdr:pic>
        <xdr:nvPicPr>
          <xdr:cNvPr id="530721" name="Picture 4">
            <a:extLst>
              <a:ext uri="{FF2B5EF4-FFF2-40B4-BE49-F238E27FC236}">
                <a16:creationId xmlns:a16="http://schemas.microsoft.com/office/drawing/2014/main" id="{00000000-0008-0000-0200-000021190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6" y="106"/>
            <a:ext cx="269" cy="347"/>
          </a:xfrm>
          <a:prstGeom prst="rect">
            <a:avLst/>
          </a:prstGeom>
          <a:noFill/>
          <a:ln w="9525">
            <a:noFill/>
            <a:miter lim="800000"/>
            <a:headEnd/>
            <a:tailEnd/>
          </a:ln>
        </xdr:spPr>
      </xdr:pic>
      <xdr:pic>
        <xdr:nvPicPr>
          <xdr:cNvPr id="530722" name="Picture 5">
            <a:extLst>
              <a:ext uri="{FF2B5EF4-FFF2-40B4-BE49-F238E27FC236}">
                <a16:creationId xmlns:a16="http://schemas.microsoft.com/office/drawing/2014/main" id="{00000000-0008-0000-0200-000022190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2</xdr:col>
      <xdr:colOff>103717</xdr:colOff>
      <xdr:row>52</xdr:row>
      <xdr:rowOff>78317</xdr:rowOff>
    </xdr:from>
    <xdr:to>
      <xdr:col>4</xdr:col>
      <xdr:colOff>247650</xdr:colOff>
      <xdr:row>54</xdr:row>
      <xdr:rowOff>40217</xdr:rowOff>
    </xdr:to>
    <xdr:pic>
      <xdr:nvPicPr>
        <xdr:cNvPr id="73" name="Picture 25383">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a:stretch>
          <a:fillRect/>
        </a:stretch>
      </xdr:blipFill>
      <xdr:spPr bwMode="auto">
        <a:xfrm>
          <a:off x="1875367" y="8269817"/>
          <a:ext cx="810683" cy="342900"/>
        </a:xfrm>
        <a:prstGeom prst="rect">
          <a:avLst/>
        </a:prstGeom>
        <a:noFill/>
        <a:ln w="1">
          <a:noFill/>
          <a:miter lim="800000"/>
          <a:headEnd/>
          <a:tailEnd/>
        </a:ln>
      </xdr:spPr>
    </xdr:pic>
    <xdr:clientData/>
  </xdr:twoCellAnchor>
  <xdr:twoCellAnchor editAs="oneCell">
    <xdr:from>
      <xdr:col>1</xdr:col>
      <xdr:colOff>552450</xdr:colOff>
      <xdr:row>249</xdr:row>
      <xdr:rowOff>19050</xdr:rowOff>
    </xdr:from>
    <xdr:to>
      <xdr:col>3</xdr:col>
      <xdr:colOff>142875</xdr:colOff>
      <xdr:row>251</xdr:row>
      <xdr:rowOff>9525</xdr:rowOff>
    </xdr:to>
    <xdr:pic>
      <xdr:nvPicPr>
        <xdr:cNvPr id="75" name="Picture 25385">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1743075" y="24250650"/>
          <a:ext cx="561975" cy="371475"/>
        </a:xfrm>
        <a:prstGeom prst="rect">
          <a:avLst/>
        </a:prstGeom>
        <a:noFill/>
        <a:ln w="1">
          <a:noFill/>
          <a:miter lim="800000"/>
          <a:headEnd/>
          <a:tailEnd/>
        </a:ln>
      </xdr:spPr>
    </xdr:pic>
    <xdr:clientData/>
  </xdr:twoCellAnchor>
  <xdr:twoCellAnchor editAs="oneCell">
    <xdr:from>
      <xdr:col>2</xdr:col>
      <xdr:colOff>112508</xdr:colOff>
      <xdr:row>182</xdr:row>
      <xdr:rowOff>40790</xdr:rowOff>
    </xdr:from>
    <xdr:to>
      <xdr:col>5</xdr:col>
      <xdr:colOff>559752</xdr:colOff>
      <xdr:row>184</xdr:row>
      <xdr:rowOff>110515</xdr:rowOff>
    </xdr:to>
    <xdr:pic>
      <xdr:nvPicPr>
        <xdr:cNvPr id="79" name="Picture 80538">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880348" y="32966810"/>
          <a:ext cx="1841704" cy="435485"/>
        </a:xfrm>
        <a:prstGeom prst="rect">
          <a:avLst/>
        </a:prstGeom>
        <a:noFill/>
        <a:ln w="1">
          <a:noFill/>
          <a:miter lim="800000"/>
          <a:headEnd/>
          <a:tailEnd type="none" w="med" len="med"/>
        </a:ln>
        <a:effectLst/>
      </xdr:spPr>
    </xdr:pic>
    <xdr:clientData/>
  </xdr:twoCellAnchor>
  <xdr:twoCellAnchor editAs="oneCell">
    <xdr:from>
      <xdr:col>2</xdr:col>
      <xdr:colOff>11207</xdr:colOff>
      <xdr:row>360</xdr:row>
      <xdr:rowOff>89647</xdr:rowOff>
    </xdr:from>
    <xdr:to>
      <xdr:col>4</xdr:col>
      <xdr:colOff>558054</xdr:colOff>
      <xdr:row>362</xdr:row>
      <xdr:rowOff>13447</xdr:rowOff>
    </xdr:to>
    <xdr:pic>
      <xdr:nvPicPr>
        <xdr:cNvPr id="88" name="Picture 5834">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781736" y="44588206"/>
          <a:ext cx="1140759" cy="304800"/>
        </a:xfrm>
        <a:prstGeom prst="rect">
          <a:avLst/>
        </a:prstGeom>
        <a:noFill/>
        <a:ln w="1">
          <a:noFill/>
          <a:miter lim="800000"/>
          <a:headEnd/>
          <a:tailEnd type="none" w="med" len="med"/>
        </a:ln>
        <a:effectLst/>
      </xdr:spPr>
    </xdr:pic>
    <xdr:clientData/>
  </xdr:twoCellAnchor>
  <xdr:twoCellAnchor editAs="oneCell">
    <xdr:from>
      <xdr:col>1</xdr:col>
      <xdr:colOff>537882</xdr:colOff>
      <xdr:row>365</xdr:row>
      <xdr:rowOff>89647</xdr:rowOff>
    </xdr:from>
    <xdr:to>
      <xdr:col>4</xdr:col>
      <xdr:colOff>502024</xdr:colOff>
      <xdr:row>367</xdr:row>
      <xdr:rowOff>13447</xdr:rowOff>
    </xdr:to>
    <xdr:pic>
      <xdr:nvPicPr>
        <xdr:cNvPr id="89" name="Picture 5834">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725706" y="45350206"/>
          <a:ext cx="1140759" cy="304800"/>
        </a:xfrm>
        <a:prstGeom prst="rect">
          <a:avLst/>
        </a:prstGeom>
        <a:noFill/>
        <a:ln w="1">
          <a:noFill/>
          <a:miter lim="800000"/>
          <a:headEnd/>
          <a:tailEnd type="none" w="med" len="med"/>
        </a:ln>
        <a:effectLst/>
      </xdr:spPr>
    </xdr:pic>
    <xdr:clientData/>
  </xdr:twoCellAnchor>
  <xdr:twoCellAnchor editAs="oneCell">
    <xdr:from>
      <xdr:col>1</xdr:col>
      <xdr:colOff>470647</xdr:colOff>
      <xdr:row>370</xdr:row>
      <xdr:rowOff>100853</xdr:rowOff>
    </xdr:from>
    <xdr:to>
      <xdr:col>4</xdr:col>
      <xdr:colOff>434789</xdr:colOff>
      <xdr:row>372</xdr:row>
      <xdr:rowOff>24653</xdr:rowOff>
    </xdr:to>
    <xdr:pic>
      <xdr:nvPicPr>
        <xdr:cNvPr id="94" name="Picture 5834">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658471" y="46123412"/>
          <a:ext cx="1140759" cy="304800"/>
        </a:xfrm>
        <a:prstGeom prst="rect">
          <a:avLst/>
        </a:prstGeom>
        <a:noFill/>
        <a:ln w="1">
          <a:noFill/>
          <a:miter lim="800000"/>
          <a:headEnd/>
          <a:tailEnd type="none" w="med" len="med"/>
        </a:ln>
        <a:effectLst/>
      </xdr:spPr>
    </xdr:pic>
    <xdr:clientData/>
  </xdr:twoCellAnchor>
  <xdr:twoCellAnchor editAs="oneCell">
    <xdr:from>
      <xdr:col>1</xdr:col>
      <xdr:colOff>514350</xdr:colOff>
      <xdr:row>200</xdr:row>
      <xdr:rowOff>171450</xdr:rowOff>
    </xdr:from>
    <xdr:to>
      <xdr:col>4</xdr:col>
      <xdr:colOff>352425</xdr:colOff>
      <xdr:row>202</xdr:row>
      <xdr:rowOff>171450</xdr:rowOff>
    </xdr:to>
    <xdr:pic>
      <xdr:nvPicPr>
        <xdr:cNvPr id="97" name="Picture 80634">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704975" y="23507700"/>
          <a:ext cx="1276350" cy="381000"/>
        </a:xfrm>
        <a:prstGeom prst="rect">
          <a:avLst/>
        </a:prstGeom>
        <a:noFill/>
        <a:ln w="1">
          <a:noFill/>
          <a:miter lim="800000"/>
          <a:headEnd/>
          <a:tailEnd type="none" w="med" len="med"/>
        </a:ln>
        <a:effectLst/>
      </xdr:spPr>
    </xdr:pic>
    <xdr:clientData/>
  </xdr:twoCellAnchor>
  <xdr:twoCellAnchor editAs="oneCell">
    <xdr:from>
      <xdr:col>2</xdr:col>
      <xdr:colOff>0</xdr:colOff>
      <xdr:row>86</xdr:row>
      <xdr:rowOff>0</xdr:rowOff>
    </xdr:from>
    <xdr:to>
      <xdr:col>4</xdr:col>
      <xdr:colOff>627530</xdr:colOff>
      <xdr:row>91</xdr:row>
      <xdr:rowOff>110710</xdr:rowOff>
    </xdr:to>
    <xdr:pic>
      <xdr:nvPicPr>
        <xdr:cNvPr id="100" name="Picture 16553">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771650" y="13792200"/>
          <a:ext cx="1218080" cy="1091785"/>
        </a:xfrm>
        <a:prstGeom prst="rect">
          <a:avLst/>
        </a:prstGeom>
        <a:noFill/>
        <a:ln w="1">
          <a:noFill/>
          <a:miter lim="800000"/>
          <a:headEnd/>
          <a:tailEnd type="none" w="med" len="med"/>
        </a:ln>
        <a:effectLst/>
      </xdr:spPr>
    </xdr:pic>
    <xdr:clientData/>
  </xdr:twoCellAnchor>
  <xdr:twoCellAnchor editAs="oneCell">
    <xdr:from>
      <xdr:col>2</xdr:col>
      <xdr:colOff>235324</xdr:colOff>
      <xdr:row>175</xdr:row>
      <xdr:rowOff>168089</xdr:rowOff>
    </xdr:from>
    <xdr:to>
      <xdr:col>4</xdr:col>
      <xdr:colOff>784412</xdr:colOff>
      <xdr:row>177</xdr:row>
      <xdr:rowOff>168089</xdr:rowOff>
    </xdr:to>
    <xdr:pic>
      <xdr:nvPicPr>
        <xdr:cNvPr id="91" name="Picture 80652">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2005853" y="25314089"/>
          <a:ext cx="1143000" cy="381000"/>
        </a:xfrm>
        <a:prstGeom prst="rect">
          <a:avLst/>
        </a:prstGeom>
        <a:noFill/>
        <a:ln w="1">
          <a:noFill/>
          <a:miter lim="800000"/>
          <a:headEnd/>
          <a:tailEnd type="none" w="med" len="med"/>
        </a:ln>
        <a:effectLst/>
      </xdr:spPr>
    </xdr:pic>
    <xdr:clientData/>
  </xdr:twoCellAnchor>
  <xdr:twoCellAnchor editAs="oneCell">
    <xdr:from>
      <xdr:col>2</xdr:col>
      <xdr:colOff>247650</xdr:colOff>
      <xdr:row>288</xdr:row>
      <xdr:rowOff>180975</xdr:rowOff>
    </xdr:from>
    <xdr:to>
      <xdr:col>4</xdr:col>
      <xdr:colOff>199505</xdr:colOff>
      <xdr:row>291</xdr:row>
      <xdr:rowOff>161925</xdr:rowOff>
    </xdr:to>
    <xdr:pic>
      <xdr:nvPicPr>
        <xdr:cNvPr id="110" name="Picture 16578">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2019300" y="38509575"/>
          <a:ext cx="542405" cy="552450"/>
        </a:xfrm>
        <a:prstGeom prst="rect">
          <a:avLst/>
        </a:prstGeom>
        <a:noFill/>
        <a:ln w="1">
          <a:noFill/>
          <a:miter lim="800000"/>
          <a:headEnd/>
          <a:tailEnd type="none" w="med" len="med"/>
        </a:ln>
        <a:effectLst/>
      </xdr:spPr>
    </xdr:pic>
    <xdr:clientData/>
  </xdr:twoCellAnchor>
  <xdr:twoCellAnchor editAs="oneCell">
    <xdr:from>
      <xdr:col>2</xdr:col>
      <xdr:colOff>238125</xdr:colOff>
      <xdr:row>292</xdr:row>
      <xdr:rowOff>180975</xdr:rowOff>
    </xdr:from>
    <xdr:to>
      <xdr:col>4</xdr:col>
      <xdr:colOff>209550</xdr:colOff>
      <xdr:row>295</xdr:row>
      <xdr:rowOff>171450</xdr:rowOff>
    </xdr:to>
    <xdr:pic>
      <xdr:nvPicPr>
        <xdr:cNvPr id="111" name="Picture 16579">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2009775" y="39281100"/>
          <a:ext cx="561975" cy="561975"/>
        </a:xfrm>
        <a:prstGeom prst="rect">
          <a:avLst/>
        </a:prstGeom>
        <a:noFill/>
        <a:ln w="1">
          <a:noFill/>
          <a:miter lim="800000"/>
          <a:headEnd/>
          <a:tailEnd type="none" w="med" len="med"/>
        </a:ln>
        <a:effectLst/>
      </xdr:spPr>
    </xdr:pic>
    <xdr:clientData/>
  </xdr:twoCellAnchor>
  <xdr:twoCellAnchor>
    <xdr:from>
      <xdr:col>33</xdr:col>
      <xdr:colOff>15240</xdr:colOff>
      <xdr:row>4</xdr:row>
      <xdr:rowOff>38100</xdr:rowOff>
    </xdr:from>
    <xdr:to>
      <xdr:col>34</xdr:col>
      <xdr:colOff>45720</xdr:colOff>
      <xdr:row>6</xdr:row>
      <xdr:rowOff>152399</xdr:rowOff>
    </xdr:to>
    <xdr:sp macro="" textlink="">
      <xdr:nvSpPr>
        <xdr:cNvPr id="117" name="TextBox 116">
          <a:extLst>
            <a:ext uri="{FF2B5EF4-FFF2-40B4-BE49-F238E27FC236}">
              <a16:creationId xmlns:a16="http://schemas.microsoft.com/office/drawing/2014/main" id="{00000000-0008-0000-0200-000075000000}"/>
            </a:ext>
          </a:extLst>
        </xdr:cNvPr>
        <xdr:cNvSpPr txBox="1"/>
      </xdr:nvSpPr>
      <xdr:spPr>
        <a:xfrm>
          <a:off x="15499080" y="1226820"/>
          <a:ext cx="868680" cy="617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a:t>
          </a:r>
        </a:p>
        <a:p>
          <a:pPr algn="ctr"/>
          <a:r>
            <a:rPr lang="en-US" sz="1100" baseline="0"/>
            <a:t>as of</a:t>
          </a:r>
        </a:p>
        <a:p>
          <a:pPr algn="ctr"/>
          <a:r>
            <a:rPr lang="en-US" sz="1100" baseline="0"/>
            <a:t>June 2 2015</a:t>
          </a:r>
          <a:endParaRPr lang="en-US" sz="1100"/>
        </a:p>
      </xdr:txBody>
    </xdr:sp>
    <xdr:clientData/>
  </xdr:twoCellAnchor>
  <xdr:twoCellAnchor>
    <xdr:from>
      <xdr:col>28</xdr:col>
      <xdr:colOff>66674</xdr:colOff>
      <xdr:row>236</xdr:row>
      <xdr:rowOff>28575</xdr:rowOff>
    </xdr:from>
    <xdr:to>
      <xdr:col>32</xdr:col>
      <xdr:colOff>647699</xdr:colOff>
      <xdr:row>238</xdr:row>
      <xdr:rowOff>171450</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11706224" y="46777275"/>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editAs="oneCell">
    <xdr:from>
      <xdr:col>2</xdr:col>
      <xdr:colOff>0</xdr:colOff>
      <xdr:row>490</xdr:row>
      <xdr:rowOff>0</xdr:rowOff>
    </xdr:from>
    <xdr:to>
      <xdr:col>5</xdr:col>
      <xdr:colOff>0</xdr:colOff>
      <xdr:row>491</xdr:row>
      <xdr:rowOff>161925</xdr:rowOff>
    </xdr:to>
    <xdr:pic>
      <xdr:nvPicPr>
        <xdr:cNvPr id="101" name="Picture 80636">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771650" y="66160650"/>
          <a:ext cx="1409700" cy="352425"/>
        </a:xfrm>
        <a:prstGeom prst="rect">
          <a:avLst/>
        </a:prstGeom>
        <a:noFill/>
        <a:ln w="1">
          <a:noFill/>
          <a:miter lim="800000"/>
          <a:headEnd/>
          <a:tailEnd type="none" w="med" len="med"/>
        </a:ln>
        <a:effectLst/>
      </xdr:spPr>
    </xdr:pic>
    <xdr:clientData/>
  </xdr:twoCellAnchor>
  <xdr:twoCellAnchor>
    <xdr:from>
      <xdr:col>8</xdr:col>
      <xdr:colOff>120014</xdr:colOff>
      <xdr:row>493</xdr:row>
      <xdr:rowOff>127635</xdr:rowOff>
    </xdr:from>
    <xdr:to>
      <xdr:col>18</xdr:col>
      <xdr:colOff>525780</xdr:colOff>
      <xdr:row>495</xdr:row>
      <xdr:rowOff>1</xdr:rowOff>
    </xdr:to>
    <xdr:sp macro="" textlink="">
      <xdr:nvSpPr>
        <xdr:cNvPr id="102" name="TextBox 101">
          <a:extLst>
            <a:ext uri="{FF2B5EF4-FFF2-40B4-BE49-F238E27FC236}">
              <a16:creationId xmlns:a16="http://schemas.microsoft.com/office/drawing/2014/main" id="{00000000-0008-0000-0200-000066000000}"/>
            </a:ext>
          </a:extLst>
        </xdr:cNvPr>
        <xdr:cNvSpPr txBox="1"/>
      </xdr:nvSpPr>
      <xdr:spPr>
        <a:xfrm>
          <a:off x="5133974" y="66703575"/>
          <a:ext cx="3446146" cy="2533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123825</xdr:colOff>
      <xdr:row>497</xdr:row>
      <xdr:rowOff>76198</xdr:rowOff>
    </xdr:from>
    <xdr:to>
      <xdr:col>17</xdr:col>
      <xdr:colOff>209550</xdr:colOff>
      <xdr:row>500</xdr:row>
      <xdr:rowOff>114299</xdr:rowOff>
    </xdr:to>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5238750" y="162934648"/>
          <a:ext cx="3257550" cy="609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editAs="oneCell">
    <xdr:from>
      <xdr:col>4</xdr:col>
      <xdr:colOff>647701</xdr:colOff>
      <xdr:row>562</xdr:row>
      <xdr:rowOff>66676</xdr:rowOff>
    </xdr:from>
    <xdr:to>
      <xdr:col>5</xdr:col>
      <xdr:colOff>819151</xdr:colOff>
      <xdr:row>563</xdr:row>
      <xdr:rowOff>150599</xdr:rowOff>
    </xdr:to>
    <xdr:pic>
      <xdr:nvPicPr>
        <xdr:cNvPr id="118" name="Picture 80655">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276601" y="165211126"/>
          <a:ext cx="990600" cy="274423"/>
        </a:xfrm>
        <a:prstGeom prst="rect">
          <a:avLst/>
        </a:prstGeom>
        <a:noFill/>
        <a:ln w="1">
          <a:noFill/>
          <a:miter lim="800000"/>
          <a:headEnd/>
          <a:tailEnd type="none" w="med" len="med"/>
        </a:ln>
        <a:effectLst/>
      </xdr:spPr>
    </xdr:pic>
    <xdr:clientData/>
  </xdr:twoCellAnchor>
  <xdr:twoCellAnchor>
    <xdr:from>
      <xdr:col>8</xdr:col>
      <xdr:colOff>53340</xdr:colOff>
      <xdr:row>561</xdr:row>
      <xdr:rowOff>186689</xdr:rowOff>
    </xdr:from>
    <xdr:to>
      <xdr:col>16</xdr:col>
      <xdr:colOff>205740</xdr:colOff>
      <xdr:row>563</xdr:row>
      <xdr:rowOff>177165</xdr:rowOff>
    </xdr:to>
    <xdr:sp macro="" textlink="">
      <xdr:nvSpPr>
        <xdr:cNvPr id="122" name="TextBox 121">
          <a:extLst>
            <a:ext uri="{FF2B5EF4-FFF2-40B4-BE49-F238E27FC236}">
              <a16:creationId xmlns:a16="http://schemas.microsoft.com/office/drawing/2014/main" id="{00000000-0008-0000-0200-00007A000000}"/>
            </a:ext>
          </a:extLst>
        </xdr:cNvPr>
        <xdr:cNvSpPr txBox="1"/>
      </xdr:nvSpPr>
      <xdr:spPr>
        <a:xfrm>
          <a:off x="5059680" y="94674689"/>
          <a:ext cx="2606040" cy="371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900">
              <a:solidFill>
                <a:schemeClr val="dk1"/>
              </a:solidFill>
              <a:latin typeface="+mn-lt"/>
              <a:ea typeface="+mn-ea"/>
              <a:cs typeface="+mn-cs"/>
            </a:rPr>
            <a:t>2 per frame</a:t>
          </a:r>
          <a:r>
            <a:rPr lang="en-US" sz="900" baseline="0">
              <a:solidFill>
                <a:schemeClr val="dk1"/>
              </a:solidFill>
              <a:latin typeface="+mn-lt"/>
              <a:ea typeface="+mn-ea"/>
              <a:cs typeface="+mn-cs"/>
            </a:rPr>
            <a:t> edge </a:t>
          </a:r>
          <a:r>
            <a:rPr lang="en-US" sz="900">
              <a:solidFill>
                <a:schemeClr val="dk1"/>
              </a:solidFill>
              <a:latin typeface="+mn-lt"/>
              <a:ea typeface="+mn-ea"/>
              <a:cs typeface="+mn-cs"/>
            </a:rPr>
            <a:t>&lt; 48", 3 per frame edge &lt; 60,</a:t>
          </a:r>
        </a:p>
        <a:p>
          <a:pPr marL="0" marR="0" indent="0" defTabSz="914400" eaLnBrk="1" fontAlgn="auto" latinLnBrk="0" hangingPunct="1">
            <a:lnSpc>
              <a:spcPct val="100000"/>
            </a:lnSpc>
            <a:spcBef>
              <a:spcPts val="0"/>
            </a:spcBef>
            <a:spcAft>
              <a:spcPts val="0"/>
            </a:spcAft>
            <a:buClrTx/>
            <a:buSzTx/>
            <a:buFontTx/>
            <a:buNone/>
            <a:tabLst/>
            <a:defRPr/>
          </a:pPr>
          <a:r>
            <a:rPr lang="en-US" sz="900">
              <a:solidFill>
                <a:schemeClr val="dk1"/>
              </a:solidFill>
              <a:latin typeface="+mn-lt"/>
              <a:ea typeface="+mn-ea"/>
              <a:cs typeface="+mn-cs"/>
            </a:rPr>
            <a:t>      4 per frame edge &lt; 72,  </a:t>
          </a:r>
          <a:r>
            <a:rPr lang="en-US" sz="900"/>
            <a:t>5 per frame edge &gt;= 72"</a:t>
          </a:r>
        </a:p>
      </xdr:txBody>
    </xdr:sp>
    <xdr:clientData/>
  </xdr:twoCellAnchor>
  <xdr:twoCellAnchor>
    <xdr:from>
      <xdr:col>10</xdr:col>
      <xdr:colOff>243839</xdr:colOff>
      <xdr:row>482</xdr:row>
      <xdr:rowOff>68580</xdr:rowOff>
    </xdr:from>
    <xdr:to>
      <xdr:col>16</xdr:col>
      <xdr:colOff>335140</xdr:colOff>
      <xdr:row>487</xdr:row>
      <xdr:rowOff>45720</xdr:rowOff>
    </xdr:to>
    <xdr:pic>
      <xdr:nvPicPr>
        <xdr:cNvPr id="283875" name="Picture 16611">
          <a:extLst>
            <a:ext uri="{FF2B5EF4-FFF2-40B4-BE49-F238E27FC236}">
              <a16:creationId xmlns:a16="http://schemas.microsoft.com/office/drawing/2014/main" id="{00000000-0008-0000-0200-0000E35404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5882639" y="64549020"/>
          <a:ext cx="1935341" cy="929640"/>
        </a:xfrm>
        <a:prstGeom prst="rect">
          <a:avLst/>
        </a:prstGeom>
        <a:noFill/>
        <a:ln w="1">
          <a:noFill/>
          <a:miter lim="800000"/>
          <a:headEnd/>
          <a:tailEnd type="none" w="med" len="med"/>
        </a:ln>
        <a:effectLst/>
      </xdr:spPr>
    </xdr:pic>
    <xdr:clientData/>
  </xdr:twoCellAnchor>
  <xdr:twoCellAnchor editAs="oneCell">
    <xdr:from>
      <xdr:col>1</xdr:col>
      <xdr:colOff>577215</xdr:colOff>
      <xdr:row>269</xdr:row>
      <xdr:rowOff>60961</xdr:rowOff>
    </xdr:from>
    <xdr:to>
      <xdr:col>4</xdr:col>
      <xdr:colOff>315832</xdr:colOff>
      <xdr:row>272</xdr:row>
      <xdr:rowOff>76201</xdr:rowOff>
    </xdr:to>
    <xdr:pic>
      <xdr:nvPicPr>
        <xdr:cNvPr id="131" name="Picture 130">
          <a:extLst>
            <a:ext uri="{FF2B5EF4-FFF2-40B4-BE49-F238E27FC236}">
              <a16:creationId xmlns:a16="http://schemas.microsoft.com/office/drawing/2014/main" id="{EE7D2BCB-DC78-40DD-BB47-99824D0C0F5F}"/>
            </a:ext>
          </a:extLst>
        </xdr:cNvPr>
        <xdr:cNvPicPr>
          <a:picLocks noChangeAspect="1"/>
        </xdr:cNvPicPr>
      </xdr:nvPicPr>
      <xdr:blipFill>
        <a:blip xmlns:r="http://schemas.openxmlformats.org/officeDocument/2006/relationships" r:embed="rId20"/>
        <a:stretch>
          <a:fillRect/>
        </a:stretch>
      </xdr:blipFill>
      <xdr:spPr>
        <a:xfrm>
          <a:off x="1765935" y="48402241"/>
          <a:ext cx="904477" cy="609600"/>
        </a:xfrm>
        <a:prstGeom prst="rect">
          <a:avLst/>
        </a:prstGeom>
      </xdr:spPr>
    </xdr:pic>
    <xdr:clientData/>
  </xdr:twoCellAnchor>
  <xdr:oneCellAnchor>
    <xdr:from>
      <xdr:col>1</xdr:col>
      <xdr:colOff>523876</xdr:colOff>
      <xdr:row>318</xdr:row>
      <xdr:rowOff>60960</xdr:rowOff>
    </xdr:from>
    <xdr:ext cx="879654" cy="594360"/>
    <xdr:pic>
      <xdr:nvPicPr>
        <xdr:cNvPr id="152" name="Picture 151">
          <a:extLst>
            <a:ext uri="{FF2B5EF4-FFF2-40B4-BE49-F238E27FC236}">
              <a16:creationId xmlns:a16="http://schemas.microsoft.com/office/drawing/2014/main" id="{D0C54FDD-9AF8-4D90-8787-EA3169A73BDA}"/>
            </a:ext>
          </a:extLst>
        </xdr:cNvPr>
        <xdr:cNvPicPr>
          <a:picLocks noChangeAspect="1"/>
        </xdr:cNvPicPr>
      </xdr:nvPicPr>
      <xdr:blipFill>
        <a:blip xmlns:r="http://schemas.openxmlformats.org/officeDocument/2006/relationships" r:embed="rId20"/>
        <a:stretch>
          <a:fillRect/>
        </a:stretch>
      </xdr:blipFill>
      <xdr:spPr>
        <a:xfrm>
          <a:off x="1712596" y="57066180"/>
          <a:ext cx="879654" cy="594360"/>
        </a:xfrm>
        <a:prstGeom prst="rect">
          <a:avLst/>
        </a:prstGeom>
      </xdr:spPr>
    </xdr:pic>
    <xdr:clientData/>
  </xdr:oneCellAnchor>
  <xdr:twoCellAnchor editAs="oneCell">
    <xdr:from>
      <xdr:col>4</xdr:col>
      <xdr:colOff>351305</xdr:colOff>
      <xdr:row>349</xdr:row>
      <xdr:rowOff>149038</xdr:rowOff>
    </xdr:from>
    <xdr:to>
      <xdr:col>5</xdr:col>
      <xdr:colOff>307602</xdr:colOff>
      <xdr:row>352</xdr:row>
      <xdr:rowOff>121023</xdr:rowOff>
    </xdr:to>
    <xdr:pic>
      <xdr:nvPicPr>
        <xdr:cNvPr id="112" name="Picture 29293">
          <a:extLst>
            <a:ext uri="{FF2B5EF4-FFF2-40B4-BE49-F238E27FC236}">
              <a16:creationId xmlns:a16="http://schemas.microsoft.com/office/drawing/2014/main" id="{B510D05B-0D28-4E67-86B9-48A7A3944B61}"/>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2713505" y="72767638"/>
          <a:ext cx="775447" cy="543485"/>
        </a:xfrm>
        <a:prstGeom prst="rect">
          <a:avLst/>
        </a:prstGeom>
        <a:noFill/>
        <a:ln w="1">
          <a:noFill/>
          <a:miter lim="800000"/>
          <a:headEnd/>
          <a:tailEnd/>
        </a:ln>
      </xdr:spPr>
    </xdr:pic>
    <xdr:clientData/>
  </xdr:twoCellAnchor>
  <xdr:twoCellAnchor editAs="oneCell">
    <xdr:from>
      <xdr:col>1</xdr:col>
      <xdr:colOff>289560</xdr:colOff>
      <xdr:row>37</xdr:row>
      <xdr:rowOff>144780</xdr:rowOff>
    </xdr:from>
    <xdr:to>
      <xdr:col>4</xdr:col>
      <xdr:colOff>755650</xdr:colOff>
      <xdr:row>41</xdr:row>
      <xdr:rowOff>154093</xdr:rowOff>
    </xdr:to>
    <xdr:pic>
      <xdr:nvPicPr>
        <xdr:cNvPr id="2" name="Picture 1">
          <a:extLst>
            <a:ext uri="{FF2B5EF4-FFF2-40B4-BE49-F238E27FC236}">
              <a16:creationId xmlns:a16="http://schemas.microsoft.com/office/drawing/2014/main" id="{9A6EF709-56D7-403C-9D49-E78A051AEC3A}"/>
            </a:ext>
          </a:extLst>
        </xdr:cNvPr>
        <xdr:cNvPicPr>
          <a:picLocks noChangeAspect="1"/>
        </xdr:cNvPicPr>
      </xdr:nvPicPr>
      <xdr:blipFill>
        <a:blip xmlns:r="http://schemas.openxmlformats.org/officeDocument/2006/relationships" r:embed="rId22"/>
        <a:stretch>
          <a:fillRect/>
        </a:stretch>
      </xdr:blipFill>
      <xdr:spPr>
        <a:xfrm>
          <a:off x="1478280" y="7246620"/>
          <a:ext cx="1631950" cy="771313"/>
        </a:xfrm>
        <a:prstGeom prst="rect">
          <a:avLst/>
        </a:prstGeom>
      </xdr:spPr>
    </xdr:pic>
    <xdr:clientData/>
  </xdr:twoCellAnchor>
  <xdr:twoCellAnchor editAs="oneCell">
    <xdr:from>
      <xdr:col>1</xdr:col>
      <xdr:colOff>304800</xdr:colOff>
      <xdr:row>96</xdr:row>
      <xdr:rowOff>0</xdr:rowOff>
    </xdr:from>
    <xdr:to>
      <xdr:col>4</xdr:col>
      <xdr:colOff>770890</xdr:colOff>
      <xdr:row>100</xdr:row>
      <xdr:rowOff>9313</xdr:rowOff>
    </xdr:to>
    <xdr:pic>
      <xdr:nvPicPr>
        <xdr:cNvPr id="3" name="Picture 2">
          <a:extLst>
            <a:ext uri="{FF2B5EF4-FFF2-40B4-BE49-F238E27FC236}">
              <a16:creationId xmlns:a16="http://schemas.microsoft.com/office/drawing/2014/main" id="{94415A66-DDB0-4D06-B578-F317E3FEEE46}"/>
            </a:ext>
          </a:extLst>
        </xdr:cNvPr>
        <xdr:cNvPicPr>
          <a:picLocks noChangeAspect="1"/>
        </xdr:cNvPicPr>
      </xdr:nvPicPr>
      <xdr:blipFill>
        <a:blip xmlns:r="http://schemas.openxmlformats.org/officeDocument/2006/relationships" r:embed="rId22"/>
        <a:stretch>
          <a:fillRect/>
        </a:stretch>
      </xdr:blipFill>
      <xdr:spPr>
        <a:xfrm>
          <a:off x="1493520" y="17274540"/>
          <a:ext cx="1631950" cy="771313"/>
        </a:xfrm>
        <a:prstGeom prst="rect">
          <a:avLst/>
        </a:prstGeom>
      </xdr:spPr>
    </xdr:pic>
    <xdr:clientData/>
  </xdr:twoCellAnchor>
  <xdr:twoCellAnchor editAs="oneCell">
    <xdr:from>
      <xdr:col>1</xdr:col>
      <xdr:colOff>381000</xdr:colOff>
      <xdr:row>103</xdr:row>
      <xdr:rowOff>53340</xdr:rowOff>
    </xdr:from>
    <xdr:to>
      <xdr:col>5</xdr:col>
      <xdr:colOff>39370</xdr:colOff>
      <xdr:row>107</xdr:row>
      <xdr:rowOff>62653</xdr:rowOff>
    </xdr:to>
    <xdr:pic>
      <xdr:nvPicPr>
        <xdr:cNvPr id="4" name="Picture 3">
          <a:extLst>
            <a:ext uri="{FF2B5EF4-FFF2-40B4-BE49-F238E27FC236}">
              <a16:creationId xmlns:a16="http://schemas.microsoft.com/office/drawing/2014/main" id="{063C3D70-8288-2D2D-A285-89BE13CC3844}"/>
            </a:ext>
          </a:extLst>
        </xdr:cNvPr>
        <xdr:cNvPicPr>
          <a:picLocks noChangeAspect="1"/>
        </xdr:cNvPicPr>
      </xdr:nvPicPr>
      <xdr:blipFill>
        <a:blip xmlns:r="http://schemas.openxmlformats.org/officeDocument/2006/relationships" r:embed="rId22"/>
        <a:stretch>
          <a:fillRect/>
        </a:stretch>
      </xdr:blipFill>
      <xdr:spPr>
        <a:xfrm>
          <a:off x="1569720" y="18661380"/>
          <a:ext cx="1631950" cy="771313"/>
        </a:xfrm>
        <a:prstGeom prst="rect">
          <a:avLst/>
        </a:prstGeom>
      </xdr:spPr>
    </xdr:pic>
    <xdr:clientData/>
  </xdr:twoCellAnchor>
  <xdr:twoCellAnchor editAs="oneCell">
    <xdr:from>
      <xdr:col>2</xdr:col>
      <xdr:colOff>3810</xdr:colOff>
      <xdr:row>45</xdr:row>
      <xdr:rowOff>53340</xdr:rowOff>
    </xdr:from>
    <xdr:to>
      <xdr:col>4</xdr:col>
      <xdr:colOff>191414</xdr:colOff>
      <xdr:row>49</xdr:row>
      <xdr:rowOff>188806</xdr:rowOff>
    </xdr:to>
    <xdr:pic>
      <xdr:nvPicPr>
        <xdr:cNvPr id="5" name="Picture 4">
          <a:extLst>
            <a:ext uri="{FF2B5EF4-FFF2-40B4-BE49-F238E27FC236}">
              <a16:creationId xmlns:a16="http://schemas.microsoft.com/office/drawing/2014/main" id="{903F714A-88AA-4D6F-A12F-0B35A71AC78A}"/>
            </a:ext>
          </a:extLst>
        </xdr:cNvPr>
        <xdr:cNvPicPr>
          <a:picLocks noChangeAspect="1"/>
        </xdr:cNvPicPr>
      </xdr:nvPicPr>
      <xdr:blipFill>
        <a:blip xmlns:r="http://schemas.openxmlformats.org/officeDocument/2006/relationships" r:embed="rId23"/>
        <a:stretch>
          <a:fillRect/>
        </a:stretch>
      </xdr:blipFill>
      <xdr:spPr>
        <a:xfrm>
          <a:off x="1771650" y="8679180"/>
          <a:ext cx="774344" cy="897466"/>
        </a:xfrm>
        <a:prstGeom prst="rect">
          <a:avLst/>
        </a:prstGeom>
      </xdr:spPr>
    </xdr:pic>
    <xdr:clientData/>
  </xdr:twoCellAnchor>
  <xdr:twoCellAnchor editAs="oneCell">
    <xdr:from>
      <xdr:col>2</xdr:col>
      <xdr:colOff>76200</xdr:colOff>
      <xdr:row>56</xdr:row>
      <xdr:rowOff>67521</xdr:rowOff>
    </xdr:from>
    <xdr:to>
      <xdr:col>4</xdr:col>
      <xdr:colOff>700164</xdr:colOff>
      <xdr:row>60</xdr:row>
      <xdr:rowOff>98213</xdr:rowOff>
    </xdr:to>
    <xdr:pic>
      <xdr:nvPicPr>
        <xdr:cNvPr id="6" name="Picture 5">
          <a:extLst>
            <a:ext uri="{FF2B5EF4-FFF2-40B4-BE49-F238E27FC236}">
              <a16:creationId xmlns:a16="http://schemas.microsoft.com/office/drawing/2014/main" id="{AAF665FD-051B-4D94-A666-10B294D10AD4}"/>
            </a:ext>
          </a:extLst>
        </xdr:cNvPr>
        <xdr:cNvPicPr>
          <a:picLocks noChangeAspect="1"/>
        </xdr:cNvPicPr>
      </xdr:nvPicPr>
      <xdr:blipFill>
        <a:blip xmlns:r="http://schemas.openxmlformats.org/officeDocument/2006/relationships" r:embed="rId24"/>
        <a:stretch>
          <a:fillRect/>
        </a:stretch>
      </xdr:blipFill>
      <xdr:spPr>
        <a:xfrm>
          <a:off x="1844040" y="10788861"/>
          <a:ext cx="1210704" cy="792692"/>
        </a:xfrm>
        <a:prstGeom prst="rect">
          <a:avLst/>
        </a:prstGeom>
      </xdr:spPr>
    </xdr:pic>
    <xdr:clientData/>
  </xdr:twoCellAnchor>
  <xdr:twoCellAnchor editAs="oneCell">
    <xdr:from>
      <xdr:col>2</xdr:col>
      <xdr:colOff>41910</xdr:colOff>
      <xdr:row>110</xdr:row>
      <xdr:rowOff>60960</xdr:rowOff>
    </xdr:from>
    <xdr:to>
      <xdr:col>4</xdr:col>
      <xdr:colOff>229514</xdr:colOff>
      <xdr:row>115</xdr:row>
      <xdr:rowOff>21166</xdr:rowOff>
    </xdr:to>
    <xdr:pic>
      <xdr:nvPicPr>
        <xdr:cNvPr id="7" name="Picture 6">
          <a:extLst>
            <a:ext uri="{FF2B5EF4-FFF2-40B4-BE49-F238E27FC236}">
              <a16:creationId xmlns:a16="http://schemas.microsoft.com/office/drawing/2014/main" id="{48487FF8-AFD5-4B0A-A5A0-2A197B9A0457}"/>
            </a:ext>
          </a:extLst>
        </xdr:cNvPr>
        <xdr:cNvPicPr>
          <a:picLocks noChangeAspect="1"/>
        </xdr:cNvPicPr>
      </xdr:nvPicPr>
      <xdr:blipFill>
        <a:blip xmlns:r="http://schemas.openxmlformats.org/officeDocument/2006/relationships" r:embed="rId23"/>
        <a:stretch>
          <a:fillRect/>
        </a:stretch>
      </xdr:blipFill>
      <xdr:spPr>
        <a:xfrm>
          <a:off x="1809750" y="20002500"/>
          <a:ext cx="774344" cy="897466"/>
        </a:xfrm>
        <a:prstGeom prst="rect">
          <a:avLst/>
        </a:prstGeom>
      </xdr:spPr>
    </xdr:pic>
    <xdr:clientData/>
  </xdr:twoCellAnchor>
  <xdr:twoCellAnchor editAs="oneCell">
    <xdr:from>
      <xdr:col>1</xdr:col>
      <xdr:colOff>548640</xdr:colOff>
      <xdr:row>117</xdr:row>
      <xdr:rowOff>143721</xdr:rowOff>
    </xdr:from>
    <xdr:to>
      <xdr:col>4</xdr:col>
      <xdr:colOff>593484</xdr:colOff>
      <xdr:row>121</xdr:row>
      <xdr:rowOff>174413</xdr:rowOff>
    </xdr:to>
    <xdr:pic>
      <xdr:nvPicPr>
        <xdr:cNvPr id="8" name="Picture 7">
          <a:extLst>
            <a:ext uri="{FF2B5EF4-FFF2-40B4-BE49-F238E27FC236}">
              <a16:creationId xmlns:a16="http://schemas.microsoft.com/office/drawing/2014/main" id="{D2883E47-F390-40AD-AD85-26CF27674EBC}"/>
            </a:ext>
          </a:extLst>
        </xdr:cNvPr>
        <xdr:cNvPicPr>
          <a:picLocks noChangeAspect="1"/>
        </xdr:cNvPicPr>
      </xdr:nvPicPr>
      <xdr:blipFill>
        <a:blip xmlns:r="http://schemas.openxmlformats.org/officeDocument/2006/relationships" r:embed="rId24"/>
        <a:stretch>
          <a:fillRect/>
        </a:stretch>
      </xdr:blipFill>
      <xdr:spPr>
        <a:xfrm>
          <a:off x="1737360" y="21403521"/>
          <a:ext cx="1210704" cy="792692"/>
        </a:xfrm>
        <a:prstGeom prst="rect">
          <a:avLst/>
        </a:prstGeom>
      </xdr:spPr>
    </xdr:pic>
    <xdr:clientData/>
  </xdr:twoCellAnchor>
  <xdr:twoCellAnchor editAs="oneCell">
    <xdr:from>
      <xdr:col>2</xdr:col>
      <xdr:colOff>3810</xdr:colOff>
      <xdr:row>147</xdr:row>
      <xdr:rowOff>83820</xdr:rowOff>
    </xdr:from>
    <xdr:to>
      <xdr:col>4</xdr:col>
      <xdr:colOff>191414</xdr:colOff>
      <xdr:row>152</xdr:row>
      <xdr:rowOff>28786</xdr:rowOff>
    </xdr:to>
    <xdr:pic>
      <xdr:nvPicPr>
        <xdr:cNvPr id="9" name="Picture 8">
          <a:extLst>
            <a:ext uri="{FF2B5EF4-FFF2-40B4-BE49-F238E27FC236}">
              <a16:creationId xmlns:a16="http://schemas.microsoft.com/office/drawing/2014/main" id="{D9DA5F68-6C81-49E8-848D-179B7A96661C}"/>
            </a:ext>
          </a:extLst>
        </xdr:cNvPr>
        <xdr:cNvPicPr>
          <a:picLocks noChangeAspect="1"/>
        </xdr:cNvPicPr>
      </xdr:nvPicPr>
      <xdr:blipFill>
        <a:blip xmlns:r="http://schemas.openxmlformats.org/officeDocument/2006/relationships" r:embed="rId23"/>
        <a:stretch>
          <a:fillRect/>
        </a:stretch>
      </xdr:blipFill>
      <xdr:spPr>
        <a:xfrm>
          <a:off x="1771650" y="26342340"/>
          <a:ext cx="774344" cy="897466"/>
        </a:xfrm>
        <a:prstGeom prst="rect">
          <a:avLst/>
        </a:prstGeom>
      </xdr:spPr>
    </xdr:pic>
    <xdr:clientData/>
  </xdr:twoCellAnchor>
  <xdr:twoCellAnchor editAs="oneCell">
    <xdr:from>
      <xdr:col>1</xdr:col>
      <xdr:colOff>556260</xdr:colOff>
      <xdr:row>154</xdr:row>
      <xdr:rowOff>120861</xdr:rowOff>
    </xdr:from>
    <xdr:to>
      <xdr:col>4</xdr:col>
      <xdr:colOff>601104</xdr:colOff>
      <xdr:row>158</xdr:row>
      <xdr:rowOff>151553</xdr:rowOff>
    </xdr:to>
    <xdr:pic>
      <xdr:nvPicPr>
        <xdr:cNvPr id="10" name="Picture 9">
          <a:extLst>
            <a:ext uri="{FF2B5EF4-FFF2-40B4-BE49-F238E27FC236}">
              <a16:creationId xmlns:a16="http://schemas.microsoft.com/office/drawing/2014/main" id="{0A6940D1-1F55-4E21-A0AA-8C5B3D1218DC}"/>
            </a:ext>
          </a:extLst>
        </xdr:cNvPr>
        <xdr:cNvPicPr>
          <a:picLocks noChangeAspect="1"/>
        </xdr:cNvPicPr>
      </xdr:nvPicPr>
      <xdr:blipFill>
        <a:blip xmlns:r="http://schemas.openxmlformats.org/officeDocument/2006/relationships" r:embed="rId24"/>
        <a:stretch>
          <a:fillRect/>
        </a:stretch>
      </xdr:blipFill>
      <xdr:spPr>
        <a:xfrm>
          <a:off x="1744980" y="27712881"/>
          <a:ext cx="1210704" cy="792692"/>
        </a:xfrm>
        <a:prstGeom prst="rect">
          <a:avLst/>
        </a:prstGeom>
      </xdr:spPr>
    </xdr:pic>
    <xdr:clientData/>
  </xdr:twoCellAnchor>
  <xdr:twoCellAnchor editAs="oneCell">
    <xdr:from>
      <xdr:col>2</xdr:col>
      <xdr:colOff>137161</xdr:colOff>
      <xdr:row>161</xdr:row>
      <xdr:rowOff>83820</xdr:rowOff>
    </xdr:from>
    <xdr:to>
      <xdr:col>4</xdr:col>
      <xdr:colOff>278970</xdr:colOff>
      <xdr:row>166</xdr:row>
      <xdr:rowOff>80910</xdr:rowOff>
    </xdr:to>
    <xdr:pic>
      <xdr:nvPicPr>
        <xdr:cNvPr id="11" name="Picture 10">
          <a:extLst>
            <a:ext uri="{FF2B5EF4-FFF2-40B4-BE49-F238E27FC236}">
              <a16:creationId xmlns:a16="http://schemas.microsoft.com/office/drawing/2014/main" id="{20140E65-74C6-4E8D-9FC0-A0C79C35B02A}"/>
            </a:ext>
          </a:extLst>
        </xdr:cNvPr>
        <xdr:cNvPicPr>
          <a:picLocks noChangeAspect="1"/>
        </xdr:cNvPicPr>
      </xdr:nvPicPr>
      <xdr:blipFill>
        <a:blip xmlns:r="http://schemas.openxmlformats.org/officeDocument/2006/relationships" r:embed="rId25"/>
        <a:stretch>
          <a:fillRect/>
        </a:stretch>
      </xdr:blipFill>
      <xdr:spPr>
        <a:xfrm rot="16200000">
          <a:off x="1794481" y="29119860"/>
          <a:ext cx="949590" cy="728549"/>
        </a:xfrm>
        <a:prstGeom prst="rect">
          <a:avLst/>
        </a:prstGeom>
      </xdr:spPr>
    </xdr:pic>
    <xdr:clientData/>
  </xdr:twoCellAnchor>
  <xdr:twoCellAnchor editAs="oneCell">
    <xdr:from>
      <xdr:col>1</xdr:col>
      <xdr:colOff>365760</xdr:colOff>
      <xdr:row>15</xdr:row>
      <xdr:rowOff>38100</xdr:rowOff>
    </xdr:from>
    <xdr:to>
      <xdr:col>4</xdr:col>
      <xdr:colOff>579240</xdr:colOff>
      <xdr:row>22</xdr:row>
      <xdr:rowOff>116</xdr:rowOff>
    </xdr:to>
    <xdr:pic>
      <xdr:nvPicPr>
        <xdr:cNvPr id="12" name="Picture 11">
          <a:extLst>
            <a:ext uri="{FF2B5EF4-FFF2-40B4-BE49-F238E27FC236}">
              <a16:creationId xmlns:a16="http://schemas.microsoft.com/office/drawing/2014/main" id="{69AB1008-AFAA-F7E6-E7B8-3A93A5570B4A}"/>
            </a:ext>
          </a:extLst>
        </xdr:cNvPr>
        <xdr:cNvPicPr>
          <a:picLocks noChangeAspect="1"/>
        </xdr:cNvPicPr>
      </xdr:nvPicPr>
      <xdr:blipFill>
        <a:blip xmlns:r="http://schemas.openxmlformats.org/officeDocument/2006/relationships" r:embed="rId26"/>
        <a:stretch>
          <a:fillRect/>
        </a:stretch>
      </xdr:blipFill>
      <xdr:spPr>
        <a:xfrm>
          <a:off x="1554480" y="3619500"/>
          <a:ext cx="1379340" cy="1333616"/>
        </a:xfrm>
        <a:prstGeom prst="rect">
          <a:avLst/>
        </a:prstGeom>
      </xdr:spPr>
    </xdr:pic>
    <xdr:clientData/>
  </xdr:twoCellAnchor>
  <xdr:twoCellAnchor editAs="oneCell">
    <xdr:from>
      <xdr:col>1</xdr:col>
      <xdr:colOff>350520</xdr:colOff>
      <xdr:row>26</xdr:row>
      <xdr:rowOff>114300</xdr:rowOff>
    </xdr:from>
    <xdr:to>
      <xdr:col>4</xdr:col>
      <xdr:colOff>533517</xdr:colOff>
      <xdr:row>33</xdr:row>
      <xdr:rowOff>109</xdr:rowOff>
    </xdr:to>
    <xdr:pic>
      <xdr:nvPicPr>
        <xdr:cNvPr id="13" name="Picture 12">
          <a:extLst>
            <a:ext uri="{FF2B5EF4-FFF2-40B4-BE49-F238E27FC236}">
              <a16:creationId xmlns:a16="http://schemas.microsoft.com/office/drawing/2014/main" id="{C4A38254-7E19-2502-BDF9-E16154302E9A}"/>
            </a:ext>
          </a:extLst>
        </xdr:cNvPr>
        <xdr:cNvPicPr>
          <a:picLocks noChangeAspect="1"/>
        </xdr:cNvPicPr>
      </xdr:nvPicPr>
      <xdr:blipFill>
        <a:blip xmlns:r="http://schemas.openxmlformats.org/officeDocument/2006/relationships" r:embed="rId27"/>
        <a:stretch>
          <a:fillRect/>
        </a:stretch>
      </xdr:blipFill>
      <xdr:spPr>
        <a:xfrm>
          <a:off x="1539240" y="5455920"/>
          <a:ext cx="1348857" cy="1257409"/>
        </a:xfrm>
        <a:prstGeom prst="rect">
          <a:avLst/>
        </a:prstGeom>
      </xdr:spPr>
    </xdr:pic>
    <xdr:clientData/>
  </xdr:twoCellAnchor>
  <xdr:twoCellAnchor editAs="oneCell">
    <xdr:from>
      <xdr:col>1</xdr:col>
      <xdr:colOff>289560</xdr:colOff>
      <xdr:row>64</xdr:row>
      <xdr:rowOff>38100</xdr:rowOff>
    </xdr:from>
    <xdr:to>
      <xdr:col>4</xdr:col>
      <xdr:colOff>503040</xdr:colOff>
      <xdr:row>71</xdr:row>
      <xdr:rowOff>38216</xdr:rowOff>
    </xdr:to>
    <xdr:pic>
      <xdr:nvPicPr>
        <xdr:cNvPr id="14" name="Picture 13">
          <a:extLst>
            <a:ext uri="{FF2B5EF4-FFF2-40B4-BE49-F238E27FC236}">
              <a16:creationId xmlns:a16="http://schemas.microsoft.com/office/drawing/2014/main" id="{97EF6EB7-2467-482E-BF52-82E130CF35EC}"/>
            </a:ext>
          </a:extLst>
        </xdr:cNvPr>
        <xdr:cNvPicPr>
          <a:picLocks noChangeAspect="1"/>
        </xdr:cNvPicPr>
      </xdr:nvPicPr>
      <xdr:blipFill>
        <a:blip xmlns:r="http://schemas.openxmlformats.org/officeDocument/2006/relationships" r:embed="rId26"/>
        <a:stretch>
          <a:fillRect/>
        </a:stretch>
      </xdr:blipFill>
      <xdr:spPr>
        <a:xfrm>
          <a:off x="1478280" y="12283440"/>
          <a:ext cx="1379340" cy="1333616"/>
        </a:xfrm>
        <a:prstGeom prst="rect">
          <a:avLst/>
        </a:prstGeom>
      </xdr:spPr>
    </xdr:pic>
    <xdr:clientData/>
  </xdr:twoCellAnchor>
  <xdr:twoCellAnchor editAs="oneCell">
    <xdr:from>
      <xdr:col>1</xdr:col>
      <xdr:colOff>228600</xdr:colOff>
      <xdr:row>75</xdr:row>
      <xdr:rowOff>53340</xdr:rowOff>
    </xdr:from>
    <xdr:to>
      <xdr:col>4</xdr:col>
      <xdr:colOff>411597</xdr:colOff>
      <xdr:row>81</xdr:row>
      <xdr:rowOff>137269</xdr:rowOff>
    </xdr:to>
    <xdr:pic>
      <xdr:nvPicPr>
        <xdr:cNvPr id="15" name="Picture 14">
          <a:extLst>
            <a:ext uri="{FF2B5EF4-FFF2-40B4-BE49-F238E27FC236}">
              <a16:creationId xmlns:a16="http://schemas.microsoft.com/office/drawing/2014/main" id="{FF510343-C3AD-4091-8D8A-FB7819B09BC0}"/>
            </a:ext>
          </a:extLst>
        </xdr:cNvPr>
        <xdr:cNvPicPr>
          <a:picLocks noChangeAspect="1"/>
        </xdr:cNvPicPr>
      </xdr:nvPicPr>
      <xdr:blipFill>
        <a:blip xmlns:r="http://schemas.openxmlformats.org/officeDocument/2006/relationships" r:embed="rId27"/>
        <a:stretch>
          <a:fillRect/>
        </a:stretch>
      </xdr:blipFill>
      <xdr:spPr>
        <a:xfrm>
          <a:off x="1417320" y="14013180"/>
          <a:ext cx="1348857" cy="1257409"/>
        </a:xfrm>
        <a:prstGeom prst="rect">
          <a:avLst/>
        </a:prstGeom>
      </xdr:spPr>
    </xdr:pic>
    <xdr:clientData/>
  </xdr:twoCellAnchor>
  <xdr:twoCellAnchor editAs="oneCell">
    <xdr:from>
      <xdr:col>1</xdr:col>
      <xdr:colOff>289560</xdr:colOff>
      <xdr:row>125</xdr:row>
      <xdr:rowOff>38100</xdr:rowOff>
    </xdr:from>
    <xdr:to>
      <xdr:col>4</xdr:col>
      <xdr:colOff>503040</xdr:colOff>
      <xdr:row>132</xdr:row>
      <xdr:rowOff>38216</xdr:rowOff>
    </xdr:to>
    <xdr:pic>
      <xdr:nvPicPr>
        <xdr:cNvPr id="16" name="Picture 15">
          <a:extLst>
            <a:ext uri="{FF2B5EF4-FFF2-40B4-BE49-F238E27FC236}">
              <a16:creationId xmlns:a16="http://schemas.microsoft.com/office/drawing/2014/main" id="{D2F19F71-6F8E-4342-B15D-D383288998A9}"/>
            </a:ext>
          </a:extLst>
        </xdr:cNvPr>
        <xdr:cNvPicPr>
          <a:picLocks noChangeAspect="1"/>
        </xdr:cNvPicPr>
      </xdr:nvPicPr>
      <xdr:blipFill>
        <a:blip xmlns:r="http://schemas.openxmlformats.org/officeDocument/2006/relationships" r:embed="rId26"/>
        <a:stretch>
          <a:fillRect/>
        </a:stretch>
      </xdr:blipFill>
      <xdr:spPr>
        <a:xfrm>
          <a:off x="1478280" y="22821900"/>
          <a:ext cx="1379340" cy="1333616"/>
        </a:xfrm>
        <a:prstGeom prst="rect">
          <a:avLst/>
        </a:prstGeom>
      </xdr:spPr>
    </xdr:pic>
    <xdr:clientData/>
  </xdr:twoCellAnchor>
  <xdr:twoCellAnchor editAs="oneCell">
    <xdr:from>
      <xdr:col>1</xdr:col>
      <xdr:colOff>251460</xdr:colOff>
      <xdr:row>136</xdr:row>
      <xdr:rowOff>45720</xdr:rowOff>
    </xdr:from>
    <xdr:to>
      <xdr:col>4</xdr:col>
      <xdr:colOff>434457</xdr:colOff>
      <xdr:row>142</xdr:row>
      <xdr:rowOff>129649</xdr:rowOff>
    </xdr:to>
    <xdr:pic>
      <xdr:nvPicPr>
        <xdr:cNvPr id="17" name="Picture 16">
          <a:extLst>
            <a:ext uri="{FF2B5EF4-FFF2-40B4-BE49-F238E27FC236}">
              <a16:creationId xmlns:a16="http://schemas.microsoft.com/office/drawing/2014/main" id="{EE109B40-04B5-4BBB-A086-65054CEFDECF}"/>
            </a:ext>
          </a:extLst>
        </xdr:cNvPr>
        <xdr:cNvPicPr>
          <a:picLocks noChangeAspect="1"/>
        </xdr:cNvPicPr>
      </xdr:nvPicPr>
      <xdr:blipFill>
        <a:blip xmlns:r="http://schemas.openxmlformats.org/officeDocument/2006/relationships" r:embed="rId27"/>
        <a:stretch>
          <a:fillRect/>
        </a:stretch>
      </xdr:blipFill>
      <xdr:spPr>
        <a:xfrm>
          <a:off x="1440180" y="24544020"/>
          <a:ext cx="1348857" cy="1257409"/>
        </a:xfrm>
        <a:prstGeom prst="rect">
          <a:avLst/>
        </a:prstGeom>
      </xdr:spPr>
    </xdr:pic>
    <xdr:clientData/>
  </xdr:twoCellAnchor>
  <xdr:twoCellAnchor editAs="oneCell">
    <xdr:from>
      <xdr:col>2</xdr:col>
      <xdr:colOff>60961</xdr:colOff>
      <xdr:row>206</xdr:row>
      <xdr:rowOff>22860</xdr:rowOff>
    </xdr:from>
    <xdr:to>
      <xdr:col>4</xdr:col>
      <xdr:colOff>552975</xdr:colOff>
      <xdr:row>211</xdr:row>
      <xdr:rowOff>121919</xdr:rowOff>
    </xdr:to>
    <xdr:pic>
      <xdr:nvPicPr>
        <xdr:cNvPr id="18" name="Picture 17">
          <a:extLst>
            <a:ext uri="{FF2B5EF4-FFF2-40B4-BE49-F238E27FC236}">
              <a16:creationId xmlns:a16="http://schemas.microsoft.com/office/drawing/2014/main" id="{A1DB809E-B715-A1A2-EBB3-75E195C3EB6C}"/>
            </a:ext>
          </a:extLst>
        </xdr:cNvPr>
        <xdr:cNvPicPr>
          <a:picLocks noChangeAspect="1"/>
        </xdr:cNvPicPr>
      </xdr:nvPicPr>
      <xdr:blipFill>
        <a:blip xmlns:r="http://schemas.openxmlformats.org/officeDocument/2006/relationships" r:embed="rId28"/>
        <a:stretch>
          <a:fillRect/>
        </a:stretch>
      </xdr:blipFill>
      <xdr:spPr>
        <a:xfrm>
          <a:off x="1828801" y="37414200"/>
          <a:ext cx="1078754" cy="1051559"/>
        </a:xfrm>
        <a:prstGeom prst="rect">
          <a:avLst/>
        </a:prstGeom>
      </xdr:spPr>
    </xdr:pic>
    <xdr:clientData/>
  </xdr:twoCellAnchor>
  <xdr:twoCellAnchor editAs="oneCell">
    <xdr:from>
      <xdr:col>2</xdr:col>
      <xdr:colOff>60960</xdr:colOff>
      <xdr:row>213</xdr:row>
      <xdr:rowOff>152400</xdr:rowOff>
    </xdr:from>
    <xdr:to>
      <xdr:col>4</xdr:col>
      <xdr:colOff>548640</xdr:colOff>
      <xdr:row>219</xdr:row>
      <xdr:rowOff>117851</xdr:rowOff>
    </xdr:to>
    <xdr:pic>
      <xdr:nvPicPr>
        <xdr:cNvPr id="19" name="Picture 18">
          <a:extLst>
            <a:ext uri="{FF2B5EF4-FFF2-40B4-BE49-F238E27FC236}">
              <a16:creationId xmlns:a16="http://schemas.microsoft.com/office/drawing/2014/main" id="{7F134403-76D3-5C7E-A195-6D57101221D0}"/>
            </a:ext>
          </a:extLst>
        </xdr:cNvPr>
        <xdr:cNvPicPr>
          <a:picLocks noChangeAspect="1"/>
        </xdr:cNvPicPr>
      </xdr:nvPicPr>
      <xdr:blipFill>
        <a:blip xmlns:r="http://schemas.openxmlformats.org/officeDocument/2006/relationships" r:embed="rId29"/>
        <a:stretch>
          <a:fillRect/>
        </a:stretch>
      </xdr:blipFill>
      <xdr:spPr>
        <a:xfrm>
          <a:off x="1828800" y="38686740"/>
          <a:ext cx="1074420" cy="1108451"/>
        </a:xfrm>
        <a:prstGeom prst="rect">
          <a:avLst/>
        </a:prstGeom>
      </xdr:spPr>
    </xdr:pic>
    <xdr:clientData/>
  </xdr:twoCellAnchor>
  <xdr:twoCellAnchor editAs="oneCell">
    <xdr:from>
      <xdr:col>2</xdr:col>
      <xdr:colOff>22860</xdr:colOff>
      <xdr:row>222</xdr:row>
      <xdr:rowOff>190500</xdr:rowOff>
    </xdr:from>
    <xdr:to>
      <xdr:col>4</xdr:col>
      <xdr:colOff>627031</xdr:colOff>
      <xdr:row>227</xdr:row>
      <xdr:rowOff>99060</xdr:rowOff>
    </xdr:to>
    <xdr:pic>
      <xdr:nvPicPr>
        <xdr:cNvPr id="20" name="Picture 19">
          <a:extLst>
            <a:ext uri="{FF2B5EF4-FFF2-40B4-BE49-F238E27FC236}">
              <a16:creationId xmlns:a16="http://schemas.microsoft.com/office/drawing/2014/main" id="{B58F2660-6B75-335B-F868-497DE1E1F579}"/>
            </a:ext>
          </a:extLst>
        </xdr:cNvPr>
        <xdr:cNvPicPr>
          <a:picLocks noChangeAspect="1"/>
        </xdr:cNvPicPr>
      </xdr:nvPicPr>
      <xdr:blipFill>
        <a:blip xmlns:r="http://schemas.openxmlformats.org/officeDocument/2006/relationships" r:embed="rId30"/>
        <a:stretch>
          <a:fillRect/>
        </a:stretch>
      </xdr:blipFill>
      <xdr:spPr>
        <a:xfrm>
          <a:off x="1794510" y="41767125"/>
          <a:ext cx="1194721" cy="889635"/>
        </a:xfrm>
        <a:prstGeom prst="rect">
          <a:avLst/>
        </a:prstGeom>
      </xdr:spPr>
    </xdr:pic>
    <xdr:clientData/>
  </xdr:twoCellAnchor>
  <xdr:twoCellAnchor editAs="oneCell">
    <xdr:from>
      <xdr:col>2</xdr:col>
      <xdr:colOff>1</xdr:colOff>
      <xdr:row>229</xdr:row>
      <xdr:rowOff>0</xdr:rowOff>
    </xdr:from>
    <xdr:to>
      <xdr:col>4</xdr:col>
      <xdr:colOff>304801</xdr:colOff>
      <xdr:row>233</xdr:row>
      <xdr:rowOff>151731</xdr:rowOff>
    </xdr:to>
    <xdr:pic>
      <xdr:nvPicPr>
        <xdr:cNvPr id="21" name="Picture 20">
          <a:extLst>
            <a:ext uri="{FF2B5EF4-FFF2-40B4-BE49-F238E27FC236}">
              <a16:creationId xmlns:a16="http://schemas.microsoft.com/office/drawing/2014/main" id="{11140A91-6BA4-007C-80B8-E88B6A91267C}"/>
            </a:ext>
          </a:extLst>
        </xdr:cNvPr>
        <xdr:cNvPicPr>
          <a:picLocks noChangeAspect="1"/>
        </xdr:cNvPicPr>
      </xdr:nvPicPr>
      <xdr:blipFill>
        <a:blip xmlns:r="http://schemas.openxmlformats.org/officeDocument/2006/relationships" r:embed="rId31"/>
        <a:stretch>
          <a:fillRect/>
        </a:stretch>
      </xdr:blipFill>
      <xdr:spPr>
        <a:xfrm>
          <a:off x="1767841" y="41429940"/>
          <a:ext cx="891540" cy="928971"/>
        </a:xfrm>
        <a:prstGeom prst="rect">
          <a:avLst/>
        </a:prstGeom>
      </xdr:spPr>
    </xdr:pic>
    <xdr:clientData/>
  </xdr:twoCellAnchor>
  <xdr:twoCellAnchor editAs="oneCell">
    <xdr:from>
      <xdr:col>2</xdr:col>
      <xdr:colOff>0</xdr:colOff>
      <xdr:row>236</xdr:row>
      <xdr:rowOff>1</xdr:rowOff>
    </xdr:from>
    <xdr:to>
      <xdr:col>4</xdr:col>
      <xdr:colOff>327660</xdr:colOff>
      <xdr:row>240</xdr:row>
      <xdr:rowOff>140209</xdr:rowOff>
    </xdr:to>
    <xdr:pic>
      <xdr:nvPicPr>
        <xdr:cNvPr id="22" name="Picture 21">
          <a:extLst>
            <a:ext uri="{FF2B5EF4-FFF2-40B4-BE49-F238E27FC236}">
              <a16:creationId xmlns:a16="http://schemas.microsoft.com/office/drawing/2014/main" id="{DFA84732-60A4-A23F-99F7-BD012B05E4A6}"/>
            </a:ext>
          </a:extLst>
        </xdr:cNvPr>
        <xdr:cNvPicPr>
          <a:picLocks noChangeAspect="1"/>
        </xdr:cNvPicPr>
      </xdr:nvPicPr>
      <xdr:blipFill>
        <a:blip xmlns:r="http://schemas.openxmlformats.org/officeDocument/2006/relationships" r:embed="rId32"/>
        <a:stretch>
          <a:fillRect/>
        </a:stretch>
      </xdr:blipFill>
      <xdr:spPr>
        <a:xfrm>
          <a:off x="1767840" y="42595801"/>
          <a:ext cx="914400" cy="917448"/>
        </a:xfrm>
        <a:prstGeom prst="rect">
          <a:avLst/>
        </a:prstGeom>
      </xdr:spPr>
    </xdr:pic>
    <xdr:clientData/>
  </xdr:twoCellAnchor>
  <xdr:twoCellAnchor editAs="oneCell">
    <xdr:from>
      <xdr:col>5</xdr:col>
      <xdr:colOff>899161</xdr:colOff>
      <xdr:row>405</xdr:row>
      <xdr:rowOff>45717</xdr:rowOff>
    </xdr:from>
    <xdr:to>
      <xdr:col>6</xdr:col>
      <xdr:colOff>391260</xdr:colOff>
      <xdr:row>409</xdr:row>
      <xdr:rowOff>81642</xdr:rowOff>
    </xdr:to>
    <xdr:pic>
      <xdr:nvPicPr>
        <xdr:cNvPr id="24" name="Picture 23">
          <a:extLst>
            <a:ext uri="{FF2B5EF4-FFF2-40B4-BE49-F238E27FC236}">
              <a16:creationId xmlns:a16="http://schemas.microsoft.com/office/drawing/2014/main" id="{B98381C7-9BF4-4196-9300-99177ECF3A36}"/>
            </a:ext>
          </a:extLst>
        </xdr:cNvPr>
        <xdr:cNvPicPr>
          <a:picLocks noChangeAspect="1"/>
        </xdr:cNvPicPr>
      </xdr:nvPicPr>
      <xdr:blipFill>
        <a:blip xmlns:r="http://schemas.openxmlformats.org/officeDocument/2006/relationships" r:embed="rId33"/>
        <a:stretch>
          <a:fillRect/>
        </a:stretch>
      </xdr:blipFill>
      <xdr:spPr>
        <a:xfrm rot="16200000">
          <a:off x="3892962" y="78844451"/>
          <a:ext cx="797925" cy="417385"/>
        </a:xfrm>
        <a:prstGeom prst="rect">
          <a:avLst/>
        </a:prstGeom>
      </xdr:spPr>
    </xdr:pic>
    <xdr:clientData/>
  </xdr:twoCellAnchor>
  <xdr:twoCellAnchor editAs="oneCell">
    <xdr:from>
      <xdr:col>5</xdr:col>
      <xdr:colOff>912490</xdr:colOff>
      <xdr:row>411</xdr:row>
      <xdr:rowOff>91657</xdr:rowOff>
    </xdr:from>
    <xdr:to>
      <xdr:col>6</xdr:col>
      <xdr:colOff>455330</xdr:colOff>
      <xdr:row>415</xdr:row>
      <xdr:rowOff>162001</xdr:rowOff>
    </xdr:to>
    <xdr:pic>
      <xdr:nvPicPr>
        <xdr:cNvPr id="25" name="Picture 24">
          <a:extLst>
            <a:ext uri="{FF2B5EF4-FFF2-40B4-BE49-F238E27FC236}">
              <a16:creationId xmlns:a16="http://schemas.microsoft.com/office/drawing/2014/main" id="{A73B6E3C-8FA0-457F-B4F7-772A55917D7E}"/>
            </a:ext>
          </a:extLst>
        </xdr:cNvPr>
        <xdr:cNvPicPr>
          <a:picLocks noChangeAspect="1"/>
        </xdr:cNvPicPr>
      </xdr:nvPicPr>
      <xdr:blipFill>
        <a:blip xmlns:r="http://schemas.openxmlformats.org/officeDocument/2006/relationships" r:embed="rId34"/>
        <a:stretch>
          <a:fillRect/>
        </a:stretch>
      </xdr:blipFill>
      <xdr:spPr>
        <a:xfrm rot="16200000">
          <a:off x="3891048" y="72970199"/>
          <a:ext cx="832344" cy="464860"/>
        </a:xfrm>
        <a:prstGeom prst="rect">
          <a:avLst/>
        </a:prstGeom>
      </xdr:spPr>
    </xdr:pic>
    <xdr:clientData/>
  </xdr:twoCellAnchor>
  <xdr:twoCellAnchor editAs="oneCell">
    <xdr:from>
      <xdr:col>5</xdr:col>
      <xdr:colOff>904877</xdr:colOff>
      <xdr:row>417</xdr:row>
      <xdr:rowOff>120438</xdr:rowOff>
    </xdr:from>
    <xdr:to>
      <xdr:col>6</xdr:col>
      <xdr:colOff>367379</xdr:colOff>
      <xdr:row>421</xdr:row>
      <xdr:rowOff>133583</xdr:rowOff>
    </xdr:to>
    <xdr:pic>
      <xdr:nvPicPr>
        <xdr:cNvPr id="26" name="Picture 25">
          <a:extLst>
            <a:ext uri="{FF2B5EF4-FFF2-40B4-BE49-F238E27FC236}">
              <a16:creationId xmlns:a16="http://schemas.microsoft.com/office/drawing/2014/main" id="{90D12063-1662-4A31-9201-5DF0B65FB1B3}"/>
            </a:ext>
          </a:extLst>
        </xdr:cNvPr>
        <xdr:cNvPicPr>
          <a:picLocks noChangeAspect="1"/>
        </xdr:cNvPicPr>
      </xdr:nvPicPr>
      <xdr:blipFill>
        <a:blip xmlns:r="http://schemas.openxmlformats.org/officeDocument/2006/relationships" r:embed="rId35"/>
        <a:stretch>
          <a:fillRect/>
        </a:stretch>
      </xdr:blipFill>
      <xdr:spPr>
        <a:xfrm rot="16200000">
          <a:off x="3871865" y="73963050"/>
          <a:ext cx="775145" cy="384522"/>
        </a:xfrm>
        <a:prstGeom prst="rect">
          <a:avLst/>
        </a:prstGeom>
      </xdr:spPr>
    </xdr:pic>
    <xdr:clientData/>
  </xdr:twoCellAnchor>
  <xdr:twoCellAnchor>
    <xdr:from>
      <xdr:col>6</xdr:col>
      <xdr:colOff>25040</xdr:colOff>
      <xdr:row>375</xdr:row>
      <xdr:rowOff>192676</xdr:rowOff>
    </xdr:from>
    <xdr:to>
      <xdr:col>6</xdr:col>
      <xdr:colOff>458509</xdr:colOff>
      <xdr:row>380</xdr:row>
      <xdr:rowOff>13606</xdr:rowOff>
    </xdr:to>
    <xdr:pic>
      <xdr:nvPicPr>
        <xdr:cNvPr id="27" name="Picture 26">
          <a:extLst>
            <a:ext uri="{FF2B5EF4-FFF2-40B4-BE49-F238E27FC236}">
              <a16:creationId xmlns:a16="http://schemas.microsoft.com/office/drawing/2014/main" id="{EAFCFE42-18B7-E914-7EC9-B7F5D1739516}"/>
            </a:ext>
          </a:extLst>
        </xdr:cNvPr>
        <xdr:cNvPicPr>
          <a:picLocks noChangeAspect="1"/>
        </xdr:cNvPicPr>
      </xdr:nvPicPr>
      <xdr:blipFill>
        <a:blip xmlns:r="http://schemas.openxmlformats.org/officeDocument/2006/relationships" r:embed="rId33"/>
        <a:stretch>
          <a:fillRect/>
        </a:stretch>
      </xdr:blipFill>
      <xdr:spPr>
        <a:xfrm rot="16200000">
          <a:off x="3923596" y="74366463"/>
          <a:ext cx="800644" cy="433469"/>
        </a:xfrm>
        <a:prstGeom prst="rect">
          <a:avLst/>
        </a:prstGeom>
      </xdr:spPr>
    </xdr:pic>
    <xdr:clientData/>
  </xdr:twoCellAnchor>
  <xdr:twoCellAnchor>
    <xdr:from>
      <xdr:col>5</xdr:col>
      <xdr:colOff>868948</xdr:colOff>
      <xdr:row>382</xdr:row>
      <xdr:rowOff>85125</xdr:rowOff>
    </xdr:from>
    <xdr:to>
      <xdr:col>6</xdr:col>
      <xdr:colOff>326573</xdr:colOff>
      <xdr:row>386</xdr:row>
      <xdr:rowOff>8738</xdr:rowOff>
    </xdr:to>
    <xdr:pic>
      <xdr:nvPicPr>
        <xdr:cNvPr id="28" name="Picture 27">
          <a:extLst>
            <a:ext uri="{FF2B5EF4-FFF2-40B4-BE49-F238E27FC236}">
              <a16:creationId xmlns:a16="http://schemas.microsoft.com/office/drawing/2014/main" id="{213B4469-2DB0-BF9E-0442-BACC2108309B}"/>
            </a:ext>
          </a:extLst>
        </xdr:cNvPr>
        <xdr:cNvPicPr>
          <a:picLocks noChangeAspect="1"/>
        </xdr:cNvPicPr>
      </xdr:nvPicPr>
      <xdr:blipFill>
        <a:blip xmlns:r="http://schemas.openxmlformats.org/officeDocument/2006/relationships" r:embed="rId34"/>
        <a:stretch>
          <a:fillRect/>
        </a:stretch>
      </xdr:blipFill>
      <xdr:spPr>
        <a:xfrm rot="16200000">
          <a:off x="3863569" y="75609161"/>
          <a:ext cx="707384" cy="382911"/>
        </a:xfrm>
        <a:prstGeom prst="rect">
          <a:avLst/>
        </a:prstGeom>
      </xdr:spPr>
    </xdr:pic>
    <xdr:clientData/>
  </xdr:twoCellAnchor>
  <xdr:twoCellAnchor>
    <xdr:from>
      <xdr:col>5</xdr:col>
      <xdr:colOff>873310</xdr:colOff>
      <xdr:row>388</xdr:row>
      <xdr:rowOff>82338</xdr:rowOff>
    </xdr:from>
    <xdr:to>
      <xdr:col>6</xdr:col>
      <xdr:colOff>285180</xdr:colOff>
      <xdr:row>392</xdr:row>
      <xdr:rowOff>-1</xdr:rowOff>
    </xdr:to>
    <xdr:pic>
      <xdr:nvPicPr>
        <xdr:cNvPr id="29" name="Picture 28">
          <a:extLst>
            <a:ext uri="{FF2B5EF4-FFF2-40B4-BE49-F238E27FC236}">
              <a16:creationId xmlns:a16="http://schemas.microsoft.com/office/drawing/2014/main" id="{159CF753-6B60-586B-9645-F855E99C420E}"/>
            </a:ext>
          </a:extLst>
        </xdr:cNvPr>
        <xdr:cNvPicPr>
          <a:picLocks noChangeAspect="1"/>
        </xdr:cNvPicPr>
      </xdr:nvPicPr>
      <xdr:blipFill>
        <a:blip xmlns:r="http://schemas.openxmlformats.org/officeDocument/2006/relationships" r:embed="rId35"/>
        <a:stretch>
          <a:fillRect/>
        </a:stretch>
      </xdr:blipFill>
      <xdr:spPr>
        <a:xfrm rot="16200000">
          <a:off x="3848028" y="76801934"/>
          <a:ext cx="701433" cy="337156"/>
        </a:xfrm>
        <a:prstGeom prst="rect">
          <a:avLst/>
        </a:prstGeom>
      </xdr:spPr>
    </xdr:pic>
    <xdr:clientData/>
  </xdr:twoCellAnchor>
  <xdr:twoCellAnchor>
    <xdr:from>
      <xdr:col>5</xdr:col>
      <xdr:colOff>864593</xdr:colOff>
      <xdr:row>394</xdr:row>
      <xdr:rowOff>135200</xdr:rowOff>
    </xdr:from>
    <xdr:to>
      <xdr:col>6</xdr:col>
      <xdr:colOff>321212</xdr:colOff>
      <xdr:row>398</xdr:row>
      <xdr:rowOff>45720</xdr:rowOff>
    </xdr:to>
    <xdr:pic>
      <xdr:nvPicPr>
        <xdr:cNvPr id="30" name="Picture 29">
          <a:extLst>
            <a:ext uri="{FF2B5EF4-FFF2-40B4-BE49-F238E27FC236}">
              <a16:creationId xmlns:a16="http://schemas.microsoft.com/office/drawing/2014/main" id="{71A437AC-6FDD-A4BA-23A5-817F472EEE2B}"/>
            </a:ext>
          </a:extLst>
        </xdr:cNvPr>
        <xdr:cNvPicPr>
          <a:picLocks noChangeAspect="1"/>
        </xdr:cNvPicPr>
      </xdr:nvPicPr>
      <xdr:blipFill>
        <a:blip xmlns:r="http://schemas.openxmlformats.org/officeDocument/2006/relationships" r:embed="rId34"/>
        <a:stretch>
          <a:fillRect/>
        </a:stretch>
      </xdr:blipFill>
      <xdr:spPr>
        <a:xfrm rot="16200000">
          <a:off x="3865257" y="78004507"/>
          <a:ext cx="694292" cy="381905"/>
        </a:xfrm>
        <a:prstGeom prst="rect">
          <a:avLst/>
        </a:prstGeom>
      </xdr:spPr>
    </xdr:pic>
    <xdr:clientData/>
  </xdr:twoCellAnchor>
  <xdr:twoCellAnchor>
    <xdr:from>
      <xdr:col>6</xdr:col>
      <xdr:colOff>32931</xdr:colOff>
      <xdr:row>400</xdr:row>
      <xdr:rowOff>68187</xdr:rowOff>
    </xdr:from>
    <xdr:to>
      <xdr:col>6</xdr:col>
      <xdr:colOff>380913</xdr:colOff>
      <xdr:row>403</xdr:row>
      <xdr:rowOff>191588</xdr:rowOff>
    </xdr:to>
    <xdr:pic>
      <xdr:nvPicPr>
        <xdr:cNvPr id="31" name="Picture 30">
          <a:extLst>
            <a:ext uri="{FF2B5EF4-FFF2-40B4-BE49-F238E27FC236}">
              <a16:creationId xmlns:a16="http://schemas.microsoft.com/office/drawing/2014/main" id="{0C4C742C-E654-3362-6497-AC90461CE49D}"/>
            </a:ext>
          </a:extLst>
        </xdr:cNvPr>
        <xdr:cNvPicPr>
          <a:picLocks noChangeAspect="1"/>
        </xdr:cNvPicPr>
      </xdr:nvPicPr>
      <xdr:blipFill>
        <a:blip xmlns:r="http://schemas.openxmlformats.org/officeDocument/2006/relationships" r:embed="rId35"/>
        <a:stretch>
          <a:fillRect/>
        </a:stretch>
      </xdr:blipFill>
      <xdr:spPr>
        <a:xfrm rot="16200000">
          <a:off x="3933450" y="79138582"/>
          <a:ext cx="711230" cy="347982"/>
        </a:xfrm>
        <a:prstGeom prst="rect">
          <a:avLst/>
        </a:prstGeom>
      </xdr:spPr>
    </xdr:pic>
    <xdr:clientData/>
  </xdr:twoCellAnchor>
  <xdr:twoCellAnchor editAs="oneCell">
    <xdr:from>
      <xdr:col>6</xdr:col>
      <xdr:colOff>142879</xdr:colOff>
      <xdr:row>466</xdr:row>
      <xdr:rowOff>97578</xdr:rowOff>
    </xdr:from>
    <xdr:to>
      <xdr:col>6</xdr:col>
      <xdr:colOff>555170</xdr:colOff>
      <xdr:row>470</xdr:row>
      <xdr:rowOff>171553</xdr:rowOff>
    </xdr:to>
    <xdr:pic>
      <xdr:nvPicPr>
        <xdr:cNvPr id="34" name="Picture 33">
          <a:extLst>
            <a:ext uri="{FF2B5EF4-FFF2-40B4-BE49-F238E27FC236}">
              <a16:creationId xmlns:a16="http://schemas.microsoft.com/office/drawing/2014/main" id="{F2D59F2B-30A6-4BD8-8170-267B74AEBE12}"/>
            </a:ext>
          </a:extLst>
        </xdr:cNvPr>
        <xdr:cNvPicPr>
          <a:picLocks noChangeAspect="1"/>
        </xdr:cNvPicPr>
      </xdr:nvPicPr>
      <xdr:blipFill>
        <a:blip xmlns:r="http://schemas.openxmlformats.org/officeDocument/2006/relationships" r:embed="rId35"/>
        <a:stretch>
          <a:fillRect/>
        </a:stretch>
      </xdr:blipFill>
      <xdr:spPr>
        <a:xfrm rot="16200000">
          <a:off x="4002295" y="92141305"/>
          <a:ext cx="857746" cy="412291"/>
        </a:xfrm>
        <a:prstGeom prst="rect">
          <a:avLst/>
        </a:prstGeom>
      </xdr:spPr>
    </xdr:pic>
    <xdr:clientData/>
  </xdr:twoCellAnchor>
  <xdr:twoCellAnchor editAs="oneCell">
    <xdr:from>
      <xdr:col>5</xdr:col>
      <xdr:colOff>831677</xdr:colOff>
      <xdr:row>425</xdr:row>
      <xdr:rowOff>16328</xdr:rowOff>
    </xdr:from>
    <xdr:to>
      <xdr:col>6</xdr:col>
      <xdr:colOff>394585</xdr:colOff>
      <xdr:row>429</xdr:row>
      <xdr:rowOff>48986</xdr:rowOff>
    </xdr:to>
    <xdr:pic>
      <xdr:nvPicPr>
        <xdr:cNvPr id="35" name="Picture 34">
          <a:extLst>
            <a:ext uri="{FF2B5EF4-FFF2-40B4-BE49-F238E27FC236}">
              <a16:creationId xmlns:a16="http://schemas.microsoft.com/office/drawing/2014/main" id="{F7D3D376-5C73-B3D9-A381-0D5CB126A9C8}"/>
            </a:ext>
          </a:extLst>
        </xdr:cNvPr>
        <xdr:cNvPicPr>
          <a:picLocks noChangeAspect="1"/>
        </xdr:cNvPicPr>
      </xdr:nvPicPr>
      <xdr:blipFill>
        <a:blip xmlns:r="http://schemas.openxmlformats.org/officeDocument/2006/relationships" r:embed="rId33"/>
        <a:stretch>
          <a:fillRect/>
        </a:stretch>
      </xdr:blipFill>
      <xdr:spPr>
        <a:xfrm rot="16200000">
          <a:off x="3824416" y="83967789"/>
          <a:ext cx="816429" cy="488194"/>
        </a:xfrm>
        <a:prstGeom prst="rect">
          <a:avLst/>
        </a:prstGeom>
      </xdr:spPr>
    </xdr:pic>
    <xdr:clientData/>
  </xdr:twoCellAnchor>
  <xdr:twoCellAnchor editAs="oneCell">
    <xdr:from>
      <xdr:col>5</xdr:col>
      <xdr:colOff>862420</xdr:colOff>
      <xdr:row>431</xdr:row>
      <xdr:rowOff>28518</xdr:rowOff>
    </xdr:from>
    <xdr:to>
      <xdr:col>6</xdr:col>
      <xdr:colOff>402772</xdr:colOff>
      <xdr:row>435</xdr:row>
      <xdr:rowOff>98341</xdr:rowOff>
    </xdr:to>
    <xdr:pic>
      <xdr:nvPicPr>
        <xdr:cNvPr id="36" name="Picture 35">
          <a:extLst>
            <a:ext uri="{FF2B5EF4-FFF2-40B4-BE49-F238E27FC236}">
              <a16:creationId xmlns:a16="http://schemas.microsoft.com/office/drawing/2014/main" id="{619BE077-2D02-218B-E324-9189CDF65063}"/>
            </a:ext>
          </a:extLst>
        </xdr:cNvPr>
        <xdr:cNvPicPr>
          <a:picLocks noChangeAspect="1"/>
        </xdr:cNvPicPr>
      </xdr:nvPicPr>
      <xdr:blipFill>
        <a:blip xmlns:r="http://schemas.openxmlformats.org/officeDocument/2006/relationships" r:embed="rId34"/>
        <a:stretch>
          <a:fillRect/>
        </a:stretch>
      </xdr:blipFill>
      <xdr:spPr>
        <a:xfrm rot="16200000">
          <a:off x="3825299" y="85185496"/>
          <a:ext cx="853594" cy="465638"/>
        </a:xfrm>
        <a:prstGeom prst="rect">
          <a:avLst/>
        </a:prstGeom>
      </xdr:spPr>
    </xdr:pic>
    <xdr:clientData/>
  </xdr:twoCellAnchor>
  <xdr:twoCellAnchor editAs="oneCell">
    <xdr:from>
      <xdr:col>5</xdr:col>
      <xdr:colOff>880933</xdr:colOff>
      <xdr:row>437</xdr:row>
      <xdr:rowOff>57300</xdr:rowOff>
    </xdr:from>
    <xdr:to>
      <xdr:col>6</xdr:col>
      <xdr:colOff>348342</xdr:colOff>
      <xdr:row>441</xdr:row>
      <xdr:rowOff>84167</xdr:rowOff>
    </xdr:to>
    <xdr:pic>
      <xdr:nvPicPr>
        <xdr:cNvPr id="37" name="Picture 36">
          <a:extLst>
            <a:ext uri="{FF2B5EF4-FFF2-40B4-BE49-F238E27FC236}">
              <a16:creationId xmlns:a16="http://schemas.microsoft.com/office/drawing/2014/main" id="{1CC24616-9FB2-036C-07FB-0FA009FD18F1}"/>
            </a:ext>
          </a:extLst>
        </xdr:cNvPr>
        <xdr:cNvPicPr>
          <a:picLocks noChangeAspect="1"/>
        </xdr:cNvPicPr>
      </xdr:nvPicPr>
      <xdr:blipFill>
        <a:blip xmlns:r="http://schemas.openxmlformats.org/officeDocument/2006/relationships" r:embed="rId35"/>
        <a:stretch>
          <a:fillRect/>
        </a:stretch>
      </xdr:blipFill>
      <xdr:spPr>
        <a:xfrm rot="16200000">
          <a:off x="3828818" y="86404929"/>
          <a:ext cx="810639" cy="392695"/>
        </a:xfrm>
        <a:prstGeom prst="rect">
          <a:avLst/>
        </a:prstGeom>
      </xdr:spPr>
    </xdr:pic>
    <xdr:clientData/>
  </xdr:twoCellAnchor>
  <xdr:twoCellAnchor editAs="oneCell">
    <xdr:from>
      <xdr:col>5</xdr:col>
      <xdr:colOff>828675</xdr:colOff>
      <xdr:row>443</xdr:row>
      <xdr:rowOff>23076</xdr:rowOff>
    </xdr:from>
    <xdr:to>
      <xdr:col>6</xdr:col>
      <xdr:colOff>337457</xdr:colOff>
      <xdr:row>447</xdr:row>
      <xdr:rowOff>28295</xdr:rowOff>
    </xdr:to>
    <xdr:pic>
      <xdr:nvPicPr>
        <xdr:cNvPr id="38" name="Picture 37">
          <a:extLst>
            <a:ext uri="{FF2B5EF4-FFF2-40B4-BE49-F238E27FC236}">
              <a16:creationId xmlns:a16="http://schemas.microsoft.com/office/drawing/2014/main" id="{57D90B67-4C0A-A5E4-52E3-DA187E1506FC}"/>
            </a:ext>
          </a:extLst>
        </xdr:cNvPr>
        <xdr:cNvPicPr>
          <a:picLocks noChangeAspect="1"/>
        </xdr:cNvPicPr>
      </xdr:nvPicPr>
      <xdr:blipFill>
        <a:blip xmlns:r="http://schemas.openxmlformats.org/officeDocument/2006/relationships" r:embed="rId34"/>
        <a:stretch>
          <a:fillRect/>
        </a:stretch>
      </xdr:blipFill>
      <xdr:spPr>
        <a:xfrm rot="16200000">
          <a:off x="3808070" y="87514852"/>
          <a:ext cx="788991" cy="434068"/>
        </a:xfrm>
        <a:prstGeom prst="rect">
          <a:avLst/>
        </a:prstGeom>
      </xdr:spPr>
    </xdr:pic>
    <xdr:clientData/>
  </xdr:twoCellAnchor>
  <xdr:twoCellAnchor>
    <xdr:from>
      <xdr:col>4</xdr:col>
      <xdr:colOff>790577</xdr:colOff>
      <xdr:row>17</xdr:row>
      <xdr:rowOff>43815</xdr:rowOff>
    </xdr:from>
    <xdr:to>
      <xdr:col>6</xdr:col>
      <xdr:colOff>434341</xdr:colOff>
      <xdr:row>19</xdr:row>
      <xdr:rowOff>121920</xdr:rowOff>
    </xdr:to>
    <xdr:sp macro="" textlink="">
      <xdr:nvSpPr>
        <xdr:cNvPr id="23" name="TextBox 22">
          <a:extLst>
            <a:ext uri="{FF2B5EF4-FFF2-40B4-BE49-F238E27FC236}">
              <a16:creationId xmlns:a16="http://schemas.microsoft.com/office/drawing/2014/main" id="{B9B3AD31-F0B2-D72C-4C45-B0F8B1AF12AD}"/>
            </a:ext>
          </a:extLst>
        </xdr:cNvPr>
        <xdr:cNvSpPr txBox="1"/>
      </xdr:nvSpPr>
      <xdr:spPr>
        <a:xfrm>
          <a:off x="3145157" y="4006215"/>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13337</xdr:colOff>
      <xdr:row>27</xdr:row>
      <xdr:rowOff>150495</xdr:rowOff>
    </xdr:from>
    <xdr:to>
      <xdr:col>6</xdr:col>
      <xdr:colOff>464821</xdr:colOff>
      <xdr:row>30</xdr:row>
      <xdr:rowOff>38100</xdr:rowOff>
    </xdr:to>
    <xdr:sp macro="" textlink="">
      <xdr:nvSpPr>
        <xdr:cNvPr id="40" name="TextBox 39">
          <a:extLst>
            <a:ext uri="{FF2B5EF4-FFF2-40B4-BE49-F238E27FC236}">
              <a16:creationId xmlns:a16="http://schemas.microsoft.com/office/drawing/2014/main" id="{4B81576A-1392-7C6E-9F81-FB45249FD730}"/>
            </a:ext>
          </a:extLst>
        </xdr:cNvPr>
        <xdr:cNvSpPr txBox="1"/>
      </xdr:nvSpPr>
      <xdr:spPr>
        <a:xfrm>
          <a:off x="3175637" y="5682615"/>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66</xdr:row>
      <xdr:rowOff>106680</xdr:rowOff>
    </xdr:from>
    <xdr:to>
      <xdr:col>6</xdr:col>
      <xdr:colOff>451484</xdr:colOff>
      <xdr:row>69</xdr:row>
      <xdr:rowOff>9525</xdr:rowOff>
    </xdr:to>
    <xdr:sp macro="" textlink="">
      <xdr:nvSpPr>
        <xdr:cNvPr id="41" name="TextBox 40">
          <a:extLst>
            <a:ext uri="{FF2B5EF4-FFF2-40B4-BE49-F238E27FC236}">
              <a16:creationId xmlns:a16="http://schemas.microsoft.com/office/drawing/2014/main" id="{6DE39F7D-1456-4D5F-8920-9DFEDF603BB8}"/>
            </a:ext>
          </a:extLst>
        </xdr:cNvPr>
        <xdr:cNvSpPr txBox="1"/>
      </xdr:nvSpPr>
      <xdr:spPr>
        <a:xfrm>
          <a:off x="3162300" y="1273302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127</xdr:row>
      <xdr:rowOff>0</xdr:rowOff>
    </xdr:from>
    <xdr:to>
      <xdr:col>6</xdr:col>
      <xdr:colOff>451484</xdr:colOff>
      <xdr:row>129</xdr:row>
      <xdr:rowOff>93345</xdr:rowOff>
    </xdr:to>
    <xdr:sp macro="" textlink="">
      <xdr:nvSpPr>
        <xdr:cNvPr id="42" name="TextBox 41">
          <a:extLst>
            <a:ext uri="{FF2B5EF4-FFF2-40B4-BE49-F238E27FC236}">
              <a16:creationId xmlns:a16="http://schemas.microsoft.com/office/drawing/2014/main" id="{86F314C0-BC3B-42B2-A303-B7AA0534DA34}"/>
            </a:ext>
          </a:extLst>
        </xdr:cNvPr>
        <xdr:cNvSpPr txBox="1"/>
      </xdr:nvSpPr>
      <xdr:spPr>
        <a:xfrm>
          <a:off x="3162300" y="231648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77</xdr:row>
      <xdr:rowOff>0</xdr:rowOff>
    </xdr:from>
    <xdr:to>
      <xdr:col>6</xdr:col>
      <xdr:colOff>451484</xdr:colOff>
      <xdr:row>79</xdr:row>
      <xdr:rowOff>78105</xdr:rowOff>
    </xdr:to>
    <xdr:sp macro="" textlink="">
      <xdr:nvSpPr>
        <xdr:cNvPr id="43" name="TextBox 42">
          <a:extLst>
            <a:ext uri="{FF2B5EF4-FFF2-40B4-BE49-F238E27FC236}">
              <a16:creationId xmlns:a16="http://schemas.microsoft.com/office/drawing/2014/main" id="{4DD4C9DA-693D-4347-B101-5D85B16D16F6}"/>
            </a:ext>
          </a:extLst>
        </xdr:cNvPr>
        <xdr:cNvSpPr txBox="1"/>
      </xdr:nvSpPr>
      <xdr:spPr>
        <a:xfrm>
          <a:off x="3162300" y="143408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138</xdr:row>
      <xdr:rowOff>0</xdr:rowOff>
    </xdr:from>
    <xdr:to>
      <xdr:col>6</xdr:col>
      <xdr:colOff>451484</xdr:colOff>
      <xdr:row>140</xdr:row>
      <xdr:rowOff>78105</xdr:rowOff>
    </xdr:to>
    <xdr:sp macro="" textlink="">
      <xdr:nvSpPr>
        <xdr:cNvPr id="44" name="TextBox 43">
          <a:extLst>
            <a:ext uri="{FF2B5EF4-FFF2-40B4-BE49-F238E27FC236}">
              <a16:creationId xmlns:a16="http://schemas.microsoft.com/office/drawing/2014/main" id="{89878AF6-416F-4211-A031-46A462A8CF13}"/>
            </a:ext>
          </a:extLst>
        </xdr:cNvPr>
        <xdr:cNvSpPr txBox="1"/>
      </xdr:nvSpPr>
      <xdr:spPr>
        <a:xfrm>
          <a:off x="3162300" y="248793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207</xdr:row>
      <xdr:rowOff>160020</xdr:rowOff>
    </xdr:from>
    <xdr:to>
      <xdr:col>6</xdr:col>
      <xdr:colOff>451484</xdr:colOff>
      <xdr:row>210</xdr:row>
      <xdr:rowOff>62865</xdr:rowOff>
    </xdr:to>
    <xdr:sp macro="" textlink="">
      <xdr:nvSpPr>
        <xdr:cNvPr id="45" name="TextBox 44">
          <a:extLst>
            <a:ext uri="{FF2B5EF4-FFF2-40B4-BE49-F238E27FC236}">
              <a16:creationId xmlns:a16="http://schemas.microsoft.com/office/drawing/2014/main" id="{A7AC1FE5-8D61-47DA-BBC0-DED6B0B524AE}"/>
            </a:ext>
          </a:extLst>
        </xdr:cNvPr>
        <xdr:cNvSpPr txBox="1"/>
      </xdr:nvSpPr>
      <xdr:spPr>
        <a:xfrm>
          <a:off x="3162300" y="377418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4</xdr:col>
      <xdr:colOff>792480</xdr:colOff>
      <xdr:row>215</xdr:row>
      <xdr:rowOff>45720</xdr:rowOff>
    </xdr:from>
    <xdr:to>
      <xdr:col>6</xdr:col>
      <xdr:colOff>436244</xdr:colOff>
      <xdr:row>217</xdr:row>
      <xdr:rowOff>139065</xdr:rowOff>
    </xdr:to>
    <xdr:sp macro="" textlink="">
      <xdr:nvSpPr>
        <xdr:cNvPr id="46" name="TextBox 45">
          <a:extLst>
            <a:ext uri="{FF2B5EF4-FFF2-40B4-BE49-F238E27FC236}">
              <a16:creationId xmlns:a16="http://schemas.microsoft.com/office/drawing/2014/main" id="{D6F1541B-F41F-AB17-AF8B-8C747CAD671F}"/>
            </a:ext>
          </a:extLst>
        </xdr:cNvPr>
        <xdr:cNvSpPr txBox="1"/>
      </xdr:nvSpPr>
      <xdr:spPr>
        <a:xfrm>
          <a:off x="3147060" y="389610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256</xdr:row>
      <xdr:rowOff>0</xdr:rowOff>
    </xdr:from>
    <xdr:to>
      <xdr:col>6</xdr:col>
      <xdr:colOff>451484</xdr:colOff>
      <xdr:row>258</xdr:row>
      <xdr:rowOff>93345</xdr:rowOff>
    </xdr:to>
    <xdr:sp macro="" textlink="">
      <xdr:nvSpPr>
        <xdr:cNvPr id="47" name="TextBox 46">
          <a:extLst>
            <a:ext uri="{FF2B5EF4-FFF2-40B4-BE49-F238E27FC236}">
              <a16:creationId xmlns:a16="http://schemas.microsoft.com/office/drawing/2014/main" id="{A080DD34-D96D-438B-BA4B-2BC5ACD86A8B}"/>
            </a:ext>
          </a:extLst>
        </xdr:cNvPr>
        <xdr:cNvSpPr txBox="1"/>
      </xdr:nvSpPr>
      <xdr:spPr>
        <a:xfrm>
          <a:off x="3162300" y="462381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15240</xdr:colOff>
      <xdr:row>263</xdr:row>
      <xdr:rowOff>30480</xdr:rowOff>
    </xdr:from>
    <xdr:to>
      <xdr:col>6</xdr:col>
      <xdr:colOff>466724</xdr:colOff>
      <xdr:row>265</xdr:row>
      <xdr:rowOff>123825</xdr:rowOff>
    </xdr:to>
    <xdr:sp macro="" textlink="">
      <xdr:nvSpPr>
        <xdr:cNvPr id="48" name="TextBox 47">
          <a:extLst>
            <a:ext uri="{FF2B5EF4-FFF2-40B4-BE49-F238E27FC236}">
              <a16:creationId xmlns:a16="http://schemas.microsoft.com/office/drawing/2014/main" id="{0D1A84E1-3CA2-B21F-5957-E35F0E791A3C}"/>
            </a:ext>
          </a:extLst>
        </xdr:cNvPr>
        <xdr:cNvSpPr txBox="1"/>
      </xdr:nvSpPr>
      <xdr:spPr>
        <a:xfrm>
          <a:off x="3177540" y="47411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editAs="oneCell">
    <xdr:from>
      <xdr:col>1</xdr:col>
      <xdr:colOff>541021</xdr:colOff>
      <xdr:row>254</xdr:row>
      <xdr:rowOff>0</xdr:rowOff>
    </xdr:from>
    <xdr:to>
      <xdr:col>4</xdr:col>
      <xdr:colOff>453915</xdr:colOff>
      <xdr:row>259</xdr:row>
      <xdr:rowOff>99059</xdr:rowOff>
    </xdr:to>
    <xdr:pic>
      <xdr:nvPicPr>
        <xdr:cNvPr id="49" name="Picture 48">
          <a:extLst>
            <a:ext uri="{FF2B5EF4-FFF2-40B4-BE49-F238E27FC236}">
              <a16:creationId xmlns:a16="http://schemas.microsoft.com/office/drawing/2014/main" id="{D0D233A6-EB27-4D57-917B-C10D0DC668CD}"/>
            </a:ext>
          </a:extLst>
        </xdr:cNvPr>
        <xdr:cNvPicPr>
          <a:picLocks noChangeAspect="1"/>
        </xdr:cNvPicPr>
      </xdr:nvPicPr>
      <xdr:blipFill>
        <a:blip xmlns:r="http://schemas.openxmlformats.org/officeDocument/2006/relationships" r:embed="rId28"/>
        <a:stretch>
          <a:fillRect/>
        </a:stretch>
      </xdr:blipFill>
      <xdr:spPr>
        <a:xfrm>
          <a:off x="1729741" y="45857160"/>
          <a:ext cx="1078754" cy="1051559"/>
        </a:xfrm>
        <a:prstGeom prst="rect">
          <a:avLst/>
        </a:prstGeom>
      </xdr:spPr>
    </xdr:pic>
    <xdr:clientData/>
  </xdr:twoCellAnchor>
  <xdr:twoCellAnchor editAs="oneCell">
    <xdr:from>
      <xdr:col>2</xdr:col>
      <xdr:colOff>15240</xdr:colOff>
      <xdr:row>261</xdr:row>
      <xdr:rowOff>167640</xdr:rowOff>
    </xdr:from>
    <xdr:to>
      <xdr:col>4</xdr:col>
      <xdr:colOff>388620</xdr:colOff>
      <xdr:row>267</xdr:row>
      <xdr:rowOff>15171</xdr:rowOff>
    </xdr:to>
    <xdr:pic>
      <xdr:nvPicPr>
        <xdr:cNvPr id="50" name="Picture 49">
          <a:extLst>
            <a:ext uri="{FF2B5EF4-FFF2-40B4-BE49-F238E27FC236}">
              <a16:creationId xmlns:a16="http://schemas.microsoft.com/office/drawing/2014/main" id="{C91257F5-7E6F-4485-BD16-DE38A97A55B2}"/>
            </a:ext>
          </a:extLst>
        </xdr:cNvPr>
        <xdr:cNvPicPr>
          <a:picLocks noChangeAspect="1"/>
        </xdr:cNvPicPr>
      </xdr:nvPicPr>
      <xdr:blipFill>
        <a:blip xmlns:r="http://schemas.openxmlformats.org/officeDocument/2006/relationships" r:embed="rId29"/>
        <a:stretch>
          <a:fillRect/>
        </a:stretch>
      </xdr:blipFill>
      <xdr:spPr>
        <a:xfrm>
          <a:off x="1783080" y="47167800"/>
          <a:ext cx="960120" cy="990531"/>
        </a:xfrm>
        <a:prstGeom prst="rect">
          <a:avLst/>
        </a:prstGeom>
      </xdr:spPr>
    </xdr:pic>
    <xdr:clientData/>
  </xdr:twoCellAnchor>
  <xdr:twoCellAnchor>
    <xdr:from>
      <xdr:col>5</xdr:col>
      <xdr:colOff>0</xdr:colOff>
      <xdr:row>305</xdr:row>
      <xdr:rowOff>0</xdr:rowOff>
    </xdr:from>
    <xdr:to>
      <xdr:col>6</xdr:col>
      <xdr:colOff>451484</xdr:colOff>
      <xdr:row>307</xdr:row>
      <xdr:rowOff>93345</xdr:rowOff>
    </xdr:to>
    <xdr:sp macro="" textlink="">
      <xdr:nvSpPr>
        <xdr:cNvPr id="51" name="TextBox 50">
          <a:extLst>
            <a:ext uri="{FF2B5EF4-FFF2-40B4-BE49-F238E27FC236}">
              <a16:creationId xmlns:a16="http://schemas.microsoft.com/office/drawing/2014/main" id="{33FFC3E8-6392-4199-8C67-53DD5E6754E2}"/>
            </a:ext>
          </a:extLst>
        </xdr:cNvPr>
        <xdr:cNvSpPr txBox="1"/>
      </xdr:nvSpPr>
      <xdr:spPr>
        <a:xfrm>
          <a:off x="3162300" y="549021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4</xdr:col>
      <xdr:colOff>784860</xdr:colOff>
      <xdr:row>312</xdr:row>
      <xdr:rowOff>0</xdr:rowOff>
    </xdr:from>
    <xdr:to>
      <xdr:col>6</xdr:col>
      <xdr:colOff>428624</xdr:colOff>
      <xdr:row>314</xdr:row>
      <xdr:rowOff>93345</xdr:rowOff>
    </xdr:to>
    <xdr:sp macro="" textlink="">
      <xdr:nvSpPr>
        <xdr:cNvPr id="52" name="TextBox 51">
          <a:extLst>
            <a:ext uri="{FF2B5EF4-FFF2-40B4-BE49-F238E27FC236}">
              <a16:creationId xmlns:a16="http://schemas.microsoft.com/office/drawing/2014/main" id="{19BC7B60-9D14-C463-AC2A-115172589828}"/>
            </a:ext>
          </a:extLst>
        </xdr:cNvPr>
        <xdr:cNvSpPr txBox="1"/>
      </xdr:nvSpPr>
      <xdr:spPr>
        <a:xfrm>
          <a:off x="3139440" y="560451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editAs="oneCell">
    <xdr:from>
      <xdr:col>2</xdr:col>
      <xdr:colOff>0</xdr:colOff>
      <xdr:row>304</xdr:row>
      <xdr:rowOff>1</xdr:rowOff>
    </xdr:from>
    <xdr:to>
      <xdr:col>4</xdr:col>
      <xdr:colOff>327660</xdr:colOff>
      <xdr:row>308</xdr:row>
      <xdr:rowOff>129349</xdr:rowOff>
    </xdr:to>
    <xdr:pic>
      <xdr:nvPicPr>
        <xdr:cNvPr id="53" name="Picture 52">
          <a:extLst>
            <a:ext uri="{FF2B5EF4-FFF2-40B4-BE49-F238E27FC236}">
              <a16:creationId xmlns:a16="http://schemas.microsoft.com/office/drawing/2014/main" id="{7D05FC91-40E3-4300-9366-9D674ABE041C}"/>
            </a:ext>
          </a:extLst>
        </xdr:cNvPr>
        <xdr:cNvPicPr>
          <a:picLocks noChangeAspect="1"/>
        </xdr:cNvPicPr>
      </xdr:nvPicPr>
      <xdr:blipFill>
        <a:blip xmlns:r="http://schemas.openxmlformats.org/officeDocument/2006/relationships" r:embed="rId28"/>
        <a:stretch>
          <a:fillRect/>
        </a:stretch>
      </xdr:blipFill>
      <xdr:spPr>
        <a:xfrm>
          <a:off x="1767840" y="54711601"/>
          <a:ext cx="914400" cy="891348"/>
        </a:xfrm>
        <a:prstGeom prst="rect">
          <a:avLst/>
        </a:prstGeom>
      </xdr:spPr>
    </xdr:pic>
    <xdr:clientData/>
  </xdr:twoCellAnchor>
  <xdr:twoCellAnchor editAs="oneCell">
    <xdr:from>
      <xdr:col>2</xdr:col>
      <xdr:colOff>30479</xdr:colOff>
      <xdr:row>311</xdr:row>
      <xdr:rowOff>7620</xdr:rowOff>
    </xdr:from>
    <xdr:to>
      <xdr:col>4</xdr:col>
      <xdr:colOff>257580</xdr:colOff>
      <xdr:row>315</xdr:row>
      <xdr:rowOff>85239</xdr:rowOff>
    </xdr:to>
    <xdr:pic>
      <xdr:nvPicPr>
        <xdr:cNvPr id="54" name="Picture 53">
          <a:extLst>
            <a:ext uri="{FF2B5EF4-FFF2-40B4-BE49-F238E27FC236}">
              <a16:creationId xmlns:a16="http://schemas.microsoft.com/office/drawing/2014/main" id="{EEC1E3B6-F0DA-4B00-9D49-35DD04FF2928}"/>
            </a:ext>
          </a:extLst>
        </xdr:cNvPr>
        <xdr:cNvPicPr>
          <a:picLocks noChangeAspect="1"/>
        </xdr:cNvPicPr>
      </xdr:nvPicPr>
      <xdr:blipFill>
        <a:blip xmlns:r="http://schemas.openxmlformats.org/officeDocument/2006/relationships" r:embed="rId29"/>
        <a:stretch>
          <a:fillRect/>
        </a:stretch>
      </xdr:blipFill>
      <xdr:spPr>
        <a:xfrm>
          <a:off x="1798319" y="55862220"/>
          <a:ext cx="813841" cy="839619"/>
        </a:xfrm>
        <a:prstGeom prst="rect">
          <a:avLst/>
        </a:prstGeom>
      </xdr:spPr>
    </xdr:pic>
    <xdr:clientData/>
  </xdr:twoCellAnchor>
  <xdr:twoCellAnchor>
    <xdr:from>
      <xdr:col>5</xdr:col>
      <xdr:colOff>45720</xdr:colOff>
      <xdr:row>230</xdr:row>
      <xdr:rowOff>99060</xdr:rowOff>
    </xdr:from>
    <xdr:to>
      <xdr:col>6</xdr:col>
      <xdr:colOff>497204</xdr:colOff>
      <xdr:row>232</xdr:row>
      <xdr:rowOff>184785</xdr:rowOff>
    </xdr:to>
    <xdr:sp macro="" textlink="">
      <xdr:nvSpPr>
        <xdr:cNvPr id="55" name="TextBox 54">
          <a:extLst>
            <a:ext uri="{FF2B5EF4-FFF2-40B4-BE49-F238E27FC236}">
              <a16:creationId xmlns:a16="http://schemas.microsoft.com/office/drawing/2014/main" id="{72395D02-89F0-4303-B961-1C31F7F3A1B9}"/>
            </a:ext>
          </a:extLst>
        </xdr:cNvPr>
        <xdr:cNvSpPr txBox="1"/>
      </xdr:nvSpPr>
      <xdr:spPr>
        <a:xfrm>
          <a:off x="3208020" y="417195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30480</xdr:colOff>
      <xdr:row>237</xdr:row>
      <xdr:rowOff>38100</xdr:rowOff>
    </xdr:from>
    <xdr:to>
      <xdr:col>6</xdr:col>
      <xdr:colOff>481964</xdr:colOff>
      <xdr:row>239</xdr:row>
      <xdr:rowOff>123825</xdr:rowOff>
    </xdr:to>
    <xdr:sp macro="" textlink="">
      <xdr:nvSpPr>
        <xdr:cNvPr id="56" name="TextBox 55">
          <a:extLst>
            <a:ext uri="{FF2B5EF4-FFF2-40B4-BE49-F238E27FC236}">
              <a16:creationId xmlns:a16="http://schemas.microsoft.com/office/drawing/2014/main" id="{3CDC7118-9652-4FF9-BA26-A7B2DA92F3EC}"/>
            </a:ext>
          </a:extLst>
        </xdr:cNvPr>
        <xdr:cNvSpPr txBox="1"/>
      </xdr:nvSpPr>
      <xdr:spPr>
        <a:xfrm>
          <a:off x="3192780" y="428244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276</xdr:row>
      <xdr:rowOff>0</xdr:rowOff>
    </xdr:from>
    <xdr:to>
      <xdr:col>6</xdr:col>
      <xdr:colOff>451484</xdr:colOff>
      <xdr:row>278</xdr:row>
      <xdr:rowOff>85725</xdr:rowOff>
    </xdr:to>
    <xdr:sp macro="" textlink="">
      <xdr:nvSpPr>
        <xdr:cNvPr id="57" name="TextBox 56">
          <a:extLst>
            <a:ext uri="{FF2B5EF4-FFF2-40B4-BE49-F238E27FC236}">
              <a16:creationId xmlns:a16="http://schemas.microsoft.com/office/drawing/2014/main" id="{FC76DFF3-9AED-4205-BAE4-8AB209311C7B}"/>
            </a:ext>
          </a:extLst>
        </xdr:cNvPr>
        <xdr:cNvSpPr txBox="1"/>
      </xdr:nvSpPr>
      <xdr:spPr>
        <a:xfrm>
          <a:off x="3162300" y="49697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792480</xdr:colOff>
      <xdr:row>283</xdr:row>
      <xdr:rowOff>15240</xdr:rowOff>
    </xdr:from>
    <xdr:to>
      <xdr:col>6</xdr:col>
      <xdr:colOff>436244</xdr:colOff>
      <xdr:row>285</xdr:row>
      <xdr:rowOff>100965</xdr:rowOff>
    </xdr:to>
    <xdr:sp macro="" textlink="">
      <xdr:nvSpPr>
        <xdr:cNvPr id="58" name="TextBox 57">
          <a:extLst>
            <a:ext uri="{FF2B5EF4-FFF2-40B4-BE49-F238E27FC236}">
              <a16:creationId xmlns:a16="http://schemas.microsoft.com/office/drawing/2014/main" id="{7FDFCA44-0DE9-E0A5-3608-8F60C228179F}"/>
            </a:ext>
          </a:extLst>
        </xdr:cNvPr>
        <xdr:cNvSpPr txBox="1"/>
      </xdr:nvSpPr>
      <xdr:spPr>
        <a:xfrm>
          <a:off x="3147060" y="508787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2</xdr:col>
      <xdr:colOff>30481</xdr:colOff>
      <xdr:row>275</xdr:row>
      <xdr:rowOff>0</xdr:rowOff>
    </xdr:from>
    <xdr:to>
      <xdr:col>4</xdr:col>
      <xdr:colOff>335281</xdr:colOff>
      <xdr:row>279</xdr:row>
      <xdr:rowOff>151731</xdr:rowOff>
    </xdr:to>
    <xdr:pic>
      <xdr:nvPicPr>
        <xdr:cNvPr id="59" name="Picture 58">
          <a:extLst>
            <a:ext uri="{FF2B5EF4-FFF2-40B4-BE49-F238E27FC236}">
              <a16:creationId xmlns:a16="http://schemas.microsoft.com/office/drawing/2014/main" id="{32E0188D-41F2-4B10-8A90-5109EB72F2AD}"/>
            </a:ext>
          </a:extLst>
        </xdr:cNvPr>
        <xdr:cNvPicPr>
          <a:picLocks noChangeAspect="1"/>
        </xdr:cNvPicPr>
      </xdr:nvPicPr>
      <xdr:blipFill>
        <a:blip xmlns:r="http://schemas.openxmlformats.org/officeDocument/2006/relationships" r:embed="rId31"/>
        <a:stretch>
          <a:fillRect/>
        </a:stretch>
      </xdr:blipFill>
      <xdr:spPr>
        <a:xfrm>
          <a:off x="1798321" y="49507140"/>
          <a:ext cx="891540" cy="928971"/>
        </a:xfrm>
        <a:prstGeom prst="rect">
          <a:avLst/>
        </a:prstGeom>
      </xdr:spPr>
    </xdr:pic>
    <xdr:clientData/>
  </xdr:twoCellAnchor>
  <xdr:twoCellAnchor editAs="oneCell">
    <xdr:from>
      <xdr:col>2</xdr:col>
      <xdr:colOff>15240</xdr:colOff>
      <xdr:row>282</xdr:row>
      <xdr:rowOff>7621</xdr:rowOff>
    </xdr:from>
    <xdr:to>
      <xdr:col>4</xdr:col>
      <xdr:colOff>342900</xdr:colOff>
      <xdr:row>286</xdr:row>
      <xdr:rowOff>147829</xdr:rowOff>
    </xdr:to>
    <xdr:pic>
      <xdr:nvPicPr>
        <xdr:cNvPr id="60" name="Picture 59">
          <a:extLst>
            <a:ext uri="{FF2B5EF4-FFF2-40B4-BE49-F238E27FC236}">
              <a16:creationId xmlns:a16="http://schemas.microsoft.com/office/drawing/2014/main" id="{8D69D00F-1D5A-4A93-8BD4-DD07F93C995C}"/>
            </a:ext>
          </a:extLst>
        </xdr:cNvPr>
        <xdr:cNvPicPr>
          <a:picLocks noChangeAspect="1"/>
        </xdr:cNvPicPr>
      </xdr:nvPicPr>
      <xdr:blipFill>
        <a:blip xmlns:r="http://schemas.openxmlformats.org/officeDocument/2006/relationships" r:embed="rId32"/>
        <a:stretch>
          <a:fillRect/>
        </a:stretch>
      </xdr:blipFill>
      <xdr:spPr>
        <a:xfrm>
          <a:off x="1783080" y="50680621"/>
          <a:ext cx="914400" cy="917448"/>
        </a:xfrm>
        <a:prstGeom prst="rect">
          <a:avLst/>
        </a:prstGeom>
      </xdr:spPr>
    </xdr:pic>
    <xdr:clientData/>
  </xdr:twoCellAnchor>
  <xdr:twoCellAnchor>
    <xdr:from>
      <xdr:col>4</xdr:col>
      <xdr:colOff>784860</xdr:colOff>
      <xdr:row>325</xdr:row>
      <xdr:rowOff>121920</xdr:rowOff>
    </xdr:from>
    <xdr:to>
      <xdr:col>6</xdr:col>
      <xdr:colOff>428624</xdr:colOff>
      <xdr:row>328</xdr:row>
      <xdr:rowOff>9525</xdr:rowOff>
    </xdr:to>
    <xdr:sp macro="" textlink="">
      <xdr:nvSpPr>
        <xdr:cNvPr id="61" name="TextBox 60">
          <a:extLst>
            <a:ext uri="{FF2B5EF4-FFF2-40B4-BE49-F238E27FC236}">
              <a16:creationId xmlns:a16="http://schemas.microsoft.com/office/drawing/2014/main" id="{A34F9BBA-84C1-4E82-A863-6A7BE57547E5}"/>
            </a:ext>
          </a:extLst>
        </xdr:cNvPr>
        <xdr:cNvSpPr txBox="1"/>
      </xdr:nvSpPr>
      <xdr:spPr>
        <a:xfrm>
          <a:off x="3139440" y="584835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784860</xdr:colOff>
      <xdr:row>332</xdr:row>
      <xdr:rowOff>76200</xdr:rowOff>
    </xdr:from>
    <xdr:to>
      <xdr:col>6</xdr:col>
      <xdr:colOff>428624</xdr:colOff>
      <xdr:row>334</xdr:row>
      <xdr:rowOff>161925</xdr:rowOff>
    </xdr:to>
    <xdr:sp macro="" textlink="">
      <xdr:nvSpPr>
        <xdr:cNvPr id="62" name="TextBox 61">
          <a:extLst>
            <a:ext uri="{FF2B5EF4-FFF2-40B4-BE49-F238E27FC236}">
              <a16:creationId xmlns:a16="http://schemas.microsoft.com/office/drawing/2014/main" id="{85B095A2-9863-4C42-1445-779540FD6683}"/>
            </a:ext>
          </a:extLst>
        </xdr:cNvPr>
        <xdr:cNvSpPr txBox="1"/>
      </xdr:nvSpPr>
      <xdr:spPr>
        <a:xfrm>
          <a:off x="3139440" y="59603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2</xdr:col>
      <xdr:colOff>15241</xdr:colOff>
      <xdr:row>324</xdr:row>
      <xdr:rowOff>0</xdr:rowOff>
    </xdr:from>
    <xdr:to>
      <xdr:col>4</xdr:col>
      <xdr:colOff>320041</xdr:colOff>
      <xdr:row>328</xdr:row>
      <xdr:rowOff>151731</xdr:rowOff>
    </xdr:to>
    <xdr:pic>
      <xdr:nvPicPr>
        <xdr:cNvPr id="63" name="Picture 62">
          <a:extLst>
            <a:ext uri="{FF2B5EF4-FFF2-40B4-BE49-F238E27FC236}">
              <a16:creationId xmlns:a16="http://schemas.microsoft.com/office/drawing/2014/main" id="{DC780DCA-699D-4B40-B0B3-469814F2542E}"/>
            </a:ext>
          </a:extLst>
        </xdr:cNvPr>
        <xdr:cNvPicPr>
          <a:picLocks noChangeAspect="1"/>
        </xdr:cNvPicPr>
      </xdr:nvPicPr>
      <xdr:blipFill>
        <a:blip xmlns:r="http://schemas.openxmlformats.org/officeDocument/2006/relationships" r:embed="rId31"/>
        <a:stretch>
          <a:fillRect/>
        </a:stretch>
      </xdr:blipFill>
      <xdr:spPr>
        <a:xfrm>
          <a:off x="1783081" y="58171080"/>
          <a:ext cx="891540" cy="928971"/>
        </a:xfrm>
        <a:prstGeom prst="rect">
          <a:avLst/>
        </a:prstGeom>
      </xdr:spPr>
    </xdr:pic>
    <xdr:clientData/>
  </xdr:twoCellAnchor>
  <xdr:twoCellAnchor editAs="oneCell">
    <xdr:from>
      <xdr:col>2</xdr:col>
      <xdr:colOff>0</xdr:colOff>
      <xdr:row>331</xdr:row>
      <xdr:rowOff>7621</xdr:rowOff>
    </xdr:from>
    <xdr:to>
      <xdr:col>4</xdr:col>
      <xdr:colOff>327660</xdr:colOff>
      <xdr:row>335</xdr:row>
      <xdr:rowOff>147829</xdr:rowOff>
    </xdr:to>
    <xdr:pic>
      <xdr:nvPicPr>
        <xdr:cNvPr id="64" name="Picture 63">
          <a:extLst>
            <a:ext uri="{FF2B5EF4-FFF2-40B4-BE49-F238E27FC236}">
              <a16:creationId xmlns:a16="http://schemas.microsoft.com/office/drawing/2014/main" id="{860137D7-F951-40F2-A8A1-26CE4351A783}"/>
            </a:ext>
          </a:extLst>
        </xdr:cNvPr>
        <xdr:cNvPicPr>
          <a:picLocks noChangeAspect="1"/>
        </xdr:cNvPicPr>
      </xdr:nvPicPr>
      <xdr:blipFill>
        <a:blip xmlns:r="http://schemas.openxmlformats.org/officeDocument/2006/relationships" r:embed="rId32"/>
        <a:stretch>
          <a:fillRect/>
        </a:stretch>
      </xdr:blipFill>
      <xdr:spPr>
        <a:xfrm>
          <a:off x="1767840" y="59344561"/>
          <a:ext cx="914400" cy="917448"/>
        </a:xfrm>
        <a:prstGeom prst="rect">
          <a:avLst/>
        </a:prstGeom>
      </xdr:spPr>
    </xdr:pic>
    <xdr:clientData/>
  </xdr:twoCellAnchor>
  <xdr:twoCellAnchor>
    <xdr:from>
      <xdr:col>4</xdr:col>
      <xdr:colOff>754380</xdr:colOff>
      <xdr:row>289</xdr:row>
      <xdr:rowOff>60960</xdr:rowOff>
    </xdr:from>
    <xdr:to>
      <xdr:col>6</xdr:col>
      <xdr:colOff>398144</xdr:colOff>
      <xdr:row>291</xdr:row>
      <xdr:rowOff>154305</xdr:rowOff>
    </xdr:to>
    <xdr:sp macro="" textlink="">
      <xdr:nvSpPr>
        <xdr:cNvPr id="65" name="TextBox 64">
          <a:extLst>
            <a:ext uri="{FF2B5EF4-FFF2-40B4-BE49-F238E27FC236}">
              <a16:creationId xmlns:a16="http://schemas.microsoft.com/office/drawing/2014/main" id="{05496F81-DC38-82BE-47A2-D378F1C4EFFA}"/>
            </a:ext>
          </a:extLst>
        </xdr:cNvPr>
        <xdr:cNvSpPr txBox="1"/>
      </xdr:nvSpPr>
      <xdr:spPr>
        <a:xfrm>
          <a:off x="3108960" y="5189982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762000</xdr:colOff>
      <xdr:row>293</xdr:row>
      <xdr:rowOff>38100</xdr:rowOff>
    </xdr:from>
    <xdr:to>
      <xdr:col>6</xdr:col>
      <xdr:colOff>405764</xdr:colOff>
      <xdr:row>295</xdr:row>
      <xdr:rowOff>131445</xdr:rowOff>
    </xdr:to>
    <xdr:sp macro="" textlink="">
      <xdr:nvSpPr>
        <xdr:cNvPr id="66" name="TextBox 65">
          <a:extLst>
            <a:ext uri="{FF2B5EF4-FFF2-40B4-BE49-F238E27FC236}">
              <a16:creationId xmlns:a16="http://schemas.microsoft.com/office/drawing/2014/main" id="{3F27C60C-9060-3743-F7F1-A21A693F4B56}"/>
            </a:ext>
          </a:extLst>
        </xdr:cNvPr>
        <xdr:cNvSpPr txBox="1"/>
      </xdr:nvSpPr>
      <xdr:spPr>
        <a:xfrm>
          <a:off x="3116580" y="5264658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1</xdr:col>
      <xdr:colOff>190500</xdr:colOff>
      <xdr:row>190</xdr:row>
      <xdr:rowOff>0</xdr:rowOff>
    </xdr:from>
    <xdr:to>
      <xdr:col>4</xdr:col>
      <xdr:colOff>30480</xdr:colOff>
      <xdr:row>194</xdr:row>
      <xdr:rowOff>18658</xdr:rowOff>
    </xdr:to>
    <xdr:pic>
      <xdr:nvPicPr>
        <xdr:cNvPr id="67" name="Picture 66">
          <a:extLst>
            <a:ext uri="{FF2B5EF4-FFF2-40B4-BE49-F238E27FC236}">
              <a16:creationId xmlns:a16="http://schemas.microsoft.com/office/drawing/2014/main" id="{61779460-2D9D-444D-8518-EAFA5155FB2D}"/>
            </a:ext>
          </a:extLst>
        </xdr:cNvPr>
        <xdr:cNvPicPr>
          <a:picLocks noChangeAspect="1"/>
        </xdr:cNvPicPr>
      </xdr:nvPicPr>
      <xdr:blipFill>
        <a:blip xmlns:r="http://schemas.openxmlformats.org/officeDocument/2006/relationships" r:embed="rId36"/>
        <a:stretch>
          <a:fillRect/>
        </a:stretch>
      </xdr:blipFill>
      <xdr:spPr>
        <a:xfrm>
          <a:off x="1379220" y="34343340"/>
          <a:ext cx="1005840" cy="780658"/>
        </a:xfrm>
        <a:prstGeom prst="rect">
          <a:avLst/>
        </a:prstGeom>
      </xdr:spPr>
    </xdr:pic>
    <xdr:clientData/>
  </xdr:twoCellAnchor>
  <xdr:twoCellAnchor editAs="oneCell">
    <xdr:from>
      <xdr:col>6</xdr:col>
      <xdr:colOff>13608</xdr:colOff>
      <xdr:row>454</xdr:row>
      <xdr:rowOff>89262</xdr:rowOff>
    </xdr:from>
    <xdr:to>
      <xdr:col>6</xdr:col>
      <xdr:colOff>476254</xdr:colOff>
      <xdr:row>458</xdr:row>
      <xdr:rowOff>182748</xdr:rowOff>
    </xdr:to>
    <xdr:pic>
      <xdr:nvPicPr>
        <xdr:cNvPr id="74" name="Picture 73">
          <a:extLst>
            <a:ext uri="{FF2B5EF4-FFF2-40B4-BE49-F238E27FC236}">
              <a16:creationId xmlns:a16="http://schemas.microsoft.com/office/drawing/2014/main" id="{2158C58B-A5CD-E123-905D-1A90E892E8E9}"/>
            </a:ext>
          </a:extLst>
        </xdr:cNvPr>
        <xdr:cNvPicPr>
          <a:picLocks noChangeAspect="1"/>
        </xdr:cNvPicPr>
      </xdr:nvPicPr>
      <xdr:blipFill>
        <a:blip xmlns:r="http://schemas.openxmlformats.org/officeDocument/2006/relationships" r:embed="rId33"/>
        <a:stretch>
          <a:fillRect/>
        </a:stretch>
      </xdr:blipFill>
      <xdr:spPr>
        <a:xfrm rot="16200000">
          <a:off x="3888445" y="89766254"/>
          <a:ext cx="877257" cy="462646"/>
        </a:xfrm>
        <a:prstGeom prst="rect">
          <a:avLst/>
        </a:prstGeom>
      </xdr:spPr>
    </xdr:pic>
    <xdr:clientData/>
  </xdr:twoCellAnchor>
  <xdr:twoCellAnchor editAs="oneCell">
    <xdr:from>
      <xdr:col>6</xdr:col>
      <xdr:colOff>127633</xdr:colOff>
      <xdr:row>460</xdr:row>
      <xdr:rowOff>144996</xdr:rowOff>
    </xdr:from>
    <xdr:to>
      <xdr:col>6</xdr:col>
      <xdr:colOff>591256</xdr:colOff>
      <xdr:row>465</xdr:row>
      <xdr:rowOff>21771</xdr:rowOff>
    </xdr:to>
    <xdr:pic>
      <xdr:nvPicPr>
        <xdr:cNvPr id="76" name="Picture 75">
          <a:extLst>
            <a:ext uri="{FF2B5EF4-FFF2-40B4-BE49-F238E27FC236}">
              <a16:creationId xmlns:a16="http://schemas.microsoft.com/office/drawing/2014/main" id="{D27AFCC3-1F7E-0284-DC9B-67B993E5B676}"/>
            </a:ext>
          </a:extLst>
        </xdr:cNvPr>
        <xdr:cNvPicPr>
          <a:picLocks noChangeAspect="1"/>
        </xdr:cNvPicPr>
      </xdr:nvPicPr>
      <xdr:blipFill>
        <a:blip xmlns:r="http://schemas.openxmlformats.org/officeDocument/2006/relationships" r:embed="rId34"/>
        <a:stretch>
          <a:fillRect/>
        </a:stretch>
      </xdr:blipFill>
      <xdr:spPr>
        <a:xfrm rot="16200000">
          <a:off x="4013343" y="90986772"/>
          <a:ext cx="856489" cy="463623"/>
        </a:xfrm>
        <a:prstGeom prst="rect">
          <a:avLst/>
        </a:prstGeom>
      </xdr:spPr>
    </xdr:pic>
    <xdr:clientData/>
  </xdr:twoCellAnchor>
  <xdr:twoCellAnchor editAs="oneCell">
    <xdr:from>
      <xdr:col>5</xdr:col>
      <xdr:colOff>836303</xdr:colOff>
      <xdr:row>448</xdr:row>
      <xdr:rowOff>189018</xdr:rowOff>
    </xdr:from>
    <xdr:to>
      <xdr:col>6</xdr:col>
      <xdr:colOff>337456</xdr:colOff>
      <xdr:row>453</xdr:row>
      <xdr:rowOff>87972</xdr:rowOff>
    </xdr:to>
    <xdr:pic>
      <xdr:nvPicPr>
        <xdr:cNvPr id="77" name="Picture 76">
          <a:extLst>
            <a:ext uri="{FF2B5EF4-FFF2-40B4-BE49-F238E27FC236}">
              <a16:creationId xmlns:a16="http://schemas.microsoft.com/office/drawing/2014/main" id="{CB8E41D4-5527-10B5-1D7F-B9F9D78EC9D1}"/>
            </a:ext>
          </a:extLst>
        </xdr:cNvPr>
        <xdr:cNvPicPr>
          <a:picLocks noChangeAspect="1"/>
        </xdr:cNvPicPr>
      </xdr:nvPicPr>
      <xdr:blipFill>
        <a:blip xmlns:r="http://schemas.openxmlformats.org/officeDocument/2006/relationships" r:embed="rId35"/>
        <a:stretch>
          <a:fillRect/>
        </a:stretch>
      </xdr:blipFill>
      <xdr:spPr>
        <a:xfrm rot="16200000">
          <a:off x="3767046" y="88709161"/>
          <a:ext cx="878668" cy="426439"/>
        </a:xfrm>
        <a:prstGeom prst="rect">
          <a:avLst/>
        </a:prstGeom>
      </xdr:spPr>
    </xdr:pic>
    <xdr:clientData/>
  </xdr:twoCellAnchor>
  <xdr:twoCellAnchor>
    <xdr:from>
      <xdr:col>27</xdr:col>
      <xdr:colOff>236220</xdr:colOff>
      <xdr:row>0</xdr:row>
      <xdr:rowOff>53340</xdr:rowOff>
    </xdr:from>
    <xdr:to>
      <xdr:col>34</xdr:col>
      <xdr:colOff>438150</xdr:colOff>
      <xdr:row>2</xdr:row>
      <xdr:rowOff>3809</xdr:rowOff>
    </xdr:to>
    <xdr:sp macro="" textlink="">
      <xdr:nvSpPr>
        <xdr:cNvPr id="78" name="TextBox 77">
          <a:extLst>
            <a:ext uri="{FF2B5EF4-FFF2-40B4-BE49-F238E27FC236}">
              <a16:creationId xmlns:a16="http://schemas.microsoft.com/office/drawing/2014/main" id="{42FDBF84-FECA-4EF6-9B31-80A77D6D7AE3}"/>
            </a:ext>
          </a:extLst>
        </xdr:cNvPr>
        <xdr:cNvSpPr txBox="1"/>
      </xdr:nvSpPr>
      <xdr:spPr>
        <a:xfrm>
          <a:off x="12824460" y="5334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51548</xdr:colOff>
      <xdr:row>127</xdr:row>
      <xdr:rowOff>81465</xdr:rowOff>
    </xdr:from>
    <xdr:to>
      <xdr:col>4</xdr:col>
      <xdr:colOff>341556</xdr:colOff>
      <xdr:row>132</xdr:row>
      <xdr:rowOff>68580</xdr:rowOff>
    </xdr:to>
    <xdr:pic>
      <xdr:nvPicPr>
        <xdr:cNvPr id="16" name="Picture 513">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2131808" y="23947305"/>
          <a:ext cx="564328" cy="939615"/>
        </a:xfrm>
        <a:prstGeom prst="rect">
          <a:avLst/>
        </a:prstGeom>
        <a:noFill/>
        <a:ln w="1">
          <a:noFill/>
          <a:miter lim="800000"/>
          <a:headEnd/>
          <a:tailEnd/>
        </a:ln>
      </xdr:spPr>
    </xdr:pic>
    <xdr:clientData/>
  </xdr:twoCellAnchor>
  <xdr:twoCellAnchor editAs="oneCell">
    <xdr:from>
      <xdr:col>2</xdr:col>
      <xdr:colOff>296732</xdr:colOff>
      <xdr:row>141</xdr:row>
      <xdr:rowOff>147020</xdr:rowOff>
    </xdr:from>
    <xdr:to>
      <xdr:col>5</xdr:col>
      <xdr:colOff>743976</xdr:colOff>
      <xdr:row>144</xdr:row>
      <xdr:rowOff>56725</xdr:rowOff>
    </xdr:to>
    <xdr:pic>
      <xdr:nvPicPr>
        <xdr:cNvPr id="20" name="Picture 80538">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64572" y="26679860"/>
          <a:ext cx="1841704" cy="450725"/>
        </a:xfrm>
        <a:prstGeom prst="rect">
          <a:avLst/>
        </a:prstGeom>
        <a:noFill/>
        <a:ln w="1">
          <a:noFill/>
          <a:miter lim="800000"/>
          <a:headEnd/>
          <a:tailEnd type="none" w="med" len="med"/>
        </a:ln>
        <a:effectLst/>
      </xdr:spPr>
    </xdr:pic>
    <xdr:clientData/>
  </xdr:twoCellAnchor>
  <xdr:twoCellAnchor>
    <xdr:from>
      <xdr:col>1</xdr:col>
      <xdr:colOff>89648</xdr:colOff>
      <xdr:row>267</xdr:row>
      <xdr:rowOff>91889</xdr:rowOff>
    </xdr:from>
    <xdr:to>
      <xdr:col>3</xdr:col>
      <xdr:colOff>36420</xdr:colOff>
      <xdr:row>269</xdr:row>
      <xdr:rowOff>120464</xdr:rowOff>
    </xdr:to>
    <xdr:pic>
      <xdr:nvPicPr>
        <xdr:cNvPr id="37" name="Picture 29268">
          <a:extLst>
            <a:ext uri="{FF2B5EF4-FFF2-40B4-BE49-F238E27FC236}">
              <a16:creationId xmlns:a16="http://schemas.microsoft.com/office/drawing/2014/main" id="{00000000-0008-0000-0300-00002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77472" y="37777271"/>
          <a:ext cx="843242" cy="409575"/>
        </a:xfrm>
        <a:prstGeom prst="rect">
          <a:avLst/>
        </a:prstGeom>
        <a:noFill/>
        <a:ln w="1">
          <a:noFill/>
          <a:miter lim="800000"/>
          <a:headEnd/>
          <a:tailEnd/>
        </a:ln>
      </xdr:spPr>
    </xdr:pic>
    <xdr:clientData/>
  </xdr:twoCellAnchor>
  <xdr:twoCellAnchor editAs="oneCell">
    <xdr:from>
      <xdr:col>1</xdr:col>
      <xdr:colOff>313429</xdr:colOff>
      <xdr:row>379</xdr:row>
      <xdr:rowOff>168088</xdr:rowOff>
    </xdr:from>
    <xdr:to>
      <xdr:col>3</xdr:col>
      <xdr:colOff>3251</xdr:colOff>
      <xdr:row>382</xdr:row>
      <xdr:rowOff>168088</xdr:rowOff>
    </xdr:to>
    <xdr:pic>
      <xdr:nvPicPr>
        <xdr:cNvPr id="44" name="Picture 458">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1502149" y="69929188"/>
          <a:ext cx="581362" cy="571500"/>
        </a:xfrm>
        <a:prstGeom prst="rect">
          <a:avLst/>
        </a:prstGeom>
        <a:noFill/>
        <a:ln w="1">
          <a:noFill/>
          <a:miter lim="800000"/>
          <a:headEnd/>
          <a:tailEnd/>
        </a:ln>
      </xdr:spPr>
    </xdr:pic>
    <xdr:clientData/>
  </xdr:twoCellAnchor>
  <xdr:twoCellAnchor editAs="oneCell">
    <xdr:from>
      <xdr:col>4</xdr:col>
      <xdr:colOff>351305</xdr:colOff>
      <xdr:row>420</xdr:row>
      <xdr:rowOff>149038</xdr:rowOff>
    </xdr:from>
    <xdr:to>
      <xdr:col>5</xdr:col>
      <xdr:colOff>307602</xdr:colOff>
      <xdr:row>423</xdr:row>
      <xdr:rowOff>121023</xdr:rowOff>
    </xdr:to>
    <xdr:pic>
      <xdr:nvPicPr>
        <xdr:cNvPr id="48" name="Picture 29293">
          <a:extLst>
            <a:ext uri="{FF2B5EF4-FFF2-40B4-BE49-F238E27FC236}">
              <a16:creationId xmlns:a16="http://schemas.microsoft.com/office/drawing/2014/main" id="{00000000-0008-0000-0300-000030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2713505" y="65947738"/>
          <a:ext cx="775447" cy="543485"/>
        </a:xfrm>
        <a:prstGeom prst="rect">
          <a:avLst/>
        </a:prstGeom>
        <a:noFill/>
        <a:ln w="1">
          <a:noFill/>
          <a:miter lim="800000"/>
          <a:headEnd/>
          <a:tailEnd/>
        </a:ln>
      </xdr:spPr>
    </xdr:pic>
    <xdr:clientData/>
  </xdr:twoCellAnchor>
  <xdr:twoCellAnchor editAs="oneCell">
    <xdr:from>
      <xdr:col>1</xdr:col>
      <xdr:colOff>112058</xdr:colOff>
      <xdr:row>338</xdr:row>
      <xdr:rowOff>22411</xdr:rowOff>
    </xdr:from>
    <xdr:to>
      <xdr:col>3</xdr:col>
      <xdr:colOff>218516</xdr:colOff>
      <xdr:row>340</xdr:row>
      <xdr:rowOff>117395</xdr:rowOff>
    </xdr:to>
    <xdr:pic>
      <xdr:nvPicPr>
        <xdr:cNvPr id="64" name="Picture 80544">
          <a:extLst>
            <a:ext uri="{FF2B5EF4-FFF2-40B4-BE49-F238E27FC236}">
              <a16:creationId xmlns:a16="http://schemas.microsoft.com/office/drawing/2014/main" id="{00000000-0008-0000-0300-000040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rot="5400000">
          <a:off x="1552148" y="45097939"/>
          <a:ext cx="498396" cy="1002928"/>
        </a:xfrm>
        <a:prstGeom prst="rect">
          <a:avLst/>
        </a:prstGeom>
        <a:noFill/>
        <a:ln w="1">
          <a:noFill/>
          <a:miter lim="800000"/>
          <a:headEnd/>
          <a:tailEnd type="none" w="med" len="med"/>
        </a:ln>
        <a:effectLst/>
      </xdr:spPr>
    </xdr:pic>
    <xdr:clientData/>
  </xdr:twoCellAnchor>
  <xdr:twoCellAnchor editAs="oneCell">
    <xdr:from>
      <xdr:col>5</xdr:col>
      <xdr:colOff>343126</xdr:colOff>
      <xdr:row>368</xdr:row>
      <xdr:rowOff>22411</xdr:rowOff>
    </xdr:from>
    <xdr:to>
      <xdr:col>6</xdr:col>
      <xdr:colOff>410360</xdr:colOff>
      <xdr:row>369</xdr:row>
      <xdr:rowOff>305904</xdr:rowOff>
    </xdr:to>
    <xdr:pic>
      <xdr:nvPicPr>
        <xdr:cNvPr id="2" name="Picture 44425">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505426" y="66758371"/>
          <a:ext cx="989254" cy="611153"/>
        </a:xfrm>
        <a:prstGeom prst="rect">
          <a:avLst/>
        </a:prstGeom>
        <a:noFill/>
        <a:ln w="1">
          <a:noFill/>
          <a:miter lim="800000"/>
          <a:headEnd/>
          <a:tailEnd type="none" w="med" len="med"/>
        </a:ln>
        <a:effectLst/>
      </xdr:spPr>
    </xdr:pic>
    <xdr:clientData/>
  </xdr:twoCellAnchor>
  <xdr:twoCellAnchor editAs="oneCell">
    <xdr:from>
      <xdr:col>5</xdr:col>
      <xdr:colOff>145340</xdr:colOff>
      <xdr:row>370</xdr:row>
      <xdr:rowOff>62753</xdr:rowOff>
    </xdr:from>
    <xdr:to>
      <xdr:col>6</xdr:col>
      <xdr:colOff>520016</xdr:colOff>
      <xdr:row>371</xdr:row>
      <xdr:rowOff>219637</xdr:rowOff>
    </xdr:to>
    <xdr:pic>
      <xdr:nvPicPr>
        <xdr:cNvPr id="283018" name="Picture 44426">
          <a:extLst>
            <a:ext uri="{FF2B5EF4-FFF2-40B4-BE49-F238E27FC236}">
              <a16:creationId xmlns:a16="http://schemas.microsoft.com/office/drawing/2014/main" id="{00000000-0008-0000-0300-00008A5104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3307640" y="67454033"/>
          <a:ext cx="1296696" cy="591223"/>
        </a:xfrm>
        <a:prstGeom prst="rect">
          <a:avLst/>
        </a:prstGeom>
        <a:noFill/>
        <a:ln w="1">
          <a:noFill/>
          <a:miter lim="800000"/>
          <a:headEnd/>
          <a:tailEnd type="none" w="med" len="med"/>
        </a:ln>
        <a:effectLst/>
      </xdr:spPr>
    </xdr:pic>
    <xdr:clientData/>
  </xdr:twoCellAnchor>
  <xdr:twoCellAnchor editAs="oneCell">
    <xdr:from>
      <xdr:col>2</xdr:col>
      <xdr:colOff>156883</xdr:colOff>
      <xdr:row>556</xdr:row>
      <xdr:rowOff>156882</xdr:rowOff>
    </xdr:from>
    <xdr:to>
      <xdr:col>5</xdr:col>
      <xdr:colOff>243168</xdr:colOff>
      <xdr:row>561</xdr:row>
      <xdr:rowOff>175932</xdr:rowOff>
    </xdr:to>
    <xdr:pic>
      <xdr:nvPicPr>
        <xdr:cNvPr id="76" name="Picture 471">
          <a:extLst>
            <a:ext uri="{FF2B5EF4-FFF2-40B4-BE49-F238E27FC236}">
              <a16:creationId xmlns:a16="http://schemas.microsoft.com/office/drawing/2014/main" id="{00000000-0008-0000-0300-00004C000000}"/>
            </a:ext>
          </a:extLst>
        </xdr:cNvPr>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1927412" y="80245323"/>
          <a:ext cx="1498227" cy="971550"/>
        </a:xfrm>
        <a:prstGeom prst="rect">
          <a:avLst/>
        </a:prstGeom>
        <a:noFill/>
        <a:ln w="1">
          <a:noFill/>
          <a:miter lim="800000"/>
          <a:headEnd/>
          <a:tailEnd/>
        </a:ln>
      </xdr:spPr>
    </xdr:pic>
    <xdr:clientData/>
  </xdr:twoCellAnchor>
  <xdr:twoCellAnchor editAs="oneCell">
    <xdr:from>
      <xdr:col>2</xdr:col>
      <xdr:colOff>136601</xdr:colOff>
      <xdr:row>608</xdr:row>
      <xdr:rowOff>36532</xdr:rowOff>
    </xdr:from>
    <xdr:to>
      <xdr:col>4</xdr:col>
      <xdr:colOff>165736</xdr:colOff>
      <xdr:row>610</xdr:row>
      <xdr:rowOff>74632</xdr:rowOff>
    </xdr:to>
    <xdr:pic>
      <xdr:nvPicPr>
        <xdr:cNvPr id="81" name="Picture 21100">
          <a:extLst>
            <a:ext uri="{FF2B5EF4-FFF2-40B4-BE49-F238E27FC236}">
              <a16:creationId xmlns:a16="http://schemas.microsoft.com/office/drawing/2014/main" id="{00000000-0008-0000-0300-000051000000}"/>
            </a:ext>
          </a:extLst>
        </xdr:cNvPr>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lip>
        <a:srcRect/>
        <a:stretch>
          <a:fillRect/>
        </a:stretch>
      </xdr:blipFill>
      <xdr:spPr bwMode="auto">
        <a:xfrm>
          <a:off x="1904441" y="111959092"/>
          <a:ext cx="615875" cy="419100"/>
        </a:xfrm>
        <a:prstGeom prst="rect">
          <a:avLst/>
        </a:prstGeom>
        <a:noFill/>
        <a:ln w="1">
          <a:noFill/>
          <a:miter lim="800000"/>
          <a:headEnd/>
          <a:tailEnd/>
        </a:ln>
      </xdr:spPr>
    </xdr:pic>
    <xdr:clientData/>
  </xdr:twoCellAnchor>
  <xdr:twoCellAnchor editAs="oneCell">
    <xdr:from>
      <xdr:col>2</xdr:col>
      <xdr:colOff>235772</xdr:colOff>
      <xdr:row>613</xdr:row>
      <xdr:rowOff>85390</xdr:rowOff>
    </xdr:from>
    <xdr:to>
      <xdr:col>4</xdr:col>
      <xdr:colOff>226807</xdr:colOff>
      <xdr:row>616</xdr:row>
      <xdr:rowOff>94915</xdr:rowOff>
    </xdr:to>
    <xdr:pic>
      <xdr:nvPicPr>
        <xdr:cNvPr id="82" name="Picture 21103">
          <a:extLst>
            <a:ext uri="{FF2B5EF4-FFF2-40B4-BE49-F238E27FC236}">
              <a16:creationId xmlns:a16="http://schemas.microsoft.com/office/drawing/2014/main" id="{00000000-0008-0000-0300-000052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blip>
        <a:srcRect/>
        <a:stretch>
          <a:fillRect/>
        </a:stretch>
      </xdr:blipFill>
      <xdr:spPr bwMode="auto">
        <a:xfrm>
          <a:off x="2018308" y="119964319"/>
          <a:ext cx="576142" cy="581025"/>
        </a:xfrm>
        <a:prstGeom prst="rect">
          <a:avLst/>
        </a:prstGeom>
        <a:noFill/>
        <a:ln w="1">
          <a:noFill/>
          <a:miter lim="800000"/>
          <a:headEnd/>
          <a:tailEnd/>
        </a:ln>
      </xdr:spPr>
    </xdr:pic>
    <xdr:clientData/>
  </xdr:twoCellAnchor>
  <xdr:twoCellAnchor editAs="oneCell">
    <xdr:from>
      <xdr:col>5</xdr:col>
      <xdr:colOff>767605</xdr:colOff>
      <xdr:row>572</xdr:row>
      <xdr:rowOff>68916</xdr:rowOff>
    </xdr:from>
    <xdr:to>
      <xdr:col>6</xdr:col>
      <xdr:colOff>577105</xdr:colOff>
      <xdr:row>575</xdr:row>
      <xdr:rowOff>82433</xdr:rowOff>
    </xdr:to>
    <xdr:pic>
      <xdr:nvPicPr>
        <xdr:cNvPr id="283020" name="Picture 44428">
          <a:extLst>
            <a:ext uri="{FF2B5EF4-FFF2-40B4-BE49-F238E27FC236}">
              <a16:creationId xmlns:a16="http://schemas.microsoft.com/office/drawing/2014/main" id="{00000000-0008-0000-0300-00008C5104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948955" y="90470691"/>
          <a:ext cx="733425" cy="470717"/>
        </a:xfrm>
        <a:prstGeom prst="rect">
          <a:avLst/>
        </a:prstGeom>
        <a:noFill/>
        <a:ln w="1">
          <a:noFill/>
          <a:miter lim="800000"/>
          <a:headEnd/>
          <a:tailEnd type="none" w="med" len="med"/>
        </a:ln>
        <a:effectLst/>
      </xdr:spPr>
    </xdr:pic>
    <xdr:clientData/>
  </xdr:twoCellAnchor>
  <xdr:twoCellAnchor editAs="oneCell">
    <xdr:from>
      <xdr:col>5</xdr:col>
      <xdr:colOff>786653</xdr:colOff>
      <xdr:row>577</xdr:row>
      <xdr:rowOff>8965</xdr:rowOff>
    </xdr:from>
    <xdr:to>
      <xdr:col>6</xdr:col>
      <xdr:colOff>597880</xdr:colOff>
      <xdr:row>579</xdr:row>
      <xdr:rowOff>87406</xdr:rowOff>
    </xdr:to>
    <xdr:pic>
      <xdr:nvPicPr>
        <xdr:cNvPr id="283021" name="Picture 44429">
          <a:extLst>
            <a:ext uri="{FF2B5EF4-FFF2-40B4-BE49-F238E27FC236}">
              <a16:creationId xmlns:a16="http://schemas.microsoft.com/office/drawing/2014/main" id="{00000000-0008-0000-0300-00008D5104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968003" y="91220365"/>
          <a:ext cx="735152" cy="459441"/>
        </a:xfrm>
        <a:prstGeom prst="rect">
          <a:avLst/>
        </a:prstGeom>
        <a:noFill/>
        <a:ln w="1">
          <a:noFill/>
          <a:miter lim="800000"/>
          <a:headEnd/>
          <a:tailEnd type="none" w="med" len="med"/>
        </a:ln>
        <a:effectLst/>
      </xdr:spPr>
    </xdr:pic>
    <xdr:clientData/>
  </xdr:twoCellAnchor>
  <xdr:twoCellAnchor>
    <xdr:from>
      <xdr:col>14</xdr:col>
      <xdr:colOff>318807</xdr:colOff>
      <xdr:row>755</xdr:row>
      <xdr:rowOff>11206</xdr:rowOff>
    </xdr:from>
    <xdr:to>
      <xdr:col>21</xdr:col>
      <xdr:colOff>150719</xdr:colOff>
      <xdr:row>765</xdr:row>
      <xdr:rowOff>77881</xdr:rowOff>
    </xdr:to>
    <xdr:pic>
      <xdr:nvPicPr>
        <xdr:cNvPr id="86" name="Picture 15">
          <a:extLst>
            <a:ext uri="{FF2B5EF4-FFF2-40B4-BE49-F238E27FC236}">
              <a16:creationId xmlns:a16="http://schemas.microsoft.com/office/drawing/2014/main" id="{00000000-0008-0000-0300-000056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8050866" y="113325088"/>
          <a:ext cx="3283324" cy="1971675"/>
        </a:xfrm>
        <a:prstGeom prst="rect">
          <a:avLst/>
        </a:prstGeom>
        <a:noFill/>
        <a:ln w="9525">
          <a:noFill/>
          <a:miter lim="800000"/>
          <a:headEnd/>
          <a:tailEnd/>
        </a:ln>
      </xdr:spPr>
    </xdr:pic>
    <xdr:clientData/>
  </xdr:twoCellAnchor>
  <xdr:twoCellAnchor>
    <xdr:from>
      <xdr:col>7</xdr:col>
      <xdr:colOff>228600</xdr:colOff>
      <xdr:row>746</xdr:row>
      <xdr:rowOff>52107</xdr:rowOff>
    </xdr:from>
    <xdr:to>
      <xdr:col>14</xdr:col>
      <xdr:colOff>405092</xdr:colOff>
      <xdr:row>757</xdr:row>
      <xdr:rowOff>139833</xdr:rowOff>
    </xdr:to>
    <xdr:pic>
      <xdr:nvPicPr>
        <xdr:cNvPr id="87" name="Picture 16">
          <a:extLst>
            <a:ext uri="{FF2B5EF4-FFF2-40B4-BE49-F238E27FC236}">
              <a16:creationId xmlns:a16="http://schemas.microsoft.com/office/drawing/2014/main" id="{00000000-0008-0000-0300-000057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5019675" y="112675707"/>
          <a:ext cx="2424392" cy="2316576"/>
        </a:xfrm>
        <a:prstGeom prst="rect">
          <a:avLst/>
        </a:prstGeom>
        <a:noFill/>
        <a:ln w="9525">
          <a:noFill/>
          <a:miter lim="800000"/>
          <a:headEnd/>
          <a:tailEnd/>
        </a:ln>
      </xdr:spPr>
    </xdr:pic>
    <xdr:clientData/>
  </xdr:twoCellAnchor>
  <xdr:twoCellAnchor editAs="oneCell">
    <xdr:from>
      <xdr:col>1</xdr:col>
      <xdr:colOff>409688</xdr:colOff>
      <xdr:row>384</xdr:row>
      <xdr:rowOff>163606</xdr:rowOff>
    </xdr:from>
    <xdr:to>
      <xdr:col>3</xdr:col>
      <xdr:colOff>174365</xdr:colOff>
      <xdr:row>387</xdr:row>
      <xdr:rowOff>173131</xdr:rowOff>
    </xdr:to>
    <xdr:pic>
      <xdr:nvPicPr>
        <xdr:cNvPr id="84" name="Picture 21111">
          <a:extLst>
            <a:ext uri="{FF2B5EF4-FFF2-40B4-BE49-F238E27FC236}">
              <a16:creationId xmlns:a16="http://schemas.microsoft.com/office/drawing/2014/main" id="{00000000-0008-0000-0300-000054000000}"/>
            </a:ext>
          </a:extLst>
        </xdr:cNvPr>
        <xdr:cNvPicPr>
          <a:picLocks noChangeAspect="1" noChangeArrowheads="1"/>
        </xdr:cNvPicPr>
      </xdr:nvPicPr>
      <xdr:blipFill>
        <a:blip xmlns:r="http://schemas.openxmlformats.org/officeDocument/2006/relationships" r:embed="rId16" cstate="print">
          <a:clrChange>
            <a:clrFrom>
              <a:srgbClr val="000000"/>
            </a:clrFrom>
            <a:clrTo>
              <a:srgbClr val="000000">
                <a:alpha val="0"/>
              </a:srgbClr>
            </a:clrTo>
          </a:clrChange>
          <a:lum bright="-24000" contrast="36000"/>
        </a:blip>
        <a:srcRect/>
        <a:stretch>
          <a:fillRect/>
        </a:stretch>
      </xdr:blipFill>
      <xdr:spPr bwMode="auto">
        <a:xfrm>
          <a:off x="1598408" y="70686706"/>
          <a:ext cx="656217" cy="581025"/>
        </a:xfrm>
        <a:prstGeom prst="rect">
          <a:avLst/>
        </a:prstGeom>
        <a:noFill/>
        <a:ln w="1">
          <a:noFill/>
          <a:miter lim="800000"/>
          <a:headEnd/>
          <a:tailEnd/>
        </a:ln>
      </xdr:spPr>
    </xdr:pic>
    <xdr:clientData/>
  </xdr:twoCellAnchor>
  <xdr:twoCellAnchor>
    <xdr:from>
      <xdr:col>8</xdr:col>
      <xdr:colOff>314325</xdr:colOff>
      <xdr:row>406</xdr:row>
      <xdr:rowOff>187138</xdr:rowOff>
    </xdr:from>
    <xdr:to>
      <xdr:col>19</xdr:col>
      <xdr:colOff>19060</xdr:colOff>
      <xdr:row>406</xdr:row>
      <xdr:rowOff>187138</xdr:rowOff>
    </xdr:to>
    <xdr:sp macro="" textlink="">
      <xdr:nvSpPr>
        <xdr:cNvPr id="101" name="Text Box 19">
          <a:extLst>
            <a:ext uri="{FF2B5EF4-FFF2-40B4-BE49-F238E27FC236}">
              <a16:creationId xmlns:a16="http://schemas.microsoft.com/office/drawing/2014/main" id="{00000000-0008-0000-0300-000065000000}"/>
            </a:ext>
          </a:extLst>
        </xdr:cNvPr>
        <xdr:cNvSpPr txBox="1">
          <a:spLocks noChangeArrowheads="1"/>
        </xdr:cNvSpPr>
      </xdr:nvSpPr>
      <xdr:spPr bwMode="auto">
        <a:xfrm>
          <a:off x="5343525" y="59146888"/>
          <a:ext cx="397193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a:p>
          <a:pPr algn="l" rtl="0">
            <a:defRPr sz="1000"/>
          </a:pPr>
          <a:r>
            <a:rPr lang="en-US" sz="1000" b="1" i="0" u="none" strike="noStrike" baseline="0">
              <a:solidFill>
                <a:srgbClr val="FF0000"/>
              </a:solidFill>
              <a:latin typeface="Comic Sans MS"/>
            </a:rPr>
            <a:t>only </a:t>
          </a:r>
          <a:r>
            <a:rPr lang="en-US" sz="800" b="1" i="0" u="none" strike="noStrike" baseline="0">
              <a:solidFill>
                <a:srgbClr val="FF0000"/>
              </a:solidFill>
              <a:latin typeface="Comic Sans MS"/>
            </a:rPr>
            <a:t>for HP over 40" x 63"</a:t>
          </a:r>
        </a:p>
      </xdr:txBody>
    </xdr:sp>
    <xdr:clientData/>
  </xdr:twoCellAnchor>
  <xdr:twoCellAnchor editAs="oneCell">
    <xdr:from>
      <xdr:col>5</xdr:col>
      <xdr:colOff>448795</xdr:colOff>
      <xdr:row>403</xdr:row>
      <xdr:rowOff>38101</xdr:rowOff>
    </xdr:from>
    <xdr:to>
      <xdr:col>5</xdr:col>
      <xdr:colOff>862292</xdr:colOff>
      <xdr:row>406</xdr:row>
      <xdr:rowOff>142876</xdr:rowOff>
    </xdr:to>
    <xdr:pic>
      <xdr:nvPicPr>
        <xdr:cNvPr id="103" name="Picture 24051">
          <a:extLst>
            <a:ext uri="{FF2B5EF4-FFF2-40B4-BE49-F238E27FC236}">
              <a16:creationId xmlns:a16="http://schemas.microsoft.com/office/drawing/2014/main" id="{00000000-0008-0000-0300-000067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631266" y="67038072"/>
          <a:ext cx="413497" cy="676275"/>
        </a:xfrm>
        <a:prstGeom prst="rect">
          <a:avLst/>
        </a:prstGeom>
        <a:noFill/>
        <a:ln w="1">
          <a:noFill/>
          <a:miter lim="800000"/>
          <a:headEnd/>
          <a:tailEnd/>
        </a:ln>
      </xdr:spPr>
    </xdr:pic>
    <xdr:clientData/>
  </xdr:twoCellAnchor>
  <xdr:twoCellAnchor>
    <xdr:from>
      <xdr:col>13</xdr:col>
      <xdr:colOff>74295</xdr:colOff>
      <xdr:row>445</xdr:row>
      <xdr:rowOff>49530</xdr:rowOff>
    </xdr:from>
    <xdr:to>
      <xdr:col>16</xdr:col>
      <xdr:colOff>440054</xdr:colOff>
      <xdr:row>447</xdr:row>
      <xdr:rowOff>123825</xdr:rowOff>
    </xdr:to>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6920389" y="81916905"/>
          <a:ext cx="1282540" cy="455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accent6">
                  <a:lumMod val="75000"/>
                </a:schemeClr>
              </a:solidFill>
            </a:rPr>
            <a:t>SLTwoLockCutoff</a:t>
          </a:r>
        </a:p>
        <a:p>
          <a:r>
            <a:rPr lang="en-US" sz="1100">
              <a:solidFill>
                <a:schemeClr val="dk1"/>
              </a:solidFill>
              <a:latin typeface="+mn-lt"/>
              <a:ea typeface="+mn-ea"/>
              <a:cs typeface="+mn-cs"/>
            </a:rPr>
            <a:t>DO</a:t>
          </a:r>
          <a:r>
            <a:rPr lang="en-US" sz="1100" baseline="0">
              <a:solidFill>
                <a:schemeClr val="dk1"/>
              </a:solidFill>
              <a:latin typeface="+mn-lt"/>
              <a:ea typeface="+mn-ea"/>
              <a:cs typeface="+mn-cs"/>
            </a:rPr>
            <a:t> NOT CHANGE!</a:t>
          </a:r>
          <a:endParaRPr lang="en-US"/>
        </a:p>
        <a:p>
          <a:endParaRPr lang="en-US" sz="1100">
            <a:solidFill>
              <a:schemeClr val="accent6">
                <a:lumMod val="75000"/>
              </a:schemeClr>
            </a:solidFill>
          </a:endParaRPr>
        </a:p>
      </xdr:txBody>
    </xdr:sp>
    <xdr:clientData/>
  </xdr:twoCellAnchor>
  <xdr:twoCellAnchor>
    <xdr:from>
      <xdr:col>4</xdr:col>
      <xdr:colOff>1</xdr:colOff>
      <xdr:row>455</xdr:row>
      <xdr:rowOff>0</xdr:rowOff>
    </xdr:from>
    <xdr:to>
      <xdr:col>6</xdr:col>
      <xdr:colOff>123826</xdr:colOff>
      <xdr:row>457</xdr:row>
      <xdr:rowOff>95249</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362201" y="69713475"/>
          <a:ext cx="186690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Profile contains finseal inserted into only one T-slot</a:t>
          </a:r>
        </a:p>
      </xdr:txBody>
    </xdr:sp>
    <xdr:clientData/>
  </xdr:twoCellAnchor>
  <xdr:twoCellAnchor>
    <xdr:from>
      <xdr:col>8</xdr:col>
      <xdr:colOff>114300</xdr:colOff>
      <xdr:row>602</xdr:row>
      <xdr:rowOff>76200</xdr:rowOff>
    </xdr:from>
    <xdr:to>
      <xdr:col>16</xdr:col>
      <xdr:colOff>390525</xdr:colOff>
      <xdr:row>605</xdr:row>
      <xdr:rowOff>114300</xdr:rowOff>
    </xdr:to>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5143500" y="94221300"/>
          <a:ext cx="3000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Autolock requires 4</a:t>
          </a:r>
          <a:r>
            <a:rPr lang="en-US" sz="1100" baseline="0"/>
            <a:t> screws </a:t>
          </a:r>
          <a:r>
            <a:rPr lang="en-US" sz="1100"/>
            <a:t>per lock, rather than just 2 per lock because of the added impact needed to close.</a:t>
          </a:r>
        </a:p>
      </xdr:txBody>
    </xdr:sp>
    <xdr:clientData/>
  </xdr:twoCellAnchor>
  <xdr:twoCellAnchor>
    <xdr:from>
      <xdr:col>35</xdr:col>
      <xdr:colOff>447675</xdr:colOff>
      <xdr:row>714</xdr:row>
      <xdr:rowOff>38100</xdr:rowOff>
    </xdr:from>
    <xdr:to>
      <xdr:col>37</xdr:col>
      <xdr:colOff>466725</xdr:colOff>
      <xdr:row>715</xdr:row>
      <xdr:rowOff>133350</xdr:rowOff>
    </xdr:to>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7649825" y="162610800"/>
          <a:ext cx="16954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33</xdr:col>
      <xdr:colOff>106680</xdr:colOff>
      <xdr:row>0</xdr:row>
      <xdr:rowOff>112395</xdr:rowOff>
    </xdr:from>
    <xdr:to>
      <xdr:col>36</xdr:col>
      <xdr:colOff>558165</xdr:colOff>
      <xdr:row>3</xdr:row>
      <xdr:rowOff>150495</xdr:rowOff>
    </xdr:to>
    <xdr:sp macro="" textlink="">
      <xdr:nvSpPr>
        <xdr:cNvPr id="99" name="TextBox 98">
          <a:extLst>
            <a:ext uri="{FF2B5EF4-FFF2-40B4-BE49-F238E27FC236}">
              <a16:creationId xmlns:a16="http://schemas.microsoft.com/office/drawing/2014/main" id="{00000000-0008-0000-0300-000063000000}"/>
            </a:ext>
          </a:extLst>
        </xdr:cNvPr>
        <xdr:cNvSpPr txBox="1"/>
      </xdr:nvSpPr>
      <xdr:spPr>
        <a:xfrm>
          <a:off x="16878300" y="112395"/>
          <a:ext cx="2966085" cy="975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row added to this</a:t>
          </a:r>
          <a:r>
            <a:rPr lang="en-US" sz="1100" baseline="0"/>
            <a:t> document  must have the Configuration columns filled out in order for the costing macros to function.  See Greg De Boer for any questions.</a:t>
          </a:r>
          <a:endParaRPr lang="en-US" sz="1100"/>
        </a:p>
      </xdr:txBody>
    </xdr:sp>
    <xdr:clientData/>
  </xdr:twoCellAnchor>
  <xdr:twoCellAnchor>
    <xdr:from>
      <xdr:col>43</xdr:col>
      <xdr:colOff>95250</xdr:colOff>
      <xdr:row>1</xdr:row>
      <xdr:rowOff>152400</xdr:rowOff>
    </xdr:from>
    <xdr:to>
      <xdr:col>47</xdr:col>
      <xdr:colOff>923925</xdr:colOff>
      <xdr:row>4</xdr:row>
      <xdr:rowOff>160020</xdr:rowOff>
    </xdr:to>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23442930" y="541020"/>
          <a:ext cx="2505075" cy="807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blank = will show in all configurations</a:t>
          </a:r>
        </a:p>
        <a:p>
          <a:r>
            <a:rPr lang="en-US" sz="1100"/>
            <a:t>B = will show if Base</a:t>
          </a:r>
          <a:r>
            <a:rPr lang="en-US" sz="1100" baseline="0"/>
            <a:t> Only is selected</a:t>
          </a:r>
        </a:p>
        <a:p>
          <a:r>
            <a:rPr lang="en-US" sz="1100" baseline="0"/>
            <a:t>O = will show  Base &amp; Options</a:t>
          </a:r>
        </a:p>
        <a:p>
          <a:r>
            <a:rPr lang="en-US" sz="1100" baseline="0"/>
            <a:t>NA = Not Available for that configuration</a:t>
          </a:r>
          <a:endParaRPr lang="en-US" sz="1100"/>
        </a:p>
      </xdr:txBody>
    </xdr:sp>
    <xdr:clientData/>
  </xdr:twoCellAnchor>
  <xdr:twoCellAnchor>
    <xdr:from>
      <xdr:col>43</xdr:col>
      <xdr:colOff>238125</xdr:colOff>
      <xdr:row>5</xdr:row>
      <xdr:rowOff>133350</xdr:rowOff>
    </xdr:from>
    <xdr:to>
      <xdr:col>47</xdr:col>
      <xdr:colOff>495301</xdr:colOff>
      <xdr:row>8</xdr:row>
      <xdr:rowOff>22860</xdr:rowOff>
    </xdr:to>
    <xdr:sp macro="" textlink="">
      <xdr:nvSpPr>
        <xdr:cNvPr id="114" name="TextBox 113">
          <a:extLst>
            <a:ext uri="{FF2B5EF4-FFF2-40B4-BE49-F238E27FC236}">
              <a16:creationId xmlns:a16="http://schemas.microsoft.com/office/drawing/2014/main" id="{00000000-0008-0000-0300-000072000000}"/>
            </a:ext>
          </a:extLst>
        </xdr:cNvPr>
        <xdr:cNvSpPr txBox="1"/>
      </xdr:nvSpPr>
      <xdr:spPr>
        <a:xfrm>
          <a:off x="23585805" y="1573530"/>
          <a:ext cx="1933576" cy="6438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a:t>SLConfigData = Configuration</a:t>
          </a:r>
          <a:r>
            <a:rPr lang="en-US" sz="1100" baseline="0"/>
            <a:t> names row and all B-O-NA in these columns.</a:t>
          </a:r>
          <a:endParaRPr lang="en-US" sz="1100"/>
        </a:p>
      </xdr:txBody>
    </xdr:sp>
    <xdr:clientData/>
  </xdr:twoCellAnchor>
  <xdr:twoCellAnchor>
    <xdr:from>
      <xdr:col>29</xdr:col>
      <xdr:colOff>571500</xdr:colOff>
      <xdr:row>4</xdr:row>
      <xdr:rowOff>104775</xdr:rowOff>
    </xdr:from>
    <xdr:to>
      <xdr:col>36</xdr:col>
      <xdr:colOff>552451</xdr:colOff>
      <xdr:row>6</xdr:row>
      <xdr:rowOff>76198</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4058900" y="1314450"/>
          <a:ext cx="4629151" cy="485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 and Accounting:</a:t>
          </a:r>
        </a:p>
        <a:p>
          <a:r>
            <a:rPr lang="en-US" sz="1100" baseline="0"/>
            <a:t>Configuration options drop down macro only works if sheet is NOT protected.</a:t>
          </a:r>
        </a:p>
      </xdr:txBody>
    </xdr:sp>
    <xdr:clientData/>
  </xdr:twoCellAnchor>
  <xdr:twoCellAnchor editAs="oneCell">
    <xdr:from>
      <xdr:col>1</xdr:col>
      <xdr:colOff>537210</xdr:colOff>
      <xdr:row>158</xdr:row>
      <xdr:rowOff>171450</xdr:rowOff>
    </xdr:from>
    <xdr:to>
      <xdr:col>4</xdr:col>
      <xdr:colOff>375285</xdr:colOff>
      <xdr:row>160</xdr:row>
      <xdr:rowOff>171450</xdr:rowOff>
    </xdr:to>
    <xdr:pic>
      <xdr:nvPicPr>
        <xdr:cNvPr id="98" name="Picture 80634">
          <a:extLst>
            <a:ext uri="{FF2B5EF4-FFF2-40B4-BE49-F238E27FC236}">
              <a16:creationId xmlns:a16="http://schemas.microsoft.com/office/drawing/2014/main" id="{00000000-0008-0000-0300-000062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1725930" y="30041850"/>
          <a:ext cx="1003935" cy="381000"/>
        </a:xfrm>
        <a:prstGeom prst="rect">
          <a:avLst/>
        </a:prstGeom>
        <a:noFill/>
        <a:ln w="1">
          <a:noFill/>
          <a:miter lim="800000"/>
          <a:headEnd/>
          <a:tailEnd type="none" w="med" len="med"/>
        </a:ln>
        <a:effectLst/>
      </xdr:spPr>
    </xdr:pic>
    <xdr:clientData/>
  </xdr:twoCellAnchor>
  <xdr:twoCellAnchor editAs="oneCell">
    <xdr:from>
      <xdr:col>3</xdr:col>
      <xdr:colOff>140970</xdr:colOff>
      <xdr:row>135</xdr:row>
      <xdr:rowOff>40005</xdr:rowOff>
    </xdr:from>
    <xdr:to>
      <xdr:col>5</xdr:col>
      <xdr:colOff>185233</xdr:colOff>
      <xdr:row>137</xdr:row>
      <xdr:rowOff>40005</xdr:rowOff>
    </xdr:to>
    <xdr:pic>
      <xdr:nvPicPr>
        <xdr:cNvPr id="119" name="Picture 80652">
          <a:extLst>
            <a:ext uri="{FF2B5EF4-FFF2-40B4-BE49-F238E27FC236}">
              <a16:creationId xmlns:a16="http://schemas.microsoft.com/office/drawing/2014/main" id="{00000000-0008-0000-0300-000077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221230" y="25429845"/>
          <a:ext cx="1126303" cy="381000"/>
        </a:xfrm>
        <a:prstGeom prst="rect">
          <a:avLst/>
        </a:prstGeom>
        <a:noFill/>
        <a:ln w="1">
          <a:noFill/>
          <a:miter lim="800000"/>
          <a:headEnd/>
          <a:tailEnd type="none" w="med" len="med"/>
        </a:ln>
        <a:effectLst/>
      </xdr:spPr>
    </xdr:pic>
    <xdr:clientData/>
  </xdr:twoCellAnchor>
  <xdr:twoCellAnchor editAs="oneCell">
    <xdr:from>
      <xdr:col>1</xdr:col>
      <xdr:colOff>533400</xdr:colOff>
      <xdr:row>390</xdr:row>
      <xdr:rowOff>47625</xdr:rowOff>
    </xdr:from>
    <xdr:to>
      <xdr:col>4</xdr:col>
      <xdr:colOff>142875</xdr:colOff>
      <xdr:row>392</xdr:row>
      <xdr:rowOff>19050</xdr:rowOff>
    </xdr:to>
    <xdr:pic>
      <xdr:nvPicPr>
        <xdr:cNvPr id="120" name="Picture 80648">
          <a:extLst>
            <a:ext uri="{FF2B5EF4-FFF2-40B4-BE49-F238E27FC236}">
              <a16:creationId xmlns:a16="http://schemas.microsoft.com/office/drawing/2014/main" id="{00000000-0008-0000-0300-000078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1722120" y="71523225"/>
          <a:ext cx="775335" cy="352425"/>
        </a:xfrm>
        <a:prstGeom prst="rect">
          <a:avLst/>
        </a:prstGeom>
        <a:noFill/>
        <a:ln w="1">
          <a:noFill/>
          <a:miter lim="800000"/>
          <a:headEnd/>
          <a:tailEnd type="none" w="med" len="med"/>
        </a:ln>
        <a:effectLst/>
      </xdr:spPr>
    </xdr:pic>
    <xdr:clientData/>
  </xdr:twoCellAnchor>
  <xdr:twoCellAnchor editAs="oneCell">
    <xdr:from>
      <xdr:col>2</xdr:col>
      <xdr:colOff>245745</xdr:colOff>
      <xdr:row>588</xdr:row>
      <xdr:rowOff>43815</xdr:rowOff>
    </xdr:from>
    <xdr:to>
      <xdr:col>4</xdr:col>
      <xdr:colOff>798195</xdr:colOff>
      <xdr:row>590</xdr:row>
      <xdr:rowOff>43815</xdr:rowOff>
    </xdr:to>
    <xdr:pic>
      <xdr:nvPicPr>
        <xdr:cNvPr id="121" name="Picture 80652">
          <a:extLst>
            <a:ext uri="{FF2B5EF4-FFF2-40B4-BE49-F238E27FC236}">
              <a16:creationId xmlns:a16="http://schemas.microsoft.com/office/drawing/2014/main" id="{00000000-0008-0000-0300-00007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013585" y="108727875"/>
          <a:ext cx="1139190" cy="381000"/>
        </a:xfrm>
        <a:prstGeom prst="rect">
          <a:avLst/>
        </a:prstGeom>
        <a:noFill/>
        <a:ln w="1">
          <a:noFill/>
          <a:miter lim="800000"/>
          <a:headEnd/>
          <a:tailEnd type="none" w="med" len="med"/>
        </a:ln>
        <a:effectLst/>
      </xdr:spPr>
    </xdr:pic>
    <xdr:clientData/>
  </xdr:twoCellAnchor>
  <xdr:twoCellAnchor editAs="oneCell">
    <xdr:from>
      <xdr:col>2</xdr:col>
      <xdr:colOff>99060</xdr:colOff>
      <xdr:row>582</xdr:row>
      <xdr:rowOff>167641</xdr:rowOff>
    </xdr:from>
    <xdr:to>
      <xdr:col>4</xdr:col>
      <xdr:colOff>632459</xdr:colOff>
      <xdr:row>586</xdr:row>
      <xdr:rowOff>114373</xdr:rowOff>
    </xdr:to>
    <xdr:pic>
      <xdr:nvPicPr>
        <xdr:cNvPr id="122" name="Picture 80650">
          <a:extLst>
            <a:ext uri="{FF2B5EF4-FFF2-40B4-BE49-F238E27FC236}">
              <a16:creationId xmlns:a16="http://schemas.microsoft.com/office/drawing/2014/main" id="{00000000-0008-0000-0300-00007A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1866900" y="107708701"/>
          <a:ext cx="1120139" cy="708732"/>
        </a:xfrm>
        <a:prstGeom prst="rect">
          <a:avLst/>
        </a:prstGeom>
        <a:noFill/>
        <a:ln w="1">
          <a:noFill/>
          <a:miter lim="800000"/>
          <a:headEnd/>
          <a:tailEnd type="none" w="med" len="med"/>
        </a:ln>
        <a:effectLst/>
      </xdr:spPr>
    </xdr:pic>
    <xdr:clientData/>
  </xdr:twoCellAnchor>
  <xdr:twoCellAnchor editAs="oneCell">
    <xdr:from>
      <xdr:col>5</xdr:col>
      <xdr:colOff>327659</xdr:colOff>
      <xdr:row>582</xdr:row>
      <xdr:rowOff>148590</xdr:rowOff>
    </xdr:from>
    <xdr:to>
      <xdr:col>6</xdr:col>
      <xdr:colOff>403859</xdr:colOff>
      <xdr:row>586</xdr:row>
      <xdr:rowOff>113953</xdr:rowOff>
    </xdr:to>
    <xdr:pic>
      <xdr:nvPicPr>
        <xdr:cNvPr id="123" name="Picture 80651">
          <a:extLst>
            <a:ext uri="{FF2B5EF4-FFF2-40B4-BE49-F238E27FC236}">
              <a16:creationId xmlns:a16="http://schemas.microsoft.com/office/drawing/2014/main" id="{00000000-0008-0000-0300-00007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489959" y="107689650"/>
          <a:ext cx="998220" cy="727363"/>
        </a:xfrm>
        <a:prstGeom prst="rect">
          <a:avLst/>
        </a:prstGeom>
        <a:noFill/>
        <a:ln w="1">
          <a:noFill/>
          <a:miter lim="800000"/>
          <a:headEnd/>
          <a:tailEnd type="none" w="med" len="med"/>
        </a:ln>
        <a:effectLst/>
      </xdr:spPr>
    </xdr:pic>
    <xdr:clientData/>
  </xdr:twoCellAnchor>
  <xdr:twoCellAnchor editAs="oneCell">
    <xdr:from>
      <xdr:col>5</xdr:col>
      <xdr:colOff>60960</xdr:colOff>
      <xdr:row>592</xdr:row>
      <xdr:rowOff>129540</xdr:rowOff>
    </xdr:from>
    <xdr:to>
      <xdr:col>5</xdr:col>
      <xdr:colOff>870585</xdr:colOff>
      <xdr:row>594</xdr:row>
      <xdr:rowOff>120015</xdr:rowOff>
    </xdr:to>
    <xdr:pic>
      <xdr:nvPicPr>
        <xdr:cNvPr id="124" name="Picture 80653">
          <a:extLst>
            <a:ext uri="{FF2B5EF4-FFF2-40B4-BE49-F238E27FC236}">
              <a16:creationId xmlns:a16="http://schemas.microsoft.com/office/drawing/2014/main" id="{00000000-0008-0000-0300-00007C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3223260" y="109385100"/>
          <a:ext cx="809625" cy="371475"/>
        </a:xfrm>
        <a:prstGeom prst="rect">
          <a:avLst/>
        </a:prstGeom>
        <a:noFill/>
        <a:ln w="1">
          <a:noFill/>
          <a:miter lim="800000"/>
          <a:headEnd/>
          <a:tailEnd type="none" w="med" len="med"/>
        </a:ln>
        <a:effectLst/>
      </xdr:spPr>
    </xdr:pic>
    <xdr:clientData/>
  </xdr:twoCellAnchor>
  <xdr:twoCellAnchor editAs="oneCell">
    <xdr:from>
      <xdr:col>2</xdr:col>
      <xdr:colOff>232410</xdr:colOff>
      <xdr:row>602</xdr:row>
      <xdr:rowOff>177165</xdr:rowOff>
    </xdr:from>
    <xdr:to>
      <xdr:col>4</xdr:col>
      <xdr:colOff>784860</xdr:colOff>
      <xdr:row>604</xdr:row>
      <xdr:rowOff>177165</xdr:rowOff>
    </xdr:to>
    <xdr:pic>
      <xdr:nvPicPr>
        <xdr:cNvPr id="125" name="Picture 80652">
          <a:extLst>
            <a:ext uri="{FF2B5EF4-FFF2-40B4-BE49-F238E27FC236}">
              <a16:creationId xmlns:a16="http://schemas.microsoft.com/office/drawing/2014/main" id="{00000000-0008-0000-0300-00007D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000250" y="111147225"/>
          <a:ext cx="1139190" cy="381000"/>
        </a:xfrm>
        <a:prstGeom prst="rect">
          <a:avLst/>
        </a:prstGeom>
        <a:noFill/>
        <a:ln w="1">
          <a:noFill/>
          <a:miter lim="800000"/>
          <a:headEnd/>
          <a:tailEnd type="none" w="med" len="med"/>
        </a:ln>
        <a:effectLst/>
      </xdr:spPr>
    </xdr:pic>
    <xdr:clientData/>
  </xdr:twoCellAnchor>
  <xdr:twoCellAnchor editAs="oneCell">
    <xdr:from>
      <xdr:col>3</xdr:col>
      <xdr:colOff>184785</xdr:colOff>
      <xdr:row>597</xdr:row>
      <xdr:rowOff>148590</xdr:rowOff>
    </xdr:from>
    <xdr:to>
      <xdr:col>5</xdr:col>
      <xdr:colOff>118225</xdr:colOff>
      <xdr:row>601</xdr:row>
      <xdr:rowOff>28632</xdr:rowOff>
    </xdr:to>
    <xdr:pic>
      <xdr:nvPicPr>
        <xdr:cNvPr id="126" name="Picture 80654">
          <a:extLst>
            <a:ext uri="{FF2B5EF4-FFF2-40B4-BE49-F238E27FC236}">
              <a16:creationId xmlns:a16="http://schemas.microsoft.com/office/drawing/2014/main" id="{00000000-0008-0000-0300-00007E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2265045" y="110166150"/>
          <a:ext cx="1015480" cy="642042"/>
        </a:xfrm>
        <a:prstGeom prst="rect">
          <a:avLst/>
        </a:prstGeom>
        <a:noFill/>
        <a:ln w="1">
          <a:noFill/>
          <a:miter lim="800000"/>
          <a:headEnd/>
          <a:tailEnd type="none" w="med" len="med"/>
        </a:ln>
        <a:effectLst/>
      </xdr:spPr>
    </xdr:pic>
    <xdr:clientData/>
  </xdr:twoCellAnchor>
  <xdr:twoCellAnchor editAs="oneCell">
    <xdr:from>
      <xdr:col>5</xdr:col>
      <xdr:colOff>76201</xdr:colOff>
      <xdr:row>617</xdr:row>
      <xdr:rowOff>57150</xdr:rowOff>
    </xdr:from>
    <xdr:to>
      <xdr:col>6</xdr:col>
      <xdr:colOff>28575</xdr:colOff>
      <xdr:row>620</xdr:row>
      <xdr:rowOff>148049</xdr:rowOff>
    </xdr:to>
    <xdr:pic>
      <xdr:nvPicPr>
        <xdr:cNvPr id="283129" name="Picture 44537">
          <a:extLst>
            <a:ext uri="{FF2B5EF4-FFF2-40B4-BE49-F238E27FC236}">
              <a16:creationId xmlns:a16="http://schemas.microsoft.com/office/drawing/2014/main" id="{00000000-0008-0000-0300-0000F95104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257551" y="98126550"/>
          <a:ext cx="876299" cy="662399"/>
        </a:xfrm>
        <a:prstGeom prst="rect">
          <a:avLst/>
        </a:prstGeom>
        <a:noFill/>
        <a:ln w="1">
          <a:noFill/>
          <a:miter lim="800000"/>
          <a:headEnd/>
          <a:tailEnd type="none" w="med" len="med"/>
        </a:ln>
        <a:effectLst/>
      </xdr:spPr>
    </xdr:pic>
    <xdr:clientData/>
  </xdr:twoCellAnchor>
  <xdr:twoCellAnchor>
    <xdr:from>
      <xdr:col>8</xdr:col>
      <xdr:colOff>152400</xdr:colOff>
      <xdr:row>645</xdr:row>
      <xdr:rowOff>19050</xdr:rowOff>
    </xdr:from>
    <xdr:to>
      <xdr:col>18</xdr:col>
      <xdr:colOff>114300</xdr:colOff>
      <xdr:row>646</xdr:row>
      <xdr:rowOff>95250</xdr:rowOff>
    </xdr:to>
    <xdr:sp macro="" textlink="">
      <xdr:nvSpPr>
        <xdr:cNvPr id="127" name="TextBox 126">
          <a:extLst>
            <a:ext uri="{FF2B5EF4-FFF2-40B4-BE49-F238E27FC236}">
              <a16:creationId xmlns:a16="http://schemas.microsoft.com/office/drawing/2014/main" id="{00000000-0008-0000-0300-00007F000000}"/>
            </a:ext>
          </a:extLst>
        </xdr:cNvPr>
        <xdr:cNvSpPr txBox="1"/>
      </xdr:nvSpPr>
      <xdr:spPr>
        <a:xfrm>
          <a:off x="5181600" y="102279450"/>
          <a:ext cx="34671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133350</xdr:colOff>
      <xdr:row>650</xdr:row>
      <xdr:rowOff>66675</xdr:rowOff>
    </xdr:from>
    <xdr:to>
      <xdr:col>17</xdr:col>
      <xdr:colOff>85725</xdr:colOff>
      <xdr:row>653</xdr:row>
      <xdr:rowOff>104776</xdr:rowOff>
    </xdr:to>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5162550" y="102898575"/>
          <a:ext cx="3257550" cy="609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xdr:from>
      <xdr:col>32</xdr:col>
      <xdr:colOff>640080</xdr:colOff>
      <xdr:row>6</xdr:row>
      <xdr:rowOff>83820</xdr:rowOff>
    </xdr:from>
    <xdr:to>
      <xdr:col>34</xdr:col>
      <xdr:colOff>15240</xdr:colOff>
      <xdr:row>8</xdr:row>
      <xdr:rowOff>213359</xdr:rowOff>
    </xdr:to>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15514320" y="1775460"/>
          <a:ext cx="906780" cy="6324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a:t>
          </a:r>
        </a:p>
        <a:p>
          <a:pPr algn="ctr"/>
          <a:r>
            <a:rPr lang="en-US" sz="1100" baseline="0"/>
            <a:t>as of</a:t>
          </a:r>
        </a:p>
        <a:p>
          <a:pPr algn="ctr"/>
          <a:r>
            <a:rPr lang="en-US" sz="1100" baseline="0"/>
            <a:t>June 4, 2015</a:t>
          </a:r>
          <a:endParaRPr lang="en-US" sz="1100"/>
        </a:p>
      </xdr:txBody>
    </xdr:sp>
    <xdr:clientData/>
  </xdr:twoCellAnchor>
  <xdr:twoCellAnchor>
    <xdr:from>
      <xdr:col>27</xdr:col>
      <xdr:colOff>104775</xdr:colOff>
      <xdr:row>173</xdr:row>
      <xdr:rowOff>0</xdr:rowOff>
    </xdr:from>
    <xdr:to>
      <xdr:col>32</xdr:col>
      <xdr:colOff>180975</xdr:colOff>
      <xdr:row>175</xdr:row>
      <xdr:rowOff>142875</xdr:rowOff>
    </xdr:to>
    <xdr:sp macro="" textlink="">
      <xdr:nvSpPr>
        <xdr:cNvPr id="117" name="TextBox 116">
          <a:extLst>
            <a:ext uri="{FF2B5EF4-FFF2-40B4-BE49-F238E27FC236}">
              <a16:creationId xmlns:a16="http://schemas.microsoft.com/office/drawing/2014/main" id="{00000000-0008-0000-0300-000075000000}"/>
            </a:ext>
          </a:extLst>
        </xdr:cNvPr>
        <xdr:cNvSpPr txBox="1"/>
      </xdr:nvSpPr>
      <xdr:spPr>
        <a:xfrm>
          <a:off x="12601575" y="2615565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27</xdr:col>
      <xdr:colOff>133350</xdr:colOff>
      <xdr:row>202</xdr:row>
      <xdr:rowOff>9525</xdr:rowOff>
    </xdr:from>
    <xdr:to>
      <xdr:col>32</xdr:col>
      <xdr:colOff>209550</xdr:colOff>
      <xdr:row>204</xdr:row>
      <xdr:rowOff>152400</xdr:rowOff>
    </xdr:to>
    <xdr:sp macro="" textlink="">
      <xdr:nvSpPr>
        <xdr:cNvPr id="118" name="TextBox 117">
          <a:extLst>
            <a:ext uri="{FF2B5EF4-FFF2-40B4-BE49-F238E27FC236}">
              <a16:creationId xmlns:a16="http://schemas.microsoft.com/office/drawing/2014/main" id="{00000000-0008-0000-0300-000076000000}"/>
            </a:ext>
          </a:extLst>
        </xdr:cNvPr>
        <xdr:cNvSpPr txBox="1"/>
      </xdr:nvSpPr>
      <xdr:spPr>
        <a:xfrm>
          <a:off x="12630150" y="3017520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27</xdr:col>
      <xdr:colOff>152400</xdr:colOff>
      <xdr:row>227</xdr:row>
      <xdr:rowOff>9525</xdr:rowOff>
    </xdr:from>
    <xdr:to>
      <xdr:col>32</xdr:col>
      <xdr:colOff>228600</xdr:colOff>
      <xdr:row>229</xdr:row>
      <xdr:rowOff>152400</xdr:rowOff>
    </xdr:to>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12649200" y="3341370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34</xdr:col>
      <xdr:colOff>28575</xdr:colOff>
      <xdr:row>463</xdr:row>
      <xdr:rowOff>95250</xdr:rowOff>
    </xdr:from>
    <xdr:to>
      <xdr:col>37</xdr:col>
      <xdr:colOff>396240</xdr:colOff>
      <xdr:row>464</xdr:row>
      <xdr:rowOff>114300</xdr:rowOff>
    </xdr:to>
    <xdr:sp macro="" textlink="">
      <xdr:nvSpPr>
        <xdr:cNvPr id="131" name="TextBox 130">
          <a:extLst>
            <a:ext uri="{FF2B5EF4-FFF2-40B4-BE49-F238E27FC236}">
              <a16:creationId xmlns:a16="http://schemas.microsoft.com/office/drawing/2014/main" id="{00000000-0008-0000-0300-000083000000}"/>
            </a:ext>
          </a:extLst>
        </xdr:cNvPr>
        <xdr:cNvSpPr txBox="1"/>
      </xdr:nvSpPr>
      <xdr:spPr>
        <a:xfrm>
          <a:off x="16434435" y="74565510"/>
          <a:ext cx="2882265" cy="20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200184 cost.</a:t>
          </a:r>
        </a:p>
      </xdr:txBody>
    </xdr:sp>
    <xdr:clientData/>
  </xdr:twoCellAnchor>
  <xdr:twoCellAnchor>
    <xdr:from>
      <xdr:col>34</xdr:col>
      <xdr:colOff>123825</xdr:colOff>
      <xdr:row>486</xdr:row>
      <xdr:rowOff>104775</xdr:rowOff>
    </xdr:from>
    <xdr:to>
      <xdr:col>37</xdr:col>
      <xdr:colOff>304800</xdr:colOff>
      <xdr:row>487</xdr:row>
      <xdr:rowOff>95250</xdr:rowOff>
    </xdr:to>
    <xdr:sp macro="" textlink="">
      <xdr:nvSpPr>
        <xdr:cNvPr id="132" name="TextBox 131">
          <a:extLst>
            <a:ext uri="{FF2B5EF4-FFF2-40B4-BE49-F238E27FC236}">
              <a16:creationId xmlns:a16="http://schemas.microsoft.com/office/drawing/2014/main" id="{00000000-0008-0000-0300-000084000000}"/>
            </a:ext>
          </a:extLst>
        </xdr:cNvPr>
        <xdr:cNvSpPr txBox="1"/>
      </xdr:nvSpPr>
      <xdr:spPr>
        <a:xfrm>
          <a:off x="16583025" y="76981050"/>
          <a:ext cx="2695575"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200130 cost</a:t>
          </a:r>
        </a:p>
      </xdr:txBody>
    </xdr:sp>
    <xdr:clientData/>
  </xdr:twoCellAnchor>
  <xdr:twoCellAnchor>
    <xdr:from>
      <xdr:col>4</xdr:col>
      <xdr:colOff>95251</xdr:colOff>
      <xdr:row>478</xdr:row>
      <xdr:rowOff>28575</xdr:rowOff>
    </xdr:from>
    <xdr:to>
      <xdr:col>6</xdr:col>
      <xdr:colOff>219076</xdr:colOff>
      <xdr:row>480</xdr:row>
      <xdr:rowOff>123824</xdr:rowOff>
    </xdr:to>
    <xdr:sp macro="" textlink="">
      <xdr:nvSpPr>
        <xdr:cNvPr id="133" name="TextBox 132">
          <a:extLst>
            <a:ext uri="{FF2B5EF4-FFF2-40B4-BE49-F238E27FC236}">
              <a16:creationId xmlns:a16="http://schemas.microsoft.com/office/drawing/2014/main" id="{00000000-0008-0000-0300-000085000000}"/>
            </a:ext>
          </a:extLst>
        </xdr:cNvPr>
        <xdr:cNvSpPr txBox="1"/>
      </xdr:nvSpPr>
      <xdr:spPr>
        <a:xfrm>
          <a:off x="2457451" y="75952350"/>
          <a:ext cx="186690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Profile contains finseal inserted into only one T-slot</a:t>
          </a:r>
        </a:p>
      </xdr:txBody>
    </xdr:sp>
    <xdr:clientData/>
  </xdr:twoCellAnchor>
  <xdr:twoCellAnchor editAs="oneCell">
    <xdr:from>
      <xdr:col>2</xdr:col>
      <xdr:colOff>0</xdr:colOff>
      <xdr:row>642</xdr:row>
      <xdr:rowOff>0</xdr:rowOff>
    </xdr:from>
    <xdr:to>
      <xdr:col>5</xdr:col>
      <xdr:colOff>0</xdr:colOff>
      <xdr:row>643</xdr:row>
      <xdr:rowOff>161925</xdr:rowOff>
    </xdr:to>
    <xdr:pic>
      <xdr:nvPicPr>
        <xdr:cNvPr id="134" name="Picture 80636">
          <a:extLst>
            <a:ext uri="{FF2B5EF4-FFF2-40B4-BE49-F238E27FC236}">
              <a16:creationId xmlns:a16="http://schemas.microsoft.com/office/drawing/2014/main" id="{00000000-0008-0000-0300-000086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1771650" y="102450900"/>
          <a:ext cx="1409700" cy="352425"/>
        </a:xfrm>
        <a:prstGeom prst="rect">
          <a:avLst/>
        </a:prstGeom>
        <a:noFill/>
        <a:ln w="1">
          <a:noFill/>
          <a:miter lim="800000"/>
          <a:headEnd/>
          <a:tailEnd type="none" w="med" len="med"/>
        </a:ln>
        <a:effectLst/>
      </xdr:spPr>
    </xdr:pic>
    <xdr:clientData/>
  </xdr:twoCellAnchor>
  <xdr:twoCellAnchor editAs="oneCell">
    <xdr:from>
      <xdr:col>4</xdr:col>
      <xdr:colOff>809625</xdr:colOff>
      <xdr:row>676</xdr:row>
      <xdr:rowOff>66675</xdr:rowOff>
    </xdr:from>
    <xdr:to>
      <xdr:col>6</xdr:col>
      <xdr:colOff>57150</xdr:colOff>
      <xdr:row>677</xdr:row>
      <xdr:rowOff>150598</xdr:rowOff>
    </xdr:to>
    <xdr:pic>
      <xdr:nvPicPr>
        <xdr:cNvPr id="135" name="Picture 80655">
          <a:extLst>
            <a:ext uri="{FF2B5EF4-FFF2-40B4-BE49-F238E27FC236}">
              <a16:creationId xmlns:a16="http://schemas.microsoft.com/office/drawing/2014/main" id="{00000000-0008-0000-0300-000087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3171825" y="107089575"/>
          <a:ext cx="990600" cy="274423"/>
        </a:xfrm>
        <a:prstGeom prst="rect">
          <a:avLst/>
        </a:prstGeom>
        <a:noFill/>
        <a:ln w="1">
          <a:noFill/>
          <a:miter lim="800000"/>
          <a:headEnd/>
          <a:tailEnd type="none" w="med" len="med"/>
        </a:ln>
        <a:effectLst/>
      </xdr:spPr>
    </xdr:pic>
    <xdr:clientData/>
  </xdr:twoCellAnchor>
  <xdr:twoCellAnchor>
    <xdr:from>
      <xdr:col>8</xdr:col>
      <xdr:colOff>281940</xdr:colOff>
      <xdr:row>435</xdr:row>
      <xdr:rowOff>121920</xdr:rowOff>
    </xdr:from>
    <xdr:to>
      <xdr:col>16</xdr:col>
      <xdr:colOff>480060</xdr:colOff>
      <xdr:row>436</xdr:row>
      <xdr:rowOff>182880</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5295900" y="69677280"/>
          <a:ext cx="291084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EJAGSL1001 for setting block specifications</a:t>
          </a:r>
        </a:p>
      </xdr:txBody>
    </xdr:sp>
    <xdr:clientData/>
  </xdr:twoCellAnchor>
  <xdr:twoCellAnchor>
    <xdr:from>
      <xdr:col>8</xdr:col>
      <xdr:colOff>266700</xdr:colOff>
      <xdr:row>630</xdr:row>
      <xdr:rowOff>22860</xdr:rowOff>
    </xdr:from>
    <xdr:to>
      <xdr:col>16</xdr:col>
      <xdr:colOff>571500</xdr:colOff>
      <xdr:row>631</xdr:row>
      <xdr:rowOff>83820</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5280660" y="101178360"/>
          <a:ext cx="301752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E1SJAGSL101 for setting block specifications.</a:t>
          </a:r>
        </a:p>
      </xdr:txBody>
    </xdr:sp>
    <xdr:clientData/>
  </xdr:twoCellAnchor>
  <xdr:twoCellAnchor>
    <xdr:from>
      <xdr:col>41</xdr:col>
      <xdr:colOff>556260</xdr:colOff>
      <xdr:row>3</xdr:row>
      <xdr:rowOff>106680</xdr:rowOff>
    </xdr:from>
    <xdr:to>
      <xdr:col>42</xdr:col>
      <xdr:colOff>60960</xdr:colOff>
      <xdr:row>4</xdr:row>
      <xdr:rowOff>106680</xdr:rowOff>
    </xdr:to>
    <xdr:sp macro="" textlink="">
      <xdr:nvSpPr>
        <xdr:cNvPr id="144" name="Left Arrow 143">
          <a:extLst>
            <a:ext uri="{FF2B5EF4-FFF2-40B4-BE49-F238E27FC236}">
              <a16:creationId xmlns:a16="http://schemas.microsoft.com/office/drawing/2014/main" id="{00000000-0008-0000-0300-000090000000}"/>
            </a:ext>
          </a:extLst>
        </xdr:cNvPr>
        <xdr:cNvSpPr/>
      </xdr:nvSpPr>
      <xdr:spPr>
        <a:xfrm>
          <a:off x="22288500" y="104394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42</xdr:col>
      <xdr:colOff>640080</xdr:colOff>
      <xdr:row>10</xdr:row>
      <xdr:rowOff>152400</xdr:rowOff>
    </xdr:from>
    <xdr:to>
      <xdr:col>43</xdr:col>
      <xdr:colOff>144780</xdr:colOff>
      <xdr:row>10</xdr:row>
      <xdr:rowOff>403860</xdr:rowOff>
    </xdr:to>
    <xdr:sp macro="" textlink="">
      <xdr:nvSpPr>
        <xdr:cNvPr id="145" name="Left Arrow 144">
          <a:extLst>
            <a:ext uri="{FF2B5EF4-FFF2-40B4-BE49-F238E27FC236}">
              <a16:creationId xmlns:a16="http://schemas.microsoft.com/office/drawing/2014/main" id="{00000000-0008-0000-0300-000091000000}"/>
            </a:ext>
          </a:extLst>
        </xdr:cNvPr>
        <xdr:cNvSpPr/>
      </xdr:nvSpPr>
      <xdr:spPr>
        <a:xfrm>
          <a:off x="23180040" y="267462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editAs="oneCell">
    <xdr:from>
      <xdr:col>3</xdr:col>
      <xdr:colOff>250372</xdr:colOff>
      <xdr:row>326</xdr:row>
      <xdr:rowOff>152401</xdr:rowOff>
    </xdr:from>
    <xdr:to>
      <xdr:col>5</xdr:col>
      <xdr:colOff>650422</xdr:colOff>
      <xdr:row>331</xdr:row>
      <xdr:rowOff>98508</xdr:rowOff>
    </xdr:to>
    <xdr:pic>
      <xdr:nvPicPr>
        <xdr:cNvPr id="146" name="Picture 145">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28"/>
        <a:stretch>
          <a:fillRect/>
        </a:stretch>
      </xdr:blipFill>
      <xdr:spPr>
        <a:xfrm>
          <a:off x="2345872" y="62445901"/>
          <a:ext cx="1488621" cy="912214"/>
        </a:xfrm>
        <a:prstGeom prst="rect">
          <a:avLst/>
        </a:prstGeom>
      </xdr:spPr>
    </xdr:pic>
    <xdr:clientData/>
  </xdr:twoCellAnchor>
  <xdr:twoCellAnchor>
    <xdr:from>
      <xdr:col>0</xdr:col>
      <xdr:colOff>972111</xdr:colOff>
      <xdr:row>358</xdr:row>
      <xdr:rowOff>151280</xdr:rowOff>
    </xdr:from>
    <xdr:to>
      <xdr:col>6</xdr:col>
      <xdr:colOff>52108</xdr:colOff>
      <xdr:row>362</xdr:row>
      <xdr:rowOff>110004</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972111" y="55508339"/>
          <a:ext cx="3181350"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30</xdr:col>
      <xdr:colOff>123264</xdr:colOff>
      <xdr:row>352</xdr:row>
      <xdr:rowOff>88947</xdr:rowOff>
    </xdr:from>
    <xdr:to>
      <xdr:col>36</xdr:col>
      <xdr:colOff>332255</xdr:colOff>
      <xdr:row>359</xdr:row>
      <xdr:rowOff>148001</xdr:rowOff>
    </xdr:to>
    <xdr:sp macro="" textlink="">
      <xdr:nvSpPr>
        <xdr:cNvPr id="155" name="TextBox 154">
          <a:extLst>
            <a:ext uri="{FF2B5EF4-FFF2-40B4-BE49-F238E27FC236}">
              <a16:creationId xmlns:a16="http://schemas.microsoft.com/office/drawing/2014/main" id="{00000000-0008-0000-0300-00009B000000}"/>
            </a:ext>
          </a:extLst>
        </xdr:cNvPr>
        <xdr:cNvSpPr txBox="1"/>
      </xdr:nvSpPr>
      <xdr:spPr>
        <a:xfrm>
          <a:off x="14232170" y="54357635"/>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editAs="oneCell">
    <xdr:from>
      <xdr:col>2</xdr:col>
      <xdr:colOff>112508</xdr:colOff>
      <xdr:row>350</xdr:row>
      <xdr:rowOff>179294</xdr:rowOff>
    </xdr:from>
    <xdr:to>
      <xdr:col>5</xdr:col>
      <xdr:colOff>68210</xdr:colOff>
      <xdr:row>356</xdr:row>
      <xdr:rowOff>66178</xdr:rowOff>
    </xdr:to>
    <xdr:pic>
      <xdr:nvPicPr>
        <xdr:cNvPr id="161" name="Picture 30326">
          <a:extLst>
            <a:ext uri="{FF2B5EF4-FFF2-40B4-BE49-F238E27FC236}">
              <a16:creationId xmlns:a16="http://schemas.microsoft.com/office/drawing/2014/main" id="{00000000-0008-0000-0300-0000A1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bwMode="auto">
        <a:xfrm>
          <a:off x="1880348" y="63486254"/>
          <a:ext cx="1350162" cy="1029884"/>
        </a:xfrm>
        <a:prstGeom prst="rect">
          <a:avLst/>
        </a:prstGeom>
        <a:noFill/>
        <a:ln w="1">
          <a:noFill/>
          <a:miter lim="800000"/>
          <a:headEnd/>
          <a:tailEnd/>
        </a:ln>
      </xdr:spPr>
    </xdr:pic>
    <xdr:clientData/>
  </xdr:twoCellAnchor>
  <xdr:twoCellAnchor editAs="oneCell">
    <xdr:from>
      <xdr:col>5</xdr:col>
      <xdr:colOff>325755</xdr:colOff>
      <xdr:row>372</xdr:row>
      <xdr:rowOff>23811</xdr:rowOff>
    </xdr:from>
    <xdr:to>
      <xdr:col>6</xdr:col>
      <xdr:colOff>174888</xdr:colOff>
      <xdr:row>373</xdr:row>
      <xdr:rowOff>298489</xdr:rowOff>
    </xdr:to>
    <xdr:pic>
      <xdr:nvPicPr>
        <xdr:cNvPr id="162" name="Picture 44427">
          <a:extLst>
            <a:ext uri="{FF2B5EF4-FFF2-40B4-BE49-F238E27FC236}">
              <a16:creationId xmlns:a16="http://schemas.microsoft.com/office/drawing/2014/main" id="{00000000-0008-0000-0300-0000A2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bwMode="auto">
        <a:xfrm>
          <a:off x="3488055" y="68177091"/>
          <a:ext cx="771153" cy="602338"/>
        </a:xfrm>
        <a:prstGeom prst="rect">
          <a:avLst/>
        </a:prstGeom>
        <a:noFill/>
        <a:ln w="1">
          <a:noFill/>
          <a:miter lim="800000"/>
          <a:headEnd/>
          <a:tailEnd type="none" w="med" len="med"/>
        </a:ln>
        <a:effectLst/>
      </xdr:spPr>
    </xdr:pic>
    <xdr:clientData/>
  </xdr:twoCellAnchor>
  <xdr:twoCellAnchor editAs="oneCell">
    <xdr:from>
      <xdr:col>4</xdr:col>
      <xdr:colOff>784412</xdr:colOff>
      <xdr:row>375</xdr:row>
      <xdr:rowOff>22412</xdr:rowOff>
    </xdr:from>
    <xdr:to>
      <xdr:col>6</xdr:col>
      <xdr:colOff>165036</xdr:colOff>
      <xdr:row>378</xdr:row>
      <xdr:rowOff>174812</xdr:rowOff>
    </xdr:to>
    <xdr:pic>
      <xdr:nvPicPr>
        <xdr:cNvPr id="163" name="Picture 80675">
          <a:extLst>
            <a:ext uri="{FF2B5EF4-FFF2-40B4-BE49-F238E27FC236}">
              <a16:creationId xmlns:a16="http://schemas.microsoft.com/office/drawing/2014/main" id="{00000000-0008-0000-0300-0000A3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bwMode="auto">
        <a:xfrm>
          <a:off x="3148853" y="59592883"/>
          <a:ext cx="1117536" cy="723900"/>
        </a:xfrm>
        <a:prstGeom prst="rect">
          <a:avLst/>
        </a:prstGeom>
        <a:noFill/>
        <a:ln w="1">
          <a:noFill/>
          <a:miter lim="800000"/>
          <a:headEnd/>
          <a:tailEnd type="none" w="med" len="med"/>
        </a:ln>
        <a:effectLst/>
      </xdr:spPr>
    </xdr:pic>
    <xdr:clientData/>
  </xdr:twoCellAnchor>
  <xdr:twoCellAnchor editAs="oneCell">
    <xdr:from>
      <xdr:col>4</xdr:col>
      <xdr:colOff>605119</xdr:colOff>
      <xdr:row>412</xdr:row>
      <xdr:rowOff>11205</xdr:rowOff>
    </xdr:from>
    <xdr:to>
      <xdr:col>6</xdr:col>
      <xdr:colOff>202407</xdr:colOff>
      <xdr:row>412</xdr:row>
      <xdr:rowOff>715137</xdr:rowOff>
    </xdr:to>
    <xdr:pic>
      <xdr:nvPicPr>
        <xdr:cNvPr id="165" name="Picture 24045">
          <a:extLst>
            <a:ext uri="{FF2B5EF4-FFF2-40B4-BE49-F238E27FC236}">
              <a16:creationId xmlns:a16="http://schemas.microsoft.com/office/drawing/2014/main" id="{00000000-0008-0000-0300-0000A5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bwMode="auto">
        <a:xfrm>
          <a:off x="2962557" y="63435799"/>
          <a:ext cx="1347506" cy="703932"/>
        </a:xfrm>
        <a:prstGeom prst="rect">
          <a:avLst/>
        </a:prstGeom>
        <a:noFill/>
        <a:ln w="9525">
          <a:noFill/>
          <a:miter lim="800000"/>
          <a:headEnd/>
          <a:tailEnd/>
        </a:ln>
      </xdr:spPr>
    </xdr:pic>
    <xdr:clientData/>
  </xdr:twoCellAnchor>
  <xdr:twoCellAnchor editAs="oneCell">
    <xdr:from>
      <xdr:col>4</xdr:col>
      <xdr:colOff>605120</xdr:colOff>
      <xdr:row>413</xdr:row>
      <xdr:rowOff>11207</xdr:rowOff>
    </xdr:from>
    <xdr:to>
      <xdr:col>6</xdr:col>
      <xdr:colOff>218386</xdr:colOff>
      <xdr:row>413</xdr:row>
      <xdr:rowOff>678656</xdr:rowOff>
    </xdr:to>
    <xdr:pic>
      <xdr:nvPicPr>
        <xdr:cNvPr id="166" name="Picture 24046">
          <a:extLst>
            <a:ext uri="{FF2B5EF4-FFF2-40B4-BE49-F238E27FC236}">
              <a16:creationId xmlns:a16="http://schemas.microsoft.com/office/drawing/2014/main" id="{00000000-0008-0000-0300-0000A6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bwMode="auto">
        <a:xfrm>
          <a:off x="2962558" y="64173988"/>
          <a:ext cx="1363484" cy="667449"/>
        </a:xfrm>
        <a:prstGeom prst="rect">
          <a:avLst/>
        </a:prstGeom>
        <a:noFill/>
        <a:ln w="9525">
          <a:noFill/>
          <a:miter lim="800000"/>
          <a:headEnd/>
          <a:tailEnd/>
        </a:ln>
      </xdr:spPr>
    </xdr:pic>
    <xdr:clientData/>
  </xdr:twoCellAnchor>
  <xdr:twoCellAnchor editAs="oneCell">
    <xdr:from>
      <xdr:col>4</xdr:col>
      <xdr:colOff>785812</xdr:colOff>
      <xdr:row>414</xdr:row>
      <xdr:rowOff>59532</xdr:rowOff>
    </xdr:from>
    <xdr:to>
      <xdr:col>6</xdr:col>
      <xdr:colOff>180291</xdr:colOff>
      <xdr:row>417</xdr:row>
      <xdr:rowOff>63618</xdr:rowOff>
    </xdr:to>
    <xdr:pic>
      <xdr:nvPicPr>
        <xdr:cNvPr id="167" name="Picture 80549">
          <a:extLst>
            <a:ext uri="{FF2B5EF4-FFF2-40B4-BE49-F238E27FC236}">
              <a16:creationId xmlns:a16="http://schemas.microsoft.com/office/drawing/2014/main" id="{00000000-0008-0000-0300-0000A7000000}"/>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3143250" y="64936688"/>
          <a:ext cx="1144697" cy="575586"/>
        </a:xfrm>
        <a:prstGeom prst="rect">
          <a:avLst/>
        </a:prstGeom>
        <a:noFill/>
        <a:ln w="1">
          <a:noFill/>
          <a:miter lim="800000"/>
          <a:headEnd/>
          <a:tailEnd type="none" w="med" len="med"/>
        </a:ln>
        <a:effectLst/>
      </xdr:spPr>
    </xdr:pic>
    <xdr:clientData/>
  </xdr:twoCellAnchor>
  <xdr:twoCellAnchor editAs="oneCell">
    <xdr:from>
      <xdr:col>2</xdr:col>
      <xdr:colOff>261938</xdr:colOff>
      <xdr:row>419</xdr:row>
      <xdr:rowOff>297657</xdr:rowOff>
    </xdr:from>
    <xdr:to>
      <xdr:col>5</xdr:col>
      <xdr:colOff>326231</xdr:colOff>
      <xdr:row>419</xdr:row>
      <xdr:rowOff>603878</xdr:rowOff>
    </xdr:to>
    <xdr:pic>
      <xdr:nvPicPr>
        <xdr:cNvPr id="168" name="Picture 80550">
          <a:extLst>
            <a:ext uri="{FF2B5EF4-FFF2-40B4-BE49-F238E27FC236}">
              <a16:creationId xmlns:a16="http://schemas.microsoft.com/office/drawing/2014/main" id="{00000000-0008-0000-0300-0000A8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2035969" y="65936813"/>
          <a:ext cx="1469231" cy="306221"/>
        </a:xfrm>
        <a:prstGeom prst="rect">
          <a:avLst/>
        </a:prstGeom>
        <a:noFill/>
        <a:ln w="1">
          <a:noFill/>
          <a:miter lim="800000"/>
          <a:headEnd/>
          <a:tailEnd type="none" w="med" len="med"/>
        </a:ln>
        <a:effectLst/>
      </xdr:spPr>
    </xdr:pic>
    <xdr:clientData/>
  </xdr:twoCellAnchor>
  <xdr:twoCellAnchor editAs="oneCell">
    <xdr:from>
      <xdr:col>5</xdr:col>
      <xdr:colOff>141513</xdr:colOff>
      <xdr:row>334</xdr:row>
      <xdr:rowOff>18539</xdr:rowOff>
    </xdr:from>
    <xdr:to>
      <xdr:col>6</xdr:col>
      <xdr:colOff>38166</xdr:colOff>
      <xdr:row>336</xdr:row>
      <xdr:rowOff>92279</xdr:rowOff>
    </xdr:to>
    <xdr:pic>
      <xdr:nvPicPr>
        <xdr:cNvPr id="129" name="Picture 128">
          <a:extLst>
            <a:ext uri="{FF2B5EF4-FFF2-40B4-BE49-F238E27FC236}">
              <a16:creationId xmlns:a16="http://schemas.microsoft.com/office/drawing/2014/main" id="{92548266-077F-4890-B76E-98117E2A8AB1}"/>
            </a:ext>
          </a:extLst>
        </xdr:cNvPr>
        <xdr:cNvPicPr>
          <a:picLocks noChangeAspect="1"/>
        </xdr:cNvPicPr>
      </xdr:nvPicPr>
      <xdr:blipFill>
        <a:blip xmlns:r="http://schemas.openxmlformats.org/officeDocument/2006/relationships" r:embed="rId28"/>
        <a:stretch>
          <a:fillRect/>
        </a:stretch>
      </xdr:blipFill>
      <xdr:spPr>
        <a:xfrm>
          <a:off x="3320482" y="56370820"/>
          <a:ext cx="825340" cy="458550"/>
        </a:xfrm>
        <a:prstGeom prst="rect">
          <a:avLst/>
        </a:prstGeom>
      </xdr:spPr>
    </xdr:pic>
    <xdr:clientData/>
  </xdr:twoCellAnchor>
  <xdr:twoCellAnchor editAs="oneCell">
    <xdr:from>
      <xdr:col>5</xdr:col>
      <xdr:colOff>180140</xdr:colOff>
      <xdr:row>407</xdr:row>
      <xdr:rowOff>23812</xdr:rowOff>
    </xdr:from>
    <xdr:to>
      <xdr:col>5</xdr:col>
      <xdr:colOff>593599</xdr:colOff>
      <xdr:row>410</xdr:row>
      <xdr:rowOff>132991</xdr:rowOff>
    </xdr:to>
    <xdr:pic>
      <xdr:nvPicPr>
        <xdr:cNvPr id="136" name="Picture 135">
          <a:extLst>
            <a:ext uri="{FF2B5EF4-FFF2-40B4-BE49-F238E27FC236}">
              <a16:creationId xmlns:a16="http://schemas.microsoft.com/office/drawing/2014/main" id="{FDF0C33A-3C62-4A2E-9A1C-4B1B49898074}"/>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3359585" y="6414230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569744</xdr:colOff>
      <xdr:row>399</xdr:row>
      <xdr:rowOff>110668</xdr:rowOff>
    </xdr:from>
    <xdr:to>
      <xdr:col>6</xdr:col>
      <xdr:colOff>567955</xdr:colOff>
      <xdr:row>402</xdr:row>
      <xdr:rowOff>108997</xdr:rowOff>
    </xdr:to>
    <xdr:pic>
      <xdr:nvPicPr>
        <xdr:cNvPr id="138" name="Picture 137">
          <a:extLst>
            <a:ext uri="{FF2B5EF4-FFF2-40B4-BE49-F238E27FC236}">
              <a16:creationId xmlns:a16="http://schemas.microsoft.com/office/drawing/2014/main" id="{DCD320C4-B62F-4458-B68A-B7A3E7A70A86}"/>
            </a:ext>
          </a:extLst>
        </xdr:cNvPr>
        <xdr:cNvPicPr>
          <a:picLocks noChangeAspect="1"/>
        </xdr:cNvPicPr>
      </xdr:nvPicPr>
      <xdr:blipFill>
        <a:blip xmlns:r="http://schemas.openxmlformats.org/officeDocument/2006/relationships" r:embed="rId37"/>
        <a:stretch>
          <a:fillRect/>
        </a:stretch>
      </xdr:blipFill>
      <xdr:spPr>
        <a:xfrm>
          <a:off x="3719344" y="73313468"/>
          <a:ext cx="921078" cy="582529"/>
        </a:xfrm>
        <a:prstGeom prst="rect">
          <a:avLst/>
        </a:prstGeom>
      </xdr:spPr>
    </xdr:pic>
    <xdr:clientData/>
  </xdr:twoCellAnchor>
  <xdr:twoCellAnchor>
    <xdr:from>
      <xdr:col>8</xdr:col>
      <xdr:colOff>42334</xdr:colOff>
      <xdr:row>403</xdr:row>
      <xdr:rowOff>59266</xdr:rowOff>
    </xdr:from>
    <xdr:to>
      <xdr:col>17</xdr:col>
      <xdr:colOff>67733</xdr:colOff>
      <xdr:row>406</xdr:row>
      <xdr:rowOff>152399</xdr:rowOff>
    </xdr:to>
    <xdr:sp macro="" textlink="">
      <xdr:nvSpPr>
        <xdr:cNvPr id="3" name="TextBox 2">
          <a:extLst>
            <a:ext uri="{FF2B5EF4-FFF2-40B4-BE49-F238E27FC236}">
              <a16:creationId xmlns:a16="http://schemas.microsoft.com/office/drawing/2014/main" id="{D0733B24-D0BC-4E1C-A0C0-CE67F977AFA5}"/>
            </a:ext>
          </a:extLst>
        </xdr:cNvPr>
        <xdr:cNvSpPr txBox="1"/>
      </xdr:nvSpPr>
      <xdr:spPr>
        <a:xfrm>
          <a:off x="5037667" y="74235733"/>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1</xdr:col>
      <xdr:colOff>541021</xdr:colOff>
      <xdr:row>18</xdr:row>
      <xdr:rowOff>0</xdr:rowOff>
    </xdr:from>
    <xdr:to>
      <xdr:col>4</xdr:col>
      <xdr:colOff>611073</xdr:colOff>
      <xdr:row>24</xdr:row>
      <xdr:rowOff>60960</xdr:rowOff>
    </xdr:to>
    <xdr:pic>
      <xdr:nvPicPr>
        <xdr:cNvPr id="7" name="Picture 6">
          <a:extLst>
            <a:ext uri="{FF2B5EF4-FFF2-40B4-BE49-F238E27FC236}">
              <a16:creationId xmlns:a16="http://schemas.microsoft.com/office/drawing/2014/main" id="{7133D02E-EA76-541B-6F03-AD9594142DA5}"/>
            </a:ext>
          </a:extLst>
        </xdr:cNvPr>
        <xdr:cNvPicPr>
          <a:picLocks noChangeAspect="1"/>
        </xdr:cNvPicPr>
      </xdr:nvPicPr>
      <xdr:blipFill>
        <a:blip xmlns:r="http://schemas.openxmlformats.org/officeDocument/2006/relationships" r:embed="rId38"/>
        <a:stretch>
          <a:fillRect/>
        </a:stretch>
      </xdr:blipFill>
      <xdr:spPr>
        <a:xfrm>
          <a:off x="1729741" y="4198620"/>
          <a:ext cx="1235912" cy="1242060"/>
        </a:xfrm>
        <a:prstGeom prst="rect">
          <a:avLst/>
        </a:prstGeom>
      </xdr:spPr>
    </xdr:pic>
    <xdr:clientData/>
  </xdr:twoCellAnchor>
  <xdr:twoCellAnchor editAs="oneCell">
    <xdr:from>
      <xdr:col>2</xdr:col>
      <xdr:colOff>30480</xdr:colOff>
      <xdr:row>31</xdr:row>
      <xdr:rowOff>167640</xdr:rowOff>
    </xdr:from>
    <xdr:to>
      <xdr:col>5</xdr:col>
      <xdr:colOff>267970</xdr:colOff>
      <xdr:row>35</xdr:row>
      <xdr:rowOff>176953</xdr:rowOff>
    </xdr:to>
    <xdr:pic>
      <xdr:nvPicPr>
        <xdr:cNvPr id="8" name="Picture 7">
          <a:extLst>
            <a:ext uri="{FF2B5EF4-FFF2-40B4-BE49-F238E27FC236}">
              <a16:creationId xmlns:a16="http://schemas.microsoft.com/office/drawing/2014/main" id="{DD205BAE-7ABA-4D4A-A3F4-02C0DFFA642C}"/>
            </a:ext>
          </a:extLst>
        </xdr:cNvPr>
        <xdr:cNvPicPr>
          <a:picLocks noChangeAspect="1"/>
        </xdr:cNvPicPr>
      </xdr:nvPicPr>
      <xdr:blipFill>
        <a:blip xmlns:r="http://schemas.openxmlformats.org/officeDocument/2006/relationships" r:embed="rId39"/>
        <a:stretch>
          <a:fillRect/>
        </a:stretch>
      </xdr:blipFill>
      <xdr:spPr>
        <a:xfrm>
          <a:off x="1798320" y="6507480"/>
          <a:ext cx="1631950" cy="771313"/>
        </a:xfrm>
        <a:prstGeom prst="rect">
          <a:avLst/>
        </a:prstGeom>
      </xdr:spPr>
    </xdr:pic>
    <xdr:clientData/>
  </xdr:twoCellAnchor>
  <xdr:twoCellAnchor editAs="oneCell">
    <xdr:from>
      <xdr:col>2</xdr:col>
      <xdr:colOff>114300</xdr:colOff>
      <xdr:row>38</xdr:row>
      <xdr:rowOff>38100</xdr:rowOff>
    </xdr:from>
    <xdr:to>
      <xdr:col>4</xdr:col>
      <xdr:colOff>308678</xdr:colOff>
      <xdr:row>42</xdr:row>
      <xdr:rowOff>152400</xdr:rowOff>
    </xdr:to>
    <xdr:pic>
      <xdr:nvPicPr>
        <xdr:cNvPr id="11" name="Picture 10">
          <a:extLst>
            <a:ext uri="{FF2B5EF4-FFF2-40B4-BE49-F238E27FC236}">
              <a16:creationId xmlns:a16="http://schemas.microsoft.com/office/drawing/2014/main" id="{7AA41CA1-7766-4618-80BB-1E344731EA2B}"/>
            </a:ext>
          </a:extLst>
        </xdr:cNvPr>
        <xdr:cNvPicPr>
          <a:picLocks noChangeAspect="1"/>
        </xdr:cNvPicPr>
      </xdr:nvPicPr>
      <xdr:blipFill>
        <a:blip xmlns:r="http://schemas.openxmlformats.org/officeDocument/2006/relationships" r:embed="rId40"/>
        <a:stretch>
          <a:fillRect/>
        </a:stretch>
      </xdr:blipFill>
      <xdr:spPr>
        <a:xfrm>
          <a:off x="1882140" y="7711440"/>
          <a:ext cx="781118" cy="876300"/>
        </a:xfrm>
        <a:prstGeom prst="rect">
          <a:avLst/>
        </a:prstGeom>
      </xdr:spPr>
    </xdr:pic>
    <xdr:clientData/>
  </xdr:twoCellAnchor>
  <xdr:twoCellAnchor editAs="oneCell">
    <xdr:from>
      <xdr:col>2</xdr:col>
      <xdr:colOff>70486</xdr:colOff>
      <xdr:row>45</xdr:row>
      <xdr:rowOff>22860</xdr:rowOff>
    </xdr:from>
    <xdr:to>
      <xdr:col>4</xdr:col>
      <xdr:colOff>641986</xdr:colOff>
      <xdr:row>47</xdr:row>
      <xdr:rowOff>129354</xdr:rowOff>
    </xdr:to>
    <xdr:pic>
      <xdr:nvPicPr>
        <xdr:cNvPr id="14" name="Picture 13">
          <a:extLst>
            <a:ext uri="{FF2B5EF4-FFF2-40B4-BE49-F238E27FC236}">
              <a16:creationId xmlns:a16="http://schemas.microsoft.com/office/drawing/2014/main" id="{80840DB3-ACE8-4321-923E-0F3791490385}"/>
            </a:ext>
          </a:extLst>
        </xdr:cNvPr>
        <xdr:cNvPicPr>
          <a:picLocks noChangeAspect="1"/>
        </xdr:cNvPicPr>
      </xdr:nvPicPr>
      <xdr:blipFill>
        <a:blip xmlns:r="http://schemas.openxmlformats.org/officeDocument/2006/relationships" r:embed="rId41"/>
        <a:stretch>
          <a:fillRect/>
        </a:stretch>
      </xdr:blipFill>
      <xdr:spPr>
        <a:xfrm>
          <a:off x="1838326" y="9029700"/>
          <a:ext cx="1158240" cy="487494"/>
        </a:xfrm>
        <a:prstGeom prst="rect">
          <a:avLst/>
        </a:prstGeom>
      </xdr:spPr>
    </xdr:pic>
    <xdr:clientData/>
  </xdr:twoCellAnchor>
  <xdr:twoCellAnchor editAs="oneCell">
    <xdr:from>
      <xdr:col>2</xdr:col>
      <xdr:colOff>15240</xdr:colOff>
      <xdr:row>49</xdr:row>
      <xdr:rowOff>142874</xdr:rowOff>
    </xdr:from>
    <xdr:to>
      <xdr:col>4</xdr:col>
      <xdr:colOff>645978</xdr:colOff>
      <xdr:row>53</xdr:row>
      <xdr:rowOff>152399</xdr:rowOff>
    </xdr:to>
    <xdr:pic>
      <xdr:nvPicPr>
        <xdr:cNvPr id="15" name="Picture 14">
          <a:extLst>
            <a:ext uri="{FF2B5EF4-FFF2-40B4-BE49-F238E27FC236}">
              <a16:creationId xmlns:a16="http://schemas.microsoft.com/office/drawing/2014/main" id="{D9B48684-89AC-42FB-A938-0F98D4A5066A}"/>
            </a:ext>
          </a:extLst>
        </xdr:cNvPr>
        <xdr:cNvPicPr>
          <a:picLocks noChangeAspect="1"/>
        </xdr:cNvPicPr>
      </xdr:nvPicPr>
      <xdr:blipFill>
        <a:blip xmlns:r="http://schemas.openxmlformats.org/officeDocument/2006/relationships" r:embed="rId42"/>
        <a:stretch>
          <a:fillRect/>
        </a:stretch>
      </xdr:blipFill>
      <xdr:spPr>
        <a:xfrm>
          <a:off x="1783080" y="9911714"/>
          <a:ext cx="1217478" cy="771525"/>
        </a:xfrm>
        <a:prstGeom prst="rect">
          <a:avLst/>
        </a:prstGeom>
      </xdr:spPr>
    </xdr:pic>
    <xdr:clientData/>
  </xdr:twoCellAnchor>
  <xdr:twoCellAnchor editAs="oneCell">
    <xdr:from>
      <xdr:col>2</xdr:col>
      <xdr:colOff>45720</xdr:colOff>
      <xdr:row>57</xdr:row>
      <xdr:rowOff>144780</xdr:rowOff>
    </xdr:from>
    <xdr:to>
      <xdr:col>4</xdr:col>
      <xdr:colOff>694892</xdr:colOff>
      <xdr:row>64</xdr:row>
      <xdr:rowOff>53340</xdr:rowOff>
    </xdr:to>
    <xdr:pic>
      <xdr:nvPicPr>
        <xdr:cNvPr id="35" name="Picture 34">
          <a:extLst>
            <a:ext uri="{FF2B5EF4-FFF2-40B4-BE49-F238E27FC236}">
              <a16:creationId xmlns:a16="http://schemas.microsoft.com/office/drawing/2014/main" id="{DA73FD56-4869-43B7-9149-546DC7086FB8}"/>
            </a:ext>
          </a:extLst>
        </xdr:cNvPr>
        <xdr:cNvPicPr>
          <a:picLocks noChangeAspect="1"/>
        </xdr:cNvPicPr>
      </xdr:nvPicPr>
      <xdr:blipFill>
        <a:blip xmlns:r="http://schemas.openxmlformats.org/officeDocument/2006/relationships" r:embed="rId38"/>
        <a:stretch>
          <a:fillRect/>
        </a:stretch>
      </xdr:blipFill>
      <xdr:spPr>
        <a:xfrm>
          <a:off x="1813560" y="11437620"/>
          <a:ext cx="1235912" cy="1242060"/>
        </a:xfrm>
        <a:prstGeom prst="rect">
          <a:avLst/>
        </a:prstGeom>
      </xdr:spPr>
    </xdr:pic>
    <xdr:clientData/>
  </xdr:twoCellAnchor>
  <xdr:twoCellAnchor editAs="oneCell">
    <xdr:from>
      <xdr:col>2</xdr:col>
      <xdr:colOff>60960</xdr:colOff>
      <xdr:row>71</xdr:row>
      <xdr:rowOff>160020</xdr:rowOff>
    </xdr:from>
    <xdr:to>
      <xdr:col>5</xdr:col>
      <xdr:colOff>298450</xdr:colOff>
      <xdr:row>75</xdr:row>
      <xdr:rowOff>169333</xdr:rowOff>
    </xdr:to>
    <xdr:pic>
      <xdr:nvPicPr>
        <xdr:cNvPr id="39" name="Picture 38">
          <a:extLst>
            <a:ext uri="{FF2B5EF4-FFF2-40B4-BE49-F238E27FC236}">
              <a16:creationId xmlns:a16="http://schemas.microsoft.com/office/drawing/2014/main" id="{FC74D93D-73DA-4C73-8280-743293DA3E3E}"/>
            </a:ext>
          </a:extLst>
        </xdr:cNvPr>
        <xdr:cNvPicPr>
          <a:picLocks noChangeAspect="1"/>
        </xdr:cNvPicPr>
      </xdr:nvPicPr>
      <xdr:blipFill>
        <a:blip xmlns:r="http://schemas.openxmlformats.org/officeDocument/2006/relationships" r:embed="rId39"/>
        <a:stretch>
          <a:fillRect/>
        </a:stretch>
      </xdr:blipFill>
      <xdr:spPr>
        <a:xfrm>
          <a:off x="1828800" y="13738860"/>
          <a:ext cx="1631950" cy="771313"/>
        </a:xfrm>
        <a:prstGeom prst="rect">
          <a:avLst/>
        </a:prstGeom>
      </xdr:spPr>
    </xdr:pic>
    <xdr:clientData/>
  </xdr:twoCellAnchor>
  <xdr:twoCellAnchor editAs="oneCell">
    <xdr:from>
      <xdr:col>2</xdr:col>
      <xdr:colOff>213360</xdr:colOff>
      <xdr:row>78</xdr:row>
      <xdr:rowOff>129540</xdr:rowOff>
    </xdr:from>
    <xdr:to>
      <xdr:col>4</xdr:col>
      <xdr:colOff>407738</xdr:colOff>
      <xdr:row>83</xdr:row>
      <xdr:rowOff>53340</xdr:rowOff>
    </xdr:to>
    <xdr:pic>
      <xdr:nvPicPr>
        <xdr:cNvPr id="42" name="Picture 41">
          <a:extLst>
            <a:ext uri="{FF2B5EF4-FFF2-40B4-BE49-F238E27FC236}">
              <a16:creationId xmlns:a16="http://schemas.microsoft.com/office/drawing/2014/main" id="{91245757-AC18-4BB7-882D-FBDB5FF041E5}"/>
            </a:ext>
          </a:extLst>
        </xdr:cNvPr>
        <xdr:cNvPicPr>
          <a:picLocks noChangeAspect="1"/>
        </xdr:cNvPicPr>
      </xdr:nvPicPr>
      <xdr:blipFill>
        <a:blip xmlns:r="http://schemas.openxmlformats.org/officeDocument/2006/relationships" r:embed="rId40"/>
        <a:stretch>
          <a:fillRect/>
        </a:stretch>
      </xdr:blipFill>
      <xdr:spPr>
        <a:xfrm>
          <a:off x="1981200" y="15041880"/>
          <a:ext cx="781118" cy="876300"/>
        </a:xfrm>
        <a:prstGeom prst="rect">
          <a:avLst/>
        </a:prstGeom>
      </xdr:spPr>
    </xdr:pic>
    <xdr:clientData/>
  </xdr:twoCellAnchor>
  <xdr:twoCellAnchor editAs="oneCell">
    <xdr:from>
      <xdr:col>2</xdr:col>
      <xdr:colOff>114300</xdr:colOff>
      <xdr:row>85</xdr:row>
      <xdr:rowOff>127634</xdr:rowOff>
    </xdr:from>
    <xdr:to>
      <xdr:col>4</xdr:col>
      <xdr:colOff>745038</xdr:colOff>
      <xdr:row>89</xdr:row>
      <xdr:rowOff>137159</xdr:rowOff>
    </xdr:to>
    <xdr:pic>
      <xdr:nvPicPr>
        <xdr:cNvPr id="43" name="Picture 42">
          <a:extLst>
            <a:ext uri="{FF2B5EF4-FFF2-40B4-BE49-F238E27FC236}">
              <a16:creationId xmlns:a16="http://schemas.microsoft.com/office/drawing/2014/main" id="{BE1B5DC2-47F2-4749-B106-DFB1349359C7}"/>
            </a:ext>
          </a:extLst>
        </xdr:cNvPr>
        <xdr:cNvPicPr>
          <a:picLocks noChangeAspect="1"/>
        </xdr:cNvPicPr>
      </xdr:nvPicPr>
      <xdr:blipFill>
        <a:blip xmlns:r="http://schemas.openxmlformats.org/officeDocument/2006/relationships" r:embed="rId42"/>
        <a:stretch>
          <a:fillRect/>
        </a:stretch>
      </xdr:blipFill>
      <xdr:spPr>
        <a:xfrm>
          <a:off x="1882140" y="16373474"/>
          <a:ext cx="1217478" cy="771525"/>
        </a:xfrm>
        <a:prstGeom prst="rect">
          <a:avLst/>
        </a:prstGeom>
      </xdr:spPr>
    </xdr:pic>
    <xdr:clientData/>
  </xdr:twoCellAnchor>
  <xdr:twoCellAnchor editAs="oneCell">
    <xdr:from>
      <xdr:col>2</xdr:col>
      <xdr:colOff>30480</xdr:colOff>
      <xdr:row>113</xdr:row>
      <xdr:rowOff>158114</xdr:rowOff>
    </xdr:from>
    <xdr:to>
      <xdr:col>4</xdr:col>
      <xdr:colOff>661218</xdr:colOff>
      <xdr:row>117</xdr:row>
      <xdr:rowOff>167639</xdr:rowOff>
    </xdr:to>
    <xdr:pic>
      <xdr:nvPicPr>
        <xdr:cNvPr id="45" name="Picture 44">
          <a:extLst>
            <a:ext uri="{FF2B5EF4-FFF2-40B4-BE49-F238E27FC236}">
              <a16:creationId xmlns:a16="http://schemas.microsoft.com/office/drawing/2014/main" id="{671EFAE2-F6F1-3C8D-1471-FE2F65C2E73D}"/>
            </a:ext>
          </a:extLst>
        </xdr:cNvPr>
        <xdr:cNvPicPr>
          <a:picLocks noChangeAspect="1"/>
        </xdr:cNvPicPr>
      </xdr:nvPicPr>
      <xdr:blipFill>
        <a:blip xmlns:r="http://schemas.openxmlformats.org/officeDocument/2006/relationships" r:embed="rId42"/>
        <a:stretch>
          <a:fillRect/>
        </a:stretch>
      </xdr:blipFill>
      <xdr:spPr>
        <a:xfrm>
          <a:off x="1798320" y="21356954"/>
          <a:ext cx="1217478" cy="771525"/>
        </a:xfrm>
        <a:prstGeom prst="rect">
          <a:avLst/>
        </a:prstGeom>
      </xdr:spPr>
    </xdr:pic>
    <xdr:clientData/>
  </xdr:twoCellAnchor>
  <xdr:twoCellAnchor editAs="oneCell">
    <xdr:from>
      <xdr:col>2</xdr:col>
      <xdr:colOff>53340</xdr:colOff>
      <xdr:row>106</xdr:row>
      <xdr:rowOff>83820</xdr:rowOff>
    </xdr:from>
    <xdr:to>
      <xdr:col>4</xdr:col>
      <xdr:colOff>247718</xdr:colOff>
      <xdr:row>111</xdr:row>
      <xdr:rowOff>7620</xdr:rowOff>
    </xdr:to>
    <xdr:pic>
      <xdr:nvPicPr>
        <xdr:cNvPr id="46" name="Picture 45">
          <a:extLst>
            <a:ext uri="{FF2B5EF4-FFF2-40B4-BE49-F238E27FC236}">
              <a16:creationId xmlns:a16="http://schemas.microsoft.com/office/drawing/2014/main" id="{1DEA3757-E4C2-0339-D69F-A30F658C11EC}"/>
            </a:ext>
          </a:extLst>
        </xdr:cNvPr>
        <xdr:cNvPicPr>
          <a:picLocks noChangeAspect="1"/>
        </xdr:cNvPicPr>
      </xdr:nvPicPr>
      <xdr:blipFill>
        <a:blip xmlns:r="http://schemas.openxmlformats.org/officeDocument/2006/relationships" r:embed="rId40"/>
        <a:stretch>
          <a:fillRect/>
        </a:stretch>
      </xdr:blipFill>
      <xdr:spPr>
        <a:xfrm>
          <a:off x="1821180" y="19949160"/>
          <a:ext cx="781118" cy="876300"/>
        </a:xfrm>
        <a:prstGeom prst="rect">
          <a:avLst/>
        </a:prstGeom>
      </xdr:spPr>
    </xdr:pic>
    <xdr:clientData/>
  </xdr:twoCellAnchor>
  <xdr:twoCellAnchor editAs="oneCell">
    <xdr:from>
      <xdr:col>2</xdr:col>
      <xdr:colOff>22860</xdr:colOff>
      <xdr:row>94</xdr:row>
      <xdr:rowOff>15240</xdr:rowOff>
    </xdr:from>
    <xdr:to>
      <xdr:col>4</xdr:col>
      <xdr:colOff>672032</xdr:colOff>
      <xdr:row>100</xdr:row>
      <xdr:rowOff>114300</xdr:rowOff>
    </xdr:to>
    <xdr:pic>
      <xdr:nvPicPr>
        <xdr:cNvPr id="47" name="Picture 46">
          <a:extLst>
            <a:ext uri="{FF2B5EF4-FFF2-40B4-BE49-F238E27FC236}">
              <a16:creationId xmlns:a16="http://schemas.microsoft.com/office/drawing/2014/main" id="{1DB81928-872A-EFE4-2FE8-4405F8CA3A94}"/>
            </a:ext>
          </a:extLst>
        </xdr:cNvPr>
        <xdr:cNvPicPr>
          <a:picLocks noChangeAspect="1"/>
        </xdr:cNvPicPr>
      </xdr:nvPicPr>
      <xdr:blipFill>
        <a:blip xmlns:r="http://schemas.openxmlformats.org/officeDocument/2006/relationships" r:embed="rId38"/>
        <a:stretch>
          <a:fillRect/>
        </a:stretch>
      </xdr:blipFill>
      <xdr:spPr>
        <a:xfrm>
          <a:off x="1790700" y="17975580"/>
          <a:ext cx="1235912" cy="1242060"/>
        </a:xfrm>
        <a:prstGeom prst="rect">
          <a:avLst/>
        </a:prstGeom>
      </xdr:spPr>
    </xdr:pic>
    <xdr:clientData/>
  </xdr:twoCellAnchor>
  <xdr:twoCellAnchor editAs="oneCell">
    <xdr:from>
      <xdr:col>2</xdr:col>
      <xdr:colOff>91440</xdr:colOff>
      <xdr:row>120</xdr:row>
      <xdr:rowOff>60960</xdr:rowOff>
    </xdr:from>
    <xdr:to>
      <xdr:col>4</xdr:col>
      <xdr:colOff>240023</xdr:colOff>
      <xdr:row>125</xdr:row>
      <xdr:rowOff>36883</xdr:rowOff>
    </xdr:to>
    <xdr:pic>
      <xdr:nvPicPr>
        <xdr:cNvPr id="49" name="Picture 48">
          <a:extLst>
            <a:ext uri="{FF2B5EF4-FFF2-40B4-BE49-F238E27FC236}">
              <a16:creationId xmlns:a16="http://schemas.microsoft.com/office/drawing/2014/main" id="{CD3DF198-E9C3-4580-91F1-FF6C52C31C8B}"/>
            </a:ext>
          </a:extLst>
        </xdr:cNvPr>
        <xdr:cNvPicPr>
          <a:picLocks noChangeAspect="1"/>
        </xdr:cNvPicPr>
      </xdr:nvPicPr>
      <xdr:blipFill>
        <a:blip xmlns:r="http://schemas.openxmlformats.org/officeDocument/2006/relationships" r:embed="rId43"/>
        <a:stretch>
          <a:fillRect/>
        </a:stretch>
      </xdr:blipFill>
      <xdr:spPr>
        <a:xfrm rot="16200000">
          <a:off x="1762730" y="22689850"/>
          <a:ext cx="928423" cy="735323"/>
        </a:xfrm>
        <a:prstGeom prst="rect">
          <a:avLst/>
        </a:prstGeom>
      </xdr:spPr>
    </xdr:pic>
    <xdr:clientData/>
  </xdr:twoCellAnchor>
  <xdr:twoCellAnchor editAs="oneCell">
    <xdr:from>
      <xdr:col>1</xdr:col>
      <xdr:colOff>541020</xdr:colOff>
      <xdr:row>147</xdr:row>
      <xdr:rowOff>182880</xdr:rowOff>
    </xdr:from>
    <xdr:to>
      <xdr:col>4</xdr:col>
      <xdr:colOff>381000</xdr:colOff>
      <xdr:row>152</xdr:row>
      <xdr:rowOff>11038</xdr:rowOff>
    </xdr:to>
    <xdr:pic>
      <xdr:nvPicPr>
        <xdr:cNvPr id="50" name="Picture 49">
          <a:extLst>
            <a:ext uri="{FF2B5EF4-FFF2-40B4-BE49-F238E27FC236}">
              <a16:creationId xmlns:a16="http://schemas.microsoft.com/office/drawing/2014/main" id="{3A29A21E-154C-4384-A547-9545B3B34F11}"/>
            </a:ext>
          </a:extLst>
        </xdr:cNvPr>
        <xdr:cNvPicPr>
          <a:picLocks noChangeAspect="1"/>
        </xdr:cNvPicPr>
      </xdr:nvPicPr>
      <xdr:blipFill>
        <a:blip xmlns:r="http://schemas.openxmlformats.org/officeDocument/2006/relationships" r:embed="rId44"/>
        <a:stretch>
          <a:fillRect/>
        </a:stretch>
      </xdr:blipFill>
      <xdr:spPr>
        <a:xfrm>
          <a:off x="1729740" y="27957780"/>
          <a:ext cx="1005840" cy="780658"/>
        </a:xfrm>
        <a:prstGeom prst="rect">
          <a:avLst/>
        </a:prstGeom>
      </xdr:spPr>
    </xdr:pic>
    <xdr:clientData/>
  </xdr:twoCellAnchor>
  <xdr:twoCellAnchor editAs="oneCell">
    <xdr:from>
      <xdr:col>1</xdr:col>
      <xdr:colOff>259080</xdr:colOff>
      <xdr:row>163</xdr:row>
      <xdr:rowOff>167640</xdr:rowOff>
    </xdr:from>
    <xdr:to>
      <xdr:col>3</xdr:col>
      <xdr:colOff>196281</xdr:colOff>
      <xdr:row>168</xdr:row>
      <xdr:rowOff>121920</xdr:rowOff>
    </xdr:to>
    <xdr:pic>
      <xdr:nvPicPr>
        <xdr:cNvPr id="51" name="Picture 50">
          <a:extLst>
            <a:ext uri="{FF2B5EF4-FFF2-40B4-BE49-F238E27FC236}">
              <a16:creationId xmlns:a16="http://schemas.microsoft.com/office/drawing/2014/main" id="{3FBC14FE-4543-D420-71B6-D338CC77991F}"/>
            </a:ext>
          </a:extLst>
        </xdr:cNvPr>
        <xdr:cNvPicPr>
          <a:picLocks noChangeAspect="1"/>
        </xdr:cNvPicPr>
      </xdr:nvPicPr>
      <xdr:blipFill>
        <a:blip xmlns:r="http://schemas.openxmlformats.org/officeDocument/2006/relationships" r:embed="rId45"/>
        <a:stretch>
          <a:fillRect/>
        </a:stretch>
      </xdr:blipFill>
      <xdr:spPr>
        <a:xfrm>
          <a:off x="1447800" y="30990540"/>
          <a:ext cx="828741" cy="922020"/>
        </a:xfrm>
        <a:prstGeom prst="rect">
          <a:avLst/>
        </a:prstGeom>
      </xdr:spPr>
    </xdr:pic>
    <xdr:clientData/>
  </xdr:twoCellAnchor>
  <xdr:twoCellAnchor editAs="oneCell">
    <xdr:from>
      <xdr:col>1</xdr:col>
      <xdr:colOff>274320</xdr:colOff>
      <xdr:row>173</xdr:row>
      <xdr:rowOff>15240</xdr:rowOff>
    </xdr:from>
    <xdr:to>
      <xdr:col>3</xdr:col>
      <xdr:colOff>251460</xdr:colOff>
      <xdr:row>177</xdr:row>
      <xdr:rowOff>181243</xdr:rowOff>
    </xdr:to>
    <xdr:pic>
      <xdr:nvPicPr>
        <xdr:cNvPr id="52" name="Picture 51">
          <a:extLst>
            <a:ext uri="{FF2B5EF4-FFF2-40B4-BE49-F238E27FC236}">
              <a16:creationId xmlns:a16="http://schemas.microsoft.com/office/drawing/2014/main" id="{681D696B-4729-610D-5562-14FA51D7EA2B}"/>
            </a:ext>
          </a:extLst>
        </xdr:cNvPr>
        <xdr:cNvPicPr>
          <a:picLocks noChangeAspect="1"/>
        </xdr:cNvPicPr>
      </xdr:nvPicPr>
      <xdr:blipFill>
        <a:blip xmlns:r="http://schemas.openxmlformats.org/officeDocument/2006/relationships" r:embed="rId46"/>
        <a:stretch>
          <a:fillRect/>
        </a:stretch>
      </xdr:blipFill>
      <xdr:spPr>
        <a:xfrm>
          <a:off x="1463040" y="32575500"/>
          <a:ext cx="868680" cy="943244"/>
        </a:xfrm>
        <a:prstGeom prst="rect">
          <a:avLst/>
        </a:prstGeom>
      </xdr:spPr>
    </xdr:pic>
    <xdr:clientData/>
  </xdr:twoCellAnchor>
  <xdr:twoCellAnchor editAs="oneCell">
    <xdr:from>
      <xdr:col>2</xdr:col>
      <xdr:colOff>0</xdr:colOff>
      <xdr:row>182</xdr:row>
      <xdr:rowOff>38100</xdr:rowOff>
    </xdr:from>
    <xdr:to>
      <xdr:col>4</xdr:col>
      <xdr:colOff>171450</xdr:colOff>
      <xdr:row>184</xdr:row>
      <xdr:rowOff>108984</xdr:rowOff>
    </xdr:to>
    <xdr:pic>
      <xdr:nvPicPr>
        <xdr:cNvPr id="53" name="Picture 52">
          <a:extLst>
            <a:ext uri="{FF2B5EF4-FFF2-40B4-BE49-F238E27FC236}">
              <a16:creationId xmlns:a16="http://schemas.microsoft.com/office/drawing/2014/main" id="{D685D0B9-4480-445F-9BDA-2410FC2DBA07}"/>
            </a:ext>
          </a:extLst>
        </xdr:cNvPr>
        <xdr:cNvPicPr>
          <a:picLocks noChangeAspect="1"/>
        </xdr:cNvPicPr>
      </xdr:nvPicPr>
      <xdr:blipFill>
        <a:blip xmlns:r="http://schemas.openxmlformats.org/officeDocument/2006/relationships" r:embed="rId47"/>
        <a:stretch>
          <a:fillRect/>
        </a:stretch>
      </xdr:blipFill>
      <xdr:spPr>
        <a:xfrm>
          <a:off x="1767840" y="34145220"/>
          <a:ext cx="758190" cy="451884"/>
        </a:xfrm>
        <a:prstGeom prst="rect">
          <a:avLst/>
        </a:prstGeom>
      </xdr:spPr>
    </xdr:pic>
    <xdr:clientData/>
  </xdr:twoCellAnchor>
  <xdr:twoCellAnchor editAs="oneCell">
    <xdr:from>
      <xdr:col>1</xdr:col>
      <xdr:colOff>297180</xdr:colOff>
      <xdr:row>193</xdr:row>
      <xdr:rowOff>0</xdr:rowOff>
    </xdr:from>
    <xdr:to>
      <xdr:col>3</xdr:col>
      <xdr:colOff>234381</xdr:colOff>
      <xdr:row>197</xdr:row>
      <xdr:rowOff>160020</xdr:rowOff>
    </xdr:to>
    <xdr:pic>
      <xdr:nvPicPr>
        <xdr:cNvPr id="54" name="Picture 53">
          <a:extLst>
            <a:ext uri="{FF2B5EF4-FFF2-40B4-BE49-F238E27FC236}">
              <a16:creationId xmlns:a16="http://schemas.microsoft.com/office/drawing/2014/main" id="{D8931861-37DE-4C12-8707-6E9F3D42CBA4}"/>
            </a:ext>
          </a:extLst>
        </xdr:cNvPr>
        <xdr:cNvPicPr>
          <a:picLocks noChangeAspect="1"/>
        </xdr:cNvPicPr>
      </xdr:nvPicPr>
      <xdr:blipFill>
        <a:blip xmlns:r="http://schemas.openxmlformats.org/officeDocument/2006/relationships" r:embed="rId45"/>
        <a:stretch>
          <a:fillRect/>
        </a:stretch>
      </xdr:blipFill>
      <xdr:spPr>
        <a:xfrm>
          <a:off x="1485900" y="36202620"/>
          <a:ext cx="828741" cy="922020"/>
        </a:xfrm>
        <a:prstGeom prst="rect">
          <a:avLst/>
        </a:prstGeom>
      </xdr:spPr>
    </xdr:pic>
    <xdr:clientData/>
  </xdr:twoCellAnchor>
  <xdr:twoCellAnchor editAs="oneCell">
    <xdr:from>
      <xdr:col>1</xdr:col>
      <xdr:colOff>251460</xdr:colOff>
      <xdr:row>202</xdr:row>
      <xdr:rowOff>0</xdr:rowOff>
    </xdr:from>
    <xdr:to>
      <xdr:col>3</xdr:col>
      <xdr:colOff>228600</xdr:colOff>
      <xdr:row>206</xdr:row>
      <xdr:rowOff>181244</xdr:rowOff>
    </xdr:to>
    <xdr:pic>
      <xdr:nvPicPr>
        <xdr:cNvPr id="55" name="Picture 54">
          <a:extLst>
            <a:ext uri="{FF2B5EF4-FFF2-40B4-BE49-F238E27FC236}">
              <a16:creationId xmlns:a16="http://schemas.microsoft.com/office/drawing/2014/main" id="{D56D9EA5-C93F-4B7A-AA25-C58A32CC893D}"/>
            </a:ext>
          </a:extLst>
        </xdr:cNvPr>
        <xdr:cNvPicPr>
          <a:picLocks noChangeAspect="1"/>
        </xdr:cNvPicPr>
      </xdr:nvPicPr>
      <xdr:blipFill>
        <a:blip xmlns:r="http://schemas.openxmlformats.org/officeDocument/2006/relationships" r:embed="rId46"/>
        <a:stretch>
          <a:fillRect/>
        </a:stretch>
      </xdr:blipFill>
      <xdr:spPr>
        <a:xfrm>
          <a:off x="1440180" y="37726620"/>
          <a:ext cx="868680" cy="943244"/>
        </a:xfrm>
        <a:prstGeom prst="rect">
          <a:avLst/>
        </a:prstGeom>
      </xdr:spPr>
    </xdr:pic>
    <xdr:clientData/>
  </xdr:twoCellAnchor>
  <xdr:twoCellAnchor editAs="oneCell">
    <xdr:from>
      <xdr:col>1</xdr:col>
      <xdr:colOff>327660</xdr:colOff>
      <xdr:row>218</xdr:row>
      <xdr:rowOff>0</xdr:rowOff>
    </xdr:from>
    <xdr:to>
      <xdr:col>3</xdr:col>
      <xdr:colOff>264861</xdr:colOff>
      <xdr:row>222</xdr:row>
      <xdr:rowOff>160020</xdr:rowOff>
    </xdr:to>
    <xdr:pic>
      <xdr:nvPicPr>
        <xdr:cNvPr id="56" name="Picture 55">
          <a:extLst>
            <a:ext uri="{FF2B5EF4-FFF2-40B4-BE49-F238E27FC236}">
              <a16:creationId xmlns:a16="http://schemas.microsoft.com/office/drawing/2014/main" id="{567FE3B6-3168-4B7A-9980-5377755345D3}"/>
            </a:ext>
          </a:extLst>
        </xdr:cNvPr>
        <xdr:cNvPicPr>
          <a:picLocks noChangeAspect="1"/>
        </xdr:cNvPicPr>
      </xdr:nvPicPr>
      <xdr:blipFill>
        <a:blip xmlns:r="http://schemas.openxmlformats.org/officeDocument/2006/relationships" r:embed="rId45"/>
        <a:stretch>
          <a:fillRect/>
        </a:stretch>
      </xdr:blipFill>
      <xdr:spPr>
        <a:xfrm>
          <a:off x="1516380" y="40584120"/>
          <a:ext cx="828741" cy="922020"/>
        </a:xfrm>
        <a:prstGeom prst="rect">
          <a:avLst/>
        </a:prstGeom>
      </xdr:spPr>
    </xdr:pic>
    <xdr:clientData/>
  </xdr:twoCellAnchor>
  <xdr:twoCellAnchor editAs="oneCell">
    <xdr:from>
      <xdr:col>1</xdr:col>
      <xdr:colOff>312420</xdr:colOff>
      <xdr:row>227</xdr:row>
      <xdr:rowOff>15240</xdr:rowOff>
    </xdr:from>
    <xdr:to>
      <xdr:col>4</xdr:col>
      <xdr:colOff>15240</xdr:colOff>
      <xdr:row>232</xdr:row>
      <xdr:rowOff>5984</xdr:rowOff>
    </xdr:to>
    <xdr:pic>
      <xdr:nvPicPr>
        <xdr:cNvPr id="57" name="Picture 56">
          <a:extLst>
            <a:ext uri="{FF2B5EF4-FFF2-40B4-BE49-F238E27FC236}">
              <a16:creationId xmlns:a16="http://schemas.microsoft.com/office/drawing/2014/main" id="{5DCAEAF5-4C9D-4D25-8A42-1ED7EE1A1658}"/>
            </a:ext>
          </a:extLst>
        </xdr:cNvPr>
        <xdr:cNvPicPr>
          <a:picLocks noChangeAspect="1"/>
        </xdr:cNvPicPr>
      </xdr:nvPicPr>
      <xdr:blipFill>
        <a:blip xmlns:r="http://schemas.openxmlformats.org/officeDocument/2006/relationships" r:embed="rId46"/>
        <a:stretch>
          <a:fillRect/>
        </a:stretch>
      </xdr:blipFill>
      <xdr:spPr>
        <a:xfrm>
          <a:off x="1501140" y="42123360"/>
          <a:ext cx="868680" cy="943244"/>
        </a:xfrm>
        <a:prstGeom prst="rect">
          <a:avLst/>
        </a:prstGeom>
      </xdr:spPr>
    </xdr:pic>
    <xdr:clientData/>
  </xdr:twoCellAnchor>
  <xdr:twoCellAnchor editAs="oneCell">
    <xdr:from>
      <xdr:col>1</xdr:col>
      <xdr:colOff>83820</xdr:colOff>
      <xdr:row>242</xdr:row>
      <xdr:rowOff>22860</xdr:rowOff>
    </xdr:from>
    <xdr:to>
      <xdr:col>3</xdr:col>
      <xdr:colOff>177212</xdr:colOff>
      <xdr:row>245</xdr:row>
      <xdr:rowOff>175260</xdr:rowOff>
    </xdr:to>
    <xdr:pic>
      <xdr:nvPicPr>
        <xdr:cNvPr id="58" name="Picture 57">
          <a:extLst>
            <a:ext uri="{FF2B5EF4-FFF2-40B4-BE49-F238E27FC236}">
              <a16:creationId xmlns:a16="http://schemas.microsoft.com/office/drawing/2014/main" id="{5D9A45DE-F46A-45AD-B5ED-2F6107D6DEC9}"/>
            </a:ext>
          </a:extLst>
        </xdr:cNvPr>
        <xdr:cNvPicPr>
          <a:picLocks noChangeAspect="1"/>
        </xdr:cNvPicPr>
      </xdr:nvPicPr>
      <xdr:blipFill>
        <a:blip xmlns:r="http://schemas.openxmlformats.org/officeDocument/2006/relationships" r:embed="rId48"/>
        <a:stretch>
          <a:fillRect/>
        </a:stretch>
      </xdr:blipFill>
      <xdr:spPr>
        <a:xfrm>
          <a:off x="1272540" y="44797980"/>
          <a:ext cx="984932" cy="723900"/>
        </a:xfrm>
        <a:prstGeom prst="rect">
          <a:avLst/>
        </a:prstGeom>
      </xdr:spPr>
    </xdr:pic>
    <xdr:clientData/>
  </xdr:twoCellAnchor>
  <xdr:twoCellAnchor editAs="oneCell">
    <xdr:from>
      <xdr:col>1</xdr:col>
      <xdr:colOff>411480</xdr:colOff>
      <xdr:row>236</xdr:row>
      <xdr:rowOff>38100</xdr:rowOff>
    </xdr:from>
    <xdr:to>
      <xdr:col>3</xdr:col>
      <xdr:colOff>60960</xdr:colOff>
      <xdr:row>240</xdr:row>
      <xdr:rowOff>69606</xdr:rowOff>
    </xdr:to>
    <xdr:pic>
      <xdr:nvPicPr>
        <xdr:cNvPr id="59" name="Picture 58">
          <a:extLst>
            <a:ext uri="{FF2B5EF4-FFF2-40B4-BE49-F238E27FC236}">
              <a16:creationId xmlns:a16="http://schemas.microsoft.com/office/drawing/2014/main" id="{9D4FF79E-B149-47B1-A367-8FC3EA8E3E4A}"/>
            </a:ext>
          </a:extLst>
        </xdr:cNvPr>
        <xdr:cNvPicPr>
          <a:picLocks noChangeAspect="1"/>
        </xdr:cNvPicPr>
      </xdr:nvPicPr>
      <xdr:blipFill>
        <a:blip xmlns:r="http://schemas.openxmlformats.org/officeDocument/2006/relationships" r:embed="rId49"/>
        <a:stretch>
          <a:fillRect/>
        </a:stretch>
      </xdr:blipFill>
      <xdr:spPr>
        <a:xfrm>
          <a:off x="1600200" y="43670220"/>
          <a:ext cx="541020" cy="793506"/>
        </a:xfrm>
        <a:prstGeom prst="rect">
          <a:avLst/>
        </a:prstGeom>
      </xdr:spPr>
    </xdr:pic>
    <xdr:clientData/>
  </xdr:twoCellAnchor>
  <xdr:twoCellAnchor editAs="oneCell">
    <xdr:from>
      <xdr:col>1</xdr:col>
      <xdr:colOff>502920</xdr:colOff>
      <xdr:row>210</xdr:row>
      <xdr:rowOff>182880</xdr:rowOff>
    </xdr:from>
    <xdr:to>
      <xdr:col>3</xdr:col>
      <xdr:colOff>152400</xdr:colOff>
      <xdr:row>215</xdr:row>
      <xdr:rowOff>23886</xdr:rowOff>
    </xdr:to>
    <xdr:pic>
      <xdr:nvPicPr>
        <xdr:cNvPr id="60" name="Picture 59">
          <a:extLst>
            <a:ext uri="{FF2B5EF4-FFF2-40B4-BE49-F238E27FC236}">
              <a16:creationId xmlns:a16="http://schemas.microsoft.com/office/drawing/2014/main" id="{BCE192F3-E7DF-4462-ADC1-543218028C9A}"/>
            </a:ext>
          </a:extLst>
        </xdr:cNvPr>
        <xdr:cNvPicPr>
          <a:picLocks noChangeAspect="1"/>
        </xdr:cNvPicPr>
      </xdr:nvPicPr>
      <xdr:blipFill>
        <a:blip xmlns:r="http://schemas.openxmlformats.org/officeDocument/2006/relationships" r:embed="rId49"/>
        <a:stretch>
          <a:fillRect/>
        </a:stretch>
      </xdr:blipFill>
      <xdr:spPr>
        <a:xfrm>
          <a:off x="1691640" y="39243000"/>
          <a:ext cx="541020" cy="793506"/>
        </a:xfrm>
        <a:prstGeom prst="rect">
          <a:avLst/>
        </a:prstGeom>
      </xdr:spPr>
    </xdr:pic>
    <xdr:clientData/>
  </xdr:twoCellAnchor>
  <xdr:twoCellAnchor editAs="oneCell">
    <xdr:from>
      <xdr:col>1</xdr:col>
      <xdr:colOff>571500</xdr:colOff>
      <xdr:row>186</xdr:row>
      <xdr:rowOff>22860</xdr:rowOff>
    </xdr:from>
    <xdr:to>
      <xdr:col>3</xdr:col>
      <xdr:colOff>220980</xdr:colOff>
      <xdr:row>190</xdr:row>
      <xdr:rowOff>54366</xdr:rowOff>
    </xdr:to>
    <xdr:pic>
      <xdr:nvPicPr>
        <xdr:cNvPr id="61" name="Picture 60">
          <a:extLst>
            <a:ext uri="{FF2B5EF4-FFF2-40B4-BE49-F238E27FC236}">
              <a16:creationId xmlns:a16="http://schemas.microsoft.com/office/drawing/2014/main" id="{8F1F2F5A-49CB-4545-9CDC-98C1A62DB12E}"/>
            </a:ext>
          </a:extLst>
        </xdr:cNvPr>
        <xdr:cNvPicPr>
          <a:picLocks noChangeAspect="1"/>
        </xdr:cNvPicPr>
      </xdr:nvPicPr>
      <xdr:blipFill>
        <a:blip xmlns:r="http://schemas.openxmlformats.org/officeDocument/2006/relationships" r:embed="rId49"/>
        <a:stretch>
          <a:fillRect/>
        </a:stretch>
      </xdr:blipFill>
      <xdr:spPr>
        <a:xfrm>
          <a:off x="1760220" y="34891980"/>
          <a:ext cx="541020" cy="793506"/>
        </a:xfrm>
        <a:prstGeom prst="rect">
          <a:avLst/>
        </a:prstGeom>
      </xdr:spPr>
    </xdr:pic>
    <xdr:clientData/>
  </xdr:twoCellAnchor>
  <xdr:twoCellAnchor editAs="oneCell">
    <xdr:from>
      <xdr:col>5</xdr:col>
      <xdr:colOff>889908</xdr:colOff>
      <xdr:row>308</xdr:row>
      <xdr:rowOff>119741</xdr:rowOff>
    </xdr:from>
    <xdr:to>
      <xdr:col>6</xdr:col>
      <xdr:colOff>478798</xdr:colOff>
      <xdr:row>313</xdr:row>
      <xdr:rowOff>99185</xdr:rowOff>
    </xdr:to>
    <xdr:pic>
      <xdr:nvPicPr>
        <xdr:cNvPr id="9" name="Picture 8">
          <a:extLst>
            <a:ext uri="{FF2B5EF4-FFF2-40B4-BE49-F238E27FC236}">
              <a16:creationId xmlns:a16="http://schemas.microsoft.com/office/drawing/2014/main" id="{B6329510-6899-4CB8-BFB0-D13243E45F3E}"/>
            </a:ext>
          </a:extLst>
        </xdr:cNvPr>
        <xdr:cNvPicPr>
          <a:picLocks noChangeAspect="1"/>
        </xdr:cNvPicPr>
      </xdr:nvPicPr>
      <xdr:blipFill>
        <a:blip xmlns:r="http://schemas.openxmlformats.org/officeDocument/2006/relationships" r:embed="rId50"/>
        <a:stretch>
          <a:fillRect/>
        </a:stretch>
      </xdr:blipFill>
      <xdr:spPr>
        <a:xfrm rot="16200000">
          <a:off x="3824274" y="61280461"/>
          <a:ext cx="959158" cy="514176"/>
        </a:xfrm>
        <a:prstGeom prst="rect">
          <a:avLst/>
        </a:prstGeom>
      </xdr:spPr>
    </xdr:pic>
    <xdr:clientData/>
  </xdr:twoCellAnchor>
  <xdr:twoCellAnchor editAs="oneCell">
    <xdr:from>
      <xdr:col>6</xdr:col>
      <xdr:colOff>51430</xdr:colOff>
      <xdr:row>314</xdr:row>
      <xdr:rowOff>100970</xdr:rowOff>
    </xdr:from>
    <xdr:to>
      <xdr:col>6</xdr:col>
      <xdr:colOff>516290</xdr:colOff>
      <xdr:row>318</xdr:row>
      <xdr:rowOff>154381</xdr:rowOff>
    </xdr:to>
    <xdr:pic>
      <xdr:nvPicPr>
        <xdr:cNvPr id="10" name="Picture 9">
          <a:extLst>
            <a:ext uri="{FF2B5EF4-FFF2-40B4-BE49-F238E27FC236}">
              <a16:creationId xmlns:a16="http://schemas.microsoft.com/office/drawing/2014/main" id="{933A8C15-30E0-4754-AFFA-A8044C742650}"/>
            </a:ext>
          </a:extLst>
        </xdr:cNvPr>
        <xdr:cNvPicPr>
          <a:picLocks noChangeAspect="1"/>
        </xdr:cNvPicPr>
      </xdr:nvPicPr>
      <xdr:blipFill>
        <a:blip xmlns:r="http://schemas.openxmlformats.org/officeDocument/2006/relationships" r:embed="rId51"/>
        <a:stretch>
          <a:fillRect/>
        </a:stretch>
      </xdr:blipFill>
      <xdr:spPr>
        <a:xfrm rot="16200000">
          <a:off x="3960474" y="57052866"/>
          <a:ext cx="815411" cy="464860"/>
        </a:xfrm>
        <a:prstGeom prst="rect">
          <a:avLst/>
        </a:prstGeom>
      </xdr:spPr>
    </xdr:pic>
    <xdr:clientData/>
  </xdr:twoCellAnchor>
  <xdr:twoCellAnchor editAs="oneCell">
    <xdr:from>
      <xdr:col>6</xdr:col>
      <xdr:colOff>43817</xdr:colOff>
      <xdr:row>320</xdr:row>
      <xdr:rowOff>108584</xdr:rowOff>
    </xdr:from>
    <xdr:to>
      <xdr:col>6</xdr:col>
      <xdr:colOff>428339</xdr:colOff>
      <xdr:row>324</xdr:row>
      <xdr:rowOff>104796</xdr:rowOff>
    </xdr:to>
    <xdr:pic>
      <xdr:nvPicPr>
        <xdr:cNvPr id="12" name="Picture 11">
          <a:extLst>
            <a:ext uri="{FF2B5EF4-FFF2-40B4-BE49-F238E27FC236}">
              <a16:creationId xmlns:a16="http://schemas.microsoft.com/office/drawing/2014/main" id="{F2F058D7-6E8B-47E4-B9AA-9E478013FDBF}"/>
            </a:ext>
          </a:extLst>
        </xdr:cNvPr>
        <xdr:cNvPicPr>
          <a:picLocks noChangeAspect="1"/>
        </xdr:cNvPicPr>
      </xdr:nvPicPr>
      <xdr:blipFill>
        <a:blip xmlns:r="http://schemas.openxmlformats.org/officeDocument/2006/relationships" r:embed="rId52"/>
        <a:stretch>
          <a:fillRect/>
        </a:stretch>
      </xdr:blipFill>
      <xdr:spPr>
        <a:xfrm rot="16200000">
          <a:off x="3941292" y="58024549"/>
          <a:ext cx="758212" cy="384522"/>
        </a:xfrm>
        <a:prstGeom prst="rect">
          <a:avLst/>
        </a:prstGeom>
      </xdr:spPr>
    </xdr:pic>
    <xdr:clientData/>
  </xdr:twoCellAnchor>
  <xdr:twoCellAnchor>
    <xdr:from>
      <xdr:col>5</xdr:col>
      <xdr:colOff>837186</xdr:colOff>
      <xdr:row>278</xdr:row>
      <xdr:rowOff>185056</xdr:rowOff>
    </xdr:from>
    <xdr:to>
      <xdr:col>6</xdr:col>
      <xdr:colOff>377558</xdr:colOff>
      <xdr:row>283</xdr:row>
      <xdr:rowOff>126884</xdr:rowOff>
    </xdr:to>
    <xdr:pic>
      <xdr:nvPicPr>
        <xdr:cNvPr id="13" name="Picture 12">
          <a:extLst>
            <a:ext uri="{FF2B5EF4-FFF2-40B4-BE49-F238E27FC236}">
              <a16:creationId xmlns:a16="http://schemas.microsoft.com/office/drawing/2014/main" id="{FD02FEB4-893E-5812-CCC0-F9C5C58BDBDA}"/>
            </a:ext>
          </a:extLst>
        </xdr:cNvPr>
        <xdr:cNvPicPr>
          <a:picLocks noChangeAspect="1"/>
        </xdr:cNvPicPr>
      </xdr:nvPicPr>
      <xdr:blipFill>
        <a:blip xmlns:r="http://schemas.openxmlformats.org/officeDocument/2006/relationships" r:embed="rId50"/>
        <a:stretch>
          <a:fillRect/>
        </a:stretch>
      </xdr:blipFill>
      <xdr:spPr>
        <a:xfrm rot="16200000">
          <a:off x="3766101" y="55472941"/>
          <a:ext cx="921542" cy="465658"/>
        </a:xfrm>
        <a:prstGeom prst="rect">
          <a:avLst/>
        </a:prstGeom>
      </xdr:spPr>
    </xdr:pic>
    <xdr:clientData/>
  </xdr:twoCellAnchor>
  <xdr:twoCellAnchor>
    <xdr:from>
      <xdr:col>5</xdr:col>
      <xdr:colOff>844999</xdr:colOff>
      <xdr:row>284</xdr:row>
      <xdr:rowOff>190233</xdr:rowOff>
    </xdr:from>
    <xdr:to>
      <xdr:col>6</xdr:col>
      <xdr:colOff>387839</xdr:colOff>
      <xdr:row>289</xdr:row>
      <xdr:rowOff>47701</xdr:rowOff>
    </xdr:to>
    <xdr:pic>
      <xdr:nvPicPr>
        <xdr:cNvPr id="17" name="Picture 16">
          <a:extLst>
            <a:ext uri="{FF2B5EF4-FFF2-40B4-BE49-F238E27FC236}">
              <a16:creationId xmlns:a16="http://schemas.microsoft.com/office/drawing/2014/main" id="{20E24EF0-DAD0-84D6-4E5B-7B1FD403FFFD}"/>
            </a:ext>
          </a:extLst>
        </xdr:cNvPr>
        <xdr:cNvPicPr>
          <a:picLocks noChangeAspect="1"/>
        </xdr:cNvPicPr>
      </xdr:nvPicPr>
      <xdr:blipFill>
        <a:blip xmlns:r="http://schemas.openxmlformats.org/officeDocument/2006/relationships" r:embed="rId51"/>
        <a:stretch>
          <a:fillRect/>
        </a:stretch>
      </xdr:blipFill>
      <xdr:spPr>
        <a:xfrm rot="16200000">
          <a:off x="3817328" y="56610361"/>
          <a:ext cx="837182" cy="468126"/>
        </a:xfrm>
        <a:prstGeom prst="rect">
          <a:avLst/>
        </a:prstGeom>
      </xdr:spPr>
    </xdr:pic>
    <xdr:clientData/>
  </xdr:twoCellAnchor>
  <xdr:twoCellAnchor editAs="oneCell">
    <xdr:from>
      <xdr:col>6</xdr:col>
      <xdr:colOff>6804</xdr:colOff>
      <xdr:row>291</xdr:row>
      <xdr:rowOff>59598</xdr:rowOff>
    </xdr:from>
    <xdr:to>
      <xdr:col>6</xdr:col>
      <xdr:colOff>394592</xdr:colOff>
      <xdr:row>295</xdr:row>
      <xdr:rowOff>55811</xdr:rowOff>
    </xdr:to>
    <xdr:pic>
      <xdr:nvPicPr>
        <xdr:cNvPr id="18" name="Picture 17">
          <a:extLst>
            <a:ext uri="{FF2B5EF4-FFF2-40B4-BE49-F238E27FC236}">
              <a16:creationId xmlns:a16="http://schemas.microsoft.com/office/drawing/2014/main" id="{E4BEA613-E3F8-1E4C-7791-6665203CD53A}"/>
            </a:ext>
          </a:extLst>
        </xdr:cNvPr>
        <xdr:cNvPicPr>
          <a:picLocks noChangeAspect="1"/>
        </xdr:cNvPicPr>
      </xdr:nvPicPr>
      <xdr:blipFill>
        <a:blip xmlns:r="http://schemas.openxmlformats.org/officeDocument/2006/relationships" r:embed="rId52"/>
        <a:stretch>
          <a:fillRect/>
        </a:stretch>
      </xdr:blipFill>
      <xdr:spPr>
        <a:xfrm rot="16200000">
          <a:off x="3892849" y="57862896"/>
          <a:ext cx="779984" cy="387788"/>
        </a:xfrm>
        <a:prstGeom prst="rect">
          <a:avLst/>
        </a:prstGeom>
      </xdr:spPr>
    </xdr:pic>
    <xdr:clientData/>
  </xdr:twoCellAnchor>
  <xdr:twoCellAnchor editAs="oneCell">
    <xdr:from>
      <xdr:col>6</xdr:col>
      <xdr:colOff>14419</xdr:colOff>
      <xdr:row>297</xdr:row>
      <xdr:rowOff>16061</xdr:rowOff>
    </xdr:from>
    <xdr:to>
      <xdr:col>6</xdr:col>
      <xdr:colOff>482545</xdr:colOff>
      <xdr:row>301</xdr:row>
      <xdr:rowOff>69472</xdr:rowOff>
    </xdr:to>
    <xdr:pic>
      <xdr:nvPicPr>
        <xdr:cNvPr id="19" name="Picture 18">
          <a:extLst>
            <a:ext uri="{FF2B5EF4-FFF2-40B4-BE49-F238E27FC236}">
              <a16:creationId xmlns:a16="http://schemas.microsoft.com/office/drawing/2014/main" id="{EF92D385-73B9-326C-3F47-CD2437DB3EA8}"/>
            </a:ext>
          </a:extLst>
        </xdr:cNvPr>
        <xdr:cNvPicPr>
          <a:picLocks noChangeAspect="1"/>
        </xdr:cNvPicPr>
      </xdr:nvPicPr>
      <xdr:blipFill>
        <a:blip xmlns:r="http://schemas.openxmlformats.org/officeDocument/2006/relationships" r:embed="rId51"/>
        <a:stretch>
          <a:fillRect/>
        </a:stretch>
      </xdr:blipFill>
      <xdr:spPr>
        <a:xfrm rot="16200000">
          <a:off x="3912033" y="58983447"/>
          <a:ext cx="837183" cy="468126"/>
        </a:xfrm>
        <a:prstGeom prst="rect">
          <a:avLst/>
        </a:prstGeom>
      </xdr:spPr>
    </xdr:pic>
    <xdr:clientData/>
  </xdr:twoCellAnchor>
  <xdr:twoCellAnchor editAs="oneCell">
    <xdr:from>
      <xdr:col>6</xdr:col>
      <xdr:colOff>39462</xdr:colOff>
      <xdr:row>302</xdr:row>
      <xdr:rowOff>186961</xdr:rowOff>
    </xdr:from>
    <xdr:to>
      <xdr:col>6</xdr:col>
      <xdr:colOff>427250</xdr:colOff>
      <xdr:row>306</xdr:row>
      <xdr:rowOff>183173</xdr:rowOff>
    </xdr:to>
    <xdr:pic>
      <xdr:nvPicPr>
        <xdr:cNvPr id="21" name="Picture 20">
          <a:extLst>
            <a:ext uri="{FF2B5EF4-FFF2-40B4-BE49-F238E27FC236}">
              <a16:creationId xmlns:a16="http://schemas.microsoft.com/office/drawing/2014/main" id="{B482D269-1D9B-DCAB-B0DE-6650423DF545}"/>
            </a:ext>
          </a:extLst>
        </xdr:cNvPr>
        <xdr:cNvPicPr>
          <a:picLocks noChangeAspect="1"/>
        </xdr:cNvPicPr>
      </xdr:nvPicPr>
      <xdr:blipFill>
        <a:blip xmlns:r="http://schemas.openxmlformats.org/officeDocument/2006/relationships" r:embed="rId52"/>
        <a:stretch>
          <a:fillRect/>
        </a:stretch>
      </xdr:blipFill>
      <xdr:spPr>
        <a:xfrm rot="16200000">
          <a:off x="3925507" y="60145630"/>
          <a:ext cx="779984" cy="387788"/>
        </a:xfrm>
        <a:prstGeom prst="rect">
          <a:avLst/>
        </a:prstGeom>
      </xdr:spPr>
    </xdr:pic>
    <xdr:clientData/>
  </xdr:twoCellAnchor>
  <xdr:twoCellAnchor editAs="oneCell">
    <xdr:from>
      <xdr:col>5</xdr:col>
      <xdr:colOff>691516</xdr:colOff>
      <xdr:row>538</xdr:row>
      <xdr:rowOff>139064</xdr:rowOff>
    </xdr:from>
    <xdr:to>
      <xdr:col>6</xdr:col>
      <xdr:colOff>154018</xdr:colOff>
      <xdr:row>542</xdr:row>
      <xdr:rowOff>135276</xdr:rowOff>
    </xdr:to>
    <xdr:pic>
      <xdr:nvPicPr>
        <xdr:cNvPr id="28" name="Picture 27">
          <a:extLst>
            <a:ext uri="{FF2B5EF4-FFF2-40B4-BE49-F238E27FC236}">
              <a16:creationId xmlns:a16="http://schemas.microsoft.com/office/drawing/2014/main" id="{22041F05-C5A1-4DA8-9CD1-E2D352418D10}"/>
            </a:ext>
          </a:extLst>
        </xdr:cNvPr>
        <xdr:cNvPicPr>
          <a:picLocks noChangeAspect="1"/>
        </xdr:cNvPicPr>
      </xdr:nvPicPr>
      <xdr:blipFill>
        <a:blip xmlns:r="http://schemas.openxmlformats.org/officeDocument/2006/relationships" r:embed="rId52"/>
        <a:stretch>
          <a:fillRect/>
        </a:stretch>
      </xdr:blipFill>
      <xdr:spPr>
        <a:xfrm rot="16200000">
          <a:off x="3666971" y="99660229"/>
          <a:ext cx="758212" cy="384522"/>
        </a:xfrm>
        <a:prstGeom prst="rect">
          <a:avLst/>
        </a:prstGeom>
      </xdr:spPr>
    </xdr:pic>
    <xdr:clientData/>
  </xdr:twoCellAnchor>
  <xdr:twoCellAnchor editAs="oneCell">
    <xdr:from>
      <xdr:col>5</xdr:col>
      <xdr:colOff>819151</xdr:colOff>
      <xdr:row>489</xdr:row>
      <xdr:rowOff>67492</xdr:rowOff>
    </xdr:from>
    <xdr:to>
      <xdr:col>6</xdr:col>
      <xdr:colOff>356332</xdr:colOff>
      <xdr:row>493</xdr:row>
      <xdr:rowOff>143713</xdr:rowOff>
    </xdr:to>
    <xdr:pic>
      <xdr:nvPicPr>
        <xdr:cNvPr id="29" name="Picture 28">
          <a:extLst>
            <a:ext uri="{FF2B5EF4-FFF2-40B4-BE49-F238E27FC236}">
              <a16:creationId xmlns:a16="http://schemas.microsoft.com/office/drawing/2014/main" id="{1D615A32-A457-6B77-1DC5-E0FA48D9B1DF}"/>
            </a:ext>
          </a:extLst>
        </xdr:cNvPr>
        <xdr:cNvPicPr>
          <a:picLocks noChangeAspect="1"/>
        </xdr:cNvPicPr>
      </xdr:nvPicPr>
      <xdr:blipFill>
        <a:blip xmlns:r="http://schemas.openxmlformats.org/officeDocument/2006/relationships" r:embed="rId50"/>
        <a:stretch>
          <a:fillRect/>
        </a:stretch>
      </xdr:blipFill>
      <xdr:spPr>
        <a:xfrm rot="16200000">
          <a:off x="3777246" y="99304483"/>
          <a:ext cx="859992" cy="462467"/>
        </a:xfrm>
        <a:prstGeom prst="rect">
          <a:avLst/>
        </a:prstGeom>
      </xdr:spPr>
    </xdr:pic>
    <xdr:clientData/>
  </xdr:twoCellAnchor>
  <xdr:twoCellAnchor editAs="oneCell">
    <xdr:from>
      <xdr:col>5</xdr:col>
      <xdr:colOff>836806</xdr:colOff>
      <xdr:row>503</xdr:row>
      <xdr:rowOff>78921</xdr:rowOff>
    </xdr:from>
    <xdr:to>
      <xdr:col>6</xdr:col>
      <xdr:colOff>352683</xdr:colOff>
      <xdr:row>507</xdr:row>
      <xdr:rowOff>133099</xdr:rowOff>
    </xdr:to>
    <xdr:pic>
      <xdr:nvPicPr>
        <xdr:cNvPr id="32" name="Picture 31">
          <a:extLst>
            <a:ext uri="{FF2B5EF4-FFF2-40B4-BE49-F238E27FC236}">
              <a16:creationId xmlns:a16="http://schemas.microsoft.com/office/drawing/2014/main" id="{6CF7BDA5-0106-620D-66D7-3AC2C5CCFDB9}"/>
            </a:ext>
          </a:extLst>
        </xdr:cNvPr>
        <xdr:cNvPicPr>
          <a:picLocks noChangeAspect="1"/>
        </xdr:cNvPicPr>
      </xdr:nvPicPr>
      <xdr:blipFill>
        <a:blip xmlns:r="http://schemas.openxmlformats.org/officeDocument/2006/relationships" r:embed="rId52"/>
        <a:stretch>
          <a:fillRect/>
        </a:stretch>
      </xdr:blipFill>
      <xdr:spPr>
        <a:xfrm rot="16200000">
          <a:off x="3795270" y="102058743"/>
          <a:ext cx="837949" cy="441163"/>
        </a:xfrm>
        <a:prstGeom prst="rect">
          <a:avLst/>
        </a:prstGeom>
      </xdr:spPr>
    </xdr:pic>
    <xdr:clientData/>
  </xdr:twoCellAnchor>
  <xdr:twoCellAnchor editAs="oneCell">
    <xdr:from>
      <xdr:col>1</xdr:col>
      <xdr:colOff>76200</xdr:colOff>
      <xdr:row>254</xdr:row>
      <xdr:rowOff>30480</xdr:rowOff>
    </xdr:from>
    <xdr:to>
      <xdr:col>4</xdr:col>
      <xdr:colOff>122402</xdr:colOff>
      <xdr:row>261</xdr:row>
      <xdr:rowOff>91440</xdr:rowOff>
    </xdr:to>
    <xdr:pic>
      <xdr:nvPicPr>
        <xdr:cNvPr id="4" name="Picture 3">
          <a:extLst>
            <a:ext uri="{FF2B5EF4-FFF2-40B4-BE49-F238E27FC236}">
              <a16:creationId xmlns:a16="http://schemas.microsoft.com/office/drawing/2014/main" id="{9105973D-022C-4AD5-9565-B9B60366AC63}"/>
            </a:ext>
          </a:extLst>
        </xdr:cNvPr>
        <xdr:cNvPicPr>
          <a:picLocks noChangeAspect="1"/>
        </xdr:cNvPicPr>
      </xdr:nvPicPr>
      <xdr:blipFill>
        <a:blip xmlns:r="http://schemas.openxmlformats.org/officeDocument/2006/relationships" r:embed="rId53"/>
        <a:stretch>
          <a:fillRect/>
        </a:stretch>
      </xdr:blipFill>
      <xdr:spPr>
        <a:xfrm>
          <a:off x="1264920" y="47091600"/>
          <a:ext cx="1212062" cy="1394460"/>
        </a:xfrm>
        <a:prstGeom prst="rect">
          <a:avLst/>
        </a:prstGeom>
      </xdr:spPr>
    </xdr:pic>
    <xdr:clientData/>
  </xdr:twoCellAnchor>
  <xdr:twoCellAnchor editAs="oneCell">
    <xdr:from>
      <xdr:col>1</xdr:col>
      <xdr:colOff>60960</xdr:colOff>
      <xdr:row>478</xdr:row>
      <xdr:rowOff>38100</xdr:rowOff>
    </xdr:from>
    <xdr:to>
      <xdr:col>3</xdr:col>
      <xdr:colOff>198209</xdr:colOff>
      <xdr:row>484</xdr:row>
      <xdr:rowOff>96</xdr:rowOff>
    </xdr:to>
    <xdr:pic>
      <xdr:nvPicPr>
        <xdr:cNvPr id="6" name="Picture 5">
          <a:extLst>
            <a:ext uri="{FF2B5EF4-FFF2-40B4-BE49-F238E27FC236}">
              <a16:creationId xmlns:a16="http://schemas.microsoft.com/office/drawing/2014/main" id="{0E747B42-1D3A-4EFC-A6C2-3E29C18A2DBD}"/>
            </a:ext>
          </a:extLst>
        </xdr:cNvPr>
        <xdr:cNvPicPr>
          <a:picLocks noChangeAspect="1"/>
        </xdr:cNvPicPr>
      </xdr:nvPicPr>
      <xdr:blipFill>
        <a:blip xmlns:r="http://schemas.openxmlformats.org/officeDocument/2006/relationships" r:embed="rId54"/>
        <a:stretch>
          <a:fillRect/>
        </a:stretch>
      </xdr:blipFill>
      <xdr:spPr>
        <a:xfrm>
          <a:off x="1249680" y="88132920"/>
          <a:ext cx="1028789" cy="1104996"/>
        </a:xfrm>
        <a:prstGeom prst="rect">
          <a:avLst/>
        </a:prstGeom>
      </xdr:spPr>
    </xdr:pic>
    <xdr:clientData/>
  </xdr:twoCellAnchor>
  <xdr:twoCellAnchor editAs="oneCell">
    <xdr:from>
      <xdr:col>0</xdr:col>
      <xdr:colOff>1150620</xdr:colOff>
      <xdr:row>466</xdr:row>
      <xdr:rowOff>167640</xdr:rowOff>
    </xdr:from>
    <xdr:to>
      <xdr:col>4</xdr:col>
      <xdr:colOff>91552</xdr:colOff>
      <xdr:row>472</xdr:row>
      <xdr:rowOff>167541</xdr:rowOff>
    </xdr:to>
    <xdr:pic>
      <xdr:nvPicPr>
        <xdr:cNvPr id="23" name="Picture 22">
          <a:extLst>
            <a:ext uri="{FF2B5EF4-FFF2-40B4-BE49-F238E27FC236}">
              <a16:creationId xmlns:a16="http://schemas.microsoft.com/office/drawing/2014/main" id="{82F211BA-7724-4DFB-912D-835C81989956}"/>
            </a:ext>
          </a:extLst>
        </xdr:cNvPr>
        <xdr:cNvPicPr>
          <a:picLocks noChangeAspect="1"/>
        </xdr:cNvPicPr>
      </xdr:nvPicPr>
      <xdr:blipFill>
        <a:blip xmlns:r="http://schemas.openxmlformats.org/officeDocument/2006/relationships" r:embed="rId55"/>
        <a:stretch>
          <a:fillRect/>
        </a:stretch>
      </xdr:blipFill>
      <xdr:spPr>
        <a:xfrm flipV="1">
          <a:off x="1150620" y="86166960"/>
          <a:ext cx="1295512" cy="1142901"/>
        </a:xfrm>
        <a:prstGeom prst="rect">
          <a:avLst/>
        </a:prstGeom>
      </xdr:spPr>
    </xdr:pic>
    <xdr:clientData/>
  </xdr:twoCellAnchor>
  <xdr:twoCellAnchor editAs="oneCell">
    <xdr:from>
      <xdr:col>1</xdr:col>
      <xdr:colOff>60960</xdr:colOff>
      <xdr:row>455</xdr:row>
      <xdr:rowOff>15240</xdr:rowOff>
    </xdr:from>
    <xdr:to>
      <xdr:col>3</xdr:col>
      <xdr:colOff>198209</xdr:colOff>
      <xdr:row>460</xdr:row>
      <xdr:rowOff>167736</xdr:rowOff>
    </xdr:to>
    <xdr:pic>
      <xdr:nvPicPr>
        <xdr:cNvPr id="34" name="Picture 33">
          <a:extLst>
            <a:ext uri="{FF2B5EF4-FFF2-40B4-BE49-F238E27FC236}">
              <a16:creationId xmlns:a16="http://schemas.microsoft.com/office/drawing/2014/main" id="{D96F977C-46D6-C393-91EB-55F39B75D8B3}"/>
            </a:ext>
          </a:extLst>
        </xdr:cNvPr>
        <xdr:cNvPicPr>
          <a:picLocks noChangeAspect="1"/>
        </xdr:cNvPicPr>
      </xdr:nvPicPr>
      <xdr:blipFill>
        <a:blip xmlns:r="http://schemas.openxmlformats.org/officeDocument/2006/relationships" r:embed="rId54"/>
        <a:stretch>
          <a:fillRect/>
        </a:stretch>
      </xdr:blipFill>
      <xdr:spPr>
        <a:xfrm>
          <a:off x="1249680" y="84109560"/>
          <a:ext cx="1028789" cy="1104996"/>
        </a:xfrm>
        <a:prstGeom prst="rect">
          <a:avLst/>
        </a:prstGeom>
      </xdr:spPr>
    </xdr:pic>
    <xdr:clientData/>
  </xdr:twoCellAnchor>
  <xdr:twoCellAnchor editAs="oneCell">
    <xdr:from>
      <xdr:col>5</xdr:col>
      <xdr:colOff>863782</xdr:colOff>
      <xdr:row>524</xdr:row>
      <xdr:rowOff>5987</xdr:rowOff>
    </xdr:from>
    <xdr:to>
      <xdr:col>6</xdr:col>
      <xdr:colOff>404229</xdr:colOff>
      <xdr:row>528</xdr:row>
      <xdr:rowOff>87651</xdr:rowOff>
    </xdr:to>
    <xdr:pic>
      <xdr:nvPicPr>
        <xdr:cNvPr id="36" name="Picture 35">
          <a:extLst>
            <a:ext uri="{FF2B5EF4-FFF2-40B4-BE49-F238E27FC236}">
              <a16:creationId xmlns:a16="http://schemas.microsoft.com/office/drawing/2014/main" id="{CD9C6FD4-881C-63C0-C5AE-DB3473E2733A}"/>
            </a:ext>
          </a:extLst>
        </xdr:cNvPr>
        <xdr:cNvPicPr>
          <a:picLocks noChangeAspect="1"/>
        </xdr:cNvPicPr>
      </xdr:nvPicPr>
      <xdr:blipFill>
        <a:blip xmlns:r="http://schemas.openxmlformats.org/officeDocument/2006/relationships" r:embed="rId50"/>
        <a:stretch>
          <a:fillRect/>
        </a:stretch>
      </xdr:blipFill>
      <xdr:spPr>
        <a:xfrm rot="16200000">
          <a:off x="3820788" y="106102067"/>
          <a:ext cx="865435" cy="465733"/>
        </a:xfrm>
        <a:prstGeom prst="rect">
          <a:avLst/>
        </a:prstGeom>
      </xdr:spPr>
    </xdr:pic>
    <xdr:clientData/>
  </xdr:twoCellAnchor>
  <xdr:twoCellAnchor editAs="oneCell">
    <xdr:from>
      <xdr:col>5</xdr:col>
      <xdr:colOff>682802</xdr:colOff>
      <xdr:row>531</xdr:row>
      <xdr:rowOff>87363</xdr:rowOff>
    </xdr:from>
    <xdr:to>
      <xdr:col>6</xdr:col>
      <xdr:colOff>225642</xdr:colOff>
      <xdr:row>535</xdr:row>
      <xdr:rowOff>140774</xdr:rowOff>
    </xdr:to>
    <xdr:pic>
      <xdr:nvPicPr>
        <xdr:cNvPr id="38" name="Picture 37">
          <a:extLst>
            <a:ext uri="{FF2B5EF4-FFF2-40B4-BE49-F238E27FC236}">
              <a16:creationId xmlns:a16="http://schemas.microsoft.com/office/drawing/2014/main" id="{15289A0B-F0C0-5AB0-41F4-01DBB3EFDFE6}"/>
            </a:ext>
          </a:extLst>
        </xdr:cNvPr>
        <xdr:cNvPicPr>
          <a:picLocks noChangeAspect="1"/>
        </xdr:cNvPicPr>
      </xdr:nvPicPr>
      <xdr:blipFill>
        <a:blip xmlns:r="http://schemas.openxmlformats.org/officeDocument/2006/relationships" r:embed="rId51"/>
        <a:stretch>
          <a:fillRect/>
        </a:stretch>
      </xdr:blipFill>
      <xdr:spPr>
        <a:xfrm rot="16200000">
          <a:off x="3693230" y="104668613"/>
          <a:ext cx="815411" cy="468126"/>
        </a:xfrm>
        <a:prstGeom prst="rect">
          <a:avLst/>
        </a:prstGeom>
      </xdr:spPr>
    </xdr:pic>
    <xdr:clientData/>
  </xdr:twoCellAnchor>
  <xdr:twoCellAnchor>
    <xdr:from>
      <xdr:col>25</xdr:col>
      <xdr:colOff>381000</xdr:colOff>
      <xdr:row>0</xdr:row>
      <xdr:rowOff>358140</xdr:rowOff>
    </xdr:from>
    <xdr:to>
      <xdr:col>32</xdr:col>
      <xdr:colOff>582930</xdr:colOff>
      <xdr:row>3</xdr:row>
      <xdr:rowOff>57149</xdr:rowOff>
    </xdr:to>
    <xdr:sp macro="" textlink="">
      <xdr:nvSpPr>
        <xdr:cNvPr id="26" name="TextBox 25">
          <a:extLst>
            <a:ext uri="{FF2B5EF4-FFF2-40B4-BE49-F238E27FC236}">
              <a16:creationId xmlns:a16="http://schemas.microsoft.com/office/drawing/2014/main" id="{D5B6FCD0-8520-4D47-A079-D4D449F69F73}"/>
            </a:ext>
          </a:extLst>
        </xdr:cNvPr>
        <xdr:cNvSpPr txBox="1"/>
      </xdr:nvSpPr>
      <xdr:spPr>
        <a:xfrm>
          <a:off x="12725400" y="35814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5</xdr:col>
      <xdr:colOff>343868</xdr:colOff>
      <xdr:row>394</xdr:row>
      <xdr:rowOff>47260</xdr:rowOff>
    </xdr:from>
    <xdr:to>
      <xdr:col>6</xdr:col>
      <xdr:colOff>328862</xdr:colOff>
      <xdr:row>397</xdr:row>
      <xdr:rowOff>144780</xdr:rowOff>
    </xdr:to>
    <xdr:pic>
      <xdr:nvPicPr>
        <xdr:cNvPr id="5" name="Picture 4">
          <a:extLst>
            <a:ext uri="{FF2B5EF4-FFF2-40B4-BE49-F238E27FC236}">
              <a16:creationId xmlns:a16="http://schemas.microsoft.com/office/drawing/2014/main" id="{6A751B7D-48DC-4003-B2AF-4F4BC3CCCCA9}"/>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xdr:blipFill>
      <xdr:spPr>
        <a:xfrm>
          <a:off x="3791918" y="98135710"/>
          <a:ext cx="956544" cy="669020"/>
        </a:xfrm>
        <a:prstGeom prst="rect">
          <a:avLst/>
        </a:prstGeom>
      </xdr:spPr>
    </xdr:pic>
    <xdr:clientData/>
  </xdr:twoCellAnchor>
  <xdr:twoCellAnchor>
    <xdr:from>
      <xdr:col>8</xdr:col>
      <xdr:colOff>54429</xdr:colOff>
      <xdr:row>394</xdr:row>
      <xdr:rowOff>163286</xdr:rowOff>
    </xdr:from>
    <xdr:to>
      <xdr:col>19</xdr:col>
      <xdr:colOff>500593</xdr:colOff>
      <xdr:row>398</xdr:row>
      <xdr:rowOff>65919</xdr:rowOff>
    </xdr:to>
    <xdr:sp macro="" textlink="">
      <xdr:nvSpPr>
        <xdr:cNvPr id="22" name="TextBox 21">
          <a:extLst>
            <a:ext uri="{FF2B5EF4-FFF2-40B4-BE49-F238E27FC236}">
              <a16:creationId xmlns:a16="http://schemas.microsoft.com/office/drawing/2014/main" id="{AF4D9719-A08F-4983-B2A6-82C030898210}"/>
            </a:ext>
          </a:extLst>
        </xdr:cNvPr>
        <xdr:cNvSpPr txBox="1"/>
      </xdr:nvSpPr>
      <xdr:spPr>
        <a:xfrm>
          <a:off x="5089072" y="76499357"/>
          <a:ext cx="4596342"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xdr:from>
      <xdr:col>8</xdr:col>
      <xdr:colOff>68036</xdr:colOff>
      <xdr:row>399</xdr:row>
      <xdr:rowOff>0</xdr:rowOff>
    </xdr:from>
    <xdr:to>
      <xdr:col>17</xdr:col>
      <xdr:colOff>93435</xdr:colOff>
      <xdr:row>402</xdr:row>
      <xdr:rowOff>38705</xdr:rowOff>
    </xdr:to>
    <xdr:sp macro="" textlink="">
      <xdr:nvSpPr>
        <xdr:cNvPr id="24" name="TextBox 23">
          <a:extLst>
            <a:ext uri="{FF2B5EF4-FFF2-40B4-BE49-F238E27FC236}">
              <a16:creationId xmlns:a16="http://schemas.microsoft.com/office/drawing/2014/main" id="{59312662-4FFF-45C2-B7E8-B95D6E135BF3}"/>
            </a:ext>
          </a:extLst>
        </xdr:cNvPr>
        <xdr:cNvSpPr txBox="1"/>
      </xdr:nvSpPr>
      <xdr:spPr>
        <a:xfrm>
          <a:off x="5102679" y="77424643"/>
          <a:ext cx="3345542"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5</xdr:col>
      <xdr:colOff>830038</xdr:colOff>
      <xdr:row>496</xdr:row>
      <xdr:rowOff>103415</xdr:rowOff>
    </xdr:from>
    <xdr:to>
      <xdr:col>6</xdr:col>
      <xdr:colOff>372878</xdr:colOff>
      <xdr:row>500</xdr:row>
      <xdr:rowOff>156826</xdr:rowOff>
    </xdr:to>
    <xdr:pic>
      <xdr:nvPicPr>
        <xdr:cNvPr id="25" name="Picture 24">
          <a:extLst>
            <a:ext uri="{FF2B5EF4-FFF2-40B4-BE49-F238E27FC236}">
              <a16:creationId xmlns:a16="http://schemas.microsoft.com/office/drawing/2014/main" id="{B6D2EEA8-9FD7-4B5C-8AE8-11F2B980F786}"/>
            </a:ext>
          </a:extLst>
        </xdr:cNvPr>
        <xdr:cNvPicPr>
          <a:picLocks noChangeAspect="1"/>
        </xdr:cNvPicPr>
      </xdr:nvPicPr>
      <xdr:blipFill>
        <a:blip xmlns:r="http://schemas.openxmlformats.org/officeDocument/2006/relationships" r:embed="rId51"/>
        <a:stretch>
          <a:fillRect/>
        </a:stretch>
      </xdr:blipFill>
      <xdr:spPr>
        <a:xfrm rot="16200000">
          <a:off x="3802367" y="100697772"/>
          <a:ext cx="837182" cy="468126"/>
        </a:xfrm>
        <a:prstGeom prst="rect">
          <a:avLst/>
        </a:prstGeom>
      </xdr:spPr>
    </xdr:pic>
    <xdr:clientData/>
  </xdr:twoCellAnchor>
  <xdr:twoCellAnchor editAs="oneCell">
    <xdr:from>
      <xdr:col>5</xdr:col>
      <xdr:colOff>816429</xdr:colOff>
      <xdr:row>510</xdr:row>
      <xdr:rowOff>81643</xdr:rowOff>
    </xdr:from>
    <xdr:to>
      <xdr:col>6</xdr:col>
      <xdr:colOff>359269</xdr:colOff>
      <xdr:row>514</xdr:row>
      <xdr:rowOff>135054</xdr:rowOff>
    </xdr:to>
    <xdr:pic>
      <xdr:nvPicPr>
        <xdr:cNvPr id="27" name="Picture 26">
          <a:extLst>
            <a:ext uri="{FF2B5EF4-FFF2-40B4-BE49-F238E27FC236}">
              <a16:creationId xmlns:a16="http://schemas.microsoft.com/office/drawing/2014/main" id="{E62FE844-2D3F-44F2-8760-BB8E188272AB}"/>
            </a:ext>
          </a:extLst>
        </xdr:cNvPr>
        <xdr:cNvPicPr>
          <a:picLocks noChangeAspect="1"/>
        </xdr:cNvPicPr>
      </xdr:nvPicPr>
      <xdr:blipFill>
        <a:blip xmlns:r="http://schemas.openxmlformats.org/officeDocument/2006/relationships" r:embed="rId51"/>
        <a:stretch>
          <a:fillRect/>
        </a:stretch>
      </xdr:blipFill>
      <xdr:spPr>
        <a:xfrm rot="16200000">
          <a:off x="3788758" y="103419200"/>
          <a:ext cx="837182" cy="468126"/>
        </a:xfrm>
        <a:prstGeom prst="rect">
          <a:avLst/>
        </a:prstGeom>
      </xdr:spPr>
    </xdr:pic>
    <xdr:clientData/>
  </xdr:twoCellAnchor>
  <xdr:twoCellAnchor editAs="oneCell">
    <xdr:from>
      <xdr:col>5</xdr:col>
      <xdr:colOff>843643</xdr:colOff>
      <xdr:row>517</xdr:row>
      <xdr:rowOff>62593</xdr:rowOff>
    </xdr:from>
    <xdr:to>
      <xdr:col>6</xdr:col>
      <xdr:colOff>359520</xdr:colOff>
      <xdr:row>521</xdr:row>
      <xdr:rowOff>116771</xdr:rowOff>
    </xdr:to>
    <xdr:pic>
      <xdr:nvPicPr>
        <xdr:cNvPr id="40" name="Picture 39">
          <a:extLst>
            <a:ext uri="{FF2B5EF4-FFF2-40B4-BE49-F238E27FC236}">
              <a16:creationId xmlns:a16="http://schemas.microsoft.com/office/drawing/2014/main" id="{F7539B32-6474-4C24-91D7-75A134CAFF82}"/>
            </a:ext>
          </a:extLst>
        </xdr:cNvPr>
        <xdr:cNvPicPr>
          <a:picLocks noChangeAspect="1"/>
        </xdr:cNvPicPr>
      </xdr:nvPicPr>
      <xdr:blipFill>
        <a:blip xmlns:r="http://schemas.openxmlformats.org/officeDocument/2006/relationships" r:embed="rId52"/>
        <a:stretch>
          <a:fillRect/>
        </a:stretch>
      </xdr:blipFill>
      <xdr:spPr>
        <a:xfrm rot="16200000">
          <a:off x="3802107" y="104785615"/>
          <a:ext cx="837949" cy="4411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24</xdr:col>
      <xdr:colOff>0</xdr:colOff>
      <xdr:row>2</xdr:row>
      <xdr:rowOff>104775</xdr:rowOff>
    </xdr:from>
    <xdr:to>
      <xdr:col>24</xdr:col>
      <xdr:colOff>0</xdr:colOff>
      <xdr:row>2</xdr:row>
      <xdr:rowOff>104775</xdr:rowOff>
    </xdr:to>
    <xdr:sp macro="" textlink="">
      <xdr:nvSpPr>
        <xdr:cNvPr id="532797" name="Line 1">
          <a:extLst>
            <a:ext uri="{FF2B5EF4-FFF2-40B4-BE49-F238E27FC236}">
              <a16:creationId xmlns:a16="http://schemas.microsoft.com/office/drawing/2014/main" id="{00000000-0008-0000-0400-00003D21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2800" name="Line 4">
          <a:extLst>
            <a:ext uri="{FF2B5EF4-FFF2-40B4-BE49-F238E27FC236}">
              <a16:creationId xmlns:a16="http://schemas.microsoft.com/office/drawing/2014/main" id="{00000000-0008-0000-0400-000040210800}"/>
            </a:ext>
          </a:extLst>
        </xdr:cNvPr>
        <xdr:cNvSpPr>
          <a:spLocks noChangeShapeType="1"/>
        </xdr:cNvSpPr>
      </xdr:nvSpPr>
      <xdr:spPr bwMode="auto">
        <a:xfrm>
          <a:off x="12353925" y="1514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2802" name="Line 10">
          <a:extLst>
            <a:ext uri="{FF2B5EF4-FFF2-40B4-BE49-F238E27FC236}">
              <a16:creationId xmlns:a16="http://schemas.microsoft.com/office/drawing/2014/main" id="{00000000-0008-0000-0400-00004221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2804" name="Line 12">
          <a:extLst>
            <a:ext uri="{FF2B5EF4-FFF2-40B4-BE49-F238E27FC236}">
              <a16:creationId xmlns:a16="http://schemas.microsoft.com/office/drawing/2014/main" id="{00000000-0008-0000-0400-000044210800}"/>
            </a:ext>
          </a:extLst>
        </xdr:cNvPr>
        <xdr:cNvSpPr>
          <a:spLocks noChangeShapeType="1"/>
        </xdr:cNvSpPr>
      </xdr:nvSpPr>
      <xdr:spPr bwMode="auto">
        <a:xfrm>
          <a:off x="14439900" y="685800"/>
          <a:ext cx="0" cy="0"/>
        </a:xfrm>
        <a:prstGeom prst="line">
          <a:avLst/>
        </a:prstGeom>
        <a:noFill/>
        <a:ln w="9525">
          <a:solidFill>
            <a:srgbClr val="000000"/>
          </a:solidFill>
          <a:round/>
          <a:headEnd/>
          <a:tailEnd type="triangle" w="med" len="med"/>
        </a:ln>
      </xdr:spPr>
    </xdr:sp>
    <xdr:clientData/>
  </xdr:twoCellAnchor>
  <xdr:twoCellAnchor>
    <xdr:from>
      <xdr:col>8</xdr:col>
      <xdr:colOff>47625</xdr:colOff>
      <xdr:row>601</xdr:row>
      <xdr:rowOff>2017</xdr:rowOff>
    </xdr:from>
    <xdr:to>
      <xdr:col>18</xdr:col>
      <xdr:colOff>0</xdr:colOff>
      <xdr:row>601</xdr:row>
      <xdr:rowOff>2017</xdr:rowOff>
    </xdr:to>
    <xdr:sp macro="" textlink="">
      <xdr:nvSpPr>
        <xdr:cNvPr id="11" name="Text Box 17">
          <a:extLst>
            <a:ext uri="{FF2B5EF4-FFF2-40B4-BE49-F238E27FC236}">
              <a16:creationId xmlns:a16="http://schemas.microsoft.com/office/drawing/2014/main" id="{00000000-0008-0000-0400-00000B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601</xdr:row>
      <xdr:rowOff>2017</xdr:rowOff>
    </xdr:from>
    <xdr:to>
      <xdr:col>17</xdr:col>
      <xdr:colOff>104775</xdr:colOff>
      <xdr:row>601</xdr:row>
      <xdr:rowOff>2017</xdr:rowOff>
    </xdr:to>
    <xdr:sp macro="" textlink="">
      <xdr:nvSpPr>
        <xdr:cNvPr id="12" name="Text Box 18">
          <a:extLst>
            <a:ext uri="{FF2B5EF4-FFF2-40B4-BE49-F238E27FC236}">
              <a16:creationId xmlns:a16="http://schemas.microsoft.com/office/drawing/2014/main" id="{00000000-0008-0000-0400-00000C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12</xdr:col>
      <xdr:colOff>0</xdr:colOff>
      <xdr:row>7</xdr:row>
      <xdr:rowOff>104775</xdr:rowOff>
    </xdr:from>
    <xdr:to>
      <xdr:col>12</xdr:col>
      <xdr:colOff>0</xdr:colOff>
      <xdr:row>7</xdr:row>
      <xdr:rowOff>104775</xdr:rowOff>
    </xdr:to>
    <xdr:sp macro="" textlink="">
      <xdr:nvSpPr>
        <xdr:cNvPr id="532809" name="Line 2">
          <a:extLst>
            <a:ext uri="{FF2B5EF4-FFF2-40B4-BE49-F238E27FC236}">
              <a16:creationId xmlns:a16="http://schemas.microsoft.com/office/drawing/2014/main" id="{00000000-0008-0000-0400-00004921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2810" name="Line 3">
          <a:extLst>
            <a:ext uri="{FF2B5EF4-FFF2-40B4-BE49-F238E27FC236}">
              <a16:creationId xmlns:a16="http://schemas.microsoft.com/office/drawing/2014/main" id="{00000000-0008-0000-0400-00004A210800}"/>
            </a:ext>
          </a:extLst>
        </xdr:cNvPr>
        <xdr:cNvSpPr>
          <a:spLocks noChangeShapeType="1"/>
        </xdr:cNvSpPr>
      </xdr:nvSpPr>
      <xdr:spPr bwMode="auto">
        <a:xfrm>
          <a:off x="13325475" y="9906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85725</xdr:rowOff>
    </xdr:from>
    <xdr:to>
      <xdr:col>12</xdr:col>
      <xdr:colOff>0</xdr:colOff>
      <xdr:row>7</xdr:row>
      <xdr:rowOff>85725</xdr:rowOff>
    </xdr:to>
    <xdr:sp macro="" textlink="">
      <xdr:nvSpPr>
        <xdr:cNvPr id="532811" name="Line 5">
          <a:extLst>
            <a:ext uri="{FF2B5EF4-FFF2-40B4-BE49-F238E27FC236}">
              <a16:creationId xmlns:a16="http://schemas.microsoft.com/office/drawing/2014/main" id="{00000000-0008-0000-0400-00004B210800}"/>
            </a:ext>
          </a:extLst>
        </xdr:cNvPr>
        <xdr:cNvSpPr>
          <a:spLocks noChangeShapeType="1"/>
        </xdr:cNvSpPr>
      </xdr:nvSpPr>
      <xdr:spPr bwMode="auto">
        <a:xfrm>
          <a:off x="6753225" y="225742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104775</xdr:rowOff>
    </xdr:from>
    <xdr:to>
      <xdr:col>12</xdr:col>
      <xdr:colOff>0</xdr:colOff>
      <xdr:row>7</xdr:row>
      <xdr:rowOff>104775</xdr:rowOff>
    </xdr:to>
    <xdr:sp macro="" textlink="">
      <xdr:nvSpPr>
        <xdr:cNvPr id="532812" name="Line 11">
          <a:extLst>
            <a:ext uri="{FF2B5EF4-FFF2-40B4-BE49-F238E27FC236}">
              <a16:creationId xmlns:a16="http://schemas.microsoft.com/office/drawing/2014/main" id="{00000000-0008-0000-0400-00004C21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2813" name="Line 13">
          <a:extLst>
            <a:ext uri="{FF2B5EF4-FFF2-40B4-BE49-F238E27FC236}">
              <a16:creationId xmlns:a16="http://schemas.microsoft.com/office/drawing/2014/main" id="{00000000-0008-0000-0400-00004D210800}"/>
            </a:ext>
          </a:extLst>
        </xdr:cNvPr>
        <xdr:cNvSpPr>
          <a:spLocks noChangeShapeType="1"/>
        </xdr:cNvSpPr>
      </xdr:nvSpPr>
      <xdr:spPr bwMode="auto">
        <a:xfrm>
          <a:off x="13392150" y="1504950"/>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2814" name="Line 38">
          <a:extLst>
            <a:ext uri="{FF2B5EF4-FFF2-40B4-BE49-F238E27FC236}">
              <a16:creationId xmlns:a16="http://schemas.microsoft.com/office/drawing/2014/main" id="{00000000-0008-0000-0400-00004E210800}"/>
            </a:ext>
          </a:extLst>
        </xdr:cNvPr>
        <xdr:cNvSpPr>
          <a:spLocks noChangeShapeType="1"/>
        </xdr:cNvSpPr>
      </xdr:nvSpPr>
      <xdr:spPr bwMode="auto">
        <a:xfrm>
          <a:off x="5943600" y="1504950"/>
          <a:ext cx="0" cy="0"/>
        </a:xfrm>
        <a:prstGeom prst="line">
          <a:avLst/>
        </a:prstGeom>
        <a:noFill/>
        <a:ln w="9525">
          <a:solidFill>
            <a:srgbClr val="000000"/>
          </a:solidFill>
          <a:round/>
          <a:headEnd/>
          <a:tailEnd type="triangle" w="med" len="med"/>
        </a:ln>
      </xdr:spPr>
    </xdr:sp>
    <xdr:clientData/>
  </xdr:twoCellAnchor>
  <xdr:twoCellAnchor>
    <xdr:from>
      <xdr:col>8</xdr:col>
      <xdr:colOff>152400</xdr:colOff>
      <xdr:row>714</xdr:row>
      <xdr:rowOff>0</xdr:rowOff>
    </xdr:from>
    <xdr:to>
      <xdr:col>16</xdr:col>
      <xdr:colOff>76200</xdr:colOff>
      <xdr:row>714</xdr:row>
      <xdr:rowOff>0</xdr:rowOff>
    </xdr:to>
    <xdr:grpSp>
      <xdr:nvGrpSpPr>
        <xdr:cNvPr id="532827" name="Group 214">
          <a:extLst>
            <a:ext uri="{FF2B5EF4-FFF2-40B4-BE49-F238E27FC236}">
              <a16:creationId xmlns:a16="http://schemas.microsoft.com/office/drawing/2014/main" id="{00000000-0008-0000-0400-00005B210800}"/>
            </a:ext>
          </a:extLst>
        </xdr:cNvPr>
        <xdr:cNvGrpSpPr>
          <a:grpSpLocks/>
        </xdr:cNvGrpSpPr>
      </xdr:nvGrpSpPr>
      <xdr:grpSpPr bwMode="auto">
        <a:xfrm>
          <a:off x="5187043" y="139105821"/>
          <a:ext cx="2971800" cy="0"/>
          <a:chOff x="491" y="6279"/>
          <a:chExt cx="369" cy="233"/>
        </a:xfrm>
      </xdr:grpSpPr>
      <xdr:pic>
        <xdr:nvPicPr>
          <xdr:cNvPr id="533036" name="Picture 8">
            <a:extLst>
              <a:ext uri="{FF2B5EF4-FFF2-40B4-BE49-F238E27FC236}">
                <a16:creationId xmlns:a16="http://schemas.microsoft.com/office/drawing/2014/main" id="{00000000-0008-0000-0400-00002C220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91" y="6279"/>
            <a:ext cx="184" cy="233"/>
          </a:xfrm>
          <a:prstGeom prst="rect">
            <a:avLst/>
          </a:prstGeom>
          <a:noFill/>
          <a:ln w="1">
            <a:noFill/>
            <a:miter lim="800000"/>
            <a:headEnd/>
            <a:tailEnd/>
          </a:ln>
        </xdr:spPr>
      </xdr:pic>
      <xdr:pic>
        <xdr:nvPicPr>
          <xdr:cNvPr id="533037" name="Picture 9">
            <a:extLst>
              <a:ext uri="{FF2B5EF4-FFF2-40B4-BE49-F238E27FC236}">
                <a16:creationId xmlns:a16="http://schemas.microsoft.com/office/drawing/2014/main" id="{00000000-0008-0000-0400-00002D2208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70" y="6279"/>
            <a:ext cx="190" cy="230"/>
          </a:xfrm>
          <a:prstGeom prst="rect">
            <a:avLst/>
          </a:prstGeom>
          <a:noFill/>
          <a:ln w="1">
            <a:noFill/>
            <a:miter lim="800000"/>
            <a:headEnd/>
            <a:tailEnd/>
          </a:ln>
        </xdr:spPr>
      </xdr:pic>
    </xdr:grpSp>
    <xdr:clientData/>
  </xdr:twoCellAnchor>
  <xdr:twoCellAnchor>
    <xdr:from>
      <xdr:col>3</xdr:col>
      <xdr:colOff>180975</xdr:colOff>
      <xdr:row>601</xdr:row>
      <xdr:rowOff>0</xdr:rowOff>
    </xdr:from>
    <xdr:to>
      <xdr:col>4</xdr:col>
      <xdr:colOff>495300</xdr:colOff>
      <xdr:row>601</xdr:row>
      <xdr:rowOff>0</xdr:rowOff>
    </xdr:to>
    <xdr:pic>
      <xdr:nvPicPr>
        <xdr:cNvPr id="532845" name="Picture 464">
          <a:extLst>
            <a:ext uri="{FF2B5EF4-FFF2-40B4-BE49-F238E27FC236}">
              <a16:creationId xmlns:a16="http://schemas.microsoft.com/office/drawing/2014/main" id="{00000000-0008-0000-0400-00006D2108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blip>
        <a:srcRect/>
        <a:stretch>
          <a:fillRect/>
        </a:stretch>
      </xdr:blipFill>
      <xdr:spPr bwMode="auto">
        <a:xfrm>
          <a:off x="2266950" y="69799200"/>
          <a:ext cx="590550" cy="0"/>
        </a:xfrm>
        <a:prstGeom prst="rect">
          <a:avLst/>
        </a:prstGeom>
        <a:noFill/>
        <a:ln w="1">
          <a:noFill/>
          <a:miter lim="800000"/>
          <a:headEnd/>
          <a:tailEnd/>
        </a:ln>
      </xdr:spPr>
    </xdr:pic>
    <xdr:clientData/>
  </xdr:twoCellAnchor>
  <xdr:twoCellAnchor>
    <xdr:from>
      <xdr:col>3</xdr:col>
      <xdr:colOff>171450</xdr:colOff>
      <xdr:row>601</xdr:row>
      <xdr:rowOff>0</xdr:rowOff>
    </xdr:from>
    <xdr:to>
      <xdr:col>4</xdr:col>
      <xdr:colOff>438150</xdr:colOff>
      <xdr:row>601</xdr:row>
      <xdr:rowOff>0</xdr:rowOff>
    </xdr:to>
    <xdr:pic>
      <xdr:nvPicPr>
        <xdr:cNvPr id="532846" name="Picture 465">
          <a:extLst>
            <a:ext uri="{FF2B5EF4-FFF2-40B4-BE49-F238E27FC236}">
              <a16:creationId xmlns:a16="http://schemas.microsoft.com/office/drawing/2014/main" id="{00000000-0008-0000-0400-00006E2108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blip>
        <a:srcRect/>
        <a:stretch>
          <a:fillRect/>
        </a:stretch>
      </xdr:blipFill>
      <xdr:spPr bwMode="auto">
        <a:xfrm>
          <a:off x="2257425" y="69799200"/>
          <a:ext cx="542925" cy="0"/>
        </a:xfrm>
        <a:prstGeom prst="rect">
          <a:avLst/>
        </a:prstGeom>
        <a:noFill/>
        <a:ln w="1">
          <a:noFill/>
          <a:miter lim="800000"/>
          <a:headEnd/>
          <a:tailEnd/>
        </a:ln>
      </xdr:spPr>
    </xdr:pic>
    <xdr:clientData/>
  </xdr:twoCellAnchor>
  <xdr:twoCellAnchor editAs="oneCell">
    <xdr:from>
      <xdr:col>3</xdr:col>
      <xdr:colOff>104775</xdr:colOff>
      <xdr:row>577</xdr:row>
      <xdr:rowOff>85725</xdr:rowOff>
    </xdr:from>
    <xdr:to>
      <xdr:col>5</xdr:col>
      <xdr:colOff>504825</xdr:colOff>
      <xdr:row>582</xdr:row>
      <xdr:rowOff>104775</xdr:rowOff>
    </xdr:to>
    <xdr:pic>
      <xdr:nvPicPr>
        <xdr:cNvPr id="532849" name="Picture 471">
          <a:extLst>
            <a:ext uri="{FF2B5EF4-FFF2-40B4-BE49-F238E27FC236}">
              <a16:creationId xmlns:a16="http://schemas.microsoft.com/office/drawing/2014/main" id="{00000000-0008-0000-0400-0000712108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2190750" y="66836925"/>
          <a:ext cx="1495425" cy="971550"/>
        </a:xfrm>
        <a:prstGeom prst="rect">
          <a:avLst/>
        </a:prstGeom>
        <a:noFill/>
        <a:ln w="1">
          <a:noFill/>
          <a:miter lim="800000"/>
          <a:headEnd/>
          <a:tailEnd/>
        </a:ln>
      </xdr:spPr>
    </xdr:pic>
    <xdr:clientData/>
  </xdr:twoCellAnchor>
  <xdr:twoCellAnchor editAs="oneCell">
    <xdr:from>
      <xdr:col>2</xdr:col>
      <xdr:colOff>272415</xdr:colOff>
      <xdr:row>560</xdr:row>
      <xdr:rowOff>110490</xdr:rowOff>
    </xdr:from>
    <xdr:to>
      <xdr:col>5</xdr:col>
      <xdr:colOff>291465</xdr:colOff>
      <xdr:row>565</xdr:row>
      <xdr:rowOff>110490</xdr:rowOff>
    </xdr:to>
    <xdr:pic>
      <xdr:nvPicPr>
        <xdr:cNvPr id="532850" name="Picture 472">
          <a:extLst>
            <a:ext uri="{FF2B5EF4-FFF2-40B4-BE49-F238E27FC236}">
              <a16:creationId xmlns:a16="http://schemas.microsoft.com/office/drawing/2014/main" id="{00000000-0008-0000-0400-00007221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040255" y="102706170"/>
          <a:ext cx="1413510" cy="952500"/>
        </a:xfrm>
        <a:prstGeom prst="rect">
          <a:avLst/>
        </a:prstGeom>
        <a:noFill/>
        <a:ln w="1">
          <a:noFill/>
          <a:miter lim="800000"/>
          <a:headEnd/>
          <a:tailEnd/>
        </a:ln>
      </xdr:spPr>
    </xdr:pic>
    <xdr:clientData/>
  </xdr:twoCellAnchor>
  <xdr:twoCellAnchor>
    <xdr:from>
      <xdr:col>31</xdr:col>
      <xdr:colOff>38100</xdr:colOff>
      <xdr:row>547</xdr:row>
      <xdr:rowOff>0</xdr:rowOff>
    </xdr:from>
    <xdr:to>
      <xdr:col>33</xdr:col>
      <xdr:colOff>200025</xdr:colOff>
      <xdr:row>569</xdr:row>
      <xdr:rowOff>114300</xdr:rowOff>
    </xdr:to>
    <xdr:grpSp>
      <xdr:nvGrpSpPr>
        <xdr:cNvPr id="532854" name="Group 502">
          <a:extLst>
            <a:ext uri="{FF2B5EF4-FFF2-40B4-BE49-F238E27FC236}">
              <a16:creationId xmlns:a16="http://schemas.microsoft.com/office/drawing/2014/main" id="{00000000-0008-0000-0400-000076210800}"/>
            </a:ext>
          </a:extLst>
        </xdr:cNvPr>
        <xdr:cNvGrpSpPr>
          <a:grpSpLocks/>
        </xdr:cNvGrpSpPr>
      </xdr:nvGrpSpPr>
      <xdr:grpSpPr bwMode="auto">
        <a:xfrm>
          <a:off x="16203386" y="107169857"/>
          <a:ext cx="1361258" cy="4305300"/>
          <a:chOff x="1373" y="4984"/>
          <a:chExt cx="143" cy="430"/>
        </a:xfrm>
      </xdr:grpSpPr>
      <xdr:sp macro="" textlink="">
        <xdr:nvSpPr>
          <xdr:cNvPr id="533034" name="Line 491">
            <a:extLst>
              <a:ext uri="{FF2B5EF4-FFF2-40B4-BE49-F238E27FC236}">
                <a16:creationId xmlns:a16="http://schemas.microsoft.com/office/drawing/2014/main" id="{00000000-0008-0000-0400-00002A220800}"/>
              </a:ext>
            </a:extLst>
          </xdr:cNvPr>
          <xdr:cNvSpPr>
            <a:spLocks noChangeShapeType="1"/>
          </xdr:cNvSpPr>
        </xdr:nvSpPr>
        <xdr:spPr bwMode="auto">
          <a:xfrm flipV="1">
            <a:off x="1410" y="4984"/>
            <a:ext cx="106" cy="149"/>
          </a:xfrm>
          <a:prstGeom prst="line">
            <a:avLst/>
          </a:prstGeom>
          <a:noFill/>
          <a:ln w="28575">
            <a:solidFill>
              <a:srgbClr val="000000"/>
            </a:solidFill>
            <a:round/>
            <a:headEnd/>
            <a:tailEnd type="triangle" w="lg" len="lg"/>
          </a:ln>
        </xdr:spPr>
      </xdr:sp>
      <xdr:sp macro="" textlink="">
        <xdr:nvSpPr>
          <xdr:cNvPr id="533035" name="AutoShape 492">
            <a:extLst>
              <a:ext uri="{FF2B5EF4-FFF2-40B4-BE49-F238E27FC236}">
                <a16:creationId xmlns:a16="http://schemas.microsoft.com/office/drawing/2014/main" id="{00000000-0008-0000-0400-00002B220800}"/>
              </a:ext>
            </a:extLst>
          </xdr:cNvPr>
          <xdr:cNvSpPr>
            <a:spLocks/>
          </xdr:cNvSpPr>
        </xdr:nvSpPr>
        <xdr:spPr bwMode="auto">
          <a:xfrm>
            <a:off x="1373" y="507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xdr:from>
      <xdr:col>31</xdr:col>
      <xdr:colOff>38100</xdr:colOff>
      <xdr:row>547</xdr:row>
      <xdr:rowOff>0</xdr:rowOff>
    </xdr:from>
    <xdr:to>
      <xdr:col>33</xdr:col>
      <xdr:colOff>457200</xdr:colOff>
      <xdr:row>590</xdr:row>
      <xdr:rowOff>152400</xdr:rowOff>
    </xdr:to>
    <xdr:grpSp>
      <xdr:nvGrpSpPr>
        <xdr:cNvPr id="532855" name="Group 503">
          <a:extLst>
            <a:ext uri="{FF2B5EF4-FFF2-40B4-BE49-F238E27FC236}">
              <a16:creationId xmlns:a16="http://schemas.microsoft.com/office/drawing/2014/main" id="{00000000-0008-0000-0400-000077210800}"/>
            </a:ext>
          </a:extLst>
        </xdr:cNvPr>
        <xdr:cNvGrpSpPr>
          <a:grpSpLocks/>
        </xdr:cNvGrpSpPr>
      </xdr:nvGrpSpPr>
      <xdr:grpSpPr bwMode="auto">
        <a:xfrm>
          <a:off x="16203386" y="107169857"/>
          <a:ext cx="1616528" cy="8343900"/>
          <a:chOff x="1373" y="5003"/>
          <a:chExt cx="170" cy="791"/>
        </a:xfrm>
      </xdr:grpSpPr>
      <xdr:sp macro="" textlink="">
        <xdr:nvSpPr>
          <xdr:cNvPr id="533032" name="Line 490">
            <a:extLst>
              <a:ext uri="{FF2B5EF4-FFF2-40B4-BE49-F238E27FC236}">
                <a16:creationId xmlns:a16="http://schemas.microsoft.com/office/drawing/2014/main" id="{00000000-0008-0000-0400-000028220800}"/>
              </a:ext>
            </a:extLst>
          </xdr:cNvPr>
          <xdr:cNvSpPr>
            <a:spLocks noChangeShapeType="1"/>
          </xdr:cNvSpPr>
        </xdr:nvSpPr>
        <xdr:spPr bwMode="auto">
          <a:xfrm flipV="1">
            <a:off x="1410" y="5003"/>
            <a:ext cx="133" cy="511"/>
          </a:xfrm>
          <a:prstGeom prst="line">
            <a:avLst/>
          </a:prstGeom>
          <a:noFill/>
          <a:ln w="28575">
            <a:solidFill>
              <a:srgbClr val="000000"/>
            </a:solidFill>
            <a:round/>
            <a:headEnd/>
            <a:tailEnd type="triangle" w="lg" len="lg"/>
          </a:ln>
        </xdr:spPr>
      </xdr:sp>
      <xdr:sp macro="" textlink="">
        <xdr:nvSpPr>
          <xdr:cNvPr id="533033" name="AutoShape 493">
            <a:extLst>
              <a:ext uri="{FF2B5EF4-FFF2-40B4-BE49-F238E27FC236}">
                <a16:creationId xmlns:a16="http://schemas.microsoft.com/office/drawing/2014/main" id="{00000000-0008-0000-0400-000029220800}"/>
              </a:ext>
            </a:extLst>
          </xdr:cNvPr>
          <xdr:cNvSpPr>
            <a:spLocks/>
          </xdr:cNvSpPr>
        </xdr:nvSpPr>
        <xdr:spPr bwMode="auto">
          <a:xfrm>
            <a:off x="1373" y="545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editAs="oneCell">
    <xdr:from>
      <xdr:col>2</xdr:col>
      <xdr:colOff>224118</xdr:colOff>
      <xdr:row>126</xdr:row>
      <xdr:rowOff>35298</xdr:rowOff>
    </xdr:from>
    <xdr:to>
      <xdr:col>4</xdr:col>
      <xdr:colOff>201706</xdr:colOff>
      <xdr:row>130</xdr:row>
      <xdr:rowOff>138168</xdr:rowOff>
    </xdr:to>
    <xdr:pic>
      <xdr:nvPicPr>
        <xdr:cNvPr id="532858" name="Picture 513">
          <a:extLst>
            <a:ext uri="{FF2B5EF4-FFF2-40B4-BE49-F238E27FC236}">
              <a16:creationId xmlns:a16="http://schemas.microsoft.com/office/drawing/2014/main" id="{00000000-0008-0000-0400-00007A210800}"/>
            </a:ext>
          </a:extLst>
        </xdr:cNvPr>
        <xdr:cNvPicPr>
          <a:picLocks noChangeAspect="1" noChangeArrowheads="1"/>
        </xdr:cNvPicPr>
      </xdr:nvPicPr>
      <xdr:blipFill>
        <a:blip xmlns:r="http://schemas.openxmlformats.org/officeDocument/2006/relationships" r:embed="rId7" cstate="print">
          <a:clrChange>
            <a:clrFrom>
              <a:srgbClr val="E8E8E8"/>
            </a:clrFrom>
            <a:clrTo>
              <a:srgbClr val="E8E8E8">
                <a:alpha val="0"/>
              </a:srgbClr>
            </a:clrTo>
          </a:clrChange>
        </a:blip>
        <a:srcRect/>
        <a:stretch>
          <a:fillRect/>
        </a:stretch>
      </xdr:blipFill>
      <xdr:spPr bwMode="auto">
        <a:xfrm>
          <a:off x="1994647" y="19611974"/>
          <a:ext cx="571500" cy="674370"/>
        </a:xfrm>
        <a:prstGeom prst="rect">
          <a:avLst/>
        </a:prstGeom>
        <a:noFill/>
        <a:ln w="1">
          <a:noFill/>
          <a:miter lim="800000"/>
          <a:headEnd/>
          <a:tailEnd/>
        </a:ln>
      </xdr:spPr>
    </xdr:pic>
    <xdr:clientData/>
  </xdr:twoCellAnchor>
  <xdr:twoCellAnchor>
    <xdr:from>
      <xdr:col>2</xdr:col>
      <xdr:colOff>9525</xdr:colOff>
      <xdr:row>305</xdr:row>
      <xdr:rowOff>0</xdr:rowOff>
    </xdr:from>
    <xdr:to>
      <xdr:col>3</xdr:col>
      <xdr:colOff>285750</xdr:colOff>
      <xdr:row>305</xdr:row>
      <xdr:rowOff>0</xdr:rowOff>
    </xdr:to>
    <xdr:pic>
      <xdr:nvPicPr>
        <xdr:cNvPr id="532869" name="Picture 529">
          <a:extLst>
            <a:ext uri="{FF2B5EF4-FFF2-40B4-BE49-F238E27FC236}">
              <a16:creationId xmlns:a16="http://schemas.microsoft.com/office/drawing/2014/main" id="{00000000-0008-0000-0400-0000852108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blip>
        <a:srcRect/>
        <a:stretch>
          <a:fillRect/>
        </a:stretch>
      </xdr:blipFill>
      <xdr:spPr bwMode="auto">
        <a:xfrm>
          <a:off x="1781175" y="32375475"/>
          <a:ext cx="581025" cy="0"/>
        </a:xfrm>
        <a:prstGeom prst="rect">
          <a:avLst/>
        </a:prstGeom>
        <a:noFill/>
        <a:ln w="1">
          <a:noFill/>
          <a:miter lim="800000"/>
          <a:headEnd/>
          <a:tailEnd/>
        </a:ln>
      </xdr:spPr>
    </xdr:pic>
    <xdr:clientData/>
  </xdr:twoCellAnchor>
  <xdr:twoCellAnchor>
    <xdr:from>
      <xdr:col>2</xdr:col>
      <xdr:colOff>9525</xdr:colOff>
      <xdr:row>305</xdr:row>
      <xdr:rowOff>0</xdr:rowOff>
    </xdr:from>
    <xdr:to>
      <xdr:col>3</xdr:col>
      <xdr:colOff>285750</xdr:colOff>
      <xdr:row>305</xdr:row>
      <xdr:rowOff>0</xdr:rowOff>
    </xdr:to>
    <xdr:pic>
      <xdr:nvPicPr>
        <xdr:cNvPr id="532870" name="Picture 530">
          <a:extLst>
            <a:ext uri="{FF2B5EF4-FFF2-40B4-BE49-F238E27FC236}">
              <a16:creationId xmlns:a16="http://schemas.microsoft.com/office/drawing/2014/main" id="{00000000-0008-0000-0400-0000862108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blip>
        <a:srcRect/>
        <a:stretch>
          <a:fillRect/>
        </a:stretch>
      </xdr:blipFill>
      <xdr:spPr bwMode="auto">
        <a:xfrm>
          <a:off x="1781175" y="32375475"/>
          <a:ext cx="581025" cy="0"/>
        </a:xfrm>
        <a:prstGeom prst="rect">
          <a:avLst/>
        </a:prstGeom>
        <a:noFill/>
        <a:ln w="1">
          <a:noFill/>
          <a:miter lim="800000"/>
          <a:headEnd/>
          <a:tailEnd/>
        </a:ln>
      </xdr:spPr>
    </xdr:pic>
    <xdr:clientData/>
  </xdr:twoCellAnchor>
  <xdr:twoCellAnchor>
    <xdr:from>
      <xdr:col>2</xdr:col>
      <xdr:colOff>104775</xdr:colOff>
      <xdr:row>520</xdr:row>
      <xdr:rowOff>0</xdr:rowOff>
    </xdr:from>
    <xdr:to>
      <xdr:col>4</xdr:col>
      <xdr:colOff>66675</xdr:colOff>
      <xdr:row>520</xdr:row>
      <xdr:rowOff>0</xdr:rowOff>
    </xdr:to>
    <xdr:pic>
      <xdr:nvPicPr>
        <xdr:cNvPr id="532871" name="Picture 531">
          <a:extLst>
            <a:ext uri="{FF2B5EF4-FFF2-40B4-BE49-F238E27FC236}">
              <a16:creationId xmlns:a16="http://schemas.microsoft.com/office/drawing/2014/main" id="{00000000-0008-0000-0400-00008721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876425" y="56083200"/>
          <a:ext cx="552450" cy="0"/>
        </a:xfrm>
        <a:prstGeom prst="rect">
          <a:avLst/>
        </a:prstGeom>
        <a:noFill/>
        <a:ln w="1">
          <a:noFill/>
          <a:miter lim="800000"/>
          <a:headEnd/>
          <a:tailEnd/>
        </a:ln>
      </xdr:spPr>
    </xdr:pic>
    <xdr:clientData/>
  </xdr:twoCellAnchor>
  <xdr:twoCellAnchor>
    <xdr:from>
      <xdr:col>2</xdr:col>
      <xdr:colOff>104775</xdr:colOff>
      <xdr:row>520</xdr:row>
      <xdr:rowOff>0</xdr:rowOff>
    </xdr:from>
    <xdr:to>
      <xdr:col>4</xdr:col>
      <xdr:colOff>66675</xdr:colOff>
      <xdr:row>520</xdr:row>
      <xdr:rowOff>0</xdr:rowOff>
    </xdr:to>
    <xdr:pic>
      <xdr:nvPicPr>
        <xdr:cNvPr id="532872" name="Picture 532">
          <a:extLst>
            <a:ext uri="{FF2B5EF4-FFF2-40B4-BE49-F238E27FC236}">
              <a16:creationId xmlns:a16="http://schemas.microsoft.com/office/drawing/2014/main" id="{00000000-0008-0000-0400-00008821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876425" y="56083200"/>
          <a:ext cx="552450" cy="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2880" name="Line 1">
          <a:extLst>
            <a:ext uri="{FF2B5EF4-FFF2-40B4-BE49-F238E27FC236}">
              <a16:creationId xmlns:a16="http://schemas.microsoft.com/office/drawing/2014/main" id="{00000000-0008-0000-0400-00009021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2881" name="Line 4">
          <a:extLst>
            <a:ext uri="{FF2B5EF4-FFF2-40B4-BE49-F238E27FC236}">
              <a16:creationId xmlns:a16="http://schemas.microsoft.com/office/drawing/2014/main" id="{00000000-0008-0000-0400-000091210800}"/>
            </a:ext>
          </a:extLst>
        </xdr:cNvPr>
        <xdr:cNvSpPr>
          <a:spLocks noChangeShapeType="1"/>
        </xdr:cNvSpPr>
      </xdr:nvSpPr>
      <xdr:spPr bwMode="auto">
        <a:xfrm>
          <a:off x="12353925" y="1000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2882" name="Line 10">
          <a:extLst>
            <a:ext uri="{FF2B5EF4-FFF2-40B4-BE49-F238E27FC236}">
              <a16:creationId xmlns:a16="http://schemas.microsoft.com/office/drawing/2014/main" id="{00000000-0008-0000-0400-00009221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2883" name="Line 1">
          <a:extLst>
            <a:ext uri="{FF2B5EF4-FFF2-40B4-BE49-F238E27FC236}">
              <a16:creationId xmlns:a16="http://schemas.microsoft.com/office/drawing/2014/main" id="{00000000-0008-0000-0400-00009321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2884" name="Line 4">
          <a:extLst>
            <a:ext uri="{FF2B5EF4-FFF2-40B4-BE49-F238E27FC236}">
              <a16:creationId xmlns:a16="http://schemas.microsoft.com/office/drawing/2014/main" id="{00000000-0008-0000-0400-000094210800}"/>
            </a:ext>
          </a:extLst>
        </xdr:cNvPr>
        <xdr:cNvSpPr>
          <a:spLocks noChangeShapeType="1"/>
        </xdr:cNvSpPr>
      </xdr:nvSpPr>
      <xdr:spPr bwMode="auto">
        <a:xfrm>
          <a:off x="12353925" y="1257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2885" name="Line 10">
          <a:extLst>
            <a:ext uri="{FF2B5EF4-FFF2-40B4-BE49-F238E27FC236}">
              <a16:creationId xmlns:a16="http://schemas.microsoft.com/office/drawing/2014/main" id="{00000000-0008-0000-0400-00009521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2886" name="Line 2">
          <a:extLst>
            <a:ext uri="{FF2B5EF4-FFF2-40B4-BE49-F238E27FC236}">
              <a16:creationId xmlns:a16="http://schemas.microsoft.com/office/drawing/2014/main" id="{00000000-0008-0000-0400-000096210800}"/>
            </a:ext>
          </a:extLst>
        </xdr:cNvPr>
        <xdr:cNvSpPr>
          <a:spLocks noChangeShapeType="1"/>
        </xdr:cNvSpPr>
      </xdr:nvSpPr>
      <xdr:spPr bwMode="auto">
        <a:xfrm>
          <a:off x="20935950" y="2465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2887" name="Line 3">
          <a:extLst>
            <a:ext uri="{FF2B5EF4-FFF2-40B4-BE49-F238E27FC236}">
              <a16:creationId xmlns:a16="http://schemas.microsoft.com/office/drawing/2014/main" id="{00000000-0008-0000-0400-000097210800}"/>
            </a:ext>
          </a:extLst>
        </xdr:cNvPr>
        <xdr:cNvSpPr>
          <a:spLocks noChangeShapeType="1"/>
        </xdr:cNvSpPr>
      </xdr:nvSpPr>
      <xdr:spPr bwMode="auto">
        <a:xfrm>
          <a:off x="20935950" y="2426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85725</xdr:rowOff>
    </xdr:from>
    <xdr:to>
      <xdr:col>39</xdr:col>
      <xdr:colOff>0</xdr:colOff>
      <xdr:row>228</xdr:row>
      <xdr:rowOff>85725</xdr:rowOff>
    </xdr:to>
    <xdr:sp macro="" textlink="">
      <xdr:nvSpPr>
        <xdr:cNvPr id="532888" name="Line 5">
          <a:extLst>
            <a:ext uri="{FF2B5EF4-FFF2-40B4-BE49-F238E27FC236}">
              <a16:creationId xmlns:a16="http://schemas.microsoft.com/office/drawing/2014/main" id="{00000000-0008-0000-0400-00009821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2889" name="Line 11">
          <a:extLst>
            <a:ext uri="{FF2B5EF4-FFF2-40B4-BE49-F238E27FC236}">
              <a16:creationId xmlns:a16="http://schemas.microsoft.com/office/drawing/2014/main" id="{00000000-0008-0000-0400-000099210800}"/>
            </a:ext>
          </a:extLst>
        </xdr:cNvPr>
        <xdr:cNvSpPr>
          <a:spLocks noChangeShapeType="1"/>
        </xdr:cNvSpPr>
      </xdr:nvSpPr>
      <xdr:spPr bwMode="auto">
        <a:xfrm>
          <a:off x="20935950" y="2465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227</xdr:row>
      <xdr:rowOff>104775</xdr:rowOff>
    </xdr:from>
    <xdr:to>
      <xdr:col>39</xdr:col>
      <xdr:colOff>0</xdr:colOff>
      <xdr:row>227</xdr:row>
      <xdr:rowOff>104775</xdr:rowOff>
    </xdr:to>
    <xdr:sp macro="" textlink="">
      <xdr:nvSpPr>
        <xdr:cNvPr id="532890" name="Line 584">
          <a:extLst>
            <a:ext uri="{FF2B5EF4-FFF2-40B4-BE49-F238E27FC236}">
              <a16:creationId xmlns:a16="http://schemas.microsoft.com/office/drawing/2014/main" id="{00000000-0008-0000-0400-00009A210800}"/>
            </a:ext>
          </a:extLst>
        </xdr:cNvPr>
        <xdr:cNvSpPr>
          <a:spLocks noChangeShapeType="1"/>
        </xdr:cNvSpPr>
      </xdr:nvSpPr>
      <xdr:spPr bwMode="auto">
        <a:xfrm>
          <a:off x="20935950" y="24460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2891" name="Line 2">
          <a:extLst>
            <a:ext uri="{FF2B5EF4-FFF2-40B4-BE49-F238E27FC236}">
              <a16:creationId xmlns:a16="http://schemas.microsoft.com/office/drawing/2014/main" id="{00000000-0008-0000-0400-00009B210800}"/>
            </a:ext>
          </a:extLst>
        </xdr:cNvPr>
        <xdr:cNvSpPr>
          <a:spLocks noChangeShapeType="1"/>
        </xdr:cNvSpPr>
      </xdr:nvSpPr>
      <xdr:spPr bwMode="auto">
        <a:xfrm>
          <a:off x="20935950" y="25431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85725</xdr:rowOff>
    </xdr:from>
    <xdr:to>
      <xdr:col>39</xdr:col>
      <xdr:colOff>0</xdr:colOff>
      <xdr:row>232</xdr:row>
      <xdr:rowOff>85725</xdr:rowOff>
    </xdr:to>
    <xdr:sp macro="" textlink="">
      <xdr:nvSpPr>
        <xdr:cNvPr id="532893" name="Line 5">
          <a:extLst>
            <a:ext uri="{FF2B5EF4-FFF2-40B4-BE49-F238E27FC236}">
              <a16:creationId xmlns:a16="http://schemas.microsoft.com/office/drawing/2014/main" id="{00000000-0008-0000-0400-00009D21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2894" name="Line 11">
          <a:extLst>
            <a:ext uri="{FF2B5EF4-FFF2-40B4-BE49-F238E27FC236}">
              <a16:creationId xmlns:a16="http://schemas.microsoft.com/office/drawing/2014/main" id="{00000000-0008-0000-0400-00009E210800}"/>
            </a:ext>
          </a:extLst>
        </xdr:cNvPr>
        <xdr:cNvSpPr>
          <a:spLocks noChangeShapeType="1"/>
        </xdr:cNvSpPr>
      </xdr:nvSpPr>
      <xdr:spPr bwMode="auto">
        <a:xfrm>
          <a:off x="20935950" y="25431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231</xdr:row>
      <xdr:rowOff>104775</xdr:rowOff>
    </xdr:from>
    <xdr:to>
      <xdr:col>39</xdr:col>
      <xdr:colOff>0</xdr:colOff>
      <xdr:row>231</xdr:row>
      <xdr:rowOff>104775</xdr:rowOff>
    </xdr:to>
    <xdr:sp macro="" textlink="">
      <xdr:nvSpPr>
        <xdr:cNvPr id="532895" name="Line 589">
          <a:extLst>
            <a:ext uri="{FF2B5EF4-FFF2-40B4-BE49-F238E27FC236}">
              <a16:creationId xmlns:a16="http://schemas.microsoft.com/office/drawing/2014/main" id="{00000000-0008-0000-0400-00009F210800}"/>
            </a:ext>
          </a:extLst>
        </xdr:cNvPr>
        <xdr:cNvSpPr>
          <a:spLocks noChangeShapeType="1"/>
        </xdr:cNvSpPr>
      </xdr:nvSpPr>
      <xdr:spPr bwMode="auto">
        <a:xfrm>
          <a:off x="20935950" y="25241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2896" name="Line 2">
          <a:extLst>
            <a:ext uri="{FF2B5EF4-FFF2-40B4-BE49-F238E27FC236}">
              <a16:creationId xmlns:a16="http://schemas.microsoft.com/office/drawing/2014/main" id="{00000000-0008-0000-0400-0000A0210800}"/>
            </a:ext>
          </a:extLst>
        </xdr:cNvPr>
        <xdr:cNvSpPr>
          <a:spLocks noChangeShapeType="1"/>
        </xdr:cNvSpPr>
      </xdr:nvSpPr>
      <xdr:spPr bwMode="auto">
        <a:xfrm>
          <a:off x="20935950" y="26003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234</xdr:row>
      <xdr:rowOff>104775</xdr:rowOff>
    </xdr:from>
    <xdr:to>
      <xdr:col>39</xdr:col>
      <xdr:colOff>0</xdr:colOff>
      <xdr:row>234</xdr:row>
      <xdr:rowOff>104775</xdr:rowOff>
    </xdr:to>
    <xdr:sp macro="" textlink="">
      <xdr:nvSpPr>
        <xdr:cNvPr id="532897" name="Line 3">
          <a:extLst>
            <a:ext uri="{FF2B5EF4-FFF2-40B4-BE49-F238E27FC236}">
              <a16:creationId xmlns:a16="http://schemas.microsoft.com/office/drawing/2014/main" id="{00000000-0008-0000-0400-0000A1210800}"/>
            </a:ext>
          </a:extLst>
        </xdr:cNvPr>
        <xdr:cNvSpPr>
          <a:spLocks noChangeShapeType="1"/>
        </xdr:cNvSpPr>
      </xdr:nvSpPr>
      <xdr:spPr bwMode="auto">
        <a:xfrm>
          <a:off x="20935950" y="25622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85725</xdr:rowOff>
    </xdr:from>
    <xdr:to>
      <xdr:col>39</xdr:col>
      <xdr:colOff>0</xdr:colOff>
      <xdr:row>236</xdr:row>
      <xdr:rowOff>85725</xdr:rowOff>
    </xdr:to>
    <xdr:sp macro="" textlink="">
      <xdr:nvSpPr>
        <xdr:cNvPr id="532898" name="Line 5">
          <a:extLst>
            <a:ext uri="{FF2B5EF4-FFF2-40B4-BE49-F238E27FC236}">
              <a16:creationId xmlns:a16="http://schemas.microsoft.com/office/drawing/2014/main" id="{00000000-0008-0000-0400-0000A221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2899" name="Line 11">
          <a:extLst>
            <a:ext uri="{FF2B5EF4-FFF2-40B4-BE49-F238E27FC236}">
              <a16:creationId xmlns:a16="http://schemas.microsoft.com/office/drawing/2014/main" id="{00000000-0008-0000-0400-0000A3210800}"/>
            </a:ext>
          </a:extLst>
        </xdr:cNvPr>
        <xdr:cNvSpPr>
          <a:spLocks noChangeShapeType="1"/>
        </xdr:cNvSpPr>
      </xdr:nvSpPr>
      <xdr:spPr bwMode="auto">
        <a:xfrm>
          <a:off x="20935950" y="26003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235</xdr:row>
      <xdr:rowOff>104775</xdr:rowOff>
    </xdr:from>
    <xdr:to>
      <xdr:col>39</xdr:col>
      <xdr:colOff>0</xdr:colOff>
      <xdr:row>235</xdr:row>
      <xdr:rowOff>104775</xdr:rowOff>
    </xdr:to>
    <xdr:sp macro="" textlink="">
      <xdr:nvSpPr>
        <xdr:cNvPr id="532900" name="Line 594">
          <a:extLst>
            <a:ext uri="{FF2B5EF4-FFF2-40B4-BE49-F238E27FC236}">
              <a16:creationId xmlns:a16="http://schemas.microsoft.com/office/drawing/2014/main" id="{00000000-0008-0000-0400-0000A4210800}"/>
            </a:ext>
          </a:extLst>
        </xdr:cNvPr>
        <xdr:cNvSpPr>
          <a:spLocks noChangeShapeType="1"/>
        </xdr:cNvSpPr>
      </xdr:nvSpPr>
      <xdr:spPr bwMode="auto">
        <a:xfrm>
          <a:off x="20935950" y="25812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216</xdr:row>
      <xdr:rowOff>104775</xdr:rowOff>
    </xdr:from>
    <xdr:to>
      <xdr:col>39</xdr:col>
      <xdr:colOff>0</xdr:colOff>
      <xdr:row>216</xdr:row>
      <xdr:rowOff>104775</xdr:rowOff>
    </xdr:to>
    <xdr:sp macro="" textlink="">
      <xdr:nvSpPr>
        <xdr:cNvPr id="532901" name="Line 3">
          <a:extLst>
            <a:ext uri="{FF2B5EF4-FFF2-40B4-BE49-F238E27FC236}">
              <a16:creationId xmlns:a16="http://schemas.microsoft.com/office/drawing/2014/main" id="{00000000-0008-0000-0400-0000A5210800}"/>
            </a:ext>
          </a:extLst>
        </xdr:cNvPr>
        <xdr:cNvSpPr>
          <a:spLocks noChangeShapeType="1"/>
        </xdr:cNvSpPr>
      </xdr:nvSpPr>
      <xdr:spPr bwMode="auto">
        <a:xfrm>
          <a:off x="20935950" y="22564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217</xdr:row>
      <xdr:rowOff>104775</xdr:rowOff>
    </xdr:from>
    <xdr:to>
      <xdr:col>39</xdr:col>
      <xdr:colOff>0</xdr:colOff>
      <xdr:row>217</xdr:row>
      <xdr:rowOff>104775</xdr:rowOff>
    </xdr:to>
    <xdr:sp macro="" textlink="">
      <xdr:nvSpPr>
        <xdr:cNvPr id="532902" name="Line 3">
          <a:extLst>
            <a:ext uri="{FF2B5EF4-FFF2-40B4-BE49-F238E27FC236}">
              <a16:creationId xmlns:a16="http://schemas.microsoft.com/office/drawing/2014/main" id="{00000000-0008-0000-0400-0000A6210800}"/>
            </a:ext>
          </a:extLst>
        </xdr:cNvPr>
        <xdr:cNvSpPr>
          <a:spLocks noChangeShapeType="1"/>
        </xdr:cNvSpPr>
      </xdr:nvSpPr>
      <xdr:spPr bwMode="auto">
        <a:xfrm>
          <a:off x="20935950" y="22755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218</xdr:row>
      <xdr:rowOff>104775</xdr:rowOff>
    </xdr:from>
    <xdr:to>
      <xdr:col>39</xdr:col>
      <xdr:colOff>0</xdr:colOff>
      <xdr:row>218</xdr:row>
      <xdr:rowOff>104775</xdr:rowOff>
    </xdr:to>
    <xdr:sp macro="" textlink="">
      <xdr:nvSpPr>
        <xdr:cNvPr id="532903" name="Line 3">
          <a:extLst>
            <a:ext uri="{FF2B5EF4-FFF2-40B4-BE49-F238E27FC236}">
              <a16:creationId xmlns:a16="http://schemas.microsoft.com/office/drawing/2014/main" id="{00000000-0008-0000-0400-0000A7210800}"/>
            </a:ext>
          </a:extLst>
        </xdr:cNvPr>
        <xdr:cNvSpPr>
          <a:spLocks noChangeShapeType="1"/>
        </xdr:cNvSpPr>
      </xdr:nvSpPr>
      <xdr:spPr bwMode="auto">
        <a:xfrm>
          <a:off x="20935950" y="22945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219</xdr:row>
      <xdr:rowOff>104775</xdr:rowOff>
    </xdr:from>
    <xdr:to>
      <xdr:col>39</xdr:col>
      <xdr:colOff>0</xdr:colOff>
      <xdr:row>219</xdr:row>
      <xdr:rowOff>104775</xdr:rowOff>
    </xdr:to>
    <xdr:sp macro="" textlink="">
      <xdr:nvSpPr>
        <xdr:cNvPr id="532904" name="Line 3">
          <a:extLst>
            <a:ext uri="{FF2B5EF4-FFF2-40B4-BE49-F238E27FC236}">
              <a16:creationId xmlns:a16="http://schemas.microsoft.com/office/drawing/2014/main" id="{00000000-0008-0000-0400-0000A8210800}"/>
            </a:ext>
          </a:extLst>
        </xdr:cNvPr>
        <xdr:cNvSpPr>
          <a:spLocks noChangeShapeType="1"/>
        </xdr:cNvSpPr>
      </xdr:nvSpPr>
      <xdr:spPr bwMode="auto">
        <a:xfrm>
          <a:off x="20935950" y="23136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222</xdr:row>
      <xdr:rowOff>104775</xdr:rowOff>
    </xdr:from>
    <xdr:to>
      <xdr:col>39</xdr:col>
      <xdr:colOff>0</xdr:colOff>
      <xdr:row>222</xdr:row>
      <xdr:rowOff>104775</xdr:rowOff>
    </xdr:to>
    <xdr:sp macro="" textlink="">
      <xdr:nvSpPr>
        <xdr:cNvPr id="532906" name="Line 3">
          <a:extLst>
            <a:ext uri="{FF2B5EF4-FFF2-40B4-BE49-F238E27FC236}">
              <a16:creationId xmlns:a16="http://schemas.microsoft.com/office/drawing/2014/main" id="{00000000-0008-0000-0400-0000AA210800}"/>
            </a:ext>
          </a:extLst>
        </xdr:cNvPr>
        <xdr:cNvSpPr>
          <a:spLocks noChangeShapeType="1"/>
        </xdr:cNvSpPr>
      </xdr:nvSpPr>
      <xdr:spPr bwMode="auto">
        <a:xfrm>
          <a:off x="20935950" y="2369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2907" name="Line 3">
          <a:extLst>
            <a:ext uri="{FF2B5EF4-FFF2-40B4-BE49-F238E27FC236}">
              <a16:creationId xmlns:a16="http://schemas.microsoft.com/office/drawing/2014/main" id="{00000000-0008-0000-0400-0000AB210800}"/>
            </a:ext>
          </a:extLst>
        </xdr:cNvPr>
        <xdr:cNvSpPr>
          <a:spLocks noChangeShapeType="1"/>
        </xdr:cNvSpPr>
      </xdr:nvSpPr>
      <xdr:spPr bwMode="auto">
        <a:xfrm>
          <a:off x="20935950" y="2388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225</xdr:row>
      <xdr:rowOff>104775</xdr:rowOff>
    </xdr:from>
    <xdr:to>
      <xdr:col>39</xdr:col>
      <xdr:colOff>0</xdr:colOff>
      <xdr:row>225</xdr:row>
      <xdr:rowOff>104775</xdr:rowOff>
    </xdr:to>
    <xdr:sp macro="" textlink="">
      <xdr:nvSpPr>
        <xdr:cNvPr id="532908" name="Line 3">
          <a:extLst>
            <a:ext uri="{FF2B5EF4-FFF2-40B4-BE49-F238E27FC236}">
              <a16:creationId xmlns:a16="http://schemas.microsoft.com/office/drawing/2014/main" id="{00000000-0008-0000-0400-0000AC210800}"/>
            </a:ext>
          </a:extLst>
        </xdr:cNvPr>
        <xdr:cNvSpPr>
          <a:spLocks noChangeShapeType="1"/>
        </xdr:cNvSpPr>
      </xdr:nvSpPr>
      <xdr:spPr bwMode="auto">
        <a:xfrm>
          <a:off x="20935950" y="2407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174</xdr:row>
      <xdr:rowOff>104775</xdr:rowOff>
    </xdr:from>
    <xdr:to>
      <xdr:col>39</xdr:col>
      <xdr:colOff>0</xdr:colOff>
      <xdr:row>174</xdr:row>
      <xdr:rowOff>104775</xdr:rowOff>
    </xdr:to>
    <xdr:sp macro="" textlink="">
      <xdr:nvSpPr>
        <xdr:cNvPr id="532909" name="Line 3">
          <a:extLst>
            <a:ext uri="{FF2B5EF4-FFF2-40B4-BE49-F238E27FC236}">
              <a16:creationId xmlns:a16="http://schemas.microsoft.com/office/drawing/2014/main" id="{00000000-0008-0000-0400-0000AD210800}"/>
            </a:ext>
          </a:extLst>
        </xdr:cNvPr>
        <xdr:cNvSpPr>
          <a:spLocks noChangeShapeType="1"/>
        </xdr:cNvSpPr>
      </xdr:nvSpPr>
      <xdr:spPr bwMode="auto">
        <a:xfrm>
          <a:off x="20935950" y="17783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161</xdr:row>
      <xdr:rowOff>104775</xdr:rowOff>
    </xdr:from>
    <xdr:to>
      <xdr:col>39</xdr:col>
      <xdr:colOff>0</xdr:colOff>
      <xdr:row>161</xdr:row>
      <xdr:rowOff>104775</xdr:rowOff>
    </xdr:to>
    <xdr:sp macro="" textlink="">
      <xdr:nvSpPr>
        <xdr:cNvPr id="532910" name="Line 3">
          <a:extLst>
            <a:ext uri="{FF2B5EF4-FFF2-40B4-BE49-F238E27FC236}">
              <a16:creationId xmlns:a16="http://schemas.microsoft.com/office/drawing/2014/main" id="{00000000-0008-0000-0400-0000AE210800}"/>
            </a:ext>
          </a:extLst>
        </xdr:cNvPr>
        <xdr:cNvSpPr>
          <a:spLocks noChangeShapeType="1"/>
        </xdr:cNvSpPr>
      </xdr:nvSpPr>
      <xdr:spPr bwMode="auto">
        <a:xfrm>
          <a:off x="20935950" y="15868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162</xdr:row>
      <xdr:rowOff>104775</xdr:rowOff>
    </xdr:from>
    <xdr:to>
      <xdr:col>39</xdr:col>
      <xdr:colOff>0</xdr:colOff>
      <xdr:row>162</xdr:row>
      <xdr:rowOff>104775</xdr:rowOff>
    </xdr:to>
    <xdr:sp macro="" textlink="">
      <xdr:nvSpPr>
        <xdr:cNvPr id="532911" name="Line 3">
          <a:extLst>
            <a:ext uri="{FF2B5EF4-FFF2-40B4-BE49-F238E27FC236}">
              <a16:creationId xmlns:a16="http://schemas.microsoft.com/office/drawing/2014/main" id="{00000000-0008-0000-0400-0000AF210800}"/>
            </a:ext>
          </a:extLst>
        </xdr:cNvPr>
        <xdr:cNvSpPr>
          <a:spLocks noChangeShapeType="1"/>
        </xdr:cNvSpPr>
      </xdr:nvSpPr>
      <xdr:spPr bwMode="auto">
        <a:xfrm>
          <a:off x="20935950" y="16059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163</xdr:row>
      <xdr:rowOff>104775</xdr:rowOff>
    </xdr:from>
    <xdr:to>
      <xdr:col>39</xdr:col>
      <xdr:colOff>0</xdr:colOff>
      <xdr:row>163</xdr:row>
      <xdr:rowOff>104775</xdr:rowOff>
    </xdr:to>
    <xdr:sp macro="" textlink="">
      <xdr:nvSpPr>
        <xdr:cNvPr id="532912" name="Line 3">
          <a:extLst>
            <a:ext uri="{FF2B5EF4-FFF2-40B4-BE49-F238E27FC236}">
              <a16:creationId xmlns:a16="http://schemas.microsoft.com/office/drawing/2014/main" id="{00000000-0008-0000-0400-0000B0210800}"/>
            </a:ext>
          </a:extLst>
        </xdr:cNvPr>
        <xdr:cNvSpPr>
          <a:spLocks noChangeShapeType="1"/>
        </xdr:cNvSpPr>
      </xdr:nvSpPr>
      <xdr:spPr bwMode="auto">
        <a:xfrm>
          <a:off x="20935950" y="1624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164</xdr:row>
      <xdr:rowOff>104775</xdr:rowOff>
    </xdr:from>
    <xdr:to>
      <xdr:col>39</xdr:col>
      <xdr:colOff>0</xdr:colOff>
      <xdr:row>164</xdr:row>
      <xdr:rowOff>104775</xdr:rowOff>
    </xdr:to>
    <xdr:sp macro="" textlink="">
      <xdr:nvSpPr>
        <xdr:cNvPr id="532913" name="Line 3">
          <a:extLst>
            <a:ext uri="{FF2B5EF4-FFF2-40B4-BE49-F238E27FC236}">
              <a16:creationId xmlns:a16="http://schemas.microsoft.com/office/drawing/2014/main" id="{00000000-0008-0000-0400-0000B1210800}"/>
            </a:ext>
          </a:extLst>
        </xdr:cNvPr>
        <xdr:cNvSpPr>
          <a:spLocks noChangeShapeType="1"/>
        </xdr:cNvSpPr>
      </xdr:nvSpPr>
      <xdr:spPr bwMode="auto">
        <a:xfrm>
          <a:off x="20935950" y="1644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165</xdr:row>
      <xdr:rowOff>104775</xdr:rowOff>
    </xdr:from>
    <xdr:to>
      <xdr:col>39</xdr:col>
      <xdr:colOff>0</xdr:colOff>
      <xdr:row>165</xdr:row>
      <xdr:rowOff>104775</xdr:rowOff>
    </xdr:to>
    <xdr:sp macro="" textlink="">
      <xdr:nvSpPr>
        <xdr:cNvPr id="532914" name="Line 3">
          <a:extLst>
            <a:ext uri="{FF2B5EF4-FFF2-40B4-BE49-F238E27FC236}">
              <a16:creationId xmlns:a16="http://schemas.microsoft.com/office/drawing/2014/main" id="{00000000-0008-0000-0400-0000B2210800}"/>
            </a:ext>
          </a:extLst>
        </xdr:cNvPr>
        <xdr:cNvSpPr>
          <a:spLocks noChangeShapeType="1"/>
        </xdr:cNvSpPr>
      </xdr:nvSpPr>
      <xdr:spPr bwMode="auto">
        <a:xfrm>
          <a:off x="20935950" y="1663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171</xdr:row>
      <xdr:rowOff>104775</xdr:rowOff>
    </xdr:from>
    <xdr:to>
      <xdr:col>39</xdr:col>
      <xdr:colOff>0</xdr:colOff>
      <xdr:row>171</xdr:row>
      <xdr:rowOff>104775</xdr:rowOff>
    </xdr:to>
    <xdr:sp macro="" textlink="">
      <xdr:nvSpPr>
        <xdr:cNvPr id="532915" name="Line 3">
          <a:extLst>
            <a:ext uri="{FF2B5EF4-FFF2-40B4-BE49-F238E27FC236}">
              <a16:creationId xmlns:a16="http://schemas.microsoft.com/office/drawing/2014/main" id="{00000000-0008-0000-0400-0000B3210800}"/>
            </a:ext>
          </a:extLst>
        </xdr:cNvPr>
        <xdr:cNvSpPr>
          <a:spLocks noChangeShapeType="1"/>
        </xdr:cNvSpPr>
      </xdr:nvSpPr>
      <xdr:spPr bwMode="auto">
        <a:xfrm>
          <a:off x="20935950" y="17211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172</xdr:row>
      <xdr:rowOff>104775</xdr:rowOff>
    </xdr:from>
    <xdr:to>
      <xdr:col>39</xdr:col>
      <xdr:colOff>0</xdr:colOff>
      <xdr:row>172</xdr:row>
      <xdr:rowOff>104775</xdr:rowOff>
    </xdr:to>
    <xdr:sp macro="" textlink="">
      <xdr:nvSpPr>
        <xdr:cNvPr id="532916" name="Line 3">
          <a:extLst>
            <a:ext uri="{FF2B5EF4-FFF2-40B4-BE49-F238E27FC236}">
              <a16:creationId xmlns:a16="http://schemas.microsoft.com/office/drawing/2014/main" id="{00000000-0008-0000-0400-0000B4210800}"/>
            </a:ext>
          </a:extLst>
        </xdr:cNvPr>
        <xdr:cNvSpPr>
          <a:spLocks noChangeShapeType="1"/>
        </xdr:cNvSpPr>
      </xdr:nvSpPr>
      <xdr:spPr bwMode="auto">
        <a:xfrm>
          <a:off x="20935950" y="17402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173</xdr:row>
      <xdr:rowOff>104775</xdr:rowOff>
    </xdr:from>
    <xdr:to>
      <xdr:col>39</xdr:col>
      <xdr:colOff>0</xdr:colOff>
      <xdr:row>173</xdr:row>
      <xdr:rowOff>104775</xdr:rowOff>
    </xdr:to>
    <xdr:sp macro="" textlink="">
      <xdr:nvSpPr>
        <xdr:cNvPr id="532917" name="Line 3">
          <a:extLst>
            <a:ext uri="{FF2B5EF4-FFF2-40B4-BE49-F238E27FC236}">
              <a16:creationId xmlns:a16="http://schemas.microsoft.com/office/drawing/2014/main" id="{00000000-0008-0000-0400-0000B5210800}"/>
            </a:ext>
          </a:extLst>
        </xdr:cNvPr>
        <xdr:cNvSpPr>
          <a:spLocks noChangeShapeType="1"/>
        </xdr:cNvSpPr>
      </xdr:nvSpPr>
      <xdr:spPr bwMode="auto">
        <a:xfrm>
          <a:off x="20935950" y="17592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194</xdr:row>
      <xdr:rowOff>104775</xdr:rowOff>
    </xdr:from>
    <xdr:to>
      <xdr:col>39</xdr:col>
      <xdr:colOff>0</xdr:colOff>
      <xdr:row>194</xdr:row>
      <xdr:rowOff>104775</xdr:rowOff>
    </xdr:to>
    <xdr:sp macro="" textlink="">
      <xdr:nvSpPr>
        <xdr:cNvPr id="532918" name="Line 3">
          <a:extLst>
            <a:ext uri="{FF2B5EF4-FFF2-40B4-BE49-F238E27FC236}">
              <a16:creationId xmlns:a16="http://schemas.microsoft.com/office/drawing/2014/main" id="{00000000-0008-0000-0400-0000B6210800}"/>
            </a:ext>
          </a:extLst>
        </xdr:cNvPr>
        <xdr:cNvSpPr>
          <a:spLocks noChangeShapeType="1"/>
        </xdr:cNvSpPr>
      </xdr:nvSpPr>
      <xdr:spPr bwMode="auto">
        <a:xfrm>
          <a:off x="20935950" y="1988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184</xdr:row>
      <xdr:rowOff>104775</xdr:rowOff>
    </xdr:from>
    <xdr:to>
      <xdr:col>39</xdr:col>
      <xdr:colOff>0</xdr:colOff>
      <xdr:row>184</xdr:row>
      <xdr:rowOff>104775</xdr:rowOff>
    </xdr:to>
    <xdr:sp macro="" textlink="">
      <xdr:nvSpPr>
        <xdr:cNvPr id="532919" name="Line 3">
          <a:extLst>
            <a:ext uri="{FF2B5EF4-FFF2-40B4-BE49-F238E27FC236}">
              <a16:creationId xmlns:a16="http://schemas.microsoft.com/office/drawing/2014/main" id="{00000000-0008-0000-0400-0000B7210800}"/>
            </a:ext>
          </a:extLst>
        </xdr:cNvPr>
        <xdr:cNvSpPr>
          <a:spLocks noChangeShapeType="1"/>
        </xdr:cNvSpPr>
      </xdr:nvSpPr>
      <xdr:spPr bwMode="auto">
        <a:xfrm>
          <a:off x="20935950" y="1836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185</xdr:row>
      <xdr:rowOff>104775</xdr:rowOff>
    </xdr:from>
    <xdr:to>
      <xdr:col>39</xdr:col>
      <xdr:colOff>0</xdr:colOff>
      <xdr:row>185</xdr:row>
      <xdr:rowOff>104775</xdr:rowOff>
    </xdr:to>
    <xdr:sp macro="" textlink="">
      <xdr:nvSpPr>
        <xdr:cNvPr id="532920" name="Line 3">
          <a:extLst>
            <a:ext uri="{FF2B5EF4-FFF2-40B4-BE49-F238E27FC236}">
              <a16:creationId xmlns:a16="http://schemas.microsoft.com/office/drawing/2014/main" id="{00000000-0008-0000-0400-0000B8210800}"/>
            </a:ext>
          </a:extLst>
        </xdr:cNvPr>
        <xdr:cNvSpPr>
          <a:spLocks noChangeShapeType="1"/>
        </xdr:cNvSpPr>
      </xdr:nvSpPr>
      <xdr:spPr bwMode="auto">
        <a:xfrm>
          <a:off x="20935950" y="1855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186</xdr:row>
      <xdr:rowOff>104775</xdr:rowOff>
    </xdr:from>
    <xdr:to>
      <xdr:col>39</xdr:col>
      <xdr:colOff>0</xdr:colOff>
      <xdr:row>186</xdr:row>
      <xdr:rowOff>104775</xdr:rowOff>
    </xdr:to>
    <xdr:sp macro="" textlink="">
      <xdr:nvSpPr>
        <xdr:cNvPr id="532921" name="Line 3">
          <a:extLst>
            <a:ext uri="{FF2B5EF4-FFF2-40B4-BE49-F238E27FC236}">
              <a16:creationId xmlns:a16="http://schemas.microsoft.com/office/drawing/2014/main" id="{00000000-0008-0000-0400-0000B9210800}"/>
            </a:ext>
          </a:extLst>
        </xdr:cNvPr>
        <xdr:cNvSpPr>
          <a:spLocks noChangeShapeType="1"/>
        </xdr:cNvSpPr>
      </xdr:nvSpPr>
      <xdr:spPr bwMode="auto">
        <a:xfrm>
          <a:off x="20935950" y="1874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187</xdr:row>
      <xdr:rowOff>104775</xdr:rowOff>
    </xdr:from>
    <xdr:to>
      <xdr:col>39</xdr:col>
      <xdr:colOff>0</xdr:colOff>
      <xdr:row>187</xdr:row>
      <xdr:rowOff>104775</xdr:rowOff>
    </xdr:to>
    <xdr:sp macro="" textlink="">
      <xdr:nvSpPr>
        <xdr:cNvPr id="532922" name="Line 3">
          <a:extLst>
            <a:ext uri="{FF2B5EF4-FFF2-40B4-BE49-F238E27FC236}">
              <a16:creationId xmlns:a16="http://schemas.microsoft.com/office/drawing/2014/main" id="{00000000-0008-0000-0400-0000BA210800}"/>
            </a:ext>
          </a:extLst>
        </xdr:cNvPr>
        <xdr:cNvSpPr>
          <a:spLocks noChangeShapeType="1"/>
        </xdr:cNvSpPr>
      </xdr:nvSpPr>
      <xdr:spPr bwMode="auto">
        <a:xfrm>
          <a:off x="20935950" y="1893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190</xdr:row>
      <xdr:rowOff>104775</xdr:rowOff>
    </xdr:from>
    <xdr:to>
      <xdr:col>39</xdr:col>
      <xdr:colOff>0</xdr:colOff>
      <xdr:row>190</xdr:row>
      <xdr:rowOff>104775</xdr:rowOff>
    </xdr:to>
    <xdr:sp macro="" textlink="">
      <xdr:nvSpPr>
        <xdr:cNvPr id="532923" name="Line 3">
          <a:extLst>
            <a:ext uri="{FF2B5EF4-FFF2-40B4-BE49-F238E27FC236}">
              <a16:creationId xmlns:a16="http://schemas.microsoft.com/office/drawing/2014/main" id="{00000000-0008-0000-0400-0000BB210800}"/>
            </a:ext>
          </a:extLst>
        </xdr:cNvPr>
        <xdr:cNvSpPr>
          <a:spLocks noChangeShapeType="1"/>
        </xdr:cNvSpPr>
      </xdr:nvSpPr>
      <xdr:spPr bwMode="auto">
        <a:xfrm>
          <a:off x="20935950" y="1912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191</xdr:row>
      <xdr:rowOff>104775</xdr:rowOff>
    </xdr:from>
    <xdr:to>
      <xdr:col>39</xdr:col>
      <xdr:colOff>0</xdr:colOff>
      <xdr:row>191</xdr:row>
      <xdr:rowOff>104775</xdr:rowOff>
    </xdr:to>
    <xdr:sp macro="" textlink="">
      <xdr:nvSpPr>
        <xdr:cNvPr id="532924" name="Line 3">
          <a:extLst>
            <a:ext uri="{FF2B5EF4-FFF2-40B4-BE49-F238E27FC236}">
              <a16:creationId xmlns:a16="http://schemas.microsoft.com/office/drawing/2014/main" id="{00000000-0008-0000-0400-0000BC210800}"/>
            </a:ext>
          </a:extLst>
        </xdr:cNvPr>
        <xdr:cNvSpPr>
          <a:spLocks noChangeShapeType="1"/>
        </xdr:cNvSpPr>
      </xdr:nvSpPr>
      <xdr:spPr bwMode="auto">
        <a:xfrm>
          <a:off x="20935950" y="1931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192</xdr:row>
      <xdr:rowOff>104775</xdr:rowOff>
    </xdr:from>
    <xdr:to>
      <xdr:col>39</xdr:col>
      <xdr:colOff>0</xdr:colOff>
      <xdr:row>192</xdr:row>
      <xdr:rowOff>104775</xdr:rowOff>
    </xdr:to>
    <xdr:sp macro="" textlink="">
      <xdr:nvSpPr>
        <xdr:cNvPr id="532925" name="Line 3">
          <a:extLst>
            <a:ext uri="{FF2B5EF4-FFF2-40B4-BE49-F238E27FC236}">
              <a16:creationId xmlns:a16="http://schemas.microsoft.com/office/drawing/2014/main" id="{00000000-0008-0000-0400-0000BD210800}"/>
            </a:ext>
          </a:extLst>
        </xdr:cNvPr>
        <xdr:cNvSpPr>
          <a:spLocks noChangeShapeType="1"/>
        </xdr:cNvSpPr>
      </xdr:nvSpPr>
      <xdr:spPr bwMode="auto">
        <a:xfrm>
          <a:off x="20935950" y="19507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193</xdr:row>
      <xdr:rowOff>104775</xdr:rowOff>
    </xdr:from>
    <xdr:to>
      <xdr:col>39</xdr:col>
      <xdr:colOff>0</xdr:colOff>
      <xdr:row>193</xdr:row>
      <xdr:rowOff>104775</xdr:rowOff>
    </xdr:to>
    <xdr:sp macro="" textlink="">
      <xdr:nvSpPr>
        <xdr:cNvPr id="532926" name="Line 3">
          <a:extLst>
            <a:ext uri="{FF2B5EF4-FFF2-40B4-BE49-F238E27FC236}">
              <a16:creationId xmlns:a16="http://schemas.microsoft.com/office/drawing/2014/main" id="{00000000-0008-0000-0400-0000BE210800}"/>
            </a:ext>
          </a:extLst>
        </xdr:cNvPr>
        <xdr:cNvSpPr>
          <a:spLocks noChangeShapeType="1"/>
        </xdr:cNvSpPr>
      </xdr:nvSpPr>
      <xdr:spPr bwMode="auto">
        <a:xfrm>
          <a:off x="20935950" y="19697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215</xdr:row>
      <xdr:rowOff>104775</xdr:rowOff>
    </xdr:from>
    <xdr:to>
      <xdr:col>39</xdr:col>
      <xdr:colOff>0</xdr:colOff>
      <xdr:row>215</xdr:row>
      <xdr:rowOff>104775</xdr:rowOff>
    </xdr:to>
    <xdr:sp macro="" textlink="">
      <xdr:nvSpPr>
        <xdr:cNvPr id="532927" name="Line 3">
          <a:extLst>
            <a:ext uri="{FF2B5EF4-FFF2-40B4-BE49-F238E27FC236}">
              <a16:creationId xmlns:a16="http://schemas.microsoft.com/office/drawing/2014/main" id="{00000000-0008-0000-0400-0000BF210800}"/>
            </a:ext>
          </a:extLst>
        </xdr:cNvPr>
        <xdr:cNvSpPr>
          <a:spLocks noChangeShapeType="1"/>
        </xdr:cNvSpPr>
      </xdr:nvSpPr>
      <xdr:spPr bwMode="auto">
        <a:xfrm>
          <a:off x="20935950" y="22374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200</xdr:row>
      <xdr:rowOff>104775</xdr:rowOff>
    </xdr:from>
    <xdr:to>
      <xdr:col>39</xdr:col>
      <xdr:colOff>0</xdr:colOff>
      <xdr:row>200</xdr:row>
      <xdr:rowOff>104775</xdr:rowOff>
    </xdr:to>
    <xdr:sp macro="" textlink="">
      <xdr:nvSpPr>
        <xdr:cNvPr id="532928" name="Line 3">
          <a:extLst>
            <a:ext uri="{FF2B5EF4-FFF2-40B4-BE49-F238E27FC236}">
              <a16:creationId xmlns:a16="http://schemas.microsoft.com/office/drawing/2014/main" id="{00000000-0008-0000-0400-0000C0210800}"/>
            </a:ext>
          </a:extLst>
        </xdr:cNvPr>
        <xdr:cNvSpPr>
          <a:spLocks noChangeShapeType="1"/>
        </xdr:cNvSpPr>
      </xdr:nvSpPr>
      <xdr:spPr bwMode="auto">
        <a:xfrm>
          <a:off x="20935950" y="2045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201</xdr:row>
      <xdr:rowOff>104775</xdr:rowOff>
    </xdr:from>
    <xdr:to>
      <xdr:col>39</xdr:col>
      <xdr:colOff>0</xdr:colOff>
      <xdr:row>201</xdr:row>
      <xdr:rowOff>104775</xdr:rowOff>
    </xdr:to>
    <xdr:sp macro="" textlink="">
      <xdr:nvSpPr>
        <xdr:cNvPr id="532929" name="Line 3">
          <a:extLst>
            <a:ext uri="{FF2B5EF4-FFF2-40B4-BE49-F238E27FC236}">
              <a16:creationId xmlns:a16="http://schemas.microsoft.com/office/drawing/2014/main" id="{00000000-0008-0000-0400-0000C1210800}"/>
            </a:ext>
          </a:extLst>
        </xdr:cNvPr>
        <xdr:cNvSpPr>
          <a:spLocks noChangeShapeType="1"/>
        </xdr:cNvSpPr>
      </xdr:nvSpPr>
      <xdr:spPr bwMode="auto">
        <a:xfrm>
          <a:off x="20935950" y="20659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202</xdr:row>
      <xdr:rowOff>104775</xdr:rowOff>
    </xdr:from>
    <xdr:to>
      <xdr:col>39</xdr:col>
      <xdr:colOff>0</xdr:colOff>
      <xdr:row>202</xdr:row>
      <xdr:rowOff>104775</xdr:rowOff>
    </xdr:to>
    <xdr:sp macro="" textlink="">
      <xdr:nvSpPr>
        <xdr:cNvPr id="532930" name="Line 3">
          <a:extLst>
            <a:ext uri="{FF2B5EF4-FFF2-40B4-BE49-F238E27FC236}">
              <a16:creationId xmlns:a16="http://schemas.microsoft.com/office/drawing/2014/main" id="{00000000-0008-0000-0400-0000C2210800}"/>
            </a:ext>
          </a:extLst>
        </xdr:cNvPr>
        <xdr:cNvSpPr>
          <a:spLocks noChangeShapeType="1"/>
        </xdr:cNvSpPr>
      </xdr:nvSpPr>
      <xdr:spPr bwMode="auto">
        <a:xfrm>
          <a:off x="20935950" y="20850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203</xdr:row>
      <xdr:rowOff>104775</xdr:rowOff>
    </xdr:from>
    <xdr:to>
      <xdr:col>39</xdr:col>
      <xdr:colOff>0</xdr:colOff>
      <xdr:row>203</xdr:row>
      <xdr:rowOff>104775</xdr:rowOff>
    </xdr:to>
    <xdr:sp macro="" textlink="">
      <xdr:nvSpPr>
        <xdr:cNvPr id="532931" name="Line 3">
          <a:extLst>
            <a:ext uri="{FF2B5EF4-FFF2-40B4-BE49-F238E27FC236}">
              <a16:creationId xmlns:a16="http://schemas.microsoft.com/office/drawing/2014/main" id="{00000000-0008-0000-0400-0000C3210800}"/>
            </a:ext>
          </a:extLst>
        </xdr:cNvPr>
        <xdr:cNvSpPr>
          <a:spLocks noChangeShapeType="1"/>
        </xdr:cNvSpPr>
      </xdr:nvSpPr>
      <xdr:spPr bwMode="auto">
        <a:xfrm>
          <a:off x="20935950" y="21040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209</xdr:row>
      <xdr:rowOff>104775</xdr:rowOff>
    </xdr:from>
    <xdr:to>
      <xdr:col>39</xdr:col>
      <xdr:colOff>0</xdr:colOff>
      <xdr:row>209</xdr:row>
      <xdr:rowOff>104775</xdr:rowOff>
    </xdr:to>
    <xdr:sp macro="" textlink="">
      <xdr:nvSpPr>
        <xdr:cNvPr id="532932" name="Line 3">
          <a:extLst>
            <a:ext uri="{FF2B5EF4-FFF2-40B4-BE49-F238E27FC236}">
              <a16:creationId xmlns:a16="http://schemas.microsoft.com/office/drawing/2014/main" id="{00000000-0008-0000-0400-0000C4210800}"/>
            </a:ext>
          </a:extLst>
        </xdr:cNvPr>
        <xdr:cNvSpPr>
          <a:spLocks noChangeShapeType="1"/>
        </xdr:cNvSpPr>
      </xdr:nvSpPr>
      <xdr:spPr bwMode="auto">
        <a:xfrm>
          <a:off x="20935950" y="21612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210</xdr:row>
      <xdr:rowOff>104775</xdr:rowOff>
    </xdr:from>
    <xdr:to>
      <xdr:col>39</xdr:col>
      <xdr:colOff>0</xdr:colOff>
      <xdr:row>210</xdr:row>
      <xdr:rowOff>104775</xdr:rowOff>
    </xdr:to>
    <xdr:sp macro="" textlink="">
      <xdr:nvSpPr>
        <xdr:cNvPr id="532933" name="Line 3">
          <a:extLst>
            <a:ext uri="{FF2B5EF4-FFF2-40B4-BE49-F238E27FC236}">
              <a16:creationId xmlns:a16="http://schemas.microsoft.com/office/drawing/2014/main" id="{00000000-0008-0000-0400-0000C5210800}"/>
            </a:ext>
          </a:extLst>
        </xdr:cNvPr>
        <xdr:cNvSpPr>
          <a:spLocks noChangeShapeType="1"/>
        </xdr:cNvSpPr>
      </xdr:nvSpPr>
      <xdr:spPr bwMode="auto">
        <a:xfrm>
          <a:off x="20935950" y="21802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211</xdr:row>
      <xdr:rowOff>104775</xdr:rowOff>
    </xdr:from>
    <xdr:to>
      <xdr:col>39</xdr:col>
      <xdr:colOff>0</xdr:colOff>
      <xdr:row>211</xdr:row>
      <xdr:rowOff>104775</xdr:rowOff>
    </xdr:to>
    <xdr:sp macro="" textlink="">
      <xdr:nvSpPr>
        <xdr:cNvPr id="532934" name="Line 3">
          <a:extLst>
            <a:ext uri="{FF2B5EF4-FFF2-40B4-BE49-F238E27FC236}">
              <a16:creationId xmlns:a16="http://schemas.microsoft.com/office/drawing/2014/main" id="{00000000-0008-0000-0400-0000C6210800}"/>
            </a:ext>
          </a:extLst>
        </xdr:cNvPr>
        <xdr:cNvSpPr>
          <a:spLocks noChangeShapeType="1"/>
        </xdr:cNvSpPr>
      </xdr:nvSpPr>
      <xdr:spPr bwMode="auto">
        <a:xfrm>
          <a:off x="20935950" y="21993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212</xdr:row>
      <xdr:rowOff>104775</xdr:rowOff>
    </xdr:from>
    <xdr:to>
      <xdr:col>39</xdr:col>
      <xdr:colOff>0</xdr:colOff>
      <xdr:row>212</xdr:row>
      <xdr:rowOff>104775</xdr:rowOff>
    </xdr:to>
    <xdr:sp macro="" textlink="">
      <xdr:nvSpPr>
        <xdr:cNvPr id="532935" name="Line 3">
          <a:extLst>
            <a:ext uri="{FF2B5EF4-FFF2-40B4-BE49-F238E27FC236}">
              <a16:creationId xmlns:a16="http://schemas.microsoft.com/office/drawing/2014/main" id="{00000000-0008-0000-0400-0000C7210800}"/>
            </a:ext>
          </a:extLst>
        </xdr:cNvPr>
        <xdr:cNvSpPr>
          <a:spLocks noChangeShapeType="1"/>
        </xdr:cNvSpPr>
      </xdr:nvSpPr>
      <xdr:spPr bwMode="auto">
        <a:xfrm>
          <a:off x="20935950" y="22183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222</xdr:row>
      <xdr:rowOff>104775</xdr:rowOff>
    </xdr:from>
    <xdr:to>
      <xdr:col>39</xdr:col>
      <xdr:colOff>0</xdr:colOff>
      <xdr:row>222</xdr:row>
      <xdr:rowOff>104775</xdr:rowOff>
    </xdr:to>
    <xdr:sp macro="" textlink="">
      <xdr:nvSpPr>
        <xdr:cNvPr id="532937" name="Line 3">
          <a:extLst>
            <a:ext uri="{FF2B5EF4-FFF2-40B4-BE49-F238E27FC236}">
              <a16:creationId xmlns:a16="http://schemas.microsoft.com/office/drawing/2014/main" id="{00000000-0008-0000-0400-0000C9210800}"/>
            </a:ext>
          </a:extLst>
        </xdr:cNvPr>
        <xdr:cNvSpPr>
          <a:spLocks noChangeShapeType="1"/>
        </xdr:cNvSpPr>
      </xdr:nvSpPr>
      <xdr:spPr bwMode="auto">
        <a:xfrm>
          <a:off x="20935950" y="2369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2938" name="Line 3">
          <a:extLst>
            <a:ext uri="{FF2B5EF4-FFF2-40B4-BE49-F238E27FC236}">
              <a16:creationId xmlns:a16="http://schemas.microsoft.com/office/drawing/2014/main" id="{00000000-0008-0000-0400-0000CA210800}"/>
            </a:ext>
          </a:extLst>
        </xdr:cNvPr>
        <xdr:cNvSpPr>
          <a:spLocks noChangeShapeType="1"/>
        </xdr:cNvSpPr>
      </xdr:nvSpPr>
      <xdr:spPr bwMode="auto">
        <a:xfrm>
          <a:off x="20935950" y="2388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225</xdr:row>
      <xdr:rowOff>104775</xdr:rowOff>
    </xdr:from>
    <xdr:to>
      <xdr:col>39</xdr:col>
      <xdr:colOff>0</xdr:colOff>
      <xdr:row>225</xdr:row>
      <xdr:rowOff>104775</xdr:rowOff>
    </xdr:to>
    <xdr:sp macro="" textlink="">
      <xdr:nvSpPr>
        <xdr:cNvPr id="532939" name="Line 3">
          <a:extLst>
            <a:ext uri="{FF2B5EF4-FFF2-40B4-BE49-F238E27FC236}">
              <a16:creationId xmlns:a16="http://schemas.microsoft.com/office/drawing/2014/main" id="{00000000-0008-0000-0400-0000CB210800}"/>
            </a:ext>
          </a:extLst>
        </xdr:cNvPr>
        <xdr:cNvSpPr>
          <a:spLocks noChangeShapeType="1"/>
        </xdr:cNvSpPr>
      </xdr:nvSpPr>
      <xdr:spPr bwMode="auto">
        <a:xfrm>
          <a:off x="20935950" y="2407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160</xdr:row>
      <xdr:rowOff>104775</xdr:rowOff>
    </xdr:from>
    <xdr:to>
      <xdr:col>39</xdr:col>
      <xdr:colOff>0</xdr:colOff>
      <xdr:row>160</xdr:row>
      <xdr:rowOff>104775</xdr:rowOff>
    </xdr:to>
    <xdr:sp macro="" textlink="">
      <xdr:nvSpPr>
        <xdr:cNvPr id="532940" name="Line 3">
          <a:extLst>
            <a:ext uri="{FF2B5EF4-FFF2-40B4-BE49-F238E27FC236}">
              <a16:creationId xmlns:a16="http://schemas.microsoft.com/office/drawing/2014/main" id="{00000000-0008-0000-0400-0000CC210800}"/>
            </a:ext>
          </a:extLst>
        </xdr:cNvPr>
        <xdr:cNvSpPr>
          <a:spLocks noChangeShapeType="1"/>
        </xdr:cNvSpPr>
      </xdr:nvSpPr>
      <xdr:spPr bwMode="auto">
        <a:xfrm>
          <a:off x="20935950" y="15487650"/>
          <a:ext cx="0" cy="0"/>
        </a:xfrm>
        <a:prstGeom prst="line">
          <a:avLst/>
        </a:prstGeom>
        <a:noFill/>
        <a:ln w="9525">
          <a:solidFill>
            <a:srgbClr val="000000"/>
          </a:solidFill>
          <a:round/>
          <a:headEnd/>
          <a:tailEnd type="triangle" w="med" len="med"/>
        </a:ln>
      </xdr:spPr>
    </xdr:sp>
    <xdr:clientData/>
  </xdr:twoCellAnchor>
  <xdr:twoCellAnchor>
    <xdr:from>
      <xdr:col>8</xdr:col>
      <xdr:colOff>216274</xdr:colOff>
      <xdr:row>689</xdr:row>
      <xdr:rowOff>291354</xdr:rowOff>
    </xdr:from>
    <xdr:to>
      <xdr:col>17</xdr:col>
      <xdr:colOff>16275</xdr:colOff>
      <xdr:row>701</xdr:row>
      <xdr:rowOff>161925</xdr:rowOff>
    </xdr:to>
    <xdr:pic>
      <xdr:nvPicPr>
        <xdr:cNvPr id="532972" name="Picture 20">
          <a:extLst>
            <a:ext uri="{FF2B5EF4-FFF2-40B4-BE49-F238E27FC236}">
              <a16:creationId xmlns:a16="http://schemas.microsoft.com/office/drawing/2014/main" id="{00000000-0008-0000-0400-0000EC2108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5245474" y="107961954"/>
          <a:ext cx="3219476" cy="2289921"/>
        </a:xfrm>
        <a:prstGeom prst="rect">
          <a:avLst/>
        </a:prstGeom>
        <a:noFill/>
        <a:ln w="1">
          <a:noFill/>
          <a:miter lim="800000"/>
          <a:headEnd/>
          <a:tailEnd/>
        </a:ln>
      </xdr:spPr>
    </xdr:pic>
    <xdr:clientData/>
  </xdr:twoCellAnchor>
  <xdr:twoCellAnchor>
    <xdr:from>
      <xdr:col>8</xdr:col>
      <xdr:colOff>202267</xdr:colOff>
      <xdr:row>701</xdr:row>
      <xdr:rowOff>128868</xdr:rowOff>
    </xdr:from>
    <xdr:to>
      <xdr:col>17</xdr:col>
      <xdr:colOff>90645</xdr:colOff>
      <xdr:row>714</xdr:row>
      <xdr:rowOff>47625</xdr:rowOff>
    </xdr:to>
    <xdr:pic>
      <xdr:nvPicPr>
        <xdr:cNvPr id="532973" name="Picture 21">
          <a:extLst>
            <a:ext uri="{FF2B5EF4-FFF2-40B4-BE49-F238E27FC236}">
              <a16:creationId xmlns:a16="http://schemas.microsoft.com/office/drawing/2014/main" id="{00000000-0008-0000-0400-0000ED2108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231467" y="110218818"/>
          <a:ext cx="3307853" cy="2395257"/>
        </a:xfrm>
        <a:prstGeom prst="rect">
          <a:avLst/>
        </a:prstGeom>
        <a:noFill/>
        <a:ln w="1">
          <a:noFill/>
          <a:miter lim="800000"/>
          <a:headEnd/>
          <a:tailEnd/>
        </a:ln>
      </xdr:spPr>
    </xdr:pic>
    <xdr:clientData/>
  </xdr:twoCellAnchor>
  <xdr:twoCellAnchor editAs="oneCell">
    <xdr:from>
      <xdr:col>1</xdr:col>
      <xdr:colOff>292453</xdr:colOff>
      <xdr:row>146</xdr:row>
      <xdr:rowOff>9525</xdr:rowOff>
    </xdr:from>
    <xdr:to>
      <xdr:col>3</xdr:col>
      <xdr:colOff>114300</xdr:colOff>
      <xdr:row>149</xdr:row>
      <xdr:rowOff>89647</xdr:rowOff>
    </xdr:to>
    <xdr:pic>
      <xdr:nvPicPr>
        <xdr:cNvPr id="532974" name="Picture 9190">
          <a:extLst>
            <a:ext uri="{FF2B5EF4-FFF2-40B4-BE49-F238E27FC236}">
              <a16:creationId xmlns:a16="http://schemas.microsoft.com/office/drawing/2014/main" id="{00000000-0008-0000-0400-0000EE2108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480277" y="22376466"/>
          <a:ext cx="718317" cy="651622"/>
        </a:xfrm>
        <a:prstGeom prst="rect">
          <a:avLst/>
        </a:prstGeom>
        <a:noFill/>
        <a:ln w="1">
          <a:noFill/>
          <a:miter lim="800000"/>
          <a:headEnd/>
          <a:tailEnd/>
        </a:ln>
      </xdr:spPr>
    </xdr:pic>
    <xdr:clientData/>
  </xdr:twoCellAnchor>
  <xdr:twoCellAnchor>
    <xdr:from>
      <xdr:col>9</xdr:col>
      <xdr:colOff>15240</xdr:colOff>
      <xdr:row>546</xdr:row>
      <xdr:rowOff>43701</xdr:rowOff>
    </xdr:from>
    <xdr:to>
      <xdr:col>21</xdr:col>
      <xdr:colOff>144780</xdr:colOff>
      <xdr:row>549</xdr:row>
      <xdr:rowOff>160020</xdr:rowOff>
    </xdr:to>
    <xdr:sp macro="" textlink="">
      <xdr:nvSpPr>
        <xdr:cNvPr id="6" name="TextBox 183">
          <a:extLst>
            <a:ext uri="{FF2B5EF4-FFF2-40B4-BE49-F238E27FC236}">
              <a16:creationId xmlns:a16="http://schemas.microsoft.com/office/drawing/2014/main" id="{00000000-0008-0000-0400-000006000000}"/>
            </a:ext>
          </a:extLst>
        </xdr:cNvPr>
        <xdr:cNvSpPr txBox="1"/>
      </xdr:nvSpPr>
      <xdr:spPr>
        <a:xfrm>
          <a:off x="5448300" y="99789501"/>
          <a:ext cx="5410200" cy="687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USE PERFORMANCE PACK</a:t>
          </a:r>
          <a:r>
            <a:rPr lang="en-US" sz="1800" b="1" baseline="0">
              <a:solidFill>
                <a:srgbClr val="FF0000"/>
              </a:solidFill>
            </a:rPr>
            <a:t> DATA TO DETERMINE WHETHER OR NOT THE REINFORCEMENT IS NEEDED.</a:t>
          </a:r>
          <a:endParaRPr lang="en-US" sz="1800" b="1">
            <a:solidFill>
              <a:srgbClr val="FF0000"/>
            </a:solidFill>
          </a:endParaRPr>
        </a:p>
      </xdr:txBody>
    </xdr:sp>
    <xdr:clientData/>
  </xdr:twoCellAnchor>
  <xdr:twoCellAnchor>
    <xdr:from>
      <xdr:col>8</xdr:col>
      <xdr:colOff>239247</xdr:colOff>
      <xdr:row>552</xdr:row>
      <xdr:rowOff>187136</xdr:rowOff>
    </xdr:from>
    <xdr:to>
      <xdr:col>13</xdr:col>
      <xdr:colOff>140106</xdr:colOff>
      <xdr:row>564</xdr:row>
      <xdr:rowOff>164765</xdr:rowOff>
    </xdr:to>
    <xdr:sp macro="" textlink="">
      <xdr:nvSpPr>
        <xdr:cNvPr id="242" name="TextBox 183">
          <a:extLst>
            <a:ext uri="{FF2B5EF4-FFF2-40B4-BE49-F238E27FC236}">
              <a16:creationId xmlns:a16="http://schemas.microsoft.com/office/drawing/2014/main" id="{00000000-0008-0000-0400-0000F2000000}"/>
            </a:ext>
          </a:extLst>
        </xdr:cNvPr>
        <xdr:cNvSpPr txBox="1"/>
      </xdr:nvSpPr>
      <xdr:spPr>
        <a:xfrm>
          <a:off x="5259482" y="59511077"/>
          <a:ext cx="2164448" cy="2263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This part</a:t>
          </a:r>
          <a:r>
            <a:rPr lang="en-US" sz="1800" b="1" baseline="0">
              <a:solidFill>
                <a:srgbClr val="FF0000"/>
              </a:solidFill>
            </a:rPr>
            <a:t> was not tested.  Use only the high performance reinforcement.</a:t>
          </a:r>
          <a:endParaRPr lang="en-US" sz="1800" b="1">
            <a:solidFill>
              <a:srgbClr val="FF0000"/>
            </a:solidFill>
          </a:endParaRPr>
        </a:p>
      </xdr:txBody>
    </xdr:sp>
    <xdr:clientData/>
  </xdr:twoCellAnchor>
  <xdr:twoCellAnchor editAs="oneCell">
    <xdr:from>
      <xdr:col>5</xdr:col>
      <xdr:colOff>738188</xdr:colOff>
      <xdr:row>402</xdr:row>
      <xdr:rowOff>53340</xdr:rowOff>
    </xdr:from>
    <xdr:to>
      <xdr:col>6</xdr:col>
      <xdr:colOff>223362</xdr:colOff>
      <xdr:row>405</xdr:row>
      <xdr:rowOff>158115</xdr:rowOff>
    </xdr:to>
    <xdr:pic>
      <xdr:nvPicPr>
        <xdr:cNvPr id="532986" name="Picture 24051">
          <a:extLst>
            <a:ext uri="{FF2B5EF4-FFF2-40B4-BE49-F238E27FC236}">
              <a16:creationId xmlns:a16="http://schemas.microsoft.com/office/drawing/2014/main" id="{00000000-0008-0000-0400-0000FA2108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900488" y="71856600"/>
          <a:ext cx="407194" cy="676275"/>
        </a:xfrm>
        <a:prstGeom prst="rect">
          <a:avLst/>
        </a:prstGeom>
        <a:noFill/>
        <a:ln w="1">
          <a:noFill/>
          <a:miter lim="800000"/>
          <a:headEnd/>
          <a:tailEnd/>
        </a:ln>
      </xdr:spPr>
    </xdr:pic>
    <xdr:clientData/>
  </xdr:twoCellAnchor>
  <xdr:twoCellAnchor>
    <xdr:from>
      <xdr:col>39</xdr:col>
      <xdr:colOff>0</xdr:colOff>
      <xdr:row>206</xdr:row>
      <xdr:rowOff>104775</xdr:rowOff>
    </xdr:from>
    <xdr:to>
      <xdr:col>39</xdr:col>
      <xdr:colOff>0</xdr:colOff>
      <xdr:row>206</xdr:row>
      <xdr:rowOff>104775</xdr:rowOff>
    </xdr:to>
    <xdr:sp macro="" textlink="">
      <xdr:nvSpPr>
        <xdr:cNvPr id="532992" name="Line 3">
          <a:extLst>
            <a:ext uri="{FF2B5EF4-FFF2-40B4-BE49-F238E27FC236}">
              <a16:creationId xmlns:a16="http://schemas.microsoft.com/office/drawing/2014/main" id="{00000000-0008-0000-0400-000000220800}"/>
            </a:ext>
          </a:extLst>
        </xdr:cNvPr>
        <xdr:cNvSpPr>
          <a:spLocks noChangeShapeType="1"/>
        </xdr:cNvSpPr>
      </xdr:nvSpPr>
      <xdr:spPr bwMode="auto">
        <a:xfrm>
          <a:off x="20935950" y="21231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2993" name="Line 3">
          <a:extLst>
            <a:ext uri="{FF2B5EF4-FFF2-40B4-BE49-F238E27FC236}">
              <a16:creationId xmlns:a16="http://schemas.microsoft.com/office/drawing/2014/main" id="{00000000-0008-0000-0400-000001220800}"/>
            </a:ext>
          </a:extLst>
        </xdr:cNvPr>
        <xdr:cNvSpPr>
          <a:spLocks noChangeShapeType="1"/>
        </xdr:cNvSpPr>
      </xdr:nvSpPr>
      <xdr:spPr bwMode="auto">
        <a:xfrm>
          <a:off x="20935950" y="21421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206</xdr:row>
      <xdr:rowOff>104775</xdr:rowOff>
    </xdr:from>
    <xdr:to>
      <xdr:col>39</xdr:col>
      <xdr:colOff>0</xdr:colOff>
      <xdr:row>206</xdr:row>
      <xdr:rowOff>104775</xdr:rowOff>
    </xdr:to>
    <xdr:sp macro="" textlink="">
      <xdr:nvSpPr>
        <xdr:cNvPr id="532994" name="Line 3">
          <a:extLst>
            <a:ext uri="{FF2B5EF4-FFF2-40B4-BE49-F238E27FC236}">
              <a16:creationId xmlns:a16="http://schemas.microsoft.com/office/drawing/2014/main" id="{00000000-0008-0000-0400-000002220800}"/>
            </a:ext>
          </a:extLst>
        </xdr:cNvPr>
        <xdr:cNvSpPr>
          <a:spLocks noChangeShapeType="1"/>
        </xdr:cNvSpPr>
      </xdr:nvSpPr>
      <xdr:spPr bwMode="auto">
        <a:xfrm>
          <a:off x="20935950" y="21231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2995" name="Line 3">
          <a:extLst>
            <a:ext uri="{FF2B5EF4-FFF2-40B4-BE49-F238E27FC236}">
              <a16:creationId xmlns:a16="http://schemas.microsoft.com/office/drawing/2014/main" id="{00000000-0008-0000-0400-000003220800}"/>
            </a:ext>
          </a:extLst>
        </xdr:cNvPr>
        <xdr:cNvSpPr>
          <a:spLocks noChangeShapeType="1"/>
        </xdr:cNvSpPr>
      </xdr:nvSpPr>
      <xdr:spPr bwMode="auto">
        <a:xfrm>
          <a:off x="20935950" y="21421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197</xdr:row>
      <xdr:rowOff>104775</xdr:rowOff>
    </xdr:from>
    <xdr:to>
      <xdr:col>39</xdr:col>
      <xdr:colOff>0</xdr:colOff>
      <xdr:row>197</xdr:row>
      <xdr:rowOff>104775</xdr:rowOff>
    </xdr:to>
    <xdr:sp macro="" textlink="">
      <xdr:nvSpPr>
        <xdr:cNvPr id="533000" name="Line 3">
          <a:extLst>
            <a:ext uri="{FF2B5EF4-FFF2-40B4-BE49-F238E27FC236}">
              <a16:creationId xmlns:a16="http://schemas.microsoft.com/office/drawing/2014/main" id="{00000000-0008-0000-0400-00000822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3001" name="Line 3">
          <a:extLst>
            <a:ext uri="{FF2B5EF4-FFF2-40B4-BE49-F238E27FC236}">
              <a16:creationId xmlns:a16="http://schemas.microsoft.com/office/drawing/2014/main" id="{00000000-0008-0000-0400-00000922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197</xdr:row>
      <xdr:rowOff>104775</xdr:rowOff>
    </xdr:from>
    <xdr:to>
      <xdr:col>39</xdr:col>
      <xdr:colOff>0</xdr:colOff>
      <xdr:row>197</xdr:row>
      <xdr:rowOff>104775</xdr:rowOff>
    </xdr:to>
    <xdr:sp macro="" textlink="">
      <xdr:nvSpPr>
        <xdr:cNvPr id="533002" name="Line 3">
          <a:extLst>
            <a:ext uri="{FF2B5EF4-FFF2-40B4-BE49-F238E27FC236}">
              <a16:creationId xmlns:a16="http://schemas.microsoft.com/office/drawing/2014/main" id="{00000000-0008-0000-0400-00000A22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3003" name="Line 3">
          <a:extLst>
            <a:ext uri="{FF2B5EF4-FFF2-40B4-BE49-F238E27FC236}">
              <a16:creationId xmlns:a16="http://schemas.microsoft.com/office/drawing/2014/main" id="{00000000-0008-0000-0400-00000B22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177</xdr:row>
      <xdr:rowOff>104775</xdr:rowOff>
    </xdr:from>
    <xdr:to>
      <xdr:col>39</xdr:col>
      <xdr:colOff>0</xdr:colOff>
      <xdr:row>177</xdr:row>
      <xdr:rowOff>104775</xdr:rowOff>
    </xdr:to>
    <xdr:sp macro="" textlink="">
      <xdr:nvSpPr>
        <xdr:cNvPr id="533008" name="Line 3">
          <a:extLst>
            <a:ext uri="{FF2B5EF4-FFF2-40B4-BE49-F238E27FC236}">
              <a16:creationId xmlns:a16="http://schemas.microsoft.com/office/drawing/2014/main" id="{00000000-0008-0000-0400-00001022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3009" name="Line 3">
          <a:extLst>
            <a:ext uri="{FF2B5EF4-FFF2-40B4-BE49-F238E27FC236}">
              <a16:creationId xmlns:a16="http://schemas.microsoft.com/office/drawing/2014/main" id="{00000000-0008-0000-0400-00001122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177</xdr:row>
      <xdr:rowOff>104775</xdr:rowOff>
    </xdr:from>
    <xdr:to>
      <xdr:col>39</xdr:col>
      <xdr:colOff>0</xdr:colOff>
      <xdr:row>177</xdr:row>
      <xdr:rowOff>104775</xdr:rowOff>
    </xdr:to>
    <xdr:sp macro="" textlink="">
      <xdr:nvSpPr>
        <xdr:cNvPr id="533010" name="Line 3">
          <a:extLst>
            <a:ext uri="{FF2B5EF4-FFF2-40B4-BE49-F238E27FC236}">
              <a16:creationId xmlns:a16="http://schemas.microsoft.com/office/drawing/2014/main" id="{00000000-0008-0000-0400-00001222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3011" name="Line 3">
          <a:extLst>
            <a:ext uri="{FF2B5EF4-FFF2-40B4-BE49-F238E27FC236}">
              <a16:creationId xmlns:a16="http://schemas.microsoft.com/office/drawing/2014/main" id="{00000000-0008-0000-0400-00001322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168</xdr:row>
      <xdr:rowOff>104775</xdr:rowOff>
    </xdr:from>
    <xdr:to>
      <xdr:col>39</xdr:col>
      <xdr:colOff>0</xdr:colOff>
      <xdr:row>168</xdr:row>
      <xdr:rowOff>104775</xdr:rowOff>
    </xdr:to>
    <xdr:sp macro="" textlink="">
      <xdr:nvSpPr>
        <xdr:cNvPr id="533016" name="Line 3">
          <a:extLst>
            <a:ext uri="{FF2B5EF4-FFF2-40B4-BE49-F238E27FC236}">
              <a16:creationId xmlns:a16="http://schemas.microsoft.com/office/drawing/2014/main" id="{00000000-0008-0000-0400-00001822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3017" name="Line 3">
          <a:extLst>
            <a:ext uri="{FF2B5EF4-FFF2-40B4-BE49-F238E27FC236}">
              <a16:creationId xmlns:a16="http://schemas.microsoft.com/office/drawing/2014/main" id="{00000000-0008-0000-0400-00001922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168</xdr:row>
      <xdr:rowOff>104775</xdr:rowOff>
    </xdr:from>
    <xdr:to>
      <xdr:col>39</xdr:col>
      <xdr:colOff>0</xdr:colOff>
      <xdr:row>168</xdr:row>
      <xdr:rowOff>104775</xdr:rowOff>
    </xdr:to>
    <xdr:sp macro="" textlink="">
      <xdr:nvSpPr>
        <xdr:cNvPr id="533018" name="Line 3">
          <a:extLst>
            <a:ext uri="{FF2B5EF4-FFF2-40B4-BE49-F238E27FC236}">
              <a16:creationId xmlns:a16="http://schemas.microsoft.com/office/drawing/2014/main" id="{00000000-0008-0000-0400-00001A22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3019" name="Line 3">
          <a:extLst>
            <a:ext uri="{FF2B5EF4-FFF2-40B4-BE49-F238E27FC236}">
              <a16:creationId xmlns:a16="http://schemas.microsoft.com/office/drawing/2014/main" id="{00000000-0008-0000-0400-00001B22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editAs="oneCell">
    <xdr:from>
      <xdr:col>3</xdr:col>
      <xdr:colOff>0</xdr:colOff>
      <xdr:row>140</xdr:row>
      <xdr:rowOff>0</xdr:rowOff>
    </xdr:from>
    <xdr:to>
      <xdr:col>5</xdr:col>
      <xdr:colOff>761009</xdr:colOff>
      <xdr:row>142</xdr:row>
      <xdr:rowOff>69725</xdr:rowOff>
    </xdr:to>
    <xdr:pic>
      <xdr:nvPicPr>
        <xdr:cNvPr id="172" name="Picture 80538">
          <a:extLst>
            <a:ext uri="{FF2B5EF4-FFF2-40B4-BE49-F238E27FC236}">
              <a16:creationId xmlns:a16="http://schemas.microsoft.com/office/drawing/2014/main" id="{00000000-0008-0000-0400-0000AC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2084294" y="21481676"/>
          <a:ext cx="1859186" cy="450725"/>
        </a:xfrm>
        <a:prstGeom prst="rect">
          <a:avLst/>
        </a:prstGeom>
        <a:noFill/>
        <a:ln w="1">
          <a:noFill/>
          <a:miter lim="800000"/>
          <a:headEnd/>
          <a:tailEnd type="none" w="med" len="med"/>
        </a:ln>
        <a:effectLst/>
      </xdr:spPr>
    </xdr:pic>
    <xdr:clientData/>
  </xdr:twoCellAnchor>
  <xdr:twoCellAnchor editAs="oneCell">
    <xdr:from>
      <xdr:col>1</xdr:col>
      <xdr:colOff>0</xdr:colOff>
      <xdr:row>335</xdr:row>
      <xdr:rowOff>0</xdr:rowOff>
    </xdr:from>
    <xdr:to>
      <xdr:col>3</xdr:col>
      <xdr:colOff>106458</xdr:colOff>
      <xdr:row>337</xdr:row>
      <xdr:rowOff>94984</xdr:rowOff>
    </xdr:to>
    <xdr:pic>
      <xdr:nvPicPr>
        <xdr:cNvPr id="175" name="Picture 80544">
          <a:extLst>
            <a:ext uri="{FF2B5EF4-FFF2-40B4-BE49-F238E27FC236}">
              <a16:creationId xmlns:a16="http://schemas.microsoft.com/office/drawing/2014/main" id="{00000000-0008-0000-0400-0000AF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rot="5400000">
          <a:off x="1440090" y="46184910"/>
          <a:ext cx="498396" cy="1002928"/>
        </a:xfrm>
        <a:prstGeom prst="rect">
          <a:avLst/>
        </a:prstGeom>
        <a:noFill/>
        <a:ln w="1">
          <a:noFill/>
          <a:miter lim="800000"/>
          <a:headEnd/>
          <a:tailEnd type="none" w="med" len="med"/>
        </a:ln>
        <a:effectLst/>
      </xdr:spPr>
    </xdr:pic>
    <xdr:clientData/>
  </xdr:twoCellAnchor>
  <xdr:twoCellAnchor editAs="oneCell">
    <xdr:from>
      <xdr:col>1</xdr:col>
      <xdr:colOff>73959</xdr:colOff>
      <xdr:row>263</xdr:row>
      <xdr:rowOff>77545</xdr:rowOff>
    </xdr:from>
    <xdr:to>
      <xdr:col>3</xdr:col>
      <xdr:colOff>20731</xdr:colOff>
      <xdr:row>265</xdr:row>
      <xdr:rowOff>106120</xdr:rowOff>
    </xdr:to>
    <xdr:pic>
      <xdr:nvPicPr>
        <xdr:cNvPr id="195" name="Picture 29268">
          <a:extLst>
            <a:ext uri="{FF2B5EF4-FFF2-40B4-BE49-F238E27FC236}">
              <a16:creationId xmlns:a16="http://schemas.microsoft.com/office/drawing/2014/main" id="{00000000-0008-0000-0400-0000C3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262679" y="48395965"/>
          <a:ext cx="838312" cy="409575"/>
        </a:xfrm>
        <a:prstGeom prst="rect">
          <a:avLst/>
        </a:prstGeom>
        <a:noFill/>
        <a:ln w="1">
          <a:noFill/>
          <a:miter lim="800000"/>
          <a:headEnd/>
          <a:tailEnd/>
        </a:ln>
      </xdr:spPr>
    </xdr:pic>
    <xdr:clientData/>
  </xdr:twoCellAnchor>
  <xdr:twoCellAnchor editAs="oneCell">
    <xdr:from>
      <xdr:col>3</xdr:col>
      <xdr:colOff>0</xdr:colOff>
      <xdr:row>618</xdr:row>
      <xdr:rowOff>0</xdr:rowOff>
    </xdr:from>
    <xdr:to>
      <xdr:col>4</xdr:col>
      <xdr:colOff>476250</xdr:colOff>
      <xdr:row>621</xdr:row>
      <xdr:rowOff>165287</xdr:rowOff>
    </xdr:to>
    <xdr:pic>
      <xdr:nvPicPr>
        <xdr:cNvPr id="196" name="Picture 21101">
          <a:extLst>
            <a:ext uri="{FF2B5EF4-FFF2-40B4-BE49-F238E27FC236}">
              <a16:creationId xmlns:a16="http://schemas.microsoft.com/office/drawing/2014/main" id="{00000000-0008-0000-0400-0000C4000000}"/>
            </a:ext>
          </a:extLst>
        </xdr:cNvPr>
        <xdr:cNvPicPr>
          <a:picLocks noChangeAspect="1" noChangeArrowheads="1"/>
        </xdr:cNvPicPr>
      </xdr:nvPicPr>
      <xdr:blipFill>
        <a:blip xmlns:r="http://schemas.openxmlformats.org/officeDocument/2006/relationships" r:embed="rId17" cstate="print">
          <a:clrChange>
            <a:clrFrom>
              <a:srgbClr val="FFFFFF"/>
            </a:clrFrom>
            <a:clrTo>
              <a:srgbClr val="FFFFFF">
                <a:alpha val="0"/>
              </a:srgbClr>
            </a:clrTo>
          </a:clrChange>
        </a:blip>
        <a:srcRect/>
        <a:stretch>
          <a:fillRect/>
        </a:stretch>
      </xdr:blipFill>
      <xdr:spPr bwMode="auto">
        <a:xfrm>
          <a:off x="2084294" y="87674824"/>
          <a:ext cx="756397" cy="736787"/>
        </a:xfrm>
        <a:prstGeom prst="rect">
          <a:avLst/>
        </a:prstGeom>
        <a:noFill/>
        <a:ln w="1">
          <a:noFill/>
          <a:miter lim="800000"/>
          <a:headEnd/>
          <a:tailEnd/>
        </a:ln>
      </xdr:spPr>
    </xdr:pic>
    <xdr:clientData/>
  </xdr:twoCellAnchor>
  <xdr:twoCellAnchor editAs="oneCell">
    <xdr:from>
      <xdr:col>2</xdr:col>
      <xdr:colOff>148366</xdr:colOff>
      <xdr:row>384</xdr:row>
      <xdr:rowOff>169769</xdr:rowOff>
    </xdr:from>
    <xdr:to>
      <xdr:col>4</xdr:col>
      <xdr:colOff>219188</xdr:colOff>
      <xdr:row>387</xdr:row>
      <xdr:rowOff>179294</xdr:rowOff>
    </xdr:to>
    <xdr:pic>
      <xdr:nvPicPr>
        <xdr:cNvPr id="210" name="Picture 21111">
          <a:extLst>
            <a:ext uri="{FF2B5EF4-FFF2-40B4-BE49-F238E27FC236}">
              <a16:creationId xmlns:a16="http://schemas.microsoft.com/office/drawing/2014/main" id="{00000000-0008-0000-0400-0000D2000000}"/>
            </a:ext>
          </a:extLst>
        </xdr:cNvPr>
        <xdr:cNvPicPr>
          <a:picLocks noChangeAspect="1" noChangeArrowheads="1"/>
        </xdr:cNvPicPr>
      </xdr:nvPicPr>
      <xdr:blipFill>
        <a:blip xmlns:r="http://schemas.openxmlformats.org/officeDocument/2006/relationships" r:embed="rId18" cstate="print">
          <a:clrChange>
            <a:clrFrom>
              <a:srgbClr val="000000"/>
            </a:clrFrom>
            <a:clrTo>
              <a:srgbClr val="000000">
                <a:alpha val="0"/>
              </a:srgbClr>
            </a:clrTo>
          </a:clrChange>
          <a:lum bright="-24000" contrast="36000"/>
        </a:blip>
        <a:srcRect/>
        <a:stretch>
          <a:fillRect/>
        </a:stretch>
      </xdr:blipFill>
      <xdr:spPr bwMode="auto">
        <a:xfrm>
          <a:off x="1916206" y="69687029"/>
          <a:ext cx="657562" cy="581025"/>
        </a:xfrm>
        <a:prstGeom prst="rect">
          <a:avLst/>
        </a:prstGeom>
        <a:noFill/>
        <a:ln w="1">
          <a:noFill/>
          <a:miter lim="800000"/>
          <a:headEnd/>
          <a:tailEnd/>
        </a:ln>
      </xdr:spPr>
    </xdr:pic>
    <xdr:clientData/>
  </xdr:twoCellAnchor>
  <xdr:twoCellAnchor editAs="oneCell">
    <xdr:from>
      <xdr:col>5</xdr:col>
      <xdr:colOff>577663</xdr:colOff>
      <xdr:row>363</xdr:row>
      <xdr:rowOff>87966</xdr:rowOff>
    </xdr:from>
    <xdr:to>
      <xdr:col>6</xdr:col>
      <xdr:colOff>644897</xdr:colOff>
      <xdr:row>366</xdr:row>
      <xdr:rowOff>136136</xdr:rowOff>
    </xdr:to>
    <xdr:pic>
      <xdr:nvPicPr>
        <xdr:cNvPr id="214" name="Picture 44425">
          <a:extLst>
            <a:ext uri="{FF2B5EF4-FFF2-40B4-BE49-F238E27FC236}">
              <a16:creationId xmlns:a16="http://schemas.microsoft.com/office/drawing/2014/main" id="{00000000-0008-0000-0400-0000D6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759013" y="54732891"/>
          <a:ext cx="991159" cy="619670"/>
        </a:xfrm>
        <a:prstGeom prst="rect">
          <a:avLst/>
        </a:prstGeom>
        <a:noFill/>
        <a:ln w="1">
          <a:noFill/>
          <a:miter lim="800000"/>
          <a:headEnd/>
          <a:tailEnd type="none" w="med" len="med"/>
        </a:ln>
        <a:effectLst/>
      </xdr:spPr>
    </xdr:pic>
    <xdr:clientData/>
  </xdr:twoCellAnchor>
  <xdr:twoCellAnchor editAs="oneCell">
    <xdr:from>
      <xdr:col>5</xdr:col>
      <xdr:colOff>246529</xdr:colOff>
      <xdr:row>367</xdr:row>
      <xdr:rowOff>78441</xdr:rowOff>
    </xdr:from>
    <xdr:to>
      <xdr:col>6</xdr:col>
      <xdr:colOff>621205</xdr:colOff>
      <xdr:row>370</xdr:row>
      <xdr:rowOff>100853</xdr:rowOff>
    </xdr:to>
    <xdr:pic>
      <xdr:nvPicPr>
        <xdr:cNvPr id="215" name="Picture 44426">
          <a:extLst>
            <a:ext uri="{FF2B5EF4-FFF2-40B4-BE49-F238E27FC236}">
              <a16:creationId xmlns:a16="http://schemas.microsoft.com/office/drawing/2014/main" id="{00000000-0008-0000-0400-0000D7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429000" y="63974382"/>
          <a:ext cx="1293558" cy="593912"/>
        </a:xfrm>
        <a:prstGeom prst="rect">
          <a:avLst/>
        </a:prstGeom>
        <a:noFill/>
        <a:ln w="1">
          <a:noFill/>
          <a:miter lim="800000"/>
          <a:headEnd/>
          <a:tailEnd type="none" w="med" len="med"/>
        </a:ln>
        <a:effectLst/>
      </xdr:spPr>
    </xdr:pic>
    <xdr:clientData/>
  </xdr:twoCellAnchor>
  <xdr:twoCellAnchor editAs="oneCell">
    <xdr:from>
      <xdr:col>5</xdr:col>
      <xdr:colOff>672355</xdr:colOff>
      <xdr:row>592</xdr:row>
      <xdr:rowOff>78441</xdr:rowOff>
    </xdr:from>
    <xdr:to>
      <xdr:col>6</xdr:col>
      <xdr:colOff>481855</xdr:colOff>
      <xdr:row>595</xdr:row>
      <xdr:rowOff>91958</xdr:rowOff>
    </xdr:to>
    <xdr:pic>
      <xdr:nvPicPr>
        <xdr:cNvPr id="217" name="Picture 44428">
          <a:extLst>
            <a:ext uri="{FF2B5EF4-FFF2-40B4-BE49-F238E27FC236}">
              <a16:creationId xmlns:a16="http://schemas.microsoft.com/office/drawing/2014/main" id="{00000000-0008-0000-0400-0000D9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3853705" y="91966116"/>
          <a:ext cx="733425" cy="470717"/>
        </a:xfrm>
        <a:prstGeom prst="rect">
          <a:avLst/>
        </a:prstGeom>
        <a:noFill/>
        <a:ln w="1">
          <a:noFill/>
          <a:miter lim="800000"/>
          <a:headEnd/>
          <a:tailEnd type="none" w="med" len="med"/>
        </a:ln>
        <a:effectLst/>
      </xdr:spPr>
    </xdr:pic>
    <xdr:clientData/>
  </xdr:twoCellAnchor>
  <xdr:twoCellAnchor editAs="oneCell">
    <xdr:from>
      <xdr:col>5</xdr:col>
      <xdr:colOff>672353</xdr:colOff>
      <xdr:row>596</xdr:row>
      <xdr:rowOff>123265</xdr:rowOff>
    </xdr:from>
    <xdr:to>
      <xdr:col>6</xdr:col>
      <xdr:colOff>483580</xdr:colOff>
      <xdr:row>599</xdr:row>
      <xdr:rowOff>11206</xdr:rowOff>
    </xdr:to>
    <xdr:pic>
      <xdr:nvPicPr>
        <xdr:cNvPr id="218" name="Picture 44429">
          <a:extLst>
            <a:ext uri="{FF2B5EF4-FFF2-40B4-BE49-F238E27FC236}">
              <a16:creationId xmlns:a16="http://schemas.microsoft.com/office/drawing/2014/main" id="{00000000-0008-0000-0400-0000DA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853703" y="92630065"/>
          <a:ext cx="735152" cy="459441"/>
        </a:xfrm>
        <a:prstGeom prst="rect">
          <a:avLst/>
        </a:prstGeom>
        <a:noFill/>
        <a:ln w="1">
          <a:noFill/>
          <a:miter lim="800000"/>
          <a:headEnd/>
          <a:tailEnd type="none" w="med" len="med"/>
        </a:ln>
        <a:effectLst/>
      </xdr:spPr>
    </xdr:pic>
    <xdr:clientData/>
  </xdr:twoCellAnchor>
  <xdr:twoCellAnchor editAs="oneCell">
    <xdr:from>
      <xdr:col>2</xdr:col>
      <xdr:colOff>75641</xdr:colOff>
      <xdr:row>628</xdr:row>
      <xdr:rowOff>97492</xdr:rowOff>
    </xdr:from>
    <xdr:to>
      <xdr:col>4</xdr:col>
      <xdr:colOff>104776</xdr:colOff>
      <xdr:row>630</xdr:row>
      <xdr:rowOff>135592</xdr:rowOff>
    </xdr:to>
    <xdr:pic>
      <xdr:nvPicPr>
        <xdr:cNvPr id="223" name="Picture 21100">
          <a:extLst>
            <a:ext uri="{FF2B5EF4-FFF2-40B4-BE49-F238E27FC236}">
              <a16:creationId xmlns:a16="http://schemas.microsoft.com/office/drawing/2014/main" id="{00000000-0008-0000-0400-0000DF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1847291" y="97681117"/>
          <a:ext cx="619685" cy="419100"/>
        </a:xfrm>
        <a:prstGeom prst="rect">
          <a:avLst/>
        </a:prstGeom>
        <a:noFill/>
        <a:ln w="1">
          <a:noFill/>
          <a:miter lim="800000"/>
          <a:headEnd/>
          <a:tailEnd/>
        </a:ln>
      </xdr:spPr>
    </xdr:pic>
    <xdr:clientData/>
  </xdr:twoCellAnchor>
  <xdr:twoCellAnchor editAs="oneCell">
    <xdr:from>
      <xdr:col>2</xdr:col>
      <xdr:colOff>258632</xdr:colOff>
      <xdr:row>633</xdr:row>
      <xdr:rowOff>85390</xdr:rowOff>
    </xdr:from>
    <xdr:to>
      <xdr:col>4</xdr:col>
      <xdr:colOff>249667</xdr:colOff>
      <xdr:row>636</xdr:row>
      <xdr:rowOff>94915</xdr:rowOff>
    </xdr:to>
    <xdr:pic>
      <xdr:nvPicPr>
        <xdr:cNvPr id="224" name="Picture 21103">
          <a:extLst>
            <a:ext uri="{FF2B5EF4-FFF2-40B4-BE49-F238E27FC236}">
              <a16:creationId xmlns:a16="http://schemas.microsoft.com/office/drawing/2014/main" id="{00000000-0008-0000-0400-0000E0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2026472" y="115840810"/>
          <a:ext cx="577775" cy="581025"/>
        </a:xfrm>
        <a:prstGeom prst="rect">
          <a:avLst/>
        </a:prstGeom>
        <a:noFill/>
        <a:ln w="1">
          <a:noFill/>
          <a:miter lim="800000"/>
          <a:headEnd/>
          <a:tailEnd/>
        </a:ln>
      </xdr:spPr>
    </xdr:pic>
    <xdr:clientData/>
  </xdr:twoCellAnchor>
  <xdr:twoCellAnchor editAs="oneCell">
    <xdr:from>
      <xdr:col>1</xdr:col>
      <xdr:colOff>157639</xdr:colOff>
      <xdr:row>418</xdr:row>
      <xdr:rowOff>257651</xdr:rowOff>
    </xdr:from>
    <xdr:to>
      <xdr:col>4</xdr:col>
      <xdr:colOff>563292</xdr:colOff>
      <xdr:row>418</xdr:row>
      <xdr:rowOff>629126</xdr:rowOff>
    </xdr:to>
    <xdr:pic>
      <xdr:nvPicPr>
        <xdr:cNvPr id="211" name="Picture 80550">
          <a:extLst>
            <a:ext uri="{FF2B5EF4-FFF2-40B4-BE49-F238E27FC236}">
              <a16:creationId xmlns:a16="http://schemas.microsoft.com/office/drawing/2014/main" id="{00000000-0008-0000-0400-0000D300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1346359" y="75893771"/>
          <a:ext cx="1571513" cy="371475"/>
        </a:xfrm>
        <a:prstGeom prst="rect">
          <a:avLst/>
        </a:prstGeom>
        <a:noFill/>
        <a:ln w="1">
          <a:noFill/>
          <a:miter lim="800000"/>
          <a:headEnd/>
          <a:tailEnd type="none" w="med" len="med"/>
        </a:ln>
        <a:effectLst/>
      </xdr:spPr>
    </xdr:pic>
    <xdr:clientData/>
  </xdr:twoCellAnchor>
  <xdr:twoCellAnchor editAs="oneCell">
    <xdr:from>
      <xdr:col>5</xdr:col>
      <xdr:colOff>84605</xdr:colOff>
      <xdr:row>420</xdr:row>
      <xdr:rowOff>4258</xdr:rowOff>
    </xdr:from>
    <xdr:to>
      <xdr:col>5</xdr:col>
      <xdr:colOff>848622</xdr:colOff>
      <xdr:row>422</xdr:row>
      <xdr:rowOff>166743</xdr:rowOff>
    </xdr:to>
    <xdr:pic>
      <xdr:nvPicPr>
        <xdr:cNvPr id="212" name="Picture 29293">
          <a:extLst>
            <a:ext uri="{FF2B5EF4-FFF2-40B4-BE49-F238E27FC236}">
              <a16:creationId xmlns:a16="http://schemas.microsoft.com/office/drawing/2014/main" id="{00000000-0008-0000-0400-0000D4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3246905" y="76539538"/>
          <a:ext cx="764017" cy="543485"/>
        </a:xfrm>
        <a:prstGeom prst="rect">
          <a:avLst/>
        </a:prstGeom>
        <a:noFill/>
        <a:ln w="1">
          <a:noFill/>
          <a:miter lim="800000"/>
          <a:headEnd/>
          <a:tailEnd/>
        </a:ln>
      </xdr:spPr>
    </xdr:pic>
    <xdr:clientData/>
  </xdr:twoCellAnchor>
  <xdr:twoCellAnchor>
    <xdr:from>
      <xdr:col>34</xdr:col>
      <xdr:colOff>209550</xdr:colOff>
      <xdr:row>2</xdr:row>
      <xdr:rowOff>228600</xdr:rowOff>
    </xdr:from>
    <xdr:to>
      <xdr:col>38</xdr:col>
      <xdr:colOff>104775</xdr:colOff>
      <xdr:row>5</xdr:row>
      <xdr:rowOff>114300</xdr:rowOff>
    </xdr:to>
    <xdr:sp macro="" textlink="">
      <xdr:nvSpPr>
        <xdr:cNvPr id="227" name="TextBox 226">
          <a:extLst>
            <a:ext uri="{FF2B5EF4-FFF2-40B4-BE49-F238E27FC236}">
              <a16:creationId xmlns:a16="http://schemas.microsoft.com/office/drawing/2014/main" id="{00000000-0008-0000-0400-0000E3000000}"/>
            </a:ext>
          </a:extLst>
        </xdr:cNvPr>
        <xdr:cNvSpPr txBox="1"/>
      </xdr:nvSpPr>
      <xdr:spPr>
        <a:xfrm>
          <a:off x="16859250" y="923925"/>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editAs="oneCell">
    <xdr:from>
      <xdr:col>1</xdr:col>
      <xdr:colOff>514350</xdr:colOff>
      <xdr:row>157</xdr:row>
      <xdr:rowOff>171450</xdr:rowOff>
    </xdr:from>
    <xdr:to>
      <xdr:col>4</xdr:col>
      <xdr:colOff>352425</xdr:colOff>
      <xdr:row>159</xdr:row>
      <xdr:rowOff>171450</xdr:rowOff>
    </xdr:to>
    <xdr:pic>
      <xdr:nvPicPr>
        <xdr:cNvPr id="228" name="Picture 80634">
          <a:extLst>
            <a:ext uri="{FF2B5EF4-FFF2-40B4-BE49-F238E27FC236}">
              <a16:creationId xmlns:a16="http://schemas.microsoft.com/office/drawing/2014/main" id="{00000000-0008-0000-0400-0000E4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704975" y="24031575"/>
          <a:ext cx="1009650" cy="381000"/>
        </a:xfrm>
        <a:prstGeom prst="rect">
          <a:avLst/>
        </a:prstGeom>
        <a:noFill/>
        <a:ln w="1">
          <a:noFill/>
          <a:miter lim="800000"/>
          <a:headEnd/>
          <a:tailEnd type="none" w="med" len="med"/>
        </a:ln>
        <a:effectLst/>
      </xdr:spPr>
    </xdr:pic>
    <xdr:clientData/>
  </xdr:twoCellAnchor>
  <xdr:twoCellAnchor editAs="oneCell">
    <xdr:from>
      <xdr:col>3</xdr:col>
      <xdr:colOff>47625</xdr:colOff>
      <xdr:row>133</xdr:row>
      <xdr:rowOff>161925</xdr:rowOff>
    </xdr:from>
    <xdr:to>
      <xdr:col>5</xdr:col>
      <xdr:colOff>91888</xdr:colOff>
      <xdr:row>135</xdr:row>
      <xdr:rowOff>161925</xdr:rowOff>
    </xdr:to>
    <xdr:pic>
      <xdr:nvPicPr>
        <xdr:cNvPr id="229" name="Picture 80652">
          <a:extLst>
            <a:ext uri="{FF2B5EF4-FFF2-40B4-BE49-F238E27FC236}">
              <a16:creationId xmlns:a16="http://schemas.microsoft.com/office/drawing/2014/main" id="{00000000-0008-0000-0400-0000E5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133600" y="20488275"/>
          <a:ext cx="1139638" cy="381000"/>
        </a:xfrm>
        <a:prstGeom prst="rect">
          <a:avLst/>
        </a:prstGeom>
        <a:noFill/>
        <a:ln w="1">
          <a:noFill/>
          <a:miter lim="800000"/>
          <a:headEnd/>
          <a:tailEnd type="none" w="med" len="med"/>
        </a:ln>
        <a:effectLst/>
      </xdr:spPr>
    </xdr:pic>
    <xdr:clientData/>
  </xdr:twoCellAnchor>
  <xdr:twoCellAnchor editAs="oneCell">
    <xdr:from>
      <xdr:col>4</xdr:col>
      <xdr:colOff>117158</xdr:colOff>
      <xdr:row>390</xdr:row>
      <xdr:rowOff>53817</xdr:rowOff>
    </xdr:from>
    <xdr:to>
      <xdr:col>5</xdr:col>
      <xdr:colOff>86678</xdr:colOff>
      <xdr:row>391</xdr:row>
      <xdr:rowOff>153828</xdr:rowOff>
    </xdr:to>
    <xdr:pic>
      <xdr:nvPicPr>
        <xdr:cNvPr id="230" name="Picture 80648">
          <a:extLst>
            <a:ext uri="{FF2B5EF4-FFF2-40B4-BE49-F238E27FC236}">
              <a16:creationId xmlns:a16="http://schemas.microsoft.com/office/drawing/2014/main" id="{00000000-0008-0000-0400-0000E6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471738" y="70523577"/>
          <a:ext cx="777240" cy="290511"/>
        </a:xfrm>
        <a:prstGeom prst="rect">
          <a:avLst/>
        </a:prstGeom>
        <a:noFill/>
        <a:ln w="1">
          <a:noFill/>
          <a:miter lim="800000"/>
          <a:headEnd/>
          <a:tailEnd type="none" w="med" len="med"/>
        </a:ln>
        <a:effectLst/>
      </xdr:spPr>
    </xdr:pic>
    <xdr:clientData/>
  </xdr:twoCellAnchor>
  <xdr:twoCellAnchor editAs="oneCell">
    <xdr:from>
      <xdr:col>3</xdr:col>
      <xdr:colOff>0</xdr:colOff>
      <xdr:row>608</xdr:row>
      <xdr:rowOff>0</xdr:rowOff>
    </xdr:from>
    <xdr:to>
      <xdr:col>5</xdr:col>
      <xdr:colOff>47625</xdr:colOff>
      <xdr:row>610</xdr:row>
      <xdr:rowOff>0</xdr:rowOff>
    </xdr:to>
    <xdr:pic>
      <xdr:nvPicPr>
        <xdr:cNvPr id="231" name="Picture 80652">
          <a:extLst>
            <a:ext uri="{FF2B5EF4-FFF2-40B4-BE49-F238E27FC236}">
              <a16:creationId xmlns:a16="http://schemas.microsoft.com/office/drawing/2014/main" id="{00000000-0008-0000-0400-0000E7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085975" y="93421200"/>
          <a:ext cx="1143000" cy="381000"/>
        </a:xfrm>
        <a:prstGeom prst="rect">
          <a:avLst/>
        </a:prstGeom>
        <a:noFill/>
        <a:ln w="1">
          <a:noFill/>
          <a:miter lim="800000"/>
          <a:headEnd/>
          <a:tailEnd type="none" w="med" len="med"/>
        </a:ln>
        <a:effectLst/>
      </xdr:spPr>
    </xdr:pic>
    <xdr:clientData/>
  </xdr:twoCellAnchor>
  <xdr:twoCellAnchor editAs="oneCell">
    <xdr:from>
      <xdr:col>3</xdr:col>
      <xdr:colOff>0</xdr:colOff>
      <xdr:row>623</xdr:row>
      <xdr:rowOff>0</xdr:rowOff>
    </xdr:from>
    <xdr:to>
      <xdr:col>5</xdr:col>
      <xdr:colOff>47625</xdr:colOff>
      <xdr:row>625</xdr:row>
      <xdr:rowOff>0</xdr:rowOff>
    </xdr:to>
    <xdr:pic>
      <xdr:nvPicPr>
        <xdr:cNvPr id="232" name="Picture 80652">
          <a:extLst>
            <a:ext uri="{FF2B5EF4-FFF2-40B4-BE49-F238E27FC236}">
              <a16:creationId xmlns:a16="http://schemas.microsoft.com/office/drawing/2014/main" id="{00000000-0008-0000-0400-0000E8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085975" y="95897700"/>
          <a:ext cx="1143000" cy="381000"/>
        </a:xfrm>
        <a:prstGeom prst="rect">
          <a:avLst/>
        </a:prstGeom>
        <a:noFill/>
        <a:ln w="1">
          <a:noFill/>
          <a:miter lim="800000"/>
          <a:headEnd/>
          <a:tailEnd type="none" w="med" len="med"/>
        </a:ln>
        <a:effectLst/>
      </xdr:spPr>
    </xdr:pic>
    <xdr:clientData/>
  </xdr:twoCellAnchor>
  <xdr:twoCellAnchor editAs="oneCell">
    <xdr:from>
      <xdr:col>4</xdr:col>
      <xdr:colOff>180975</xdr:colOff>
      <xdr:row>613</xdr:row>
      <xdr:rowOff>114300</xdr:rowOff>
    </xdr:from>
    <xdr:to>
      <xdr:col>5</xdr:col>
      <xdr:colOff>171450</xdr:colOff>
      <xdr:row>615</xdr:row>
      <xdr:rowOff>104775</xdr:rowOff>
    </xdr:to>
    <xdr:pic>
      <xdr:nvPicPr>
        <xdr:cNvPr id="233" name="Picture 80653">
          <a:extLst>
            <a:ext uri="{FF2B5EF4-FFF2-40B4-BE49-F238E27FC236}">
              <a16:creationId xmlns:a16="http://schemas.microsoft.com/office/drawing/2014/main" id="{00000000-0008-0000-0400-0000E9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543175" y="94297500"/>
          <a:ext cx="809625" cy="371475"/>
        </a:xfrm>
        <a:prstGeom prst="rect">
          <a:avLst/>
        </a:prstGeom>
        <a:noFill/>
        <a:ln w="1">
          <a:noFill/>
          <a:miter lim="800000"/>
          <a:headEnd/>
          <a:tailEnd type="none" w="med" len="med"/>
        </a:ln>
        <a:effectLst/>
      </xdr:spPr>
    </xdr:pic>
    <xdr:clientData/>
  </xdr:twoCellAnchor>
  <xdr:twoCellAnchor editAs="oneCell">
    <xdr:from>
      <xdr:col>5</xdr:col>
      <xdr:colOff>0</xdr:colOff>
      <xdr:row>637</xdr:row>
      <xdr:rowOff>38100</xdr:rowOff>
    </xdr:from>
    <xdr:to>
      <xdr:col>5</xdr:col>
      <xdr:colOff>876299</xdr:colOff>
      <xdr:row>640</xdr:row>
      <xdr:rowOff>128999</xdr:rowOff>
    </xdr:to>
    <xdr:pic>
      <xdr:nvPicPr>
        <xdr:cNvPr id="234" name="Picture 44537">
          <a:extLst>
            <a:ext uri="{FF2B5EF4-FFF2-40B4-BE49-F238E27FC236}">
              <a16:creationId xmlns:a16="http://schemas.microsoft.com/office/drawing/2014/main" id="{00000000-0008-0000-0400-0000EA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3181350" y="98412300"/>
          <a:ext cx="876299" cy="662399"/>
        </a:xfrm>
        <a:prstGeom prst="rect">
          <a:avLst/>
        </a:prstGeom>
        <a:noFill/>
        <a:ln w="1">
          <a:noFill/>
          <a:miter lim="800000"/>
          <a:headEnd/>
          <a:tailEnd type="none" w="med" len="med"/>
        </a:ln>
        <a:effectLst/>
      </xdr:spPr>
    </xdr:pic>
    <xdr:clientData/>
  </xdr:twoCellAnchor>
  <xdr:twoCellAnchor editAs="oneCell">
    <xdr:from>
      <xdr:col>4</xdr:col>
      <xdr:colOff>382429</xdr:colOff>
      <xdr:row>324</xdr:row>
      <xdr:rowOff>68104</xdr:rowOff>
    </xdr:from>
    <xdr:to>
      <xdr:col>5</xdr:col>
      <xdr:colOff>815341</xdr:colOff>
      <xdr:row>328</xdr:row>
      <xdr:rowOff>43894</xdr:rowOff>
    </xdr:to>
    <xdr:pic>
      <xdr:nvPicPr>
        <xdr:cNvPr id="221" name="Picture 220">
          <a:extLst>
            <a:ext uri="{FF2B5EF4-FFF2-40B4-BE49-F238E27FC236}">
              <a16:creationId xmlns:a16="http://schemas.microsoft.com/office/drawing/2014/main" id="{00000000-0008-0000-0400-0000DD000000}"/>
            </a:ext>
          </a:extLst>
        </xdr:cNvPr>
        <xdr:cNvPicPr>
          <a:picLocks noChangeAspect="1"/>
        </xdr:cNvPicPr>
      </xdr:nvPicPr>
      <xdr:blipFill>
        <a:blip xmlns:r="http://schemas.openxmlformats.org/officeDocument/2006/relationships" r:embed="rId32"/>
        <a:stretch>
          <a:fillRect/>
        </a:stretch>
      </xdr:blipFill>
      <xdr:spPr>
        <a:xfrm>
          <a:off x="2737009" y="58284904"/>
          <a:ext cx="1240632" cy="753030"/>
        </a:xfrm>
        <a:prstGeom prst="rect">
          <a:avLst/>
        </a:prstGeom>
      </xdr:spPr>
    </xdr:pic>
    <xdr:clientData/>
  </xdr:twoCellAnchor>
  <xdr:twoCellAnchor editAs="oneCell">
    <xdr:from>
      <xdr:col>0</xdr:col>
      <xdr:colOff>1107281</xdr:colOff>
      <xdr:row>343</xdr:row>
      <xdr:rowOff>154782</xdr:rowOff>
    </xdr:from>
    <xdr:to>
      <xdr:col>4</xdr:col>
      <xdr:colOff>110483</xdr:colOff>
      <xdr:row>349</xdr:row>
      <xdr:rowOff>41666</xdr:rowOff>
    </xdr:to>
    <xdr:pic>
      <xdr:nvPicPr>
        <xdr:cNvPr id="235" name="Picture 30326">
          <a:extLst>
            <a:ext uri="{FF2B5EF4-FFF2-40B4-BE49-F238E27FC236}">
              <a16:creationId xmlns:a16="http://schemas.microsoft.com/office/drawing/2014/main" id="{00000000-0008-0000-0400-0000EB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bwMode="auto">
        <a:xfrm>
          <a:off x="1107281" y="53911501"/>
          <a:ext cx="1360640" cy="1029884"/>
        </a:xfrm>
        <a:prstGeom prst="rect">
          <a:avLst/>
        </a:prstGeom>
        <a:noFill/>
        <a:ln w="1">
          <a:noFill/>
          <a:miter lim="800000"/>
          <a:headEnd/>
          <a:tailEnd/>
        </a:ln>
      </xdr:spPr>
    </xdr:pic>
    <xdr:clientData/>
  </xdr:twoCellAnchor>
  <xdr:twoCellAnchor>
    <xdr:from>
      <xdr:col>0</xdr:col>
      <xdr:colOff>1142999</xdr:colOff>
      <xdr:row>350</xdr:row>
      <xdr:rowOff>130969</xdr:rowOff>
    </xdr:from>
    <xdr:to>
      <xdr:col>6</xdr:col>
      <xdr:colOff>222996</xdr:colOff>
      <xdr:row>354</xdr:row>
      <xdr:rowOff>89693</xdr:rowOff>
    </xdr:to>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1142999" y="55221188"/>
          <a:ext cx="3187653"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33</xdr:col>
      <xdr:colOff>190499</xdr:colOff>
      <xdr:row>346</xdr:row>
      <xdr:rowOff>130969</xdr:rowOff>
    </xdr:from>
    <xdr:to>
      <xdr:col>39</xdr:col>
      <xdr:colOff>101834</xdr:colOff>
      <xdr:row>353</xdr:row>
      <xdr:rowOff>190023</xdr:rowOff>
    </xdr:to>
    <xdr:sp macro="" textlink="">
      <xdr:nvSpPr>
        <xdr:cNvPr id="240" name="TextBox 239">
          <a:extLst>
            <a:ext uri="{FF2B5EF4-FFF2-40B4-BE49-F238E27FC236}">
              <a16:creationId xmlns:a16="http://schemas.microsoft.com/office/drawing/2014/main" id="{00000000-0008-0000-0400-0000F0000000}"/>
            </a:ext>
          </a:extLst>
        </xdr:cNvPr>
        <xdr:cNvSpPr txBox="1"/>
      </xdr:nvSpPr>
      <xdr:spPr>
        <a:xfrm>
          <a:off x="16037718" y="54459188"/>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xdr:from>
      <xdr:col>4</xdr:col>
      <xdr:colOff>666748</xdr:colOff>
      <xdr:row>371</xdr:row>
      <xdr:rowOff>11906</xdr:rowOff>
    </xdr:from>
    <xdr:to>
      <xdr:col>5</xdr:col>
      <xdr:colOff>565294</xdr:colOff>
      <xdr:row>374</xdr:row>
      <xdr:rowOff>3319</xdr:rowOff>
    </xdr:to>
    <xdr:pic>
      <xdr:nvPicPr>
        <xdr:cNvPr id="243" name="Picture 44427">
          <a:extLst>
            <a:ext uri="{FF2B5EF4-FFF2-40B4-BE49-F238E27FC236}">
              <a16:creationId xmlns:a16="http://schemas.microsoft.com/office/drawing/2014/main" id="{00000000-0008-0000-0400-0000F3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3024186" y="59102625"/>
          <a:ext cx="720077" cy="562913"/>
        </a:xfrm>
        <a:prstGeom prst="rect">
          <a:avLst/>
        </a:prstGeom>
        <a:noFill/>
        <a:ln w="1">
          <a:noFill/>
          <a:miter lim="800000"/>
          <a:headEnd/>
          <a:tailEnd type="none" w="med" len="med"/>
        </a:ln>
        <a:effectLst/>
      </xdr:spPr>
    </xdr:pic>
    <xdr:clientData/>
  </xdr:twoCellAnchor>
  <xdr:twoCellAnchor editAs="oneCell">
    <xdr:from>
      <xdr:col>4</xdr:col>
      <xdr:colOff>677704</xdr:colOff>
      <xdr:row>411</xdr:row>
      <xdr:rowOff>23813</xdr:rowOff>
    </xdr:from>
    <xdr:to>
      <xdr:col>6</xdr:col>
      <xdr:colOff>274992</xdr:colOff>
      <xdr:row>411</xdr:row>
      <xdr:rowOff>727745</xdr:rowOff>
    </xdr:to>
    <xdr:pic>
      <xdr:nvPicPr>
        <xdr:cNvPr id="245" name="Picture 24045">
          <a:extLst>
            <a:ext uri="{FF2B5EF4-FFF2-40B4-BE49-F238E27FC236}">
              <a16:creationId xmlns:a16="http://schemas.microsoft.com/office/drawing/2014/main" id="{00000000-0008-0000-0400-0000F5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bwMode="auto">
        <a:xfrm>
          <a:off x="3032284" y="73351073"/>
          <a:ext cx="1327028" cy="703932"/>
        </a:xfrm>
        <a:prstGeom prst="rect">
          <a:avLst/>
        </a:prstGeom>
        <a:noFill/>
        <a:ln w="9525">
          <a:noFill/>
          <a:miter lim="800000"/>
          <a:headEnd/>
          <a:tailEnd/>
        </a:ln>
      </xdr:spPr>
    </xdr:pic>
    <xdr:clientData/>
  </xdr:twoCellAnchor>
  <xdr:twoCellAnchor editAs="oneCell">
    <xdr:from>
      <xdr:col>4</xdr:col>
      <xdr:colOff>665797</xdr:colOff>
      <xdr:row>412</xdr:row>
      <xdr:rowOff>95250</xdr:rowOff>
    </xdr:from>
    <xdr:to>
      <xdr:col>6</xdr:col>
      <xdr:colOff>279063</xdr:colOff>
      <xdr:row>412</xdr:row>
      <xdr:rowOff>762699</xdr:rowOff>
    </xdr:to>
    <xdr:pic>
      <xdr:nvPicPr>
        <xdr:cNvPr id="246" name="Picture 24046">
          <a:extLst>
            <a:ext uri="{FF2B5EF4-FFF2-40B4-BE49-F238E27FC236}">
              <a16:creationId xmlns:a16="http://schemas.microsoft.com/office/drawing/2014/main" id="{00000000-0008-0000-0400-0000F6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bwMode="auto">
        <a:xfrm>
          <a:off x="3020377" y="74154030"/>
          <a:ext cx="1343006" cy="667449"/>
        </a:xfrm>
        <a:prstGeom prst="rect">
          <a:avLst/>
        </a:prstGeom>
        <a:noFill/>
        <a:ln w="9525">
          <a:noFill/>
          <a:miter lim="800000"/>
          <a:headEnd/>
          <a:tailEnd/>
        </a:ln>
      </xdr:spPr>
    </xdr:pic>
    <xdr:clientData/>
  </xdr:twoCellAnchor>
  <xdr:twoCellAnchor editAs="oneCell">
    <xdr:from>
      <xdr:col>5</xdr:col>
      <xdr:colOff>20478</xdr:colOff>
      <xdr:row>413</xdr:row>
      <xdr:rowOff>123349</xdr:rowOff>
    </xdr:from>
    <xdr:to>
      <xdr:col>6</xdr:col>
      <xdr:colOff>236488</xdr:colOff>
      <xdr:row>416</xdr:row>
      <xdr:rowOff>127435</xdr:rowOff>
    </xdr:to>
    <xdr:pic>
      <xdr:nvPicPr>
        <xdr:cNvPr id="247" name="Picture 80549">
          <a:extLst>
            <a:ext uri="{FF2B5EF4-FFF2-40B4-BE49-F238E27FC236}">
              <a16:creationId xmlns:a16="http://schemas.microsoft.com/office/drawing/2014/main" id="{00000000-0008-0000-0400-0000F7000000}"/>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bwMode="auto">
        <a:xfrm>
          <a:off x="3182778" y="74997469"/>
          <a:ext cx="1138030" cy="575586"/>
        </a:xfrm>
        <a:prstGeom prst="rect">
          <a:avLst/>
        </a:prstGeom>
        <a:noFill/>
        <a:ln w="1">
          <a:noFill/>
          <a:miter lim="800000"/>
          <a:headEnd/>
          <a:tailEnd type="none" w="med" len="med"/>
        </a:ln>
        <a:effectLst/>
      </xdr:spPr>
    </xdr:pic>
    <xdr:clientData/>
  </xdr:twoCellAnchor>
  <xdr:twoCellAnchor editAs="oneCell">
    <xdr:from>
      <xdr:col>5</xdr:col>
      <xdr:colOff>203000</xdr:colOff>
      <xdr:row>406</xdr:row>
      <xdr:rowOff>23812</xdr:rowOff>
    </xdr:from>
    <xdr:to>
      <xdr:col>5</xdr:col>
      <xdr:colOff>620269</xdr:colOff>
      <xdr:row>409</xdr:row>
      <xdr:rowOff>136801</xdr:rowOff>
    </xdr:to>
    <xdr:pic>
      <xdr:nvPicPr>
        <xdr:cNvPr id="213" name="Picture 212">
          <a:extLst>
            <a:ext uri="{FF2B5EF4-FFF2-40B4-BE49-F238E27FC236}">
              <a16:creationId xmlns:a16="http://schemas.microsoft.com/office/drawing/2014/main" id="{865EAE3C-1D4A-4D14-8F53-0C2908DE255B}"/>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3365300" y="7258907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141513</xdr:colOff>
      <xdr:row>331</xdr:row>
      <xdr:rowOff>18539</xdr:rowOff>
    </xdr:from>
    <xdr:to>
      <xdr:col>6</xdr:col>
      <xdr:colOff>38166</xdr:colOff>
      <xdr:row>333</xdr:row>
      <xdr:rowOff>77039</xdr:rowOff>
    </xdr:to>
    <xdr:pic>
      <xdr:nvPicPr>
        <xdr:cNvPr id="216" name="Picture 215">
          <a:extLst>
            <a:ext uri="{FF2B5EF4-FFF2-40B4-BE49-F238E27FC236}">
              <a16:creationId xmlns:a16="http://schemas.microsoft.com/office/drawing/2014/main" id="{4CDB0808-D79D-43BE-89C4-B16F56A36DC9}"/>
            </a:ext>
          </a:extLst>
        </xdr:cNvPr>
        <xdr:cNvPicPr>
          <a:picLocks noChangeAspect="1"/>
        </xdr:cNvPicPr>
      </xdr:nvPicPr>
      <xdr:blipFill>
        <a:blip xmlns:r="http://schemas.openxmlformats.org/officeDocument/2006/relationships" r:embed="rId32"/>
        <a:stretch>
          <a:fillRect/>
        </a:stretch>
      </xdr:blipFill>
      <xdr:spPr>
        <a:xfrm>
          <a:off x="3322863" y="56301764"/>
          <a:ext cx="820578" cy="458550"/>
        </a:xfrm>
        <a:prstGeom prst="rect">
          <a:avLst/>
        </a:prstGeom>
      </xdr:spPr>
    </xdr:pic>
    <xdr:clientData/>
  </xdr:twoCellAnchor>
  <xdr:twoCellAnchor editAs="oneCell">
    <xdr:from>
      <xdr:col>5</xdr:col>
      <xdr:colOff>555481</xdr:colOff>
      <xdr:row>398</xdr:row>
      <xdr:rowOff>130708</xdr:rowOff>
    </xdr:from>
    <xdr:to>
      <xdr:col>6</xdr:col>
      <xdr:colOff>543258</xdr:colOff>
      <xdr:row>401</xdr:row>
      <xdr:rowOff>109061</xdr:rowOff>
    </xdr:to>
    <xdr:pic>
      <xdr:nvPicPr>
        <xdr:cNvPr id="250" name="Picture 249">
          <a:extLst>
            <a:ext uri="{FF2B5EF4-FFF2-40B4-BE49-F238E27FC236}">
              <a16:creationId xmlns:a16="http://schemas.microsoft.com/office/drawing/2014/main" id="{D4571C5A-F796-4B15-A7B9-1AA1AA4D28A3}"/>
            </a:ext>
          </a:extLst>
        </xdr:cNvPr>
        <xdr:cNvPicPr>
          <a:picLocks noChangeAspect="1"/>
        </xdr:cNvPicPr>
      </xdr:nvPicPr>
      <xdr:blipFill>
        <a:blip xmlns:r="http://schemas.openxmlformats.org/officeDocument/2006/relationships" r:embed="rId39"/>
        <a:stretch>
          <a:fillRect/>
        </a:stretch>
      </xdr:blipFill>
      <xdr:spPr>
        <a:xfrm>
          <a:off x="3717781" y="71171968"/>
          <a:ext cx="909797" cy="549853"/>
        </a:xfrm>
        <a:prstGeom prst="rect">
          <a:avLst/>
        </a:prstGeom>
      </xdr:spPr>
    </xdr:pic>
    <xdr:clientData/>
  </xdr:twoCellAnchor>
  <xdr:twoCellAnchor>
    <xdr:from>
      <xdr:col>8</xdr:col>
      <xdr:colOff>99060</xdr:colOff>
      <xdr:row>402</xdr:row>
      <xdr:rowOff>15240</xdr:rowOff>
    </xdr:from>
    <xdr:to>
      <xdr:col>16</xdr:col>
      <xdr:colOff>382693</xdr:colOff>
      <xdr:row>405</xdr:row>
      <xdr:rowOff>121073</xdr:rowOff>
    </xdr:to>
    <xdr:sp macro="" textlink="">
      <xdr:nvSpPr>
        <xdr:cNvPr id="2" name="TextBox 1">
          <a:extLst>
            <a:ext uri="{FF2B5EF4-FFF2-40B4-BE49-F238E27FC236}">
              <a16:creationId xmlns:a16="http://schemas.microsoft.com/office/drawing/2014/main" id="{75B153B5-08FC-4229-A8A1-C4B7AF45E6AE}"/>
            </a:ext>
          </a:extLst>
        </xdr:cNvPr>
        <xdr:cNvSpPr txBox="1"/>
      </xdr:nvSpPr>
      <xdr:spPr>
        <a:xfrm>
          <a:off x="5105400" y="71445120"/>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5</xdr:col>
      <xdr:colOff>493843</xdr:colOff>
      <xdr:row>363</xdr:row>
      <xdr:rowOff>80346</xdr:rowOff>
    </xdr:from>
    <xdr:to>
      <xdr:col>6</xdr:col>
      <xdr:colOff>561077</xdr:colOff>
      <xdr:row>366</xdr:row>
      <xdr:rowOff>128516</xdr:rowOff>
    </xdr:to>
    <xdr:pic>
      <xdr:nvPicPr>
        <xdr:cNvPr id="5" name="Picture 44425">
          <a:extLst>
            <a:ext uri="{FF2B5EF4-FFF2-40B4-BE49-F238E27FC236}">
              <a16:creationId xmlns:a16="http://schemas.microsoft.com/office/drawing/2014/main" id="{2D20E0C2-0493-C8E4-829E-2D16588D738F}"/>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656143" y="65787606"/>
          <a:ext cx="989254" cy="619670"/>
        </a:xfrm>
        <a:prstGeom prst="rect">
          <a:avLst/>
        </a:prstGeom>
        <a:noFill/>
        <a:ln w="1">
          <a:noFill/>
          <a:miter lim="800000"/>
          <a:headEnd/>
          <a:tailEnd type="none" w="med" len="med"/>
        </a:ln>
        <a:effectLst/>
      </xdr:spPr>
    </xdr:pic>
    <xdr:clientData/>
  </xdr:twoCellAnchor>
  <xdr:twoCellAnchor editAs="oneCell">
    <xdr:from>
      <xdr:col>5</xdr:col>
      <xdr:colOff>162709</xdr:colOff>
      <xdr:row>367</xdr:row>
      <xdr:rowOff>70821</xdr:rowOff>
    </xdr:from>
    <xdr:to>
      <xdr:col>6</xdr:col>
      <xdr:colOff>503464</xdr:colOff>
      <xdr:row>370</xdr:row>
      <xdr:rowOff>77736</xdr:rowOff>
    </xdr:to>
    <xdr:pic>
      <xdr:nvPicPr>
        <xdr:cNvPr id="7" name="Picture 44426">
          <a:extLst>
            <a:ext uri="{FF2B5EF4-FFF2-40B4-BE49-F238E27FC236}">
              <a16:creationId xmlns:a16="http://schemas.microsoft.com/office/drawing/2014/main" id="{5CA9DC64-AED5-B664-560B-60B0D9792018}"/>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346780" y="70229250"/>
          <a:ext cx="1266041" cy="578415"/>
        </a:xfrm>
        <a:prstGeom prst="rect">
          <a:avLst/>
        </a:prstGeom>
        <a:noFill/>
        <a:ln w="1">
          <a:noFill/>
          <a:miter lim="800000"/>
          <a:headEnd/>
          <a:tailEnd type="none" w="med" len="med"/>
        </a:ln>
        <a:effectLst/>
      </xdr:spPr>
    </xdr:pic>
    <xdr:clientData/>
  </xdr:twoCellAnchor>
  <xdr:twoCellAnchor editAs="oneCell">
    <xdr:from>
      <xdr:col>4</xdr:col>
      <xdr:colOff>582928</xdr:colOff>
      <xdr:row>371</xdr:row>
      <xdr:rowOff>54428</xdr:rowOff>
    </xdr:from>
    <xdr:to>
      <xdr:col>5</xdr:col>
      <xdr:colOff>417787</xdr:colOff>
      <xdr:row>373</xdr:row>
      <xdr:rowOff>186199</xdr:rowOff>
    </xdr:to>
    <xdr:pic>
      <xdr:nvPicPr>
        <xdr:cNvPr id="8" name="Picture 44427">
          <a:extLst>
            <a:ext uri="{FF2B5EF4-FFF2-40B4-BE49-F238E27FC236}">
              <a16:creationId xmlns:a16="http://schemas.microsoft.com/office/drawing/2014/main" id="{BB5C8BB7-7E78-3DA6-C536-4B3217374CC1}"/>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2950571" y="70974857"/>
          <a:ext cx="651287" cy="512771"/>
        </a:xfrm>
        <a:prstGeom prst="rect">
          <a:avLst/>
        </a:prstGeom>
        <a:noFill/>
        <a:ln w="1">
          <a:noFill/>
          <a:miter lim="800000"/>
          <a:headEnd/>
          <a:tailEnd type="none" w="med" len="med"/>
        </a:ln>
        <a:effectLst/>
      </xdr:spPr>
    </xdr:pic>
    <xdr:clientData/>
  </xdr:twoCellAnchor>
  <xdr:twoCellAnchor editAs="oneCell">
    <xdr:from>
      <xdr:col>4</xdr:col>
      <xdr:colOff>232410</xdr:colOff>
      <xdr:row>379</xdr:row>
      <xdr:rowOff>137160</xdr:rowOff>
    </xdr:from>
    <xdr:to>
      <xdr:col>5</xdr:col>
      <xdr:colOff>3810</xdr:colOff>
      <xdr:row>382</xdr:row>
      <xdr:rowOff>137160</xdr:rowOff>
    </xdr:to>
    <xdr:pic>
      <xdr:nvPicPr>
        <xdr:cNvPr id="9" name="Picture 458">
          <a:extLst>
            <a:ext uri="{FF2B5EF4-FFF2-40B4-BE49-F238E27FC236}">
              <a16:creationId xmlns:a16="http://schemas.microsoft.com/office/drawing/2014/main" id="{B68A3886-303C-3C05-B50D-604741083A70}"/>
            </a:ext>
          </a:extLst>
        </xdr:cNvPr>
        <xdr:cNvPicPr>
          <a:picLocks noChangeAspect="1" noChangeArrowheads="1"/>
        </xdr:cNvPicPr>
      </xdr:nvPicPr>
      <xdr:blipFill>
        <a:blip xmlns:r="http://schemas.openxmlformats.org/officeDocument/2006/relationships" r:embed="rId40" cstate="print">
          <a:clrChange>
            <a:clrFrom>
              <a:srgbClr val="FFFFFF"/>
            </a:clrFrom>
            <a:clrTo>
              <a:srgbClr val="FFFFFF">
                <a:alpha val="0"/>
              </a:srgbClr>
            </a:clrTo>
          </a:clrChange>
        </a:blip>
        <a:srcRect/>
        <a:stretch>
          <a:fillRect/>
        </a:stretch>
      </xdr:blipFill>
      <xdr:spPr bwMode="auto">
        <a:xfrm>
          <a:off x="2586990" y="68892420"/>
          <a:ext cx="579120" cy="571500"/>
        </a:xfrm>
        <a:prstGeom prst="rect">
          <a:avLst/>
        </a:prstGeom>
        <a:noFill/>
        <a:ln w="1">
          <a:noFill/>
          <a:miter lim="800000"/>
          <a:headEnd/>
          <a:tailEnd/>
        </a:ln>
      </xdr:spPr>
    </xdr:pic>
    <xdr:clientData/>
  </xdr:twoCellAnchor>
  <xdr:twoCellAnchor editAs="oneCell">
    <xdr:from>
      <xdr:col>5</xdr:col>
      <xdr:colOff>18574</xdr:colOff>
      <xdr:row>375</xdr:row>
      <xdr:rowOff>8572</xdr:rowOff>
    </xdr:from>
    <xdr:to>
      <xdr:col>6</xdr:col>
      <xdr:colOff>213585</xdr:colOff>
      <xdr:row>378</xdr:row>
      <xdr:rowOff>160972</xdr:rowOff>
    </xdr:to>
    <xdr:pic>
      <xdr:nvPicPr>
        <xdr:cNvPr id="10" name="Picture 80675">
          <a:extLst>
            <a:ext uri="{FF2B5EF4-FFF2-40B4-BE49-F238E27FC236}">
              <a16:creationId xmlns:a16="http://schemas.microsoft.com/office/drawing/2014/main" id="{7B6C5A8E-6373-2ED5-58AE-5E51034E58F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bwMode="auto">
        <a:xfrm>
          <a:off x="3180874" y="68001832"/>
          <a:ext cx="1117031" cy="723900"/>
        </a:xfrm>
        <a:prstGeom prst="rect">
          <a:avLst/>
        </a:prstGeom>
        <a:noFill/>
        <a:ln w="1">
          <a:noFill/>
          <a:miter lim="800000"/>
          <a:headEnd/>
          <a:tailEnd type="none" w="med" len="med"/>
        </a:ln>
        <a:effectLst/>
      </xdr:spPr>
    </xdr:pic>
    <xdr:clientData/>
  </xdr:twoCellAnchor>
  <xdr:twoCellAnchor editAs="oneCell">
    <xdr:from>
      <xdr:col>4</xdr:col>
      <xdr:colOff>0</xdr:colOff>
      <xdr:row>17</xdr:row>
      <xdr:rowOff>0</xdr:rowOff>
    </xdr:from>
    <xdr:to>
      <xdr:col>5</xdr:col>
      <xdr:colOff>428192</xdr:colOff>
      <xdr:row>22</xdr:row>
      <xdr:rowOff>163285</xdr:rowOff>
    </xdr:to>
    <xdr:pic>
      <xdr:nvPicPr>
        <xdr:cNvPr id="17" name="Picture 16">
          <a:extLst>
            <a:ext uri="{FF2B5EF4-FFF2-40B4-BE49-F238E27FC236}">
              <a16:creationId xmlns:a16="http://schemas.microsoft.com/office/drawing/2014/main" id="{6C15C75F-B90C-4231-AAB8-99E3DD50ED52}"/>
            </a:ext>
          </a:extLst>
        </xdr:cNvPr>
        <xdr:cNvPicPr>
          <a:picLocks noChangeAspect="1"/>
        </xdr:cNvPicPr>
      </xdr:nvPicPr>
      <xdr:blipFill>
        <a:blip xmlns:r="http://schemas.openxmlformats.org/officeDocument/2006/relationships" r:embed="rId42"/>
        <a:stretch>
          <a:fillRect/>
        </a:stretch>
      </xdr:blipFill>
      <xdr:spPr>
        <a:xfrm>
          <a:off x="2367643" y="4109357"/>
          <a:ext cx="1244620" cy="1170214"/>
        </a:xfrm>
        <a:prstGeom prst="rect">
          <a:avLst/>
        </a:prstGeom>
      </xdr:spPr>
    </xdr:pic>
    <xdr:clientData/>
  </xdr:twoCellAnchor>
  <xdr:twoCellAnchor editAs="oneCell">
    <xdr:from>
      <xdr:col>4</xdr:col>
      <xdr:colOff>68579</xdr:colOff>
      <xdr:row>30</xdr:row>
      <xdr:rowOff>167640</xdr:rowOff>
    </xdr:from>
    <xdr:to>
      <xdr:col>5</xdr:col>
      <xdr:colOff>892809</xdr:colOff>
      <xdr:row>34</xdr:row>
      <xdr:rowOff>176953</xdr:rowOff>
    </xdr:to>
    <xdr:pic>
      <xdr:nvPicPr>
        <xdr:cNvPr id="18" name="Picture 17">
          <a:extLst>
            <a:ext uri="{FF2B5EF4-FFF2-40B4-BE49-F238E27FC236}">
              <a16:creationId xmlns:a16="http://schemas.microsoft.com/office/drawing/2014/main" id="{626BBE5A-6B82-4109-B1E5-7DEDFACF36BF}"/>
            </a:ext>
          </a:extLst>
        </xdr:cNvPr>
        <xdr:cNvPicPr>
          <a:picLocks noChangeAspect="1"/>
        </xdr:cNvPicPr>
      </xdr:nvPicPr>
      <xdr:blipFill>
        <a:blip xmlns:r="http://schemas.openxmlformats.org/officeDocument/2006/relationships" r:embed="rId43"/>
        <a:stretch>
          <a:fillRect/>
        </a:stretch>
      </xdr:blipFill>
      <xdr:spPr>
        <a:xfrm>
          <a:off x="2423159" y="6355080"/>
          <a:ext cx="1631950" cy="771313"/>
        </a:xfrm>
        <a:prstGeom prst="rect">
          <a:avLst/>
        </a:prstGeom>
      </xdr:spPr>
    </xdr:pic>
    <xdr:clientData/>
  </xdr:twoCellAnchor>
  <xdr:twoCellAnchor editAs="oneCell">
    <xdr:from>
      <xdr:col>4</xdr:col>
      <xdr:colOff>152399</xdr:colOff>
      <xdr:row>37</xdr:row>
      <xdr:rowOff>38100</xdr:rowOff>
    </xdr:from>
    <xdr:to>
      <xdr:col>5</xdr:col>
      <xdr:colOff>125797</xdr:colOff>
      <xdr:row>41</xdr:row>
      <xdr:rowOff>152400</xdr:rowOff>
    </xdr:to>
    <xdr:pic>
      <xdr:nvPicPr>
        <xdr:cNvPr id="19" name="Picture 18">
          <a:extLst>
            <a:ext uri="{FF2B5EF4-FFF2-40B4-BE49-F238E27FC236}">
              <a16:creationId xmlns:a16="http://schemas.microsoft.com/office/drawing/2014/main" id="{525A7A7F-0CD4-46D0-9256-73C036C74B8E}"/>
            </a:ext>
          </a:extLst>
        </xdr:cNvPr>
        <xdr:cNvPicPr>
          <a:picLocks noChangeAspect="1"/>
        </xdr:cNvPicPr>
      </xdr:nvPicPr>
      <xdr:blipFill>
        <a:blip xmlns:r="http://schemas.openxmlformats.org/officeDocument/2006/relationships" r:embed="rId44"/>
        <a:stretch>
          <a:fillRect/>
        </a:stretch>
      </xdr:blipFill>
      <xdr:spPr>
        <a:xfrm>
          <a:off x="2506979" y="7559040"/>
          <a:ext cx="781118" cy="876300"/>
        </a:xfrm>
        <a:prstGeom prst="rect">
          <a:avLst/>
        </a:prstGeom>
      </xdr:spPr>
    </xdr:pic>
    <xdr:clientData/>
  </xdr:twoCellAnchor>
  <xdr:twoCellAnchor editAs="oneCell">
    <xdr:from>
      <xdr:col>4</xdr:col>
      <xdr:colOff>222885</xdr:colOff>
      <xdr:row>44</xdr:row>
      <xdr:rowOff>22860</xdr:rowOff>
    </xdr:from>
    <xdr:to>
      <xdr:col>5</xdr:col>
      <xdr:colOff>573405</xdr:colOff>
      <xdr:row>46</xdr:row>
      <xdr:rowOff>129354</xdr:rowOff>
    </xdr:to>
    <xdr:pic>
      <xdr:nvPicPr>
        <xdr:cNvPr id="20" name="Picture 19">
          <a:extLst>
            <a:ext uri="{FF2B5EF4-FFF2-40B4-BE49-F238E27FC236}">
              <a16:creationId xmlns:a16="http://schemas.microsoft.com/office/drawing/2014/main" id="{F909DF3C-85D9-41A8-B1A7-7D26359DF68F}"/>
            </a:ext>
          </a:extLst>
        </xdr:cNvPr>
        <xdr:cNvPicPr>
          <a:picLocks noChangeAspect="1"/>
        </xdr:cNvPicPr>
      </xdr:nvPicPr>
      <xdr:blipFill>
        <a:blip xmlns:r="http://schemas.openxmlformats.org/officeDocument/2006/relationships" r:embed="rId45"/>
        <a:stretch>
          <a:fillRect/>
        </a:stretch>
      </xdr:blipFill>
      <xdr:spPr>
        <a:xfrm>
          <a:off x="2577465" y="8877300"/>
          <a:ext cx="1158240" cy="487494"/>
        </a:xfrm>
        <a:prstGeom prst="rect">
          <a:avLst/>
        </a:prstGeom>
      </xdr:spPr>
    </xdr:pic>
    <xdr:clientData/>
  </xdr:twoCellAnchor>
  <xdr:twoCellAnchor editAs="oneCell">
    <xdr:from>
      <xdr:col>4</xdr:col>
      <xdr:colOff>53339</xdr:colOff>
      <xdr:row>48</xdr:row>
      <xdr:rowOff>142874</xdr:rowOff>
    </xdr:from>
    <xdr:to>
      <xdr:col>5</xdr:col>
      <xdr:colOff>463097</xdr:colOff>
      <xdr:row>52</xdr:row>
      <xdr:rowOff>152399</xdr:rowOff>
    </xdr:to>
    <xdr:pic>
      <xdr:nvPicPr>
        <xdr:cNvPr id="21" name="Picture 20">
          <a:extLst>
            <a:ext uri="{FF2B5EF4-FFF2-40B4-BE49-F238E27FC236}">
              <a16:creationId xmlns:a16="http://schemas.microsoft.com/office/drawing/2014/main" id="{B1612DB8-0F2E-4653-9D5D-25989BCBB06F}"/>
            </a:ext>
          </a:extLst>
        </xdr:cNvPr>
        <xdr:cNvPicPr>
          <a:picLocks noChangeAspect="1"/>
        </xdr:cNvPicPr>
      </xdr:nvPicPr>
      <xdr:blipFill>
        <a:blip xmlns:r="http://schemas.openxmlformats.org/officeDocument/2006/relationships" r:embed="rId46"/>
        <a:stretch>
          <a:fillRect/>
        </a:stretch>
      </xdr:blipFill>
      <xdr:spPr>
        <a:xfrm>
          <a:off x="2407919" y="9759314"/>
          <a:ext cx="1217478" cy="771525"/>
        </a:xfrm>
        <a:prstGeom prst="rect">
          <a:avLst/>
        </a:prstGeom>
      </xdr:spPr>
    </xdr:pic>
    <xdr:clientData/>
  </xdr:twoCellAnchor>
  <xdr:twoCellAnchor editAs="oneCell">
    <xdr:from>
      <xdr:col>4</xdr:col>
      <xdr:colOff>0</xdr:colOff>
      <xdr:row>57</xdr:row>
      <xdr:rowOff>0</xdr:rowOff>
    </xdr:from>
    <xdr:to>
      <xdr:col>5</xdr:col>
      <xdr:colOff>428192</xdr:colOff>
      <xdr:row>63</xdr:row>
      <xdr:rowOff>99060</xdr:rowOff>
    </xdr:to>
    <xdr:pic>
      <xdr:nvPicPr>
        <xdr:cNvPr id="22" name="Picture 21">
          <a:extLst>
            <a:ext uri="{FF2B5EF4-FFF2-40B4-BE49-F238E27FC236}">
              <a16:creationId xmlns:a16="http://schemas.microsoft.com/office/drawing/2014/main" id="{B1BAFB27-FAA6-4C45-9B39-71542A3A895F}"/>
            </a:ext>
          </a:extLst>
        </xdr:cNvPr>
        <xdr:cNvPicPr>
          <a:picLocks noChangeAspect="1"/>
        </xdr:cNvPicPr>
      </xdr:nvPicPr>
      <xdr:blipFill>
        <a:blip xmlns:r="http://schemas.openxmlformats.org/officeDocument/2006/relationships" r:embed="rId42"/>
        <a:stretch>
          <a:fillRect/>
        </a:stretch>
      </xdr:blipFill>
      <xdr:spPr>
        <a:xfrm>
          <a:off x="2354580" y="11330940"/>
          <a:ext cx="1235912" cy="1242060"/>
        </a:xfrm>
        <a:prstGeom prst="rect">
          <a:avLst/>
        </a:prstGeom>
      </xdr:spPr>
    </xdr:pic>
    <xdr:clientData/>
  </xdr:twoCellAnchor>
  <xdr:twoCellAnchor editAs="oneCell">
    <xdr:from>
      <xdr:col>4</xdr:col>
      <xdr:colOff>15240</xdr:colOff>
      <xdr:row>71</xdr:row>
      <xdr:rowOff>15240</xdr:rowOff>
    </xdr:from>
    <xdr:to>
      <xdr:col>5</xdr:col>
      <xdr:colOff>839470</xdr:colOff>
      <xdr:row>75</xdr:row>
      <xdr:rowOff>24553</xdr:rowOff>
    </xdr:to>
    <xdr:pic>
      <xdr:nvPicPr>
        <xdr:cNvPr id="23" name="Picture 22">
          <a:extLst>
            <a:ext uri="{FF2B5EF4-FFF2-40B4-BE49-F238E27FC236}">
              <a16:creationId xmlns:a16="http://schemas.microsoft.com/office/drawing/2014/main" id="{56793E83-385C-408E-9FE5-D2C579681797}"/>
            </a:ext>
          </a:extLst>
        </xdr:cNvPr>
        <xdr:cNvPicPr>
          <a:picLocks noChangeAspect="1"/>
        </xdr:cNvPicPr>
      </xdr:nvPicPr>
      <xdr:blipFill>
        <a:blip xmlns:r="http://schemas.openxmlformats.org/officeDocument/2006/relationships" r:embed="rId43"/>
        <a:stretch>
          <a:fillRect/>
        </a:stretch>
      </xdr:blipFill>
      <xdr:spPr>
        <a:xfrm>
          <a:off x="2369820" y="13632180"/>
          <a:ext cx="1631950" cy="771313"/>
        </a:xfrm>
        <a:prstGeom prst="rect">
          <a:avLst/>
        </a:prstGeom>
      </xdr:spPr>
    </xdr:pic>
    <xdr:clientData/>
  </xdr:twoCellAnchor>
  <xdr:twoCellAnchor editAs="oneCell">
    <xdr:from>
      <xdr:col>4</xdr:col>
      <xdr:colOff>167640</xdr:colOff>
      <xdr:row>77</xdr:row>
      <xdr:rowOff>175260</xdr:rowOff>
    </xdr:from>
    <xdr:to>
      <xdr:col>5</xdr:col>
      <xdr:colOff>141038</xdr:colOff>
      <xdr:row>82</xdr:row>
      <xdr:rowOff>99060</xdr:rowOff>
    </xdr:to>
    <xdr:pic>
      <xdr:nvPicPr>
        <xdr:cNvPr id="24" name="Picture 23">
          <a:extLst>
            <a:ext uri="{FF2B5EF4-FFF2-40B4-BE49-F238E27FC236}">
              <a16:creationId xmlns:a16="http://schemas.microsoft.com/office/drawing/2014/main" id="{11F4623A-8C4A-4D39-9F55-3ADAED3B6606}"/>
            </a:ext>
          </a:extLst>
        </xdr:cNvPr>
        <xdr:cNvPicPr>
          <a:picLocks noChangeAspect="1"/>
        </xdr:cNvPicPr>
      </xdr:nvPicPr>
      <xdr:blipFill>
        <a:blip xmlns:r="http://schemas.openxmlformats.org/officeDocument/2006/relationships" r:embed="rId44"/>
        <a:stretch>
          <a:fillRect/>
        </a:stretch>
      </xdr:blipFill>
      <xdr:spPr>
        <a:xfrm>
          <a:off x="2522220" y="14935200"/>
          <a:ext cx="781118" cy="876300"/>
        </a:xfrm>
        <a:prstGeom prst="rect">
          <a:avLst/>
        </a:prstGeom>
      </xdr:spPr>
    </xdr:pic>
    <xdr:clientData/>
  </xdr:twoCellAnchor>
  <xdr:twoCellAnchor editAs="oneCell">
    <xdr:from>
      <xdr:col>4</xdr:col>
      <xdr:colOff>68580</xdr:colOff>
      <xdr:row>84</xdr:row>
      <xdr:rowOff>173354</xdr:rowOff>
    </xdr:from>
    <xdr:to>
      <xdr:col>5</xdr:col>
      <xdr:colOff>478338</xdr:colOff>
      <xdr:row>88</xdr:row>
      <xdr:rowOff>182879</xdr:rowOff>
    </xdr:to>
    <xdr:pic>
      <xdr:nvPicPr>
        <xdr:cNvPr id="25" name="Picture 24">
          <a:extLst>
            <a:ext uri="{FF2B5EF4-FFF2-40B4-BE49-F238E27FC236}">
              <a16:creationId xmlns:a16="http://schemas.microsoft.com/office/drawing/2014/main" id="{C811475B-5A36-478C-9F43-CA70DD3F5ACA}"/>
            </a:ext>
          </a:extLst>
        </xdr:cNvPr>
        <xdr:cNvPicPr>
          <a:picLocks noChangeAspect="1"/>
        </xdr:cNvPicPr>
      </xdr:nvPicPr>
      <xdr:blipFill>
        <a:blip xmlns:r="http://schemas.openxmlformats.org/officeDocument/2006/relationships" r:embed="rId46"/>
        <a:stretch>
          <a:fillRect/>
        </a:stretch>
      </xdr:blipFill>
      <xdr:spPr>
        <a:xfrm>
          <a:off x="2423160" y="16266794"/>
          <a:ext cx="1217478" cy="771525"/>
        </a:xfrm>
        <a:prstGeom prst="rect">
          <a:avLst/>
        </a:prstGeom>
      </xdr:spPr>
    </xdr:pic>
    <xdr:clientData/>
  </xdr:twoCellAnchor>
  <xdr:twoCellAnchor editAs="oneCell">
    <xdr:from>
      <xdr:col>3</xdr:col>
      <xdr:colOff>7620</xdr:colOff>
      <xdr:row>112</xdr:row>
      <xdr:rowOff>142874</xdr:rowOff>
    </xdr:from>
    <xdr:to>
      <xdr:col>5</xdr:col>
      <xdr:colOff>143058</xdr:colOff>
      <xdr:row>116</xdr:row>
      <xdr:rowOff>152399</xdr:rowOff>
    </xdr:to>
    <xdr:pic>
      <xdr:nvPicPr>
        <xdr:cNvPr id="26" name="Picture 25">
          <a:extLst>
            <a:ext uri="{FF2B5EF4-FFF2-40B4-BE49-F238E27FC236}">
              <a16:creationId xmlns:a16="http://schemas.microsoft.com/office/drawing/2014/main" id="{90B8763C-D1A1-4044-B9C6-A626A119DBEB}"/>
            </a:ext>
          </a:extLst>
        </xdr:cNvPr>
        <xdr:cNvPicPr>
          <a:picLocks noChangeAspect="1"/>
        </xdr:cNvPicPr>
      </xdr:nvPicPr>
      <xdr:blipFill>
        <a:blip xmlns:r="http://schemas.openxmlformats.org/officeDocument/2006/relationships" r:embed="rId46"/>
        <a:stretch>
          <a:fillRect/>
        </a:stretch>
      </xdr:blipFill>
      <xdr:spPr>
        <a:xfrm>
          <a:off x="2087880" y="21189314"/>
          <a:ext cx="1217478" cy="771525"/>
        </a:xfrm>
        <a:prstGeom prst="rect">
          <a:avLst/>
        </a:prstGeom>
      </xdr:spPr>
    </xdr:pic>
    <xdr:clientData/>
  </xdr:twoCellAnchor>
  <xdr:twoCellAnchor editAs="oneCell">
    <xdr:from>
      <xdr:col>3</xdr:col>
      <xdr:colOff>30480</xdr:colOff>
      <xdr:row>105</xdr:row>
      <xdr:rowOff>68580</xdr:rowOff>
    </xdr:from>
    <xdr:to>
      <xdr:col>4</xdr:col>
      <xdr:colOff>537278</xdr:colOff>
      <xdr:row>109</xdr:row>
      <xdr:rowOff>182880</xdr:rowOff>
    </xdr:to>
    <xdr:pic>
      <xdr:nvPicPr>
        <xdr:cNvPr id="27" name="Picture 26">
          <a:extLst>
            <a:ext uri="{FF2B5EF4-FFF2-40B4-BE49-F238E27FC236}">
              <a16:creationId xmlns:a16="http://schemas.microsoft.com/office/drawing/2014/main" id="{7E6816E9-0E3C-45EF-ACD7-8B349C8EBD7D}"/>
            </a:ext>
          </a:extLst>
        </xdr:cNvPr>
        <xdr:cNvPicPr>
          <a:picLocks noChangeAspect="1"/>
        </xdr:cNvPicPr>
      </xdr:nvPicPr>
      <xdr:blipFill>
        <a:blip xmlns:r="http://schemas.openxmlformats.org/officeDocument/2006/relationships" r:embed="rId44"/>
        <a:stretch>
          <a:fillRect/>
        </a:stretch>
      </xdr:blipFill>
      <xdr:spPr>
        <a:xfrm>
          <a:off x="2110740" y="19781520"/>
          <a:ext cx="781118" cy="876300"/>
        </a:xfrm>
        <a:prstGeom prst="rect">
          <a:avLst/>
        </a:prstGeom>
      </xdr:spPr>
    </xdr:pic>
    <xdr:clientData/>
  </xdr:twoCellAnchor>
  <xdr:twoCellAnchor editAs="oneCell">
    <xdr:from>
      <xdr:col>3</xdr:col>
      <xdr:colOff>0</xdr:colOff>
      <xdr:row>93</xdr:row>
      <xdr:rowOff>0</xdr:rowOff>
    </xdr:from>
    <xdr:to>
      <xdr:col>5</xdr:col>
      <xdr:colOff>153872</xdr:colOff>
      <xdr:row>99</xdr:row>
      <xdr:rowOff>99060</xdr:rowOff>
    </xdr:to>
    <xdr:pic>
      <xdr:nvPicPr>
        <xdr:cNvPr id="28" name="Picture 27">
          <a:extLst>
            <a:ext uri="{FF2B5EF4-FFF2-40B4-BE49-F238E27FC236}">
              <a16:creationId xmlns:a16="http://schemas.microsoft.com/office/drawing/2014/main" id="{D7473897-2CE2-4313-927B-7FE0394815E8}"/>
            </a:ext>
          </a:extLst>
        </xdr:cNvPr>
        <xdr:cNvPicPr>
          <a:picLocks noChangeAspect="1"/>
        </xdr:cNvPicPr>
      </xdr:nvPicPr>
      <xdr:blipFill>
        <a:blip xmlns:r="http://schemas.openxmlformats.org/officeDocument/2006/relationships" r:embed="rId42"/>
        <a:stretch>
          <a:fillRect/>
        </a:stretch>
      </xdr:blipFill>
      <xdr:spPr>
        <a:xfrm>
          <a:off x="2080260" y="17807940"/>
          <a:ext cx="1235912" cy="1242060"/>
        </a:xfrm>
        <a:prstGeom prst="rect">
          <a:avLst/>
        </a:prstGeom>
      </xdr:spPr>
    </xdr:pic>
    <xdr:clientData/>
  </xdr:twoCellAnchor>
  <xdr:twoCellAnchor editAs="oneCell">
    <xdr:from>
      <xdr:col>3</xdr:col>
      <xdr:colOff>68580</xdr:colOff>
      <xdr:row>119</xdr:row>
      <xdr:rowOff>45720</xdr:rowOff>
    </xdr:from>
    <xdr:to>
      <xdr:col>4</xdr:col>
      <xdr:colOff>529583</xdr:colOff>
      <xdr:row>124</xdr:row>
      <xdr:rowOff>21643</xdr:rowOff>
    </xdr:to>
    <xdr:pic>
      <xdr:nvPicPr>
        <xdr:cNvPr id="29" name="Picture 28">
          <a:extLst>
            <a:ext uri="{FF2B5EF4-FFF2-40B4-BE49-F238E27FC236}">
              <a16:creationId xmlns:a16="http://schemas.microsoft.com/office/drawing/2014/main" id="{B7E728EC-87B2-4E80-B423-3A237DD1F841}"/>
            </a:ext>
          </a:extLst>
        </xdr:cNvPr>
        <xdr:cNvPicPr>
          <a:picLocks noChangeAspect="1"/>
        </xdr:cNvPicPr>
      </xdr:nvPicPr>
      <xdr:blipFill>
        <a:blip xmlns:r="http://schemas.openxmlformats.org/officeDocument/2006/relationships" r:embed="rId47"/>
        <a:stretch>
          <a:fillRect/>
        </a:stretch>
      </xdr:blipFill>
      <xdr:spPr>
        <a:xfrm rot="16200000">
          <a:off x="2052290" y="22522210"/>
          <a:ext cx="928423" cy="735323"/>
        </a:xfrm>
        <a:prstGeom prst="rect">
          <a:avLst/>
        </a:prstGeom>
      </xdr:spPr>
    </xdr:pic>
    <xdr:clientData/>
  </xdr:twoCellAnchor>
  <xdr:twoCellAnchor editAs="oneCell">
    <xdr:from>
      <xdr:col>1</xdr:col>
      <xdr:colOff>274320</xdr:colOff>
      <xdr:row>162</xdr:row>
      <xdr:rowOff>152400</xdr:rowOff>
    </xdr:from>
    <xdr:to>
      <xdr:col>3</xdr:col>
      <xdr:colOff>211521</xdr:colOff>
      <xdr:row>167</xdr:row>
      <xdr:rowOff>106679</xdr:rowOff>
    </xdr:to>
    <xdr:pic>
      <xdr:nvPicPr>
        <xdr:cNvPr id="30" name="Picture 29">
          <a:extLst>
            <a:ext uri="{FF2B5EF4-FFF2-40B4-BE49-F238E27FC236}">
              <a16:creationId xmlns:a16="http://schemas.microsoft.com/office/drawing/2014/main" id="{FF24CE3E-8378-4540-A7C9-62729B8BC302}"/>
            </a:ext>
          </a:extLst>
        </xdr:cNvPr>
        <xdr:cNvPicPr>
          <a:picLocks noChangeAspect="1"/>
        </xdr:cNvPicPr>
      </xdr:nvPicPr>
      <xdr:blipFill>
        <a:blip xmlns:r="http://schemas.openxmlformats.org/officeDocument/2006/relationships" r:embed="rId48"/>
        <a:stretch>
          <a:fillRect/>
        </a:stretch>
      </xdr:blipFill>
      <xdr:spPr>
        <a:xfrm>
          <a:off x="1463040" y="30632400"/>
          <a:ext cx="828741" cy="922020"/>
        </a:xfrm>
        <a:prstGeom prst="rect">
          <a:avLst/>
        </a:prstGeom>
      </xdr:spPr>
    </xdr:pic>
    <xdr:clientData/>
  </xdr:twoCellAnchor>
  <xdr:twoCellAnchor editAs="oneCell">
    <xdr:from>
      <xdr:col>1</xdr:col>
      <xdr:colOff>289560</xdr:colOff>
      <xdr:row>172</xdr:row>
      <xdr:rowOff>0</xdr:rowOff>
    </xdr:from>
    <xdr:to>
      <xdr:col>3</xdr:col>
      <xdr:colOff>266700</xdr:colOff>
      <xdr:row>176</xdr:row>
      <xdr:rowOff>166004</xdr:rowOff>
    </xdr:to>
    <xdr:pic>
      <xdr:nvPicPr>
        <xdr:cNvPr id="31" name="Picture 30">
          <a:extLst>
            <a:ext uri="{FF2B5EF4-FFF2-40B4-BE49-F238E27FC236}">
              <a16:creationId xmlns:a16="http://schemas.microsoft.com/office/drawing/2014/main" id="{524D0E9E-D224-4793-B3E5-54856C590B7D}"/>
            </a:ext>
          </a:extLst>
        </xdr:cNvPr>
        <xdr:cNvPicPr>
          <a:picLocks noChangeAspect="1"/>
        </xdr:cNvPicPr>
      </xdr:nvPicPr>
      <xdr:blipFill>
        <a:blip xmlns:r="http://schemas.openxmlformats.org/officeDocument/2006/relationships" r:embed="rId49"/>
        <a:stretch>
          <a:fillRect/>
        </a:stretch>
      </xdr:blipFill>
      <xdr:spPr>
        <a:xfrm>
          <a:off x="1478280" y="32217360"/>
          <a:ext cx="868680" cy="943244"/>
        </a:xfrm>
        <a:prstGeom prst="rect">
          <a:avLst/>
        </a:prstGeom>
      </xdr:spPr>
    </xdr:pic>
    <xdr:clientData/>
  </xdr:twoCellAnchor>
  <xdr:twoCellAnchor editAs="oneCell">
    <xdr:from>
      <xdr:col>2</xdr:col>
      <xdr:colOff>15240</xdr:colOff>
      <xdr:row>181</xdr:row>
      <xdr:rowOff>22860</xdr:rowOff>
    </xdr:from>
    <xdr:to>
      <xdr:col>4</xdr:col>
      <xdr:colOff>186690</xdr:colOff>
      <xdr:row>183</xdr:row>
      <xdr:rowOff>93744</xdr:rowOff>
    </xdr:to>
    <xdr:pic>
      <xdr:nvPicPr>
        <xdr:cNvPr id="32" name="Picture 31">
          <a:extLst>
            <a:ext uri="{FF2B5EF4-FFF2-40B4-BE49-F238E27FC236}">
              <a16:creationId xmlns:a16="http://schemas.microsoft.com/office/drawing/2014/main" id="{811703CD-AEE6-43A8-A9D4-A2A7EADF99F0}"/>
            </a:ext>
          </a:extLst>
        </xdr:cNvPr>
        <xdr:cNvPicPr>
          <a:picLocks noChangeAspect="1"/>
        </xdr:cNvPicPr>
      </xdr:nvPicPr>
      <xdr:blipFill>
        <a:blip xmlns:r="http://schemas.openxmlformats.org/officeDocument/2006/relationships" r:embed="rId50"/>
        <a:stretch>
          <a:fillRect/>
        </a:stretch>
      </xdr:blipFill>
      <xdr:spPr>
        <a:xfrm>
          <a:off x="1783080" y="33787080"/>
          <a:ext cx="758190" cy="451884"/>
        </a:xfrm>
        <a:prstGeom prst="rect">
          <a:avLst/>
        </a:prstGeom>
      </xdr:spPr>
    </xdr:pic>
    <xdr:clientData/>
  </xdr:twoCellAnchor>
  <xdr:twoCellAnchor editAs="oneCell">
    <xdr:from>
      <xdr:col>2</xdr:col>
      <xdr:colOff>7620</xdr:colOff>
      <xdr:row>185</xdr:row>
      <xdr:rowOff>7620</xdr:rowOff>
    </xdr:from>
    <xdr:to>
      <xdr:col>3</xdr:col>
      <xdr:colOff>236220</xdr:colOff>
      <xdr:row>189</xdr:row>
      <xdr:rowOff>39126</xdr:rowOff>
    </xdr:to>
    <xdr:pic>
      <xdr:nvPicPr>
        <xdr:cNvPr id="33" name="Picture 32">
          <a:extLst>
            <a:ext uri="{FF2B5EF4-FFF2-40B4-BE49-F238E27FC236}">
              <a16:creationId xmlns:a16="http://schemas.microsoft.com/office/drawing/2014/main" id="{3F8DCC7A-3CFD-484D-B161-DA91D31B111F}"/>
            </a:ext>
          </a:extLst>
        </xdr:cNvPr>
        <xdr:cNvPicPr>
          <a:picLocks noChangeAspect="1"/>
        </xdr:cNvPicPr>
      </xdr:nvPicPr>
      <xdr:blipFill>
        <a:blip xmlns:r="http://schemas.openxmlformats.org/officeDocument/2006/relationships" r:embed="rId51"/>
        <a:stretch>
          <a:fillRect/>
        </a:stretch>
      </xdr:blipFill>
      <xdr:spPr>
        <a:xfrm>
          <a:off x="1775460" y="34533840"/>
          <a:ext cx="541020" cy="793506"/>
        </a:xfrm>
        <a:prstGeom prst="rect">
          <a:avLst/>
        </a:prstGeom>
      </xdr:spPr>
    </xdr:pic>
    <xdr:clientData/>
  </xdr:twoCellAnchor>
  <xdr:twoCellAnchor editAs="oneCell">
    <xdr:from>
      <xdr:col>1</xdr:col>
      <xdr:colOff>198120</xdr:colOff>
      <xdr:row>192</xdr:row>
      <xdr:rowOff>0</xdr:rowOff>
    </xdr:from>
    <xdr:to>
      <xdr:col>3</xdr:col>
      <xdr:colOff>135321</xdr:colOff>
      <xdr:row>196</xdr:row>
      <xdr:rowOff>152400</xdr:rowOff>
    </xdr:to>
    <xdr:pic>
      <xdr:nvPicPr>
        <xdr:cNvPr id="34" name="Picture 33">
          <a:extLst>
            <a:ext uri="{FF2B5EF4-FFF2-40B4-BE49-F238E27FC236}">
              <a16:creationId xmlns:a16="http://schemas.microsoft.com/office/drawing/2014/main" id="{890FAA6F-1881-4F7D-A25D-12058BB5A55F}"/>
            </a:ext>
          </a:extLst>
        </xdr:cNvPr>
        <xdr:cNvPicPr>
          <a:picLocks noChangeAspect="1"/>
        </xdr:cNvPicPr>
      </xdr:nvPicPr>
      <xdr:blipFill>
        <a:blip xmlns:r="http://schemas.openxmlformats.org/officeDocument/2006/relationships" r:embed="rId48"/>
        <a:stretch>
          <a:fillRect/>
        </a:stretch>
      </xdr:blipFill>
      <xdr:spPr>
        <a:xfrm>
          <a:off x="1386840" y="35859720"/>
          <a:ext cx="828741" cy="922020"/>
        </a:xfrm>
        <a:prstGeom prst="rect">
          <a:avLst/>
        </a:prstGeom>
      </xdr:spPr>
    </xdr:pic>
    <xdr:clientData/>
  </xdr:twoCellAnchor>
  <xdr:twoCellAnchor editAs="oneCell">
    <xdr:from>
      <xdr:col>1</xdr:col>
      <xdr:colOff>152400</xdr:colOff>
      <xdr:row>200</xdr:row>
      <xdr:rowOff>175260</xdr:rowOff>
    </xdr:from>
    <xdr:to>
      <xdr:col>3</xdr:col>
      <xdr:colOff>129540</xdr:colOff>
      <xdr:row>205</xdr:row>
      <xdr:rowOff>150764</xdr:rowOff>
    </xdr:to>
    <xdr:pic>
      <xdr:nvPicPr>
        <xdr:cNvPr id="35" name="Picture 34">
          <a:extLst>
            <a:ext uri="{FF2B5EF4-FFF2-40B4-BE49-F238E27FC236}">
              <a16:creationId xmlns:a16="http://schemas.microsoft.com/office/drawing/2014/main" id="{CB487BAD-767B-4BCE-B95D-88B444C08164}"/>
            </a:ext>
          </a:extLst>
        </xdr:cNvPr>
        <xdr:cNvPicPr>
          <a:picLocks noChangeAspect="1"/>
        </xdr:cNvPicPr>
      </xdr:nvPicPr>
      <xdr:blipFill>
        <a:blip xmlns:r="http://schemas.openxmlformats.org/officeDocument/2006/relationships" r:embed="rId49"/>
        <a:stretch>
          <a:fillRect/>
        </a:stretch>
      </xdr:blipFill>
      <xdr:spPr>
        <a:xfrm>
          <a:off x="1341120" y="37383720"/>
          <a:ext cx="868680" cy="943244"/>
        </a:xfrm>
        <a:prstGeom prst="rect">
          <a:avLst/>
        </a:prstGeom>
      </xdr:spPr>
    </xdr:pic>
    <xdr:clientData/>
  </xdr:twoCellAnchor>
  <xdr:twoCellAnchor editAs="oneCell">
    <xdr:from>
      <xdr:col>1</xdr:col>
      <xdr:colOff>403860</xdr:colOff>
      <xdr:row>209</xdr:row>
      <xdr:rowOff>144780</xdr:rowOff>
    </xdr:from>
    <xdr:to>
      <xdr:col>3</xdr:col>
      <xdr:colOff>53340</xdr:colOff>
      <xdr:row>213</xdr:row>
      <xdr:rowOff>176286</xdr:rowOff>
    </xdr:to>
    <xdr:pic>
      <xdr:nvPicPr>
        <xdr:cNvPr id="36" name="Picture 35">
          <a:extLst>
            <a:ext uri="{FF2B5EF4-FFF2-40B4-BE49-F238E27FC236}">
              <a16:creationId xmlns:a16="http://schemas.microsoft.com/office/drawing/2014/main" id="{6050A4F1-ABC7-4DDB-84F3-3BB2B8B75E7C}"/>
            </a:ext>
          </a:extLst>
        </xdr:cNvPr>
        <xdr:cNvPicPr>
          <a:picLocks noChangeAspect="1"/>
        </xdr:cNvPicPr>
      </xdr:nvPicPr>
      <xdr:blipFill>
        <a:blip xmlns:r="http://schemas.openxmlformats.org/officeDocument/2006/relationships" r:embed="rId51"/>
        <a:stretch>
          <a:fillRect/>
        </a:stretch>
      </xdr:blipFill>
      <xdr:spPr>
        <a:xfrm>
          <a:off x="1592580" y="38900100"/>
          <a:ext cx="541020" cy="793506"/>
        </a:xfrm>
        <a:prstGeom prst="rect">
          <a:avLst/>
        </a:prstGeom>
      </xdr:spPr>
    </xdr:pic>
    <xdr:clientData/>
  </xdr:twoCellAnchor>
  <xdr:twoCellAnchor editAs="oneCell">
    <xdr:from>
      <xdr:col>1</xdr:col>
      <xdr:colOff>220980</xdr:colOff>
      <xdr:row>216</xdr:row>
      <xdr:rowOff>160020</xdr:rowOff>
    </xdr:from>
    <xdr:to>
      <xdr:col>3</xdr:col>
      <xdr:colOff>158181</xdr:colOff>
      <xdr:row>221</xdr:row>
      <xdr:rowOff>121920</xdr:rowOff>
    </xdr:to>
    <xdr:pic>
      <xdr:nvPicPr>
        <xdr:cNvPr id="37" name="Picture 36">
          <a:extLst>
            <a:ext uri="{FF2B5EF4-FFF2-40B4-BE49-F238E27FC236}">
              <a16:creationId xmlns:a16="http://schemas.microsoft.com/office/drawing/2014/main" id="{D062A930-69A1-44B5-AC4F-2C559A18A04E}"/>
            </a:ext>
          </a:extLst>
        </xdr:cNvPr>
        <xdr:cNvPicPr>
          <a:picLocks noChangeAspect="1"/>
        </xdr:cNvPicPr>
      </xdr:nvPicPr>
      <xdr:blipFill>
        <a:blip xmlns:r="http://schemas.openxmlformats.org/officeDocument/2006/relationships" r:embed="rId48"/>
        <a:stretch>
          <a:fillRect/>
        </a:stretch>
      </xdr:blipFill>
      <xdr:spPr>
        <a:xfrm>
          <a:off x="1409700" y="40248840"/>
          <a:ext cx="828741" cy="922020"/>
        </a:xfrm>
        <a:prstGeom prst="rect">
          <a:avLst/>
        </a:prstGeom>
      </xdr:spPr>
    </xdr:pic>
    <xdr:clientData/>
  </xdr:twoCellAnchor>
  <xdr:twoCellAnchor editAs="oneCell">
    <xdr:from>
      <xdr:col>1</xdr:col>
      <xdr:colOff>205740</xdr:colOff>
      <xdr:row>225</xdr:row>
      <xdr:rowOff>160020</xdr:rowOff>
    </xdr:from>
    <xdr:to>
      <xdr:col>3</xdr:col>
      <xdr:colOff>182880</xdr:colOff>
      <xdr:row>230</xdr:row>
      <xdr:rowOff>143144</xdr:rowOff>
    </xdr:to>
    <xdr:pic>
      <xdr:nvPicPr>
        <xdr:cNvPr id="38" name="Picture 37">
          <a:extLst>
            <a:ext uri="{FF2B5EF4-FFF2-40B4-BE49-F238E27FC236}">
              <a16:creationId xmlns:a16="http://schemas.microsoft.com/office/drawing/2014/main" id="{646287AC-22E5-4B85-8756-4876AA42E7C7}"/>
            </a:ext>
          </a:extLst>
        </xdr:cNvPr>
        <xdr:cNvPicPr>
          <a:picLocks noChangeAspect="1"/>
        </xdr:cNvPicPr>
      </xdr:nvPicPr>
      <xdr:blipFill>
        <a:blip xmlns:r="http://schemas.openxmlformats.org/officeDocument/2006/relationships" r:embed="rId49"/>
        <a:stretch>
          <a:fillRect/>
        </a:stretch>
      </xdr:blipFill>
      <xdr:spPr>
        <a:xfrm>
          <a:off x="1394460" y="41788080"/>
          <a:ext cx="868680" cy="943244"/>
        </a:xfrm>
        <a:prstGeom prst="rect">
          <a:avLst/>
        </a:prstGeom>
      </xdr:spPr>
    </xdr:pic>
    <xdr:clientData/>
  </xdr:twoCellAnchor>
  <xdr:twoCellAnchor editAs="oneCell">
    <xdr:from>
      <xdr:col>1</xdr:col>
      <xdr:colOff>304800</xdr:colOff>
      <xdr:row>234</xdr:row>
      <xdr:rowOff>167640</xdr:rowOff>
    </xdr:from>
    <xdr:to>
      <xdr:col>2</xdr:col>
      <xdr:colOff>266700</xdr:colOff>
      <xdr:row>239</xdr:row>
      <xdr:rowOff>8646</xdr:rowOff>
    </xdr:to>
    <xdr:pic>
      <xdr:nvPicPr>
        <xdr:cNvPr id="39" name="Picture 38">
          <a:extLst>
            <a:ext uri="{FF2B5EF4-FFF2-40B4-BE49-F238E27FC236}">
              <a16:creationId xmlns:a16="http://schemas.microsoft.com/office/drawing/2014/main" id="{A8E9BB98-AB5A-4E32-8EBE-7B9528A99A09}"/>
            </a:ext>
          </a:extLst>
        </xdr:cNvPr>
        <xdr:cNvPicPr>
          <a:picLocks noChangeAspect="1"/>
        </xdr:cNvPicPr>
      </xdr:nvPicPr>
      <xdr:blipFill>
        <a:blip xmlns:r="http://schemas.openxmlformats.org/officeDocument/2006/relationships" r:embed="rId51"/>
        <a:stretch>
          <a:fillRect/>
        </a:stretch>
      </xdr:blipFill>
      <xdr:spPr>
        <a:xfrm>
          <a:off x="1493520" y="43334940"/>
          <a:ext cx="541020" cy="793506"/>
        </a:xfrm>
        <a:prstGeom prst="rect">
          <a:avLst/>
        </a:prstGeom>
      </xdr:spPr>
    </xdr:pic>
    <xdr:clientData/>
  </xdr:twoCellAnchor>
  <xdr:twoCellAnchor editAs="oneCell">
    <xdr:from>
      <xdr:col>1</xdr:col>
      <xdr:colOff>91440</xdr:colOff>
      <xdr:row>240</xdr:row>
      <xdr:rowOff>160020</xdr:rowOff>
    </xdr:from>
    <xdr:to>
      <xdr:col>2</xdr:col>
      <xdr:colOff>205740</xdr:colOff>
      <xdr:row>243</xdr:row>
      <xdr:rowOff>98166</xdr:rowOff>
    </xdr:to>
    <xdr:pic>
      <xdr:nvPicPr>
        <xdr:cNvPr id="41" name="Picture 40">
          <a:extLst>
            <a:ext uri="{FF2B5EF4-FFF2-40B4-BE49-F238E27FC236}">
              <a16:creationId xmlns:a16="http://schemas.microsoft.com/office/drawing/2014/main" id="{AF1F95BF-1086-4347-8C0B-A1857DE271E2}"/>
            </a:ext>
          </a:extLst>
        </xdr:cNvPr>
        <xdr:cNvPicPr>
          <a:picLocks noChangeAspect="1"/>
        </xdr:cNvPicPr>
      </xdr:nvPicPr>
      <xdr:blipFill>
        <a:blip xmlns:r="http://schemas.openxmlformats.org/officeDocument/2006/relationships" r:embed="rId52"/>
        <a:stretch>
          <a:fillRect/>
        </a:stretch>
      </xdr:blipFill>
      <xdr:spPr>
        <a:xfrm>
          <a:off x="1280160" y="44470320"/>
          <a:ext cx="693420" cy="509646"/>
        </a:xfrm>
        <a:prstGeom prst="rect">
          <a:avLst/>
        </a:prstGeom>
      </xdr:spPr>
    </xdr:pic>
    <xdr:clientData/>
  </xdr:twoCellAnchor>
  <xdr:twoCellAnchor editAs="oneCell">
    <xdr:from>
      <xdr:col>1</xdr:col>
      <xdr:colOff>190500</xdr:colOff>
      <xdr:row>250</xdr:row>
      <xdr:rowOff>68580</xdr:rowOff>
    </xdr:from>
    <xdr:to>
      <xdr:col>4</xdr:col>
      <xdr:colOff>236702</xdr:colOff>
      <xdr:row>257</xdr:row>
      <xdr:rowOff>129540</xdr:rowOff>
    </xdr:to>
    <xdr:pic>
      <xdr:nvPicPr>
        <xdr:cNvPr id="42" name="Picture 41">
          <a:extLst>
            <a:ext uri="{FF2B5EF4-FFF2-40B4-BE49-F238E27FC236}">
              <a16:creationId xmlns:a16="http://schemas.microsoft.com/office/drawing/2014/main" id="{7EBF3911-0C0F-42DF-9822-53E920F759DB}"/>
            </a:ext>
          </a:extLst>
        </xdr:cNvPr>
        <xdr:cNvPicPr>
          <a:picLocks noChangeAspect="1"/>
        </xdr:cNvPicPr>
      </xdr:nvPicPr>
      <xdr:blipFill>
        <a:blip xmlns:r="http://schemas.openxmlformats.org/officeDocument/2006/relationships" r:embed="rId53"/>
        <a:stretch>
          <a:fillRect/>
        </a:stretch>
      </xdr:blipFill>
      <xdr:spPr>
        <a:xfrm>
          <a:off x="1382486" y="47949394"/>
          <a:ext cx="1221859" cy="1394460"/>
        </a:xfrm>
        <a:prstGeom prst="rect">
          <a:avLst/>
        </a:prstGeom>
      </xdr:spPr>
    </xdr:pic>
    <xdr:clientData/>
  </xdr:twoCellAnchor>
  <xdr:twoCellAnchor>
    <xdr:from>
      <xdr:col>5</xdr:col>
      <xdr:colOff>693968</xdr:colOff>
      <xdr:row>275</xdr:row>
      <xdr:rowOff>38100</xdr:rowOff>
    </xdr:from>
    <xdr:to>
      <xdr:col>6</xdr:col>
      <xdr:colOff>334837</xdr:colOff>
      <xdr:row>280</xdr:row>
      <xdr:rowOff>81376</xdr:rowOff>
    </xdr:to>
    <xdr:pic>
      <xdr:nvPicPr>
        <xdr:cNvPr id="43" name="Picture 42">
          <a:extLst>
            <a:ext uri="{FF2B5EF4-FFF2-40B4-BE49-F238E27FC236}">
              <a16:creationId xmlns:a16="http://schemas.microsoft.com/office/drawing/2014/main" id="{6D3081D1-9BBD-48C1-9BD0-CB9B743B6C3D}"/>
            </a:ext>
          </a:extLst>
        </xdr:cNvPr>
        <xdr:cNvPicPr>
          <a:picLocks noChangeAspect="1"/>
        </xdr:cNvPicPr>
      </xdr:nvPicPr>
      <xdr:blipFill>
        <a:blip xmlns:r="http://schemas.openxmlformats.org/officeDocument/2006/relationships" r:embed="rId54"/>
        <a:stretch>
          <a:fillRect/>
        </a:stretch>
      </xdr:blipFill>
      <xdr:spPr>
        <a:xfrm rot="16200000">
          <a:off x="3663229" y="53728981"/>
          <a:ext cx="995776" cy="566155"/>
        </a:xfrm>
        <a:prstGeom prst="rect">
          <a:avLst/>
        </a:prstGeom>
      </xdr:spPr>
    </xdr:pic>
    <xdr:clientData/>
  </xdr:twoCellAnchor>
  <xdr:twoCellAnchor>
    <xdr:from>
      <xdr:col>5</xdr:col>
      <xdr:colOff>769620</xdr:colOff>
      <xdr:row>281</xdr:row>
      <xdr:rowOff>40010</xdr:rowOff>
    </xdr:from>
    <xdr:to>
      <xdr:col>6</xdr:col>
      <xdr:colOff>312460</xdr:colOff>
      <xdr:row>285</xdr:row>
      <xdr:rowOff>93421</xdr:rowOff>
    </xdr:to>
    <xdr:pic>
      <xdr:nvPicPr>
        <xdr:cNvPr id="44" name="Picture 43">
          <a:extLst>
            <a:ext uri="{FF2B5EF4-FFF2-40B4-BE49-F238E27FC236}">
              <a16:creationId xmlns:a16="http://schemas.microsoft.com/office/drawing/2014/main" id="{67216906-B129-4D24-B776-7E3FE34DA0AE}"/>
            </a:ext>
          </a:extLst>
        </xdr:cNvPr>
        <xdr:cNvPicPr>
          <a:picLocks noChangeAspect="1"/>
        </xdr:cNvPicPr>
      </xdr:nvPicPr>
      <xdr:blipFill>
        <a:blip xmlns:r="http://schemas.openxmlformats.org/officeDocument/2006/relationships" r:embed="rId55"/>
        <a:stretch>
          <a:fillRect/>
        </a:stretch>
      </xdr:blipFill>
      <xdr:spPr>
        <a:xfrm rot="16200000">
          <a:off x="3756644" y="51574086"/>
          <a:ext cx="815411" cy="464860"/>
        </a:xfrm>
        <a:prstGeom prst="rect">
          <a:avLst/>
        </a:prstGeom>
      </xdr:spPr>
    </xdr:pic>
    <xdr:clientData/>
  </xdr:twoCellAnchor>
  <xdr:twoCellAnchor editAs="oneCell">
    <xdr:from>
      <xdr:col>5</xdr:col>
      <xdr:colOff>769625</xdr:colOff>
      <xdr:row>287</xdr:row>
      <xdr:rowOff>116204</xdr:rowOff>
    </xdr:from>
    <xdr:to>
      <xdr:col>6</xdr:col>
      <xdr:colOff>232127</xdr:colOff>
      <xdr:row>291</xdr:row>
      <xdr:rowOff>112416</xdr:rowOff>
    </xdr:to>
    <xdr:pic>
      <xdr:nvPicPr>
        <xdr:cNvPr id="45" name="Picture 44">
          <a:extLst>
            <a:ext uri="{FF2B5EF4-FFF2-40B4-BE49-F238E27FC236}">
              <a16:creationId xmlns:a16="http://schemas.microsoft.com/office/drawing/2014/main" id="{57EA12DC-64C9-4D2B-A384-00425D4E6863}"/>
            </a:ext>
          </a:extLst>
        </xdr:cNvPr>
        <xdr:cNvPicPr>
          <a:picLocks noChangeAspect="1"/>
        </xdr:cNvPicPr>
      </xdr:nvPicPr>
      <xdr:blipFill>
        <a:blip xmlns:r="http://schemas.openxmlformats.org/officeDocument/2006/relationships" r:embed="rId56"/>
        <a:stretch>
          <a:fillRect/>
        </a:stretch>
      </xdr:blipFill>
      <xdr:spPr>
        <a:xfrm rot="16200000">
          <a:off x="3745080" y="52614349"/>
          <a:ext cx="758212" cy="384522"/>
        </a:xfrm>
        <a:prstGeom prst="rect">
          <a:avLst/>
        </a:prstGeom>
      </xdr:spPr>
    </xdr:pic>
    <xdr:clientData/>
  </xdr:twoCellAnchor>
  <xdr:twoCellAnchor editAs="oneCell">
    <xdr:from>
      <xdr:col>5</xdr:col>
      <xdr:colOff>853439</xdr:colOff>
      <xdr:row>293</xdr:row>
      <xdr:rowOff>40010</xdr:rowOff>
    </xdr:from>
    <xdr:to>
      <xdr:col>6</xdr:col>
      <xdr:colOff>396279</xdr:colOff>
      <xdr:row>297</xdr:row>
      <xdr:rowOff>93421</xdr:rowOff>
    </xdr:to>
    <xdr:pic>
      <xdr:nvPicPr>
        <xdr:cNvPr id="46" name="Picture 45">
          <a:extLst>
            <a:ext uri="{FF2B5EF4-FFF2-40B4-BE49-F238E27FC236}">
              <a16:creationId xmlns:a16="http://schemas.microsoft.com/office/drawing/2014/main" id="{50E0A305-4FF2-4431-88C1-6410E5D0C187}"/>
            </a:ext>
          </a:extLst>
        </xdr:cNvPr>
        <xdr:cNvPicPr>
          <a:picLocks noChangeAspect="1"/>
        </xdr:cNvPicPr>
      </xdr:nvPicPr>
      <xdr:blipFill>
        <a:blip xmlns:r="http://schemas.openxmlformats.org/officeDocument/2006/relationships" r:embed="rId55"/>
        <a:stretch>
          <a:fillRect/>
        </a:stretch>
      </xdr:blipFill>
      <xdr:spPr>
        <a:xfrm rot="16200000">
          <a:off x="3840463" y="53479086"/>
          <a:ext cx="815411" cy="464860"/>
        </a:xfrm>
        <a:prstGeom prst="rect">
          <a:avLst/>
        </a:prstGeom>
      </xdr:spPr>
    </xdr:pic>
    <xdr:clientData/>
  </xdr:twoCellAnchor>
  <xdr:twoCellAnchor editAs="oneCell">
    <xdr:from>
      <xdr:col>5</xdr:col>
      <xdr:colOff>845826</xdr:colOff>
      <xdr:row>299</xdr:row>
      <xdr:rowOff>47624</xdr:rowOff>
    </xdr:from>
    <xdr:to>
      <xdr:col>6</xdr:col>
      <xdr:colOff>308328</xdr:colOff>
      <xdr:row>303</xdr:row>
      <xdr:rowOff>43836</xdr:rowOff>
    </xdr:to>
    <xdr:pic>
      <xdr:nvPicPr>
        <xdr:cNvPr id="47" name="Picture 46">
          <a:extLst>
            <a:ext uri="{FF2B5EF4-FFF2-40B4-BE49-F238E27FC236}">
              <a16:creationId xmlns:a16="http://schemas.microsoft.com/office/drawing/2014/main" id="{C9E9617E-7940-4F3F-8BCB-7B17D8EDD7C4}"/>
            </a:ext>
          </a:extLst>
        </xdr:cNvPr>
        <xdr:cNvPicPr>
          <a:picLocks noChangeAspect="1"/>
        </xdr:cNvPicPr>
      </xdr:nvPicPr>
      <xdr:blipFill>
        <a:blip xmlns:r="http://schemas.openxmlformats.org/officeDocument/2006/relationships" r:embed="rId56"/>
        <a:stretch>
          <a:fillRect/>
        </a:stretch>
      </xdr:blipFill>
      <xdr:spPr>
        <a:xfrm rot="16200000">
          <a:off x="3821281" y="54450769"/>
          <a:ext cx="758212" cy="384522"/>
        </a:xfrm>
        <a:prstGeom prst="rect">
          <a:avLst/>
        </a:prstGeom>
      </xdr:spPr>
    </xdr:pic>
    <xdr:clientData/>
  </xdr:twoCellAnchor>
  <xdr:twoCellAnchor editAs="oneCell">
    <xdr:from>
      <xdr:col>5</xdr:col>
      <xdr:colOff>789216</xdr:colOff>
      <xdr:row>305</xdr:row>
      <xdr:rowOff>60958</xdr:rowOff>
    </xdr:from>
    <xdr:to>
      <xdr:col>6</xdr:col>
      <xdr:colOff>409128</xdr:colOff>
      <xdr:row>309</xdr:row>
      <xdr:rowOff>183328</xdr:rowOff>
    </xdr:to>
    <xdr:pic>
      <xdr:nvPicPr>
        <xdr:cNvPr id="48" name="Picture 47">
          <a:extLst>
            <a:ext uri="{FF2B5EF4-FFF2-40B4-BE49-F238E27FC236}">
              <a16:creationId xmlns:a16="http://schemas.microsoft.com/office/drawing/2014/main" id="{70AFA740-0662-42E0-87E8-2AFBD0D1D302}"/>
            </a:ext>
          </a:extLst>
        </xdr:cNvPr>
        <xdr:cNvPicPr>
          <a:picLocks noChangeAspect="1"/>
        </xdr:cNvPicPr>
      </xdr:nvPicPr>
      <xdr:blipFill>
        <a:blip xmlns:r="http://schemas.openxmlformats.org/officeDocument/2006/relationships" r:embed="rId54"/>
        <a:stretch>
          <a:fillRect/>
        </a:stretch>
      </xdr:blipFill>
      <xdr:spPr>
        <a:xfrm rot="16200000">
          <a:off x="3803701" y="59040615"/>
          <a:ext cx="884370" cy="545198"/>
        </a:xfrm>
        <a:prstGeom prst="rect">
          <a:avLst/>
        </a:prstGeom>
      </xdr:spPr>
    </xdr:pic>
    <xdr:clientData/>
  </xdr:twoCellAnchor>
  <xdr:twoCellAnchor editAs="oneCell">
    <xdr:from>
      <xdr:col>5</xdr:col>
      <xdr:colOff>882009</xdr:colOff>
      <xdr:row>311</xdr:row>
      <xdr:rowOff>85730</xdr:rowOff>
    </xdr:from>
    <xdr:to>
      <xdr:col>6</xdr:col>
      <xdr:colOff>424849</xdr:colOff>
      <xdr:row>315</xdr:row>
      <xdr:rowOff>139141</xdr:rowOff>
    </xdr:to>
    <xdr:pic>
      <xdr:nvPicPr>
        <xdr:cNvPr id="49" name="Picture 48">
          <a:extLst>
            <a:ext uri="{FF2B5EF4-FFF2-40B4-BE49-F238E27FC236}">
              <a16:creationId xmlns:a16="http://schemas.microsoft.com/office/drawing/2014/main" id="{29A1CB58-FA61-4F14-AEA4-C1D0245CFEBB}"/>
            </a:ext>
          </a:extLst>
        </xdr:cNvPr>
        <xdr:cNvPicPr>
          <a:picLocks noChangeAspect="1"/>
        </xdr:cNvPicPr>
      </xdr:nvPicPr>
      <xdr:blipFill>
        <a:blip xmlns:r="http://schemas.openxmlformats.org/officeDocument/2006/relationships" r:embed="rId55"/>
        <a:stretch>
          <a:fillRect/>
        </a:stretch>
      </xdr:blipFill>
      <xdr:spPr>
        <a:xfrm rot="16200000">
          <a:off x="3869033" y="56382306"/>
          <a:ext cx="815411" cy="464860"/>
        </a:xfrm>
        <a:prstGeom prst="rect">
          <a:avLst/>
        </a:prstGeom>
      </xdr:spPr>
    </xdr:pic>
    <xdr:clientData/>
  </xdr:twoCellAnchor>
  <xdr:twoCellAnchor editAs="oneCell">
    <xdr:from>
      <xdr:col>5</xdr:col>
      <xdr:colOff>874396</xdr:colOff>
      <xdr:row>317</xdr:row>
      <xdr:rowOff>93344</xdr:rowOff>
    </xdr:from>
    <xdr:to>
      <xdr:col>6</xdr:col>
      <xdr:colOff>336898</xdr:colOff>
      <xdr:row>321</xdr:row>
      <xdr:rowOff>89556</xdr:rowOff>
    </xdr:to>
    <xdr:pic>
      <xdr:nvPicPr>
        <xdr:cNvPr id="50" name="Picture 49">
          <a:extLst>
            <a:ext uri="{FF2B5EF4-FFF2-40B4-BE49-F238E27FC236}">
              <a16:creationId xmlns:a16="http://schemas.microsoft.com/office/drawing/2014/main" id="{49E8BC1F-468F-4ED9-8B29-FD1955269B69}"/>
            </a:ext>
          </a:extLst>
        </xdr:cNvPr>
        <xdr:cNvPicPr>
          <a:picLocks noChangeAspect="1"/>
        </xdr:cNvPicPr>
      </xdr:nvPicPr>
      <xdr:blipFill>
        <a:blip xmlns:r="http://schemas.openxmlformats.org/officeDocument/2006/relationships" r:embed="rId56"/>
        <a:stretch>
          <a:fillRect/>
        </a:stretch>
      </xdr:blipFill>
      <xdr:spPr>
        <a:xfrm rot="16200000">
          <a:off x="3849851" y="57353989"/>
          <a:ext cx="758212" cy="384522"/>
        </a:xfrm>
        <a:prstGeom prst="rect">
          <a:avLst/>
        </a:prstGeom>
      </xdr:spPr>
    </xdr:pic>
    <xdr:clientData/>
  </xdr:twoCellAnchor>
  <xdr:twoCellAnchor editAs="oneCell">
    <xdr:from>
      <xdr:col>3</xdr:col>
      <xdr:colOff>268877</xdr:colOff>
      <xdr:row>475</xdr:row>
      <xdr:rowOff>23948</xdr:rowOff>
    </xdr:from>
    <xdr:to>
      <xdr:col>5</xdr:col>
      <xdr:colOff>218891</xdr:colOff>
      <xdr:row>480</xdr:row>
      <xdr:rowOff>181887</xdr:rowOff>
    </xdr:to>
    <xdr:pic>
      <xdr:nvPicPr>
        <xdr:cNvPr id="51" name="Picture 50">
          <a:extLst>
            <a:ext uri="{FF2B5EF4-FFF2-40B4-BE49-F238E27FC236}">
              <a16:creationId xmlns:a16="http://schemas.microsoft.com/office/drawing/2014/main" id="{6BCE2264-50F1-46AB-A133-1C37E04128DC}"/>
            </a:ext>
          </a:extLst>
        </xdr:cNvPr>
        <xdr:cNvPicPr>
          <a:picLocks noChangeAspect="1"/>
        </xdr:cNvPicPr>
      </xdr:nvPicPr>
      <xdr:blipFill>
        <a:blip xmlns:r="http://schemas.openxmlformats.org/officeDocument/2006/relationships" r:embed="rId57"/>
        <a:stretch>
          <a:fillRect/>
        </a:stretch>
      </xdr:blipFill>
      <xdr:spPr>
        <a:xfrm>
          <a:off x="2348048" y="95546091"/>
          <a:ext cx="1027700" cy="1137653"/>
        </a:xfrm>
        <a:prstGeom prst="rect">
          <a:avLst/>
        </a:prstGeom>
      </xdr:spPr>
    </xdr:pic>
    <xdr:clientData/>
  </xdr:twoCellAnchor>
  <xdr:twoCellAnchor editAs="oneCell">
    <xdr:from>
      <xdr:col>1</xdr:col>
      <xdr:colOff>175260</xdr:colOff>
      <xdr:row>456</xdr:row>
      <xdr:rowOff>106680</xdr:rowOff>
    </xdr:from>
    <xdr:to>
      <xdr:col>4</xdr:col>
      <xdr:colOff>304912</xdr:colOff>
      <xdr:row>462</xdr:row>
      <xdr:rowOff>106581</xdr:rowOff>
    </xdr:to>
    <xdr:pic>
      <xdr:nvPicPr>
        <xdr:cNvPr id="52" name="Picture 51">
          <a:extLst>
            <a:ext uri="{FF2B5EF4-FFF2-40B4-BE49-F238E27FC236}">
              <a16:creationId xmlns:a16="http://schemas.microsoft.com/office/drawing/2014/main" id="{2D26E66A-CFC4-499D-AFA6-F4851E45D4D3}"/>
            </a:ext>
          </a:extLst>
        </xdr:cNvPr>
        <xdr:cNvPicPr>
          <a:picLocks noChangeAspect="1"/>
        </xdr:cNvPicPr>
      </xdr:nvPicPr>
      <xdr:blipFill>
        <a:blip xmlns:r="http://schemas.openxmlformats.org/officeDocument/2006/relationships" r:embed="rId58"/>
        <a:stretch>
          <a:fillRect/>
        </a:stretch>
      </xdr:blipFill>
      <xdr:spPr>
        <a:xfrm flipV="1">
          <a:off x="1363980" y="83271360"/>
          <a:ext cx="1295512" cy="1142901"/>
        </a:xfrm>
        <a:prstGeom prst="rect">
          <a:avLst/>
        </a:prstGeom>
      </xdr:spPr>
    </xdr:pic>
    <xdr:clientData/>
  </xdr:twoCellAnchor>
  <xdr:twoCellAnchor editAs="oneCell">
    <xdr:from>
      <xdr:col>1</xdr:col>
      <xdr:colOff>121920</xdr:colOff>
      <xdr:row>445</xdr:row>
      <xdr:rowOff>22860</xdr:rowOff>
    </xdr:from>
    <xdr:to>
      <xdr:col>3</xdr:col>
      <xdr:colOff>259169</xdr:colOff>
      <xdr:row>450</xdr:row>
      <xdr:rowOff>175356</xdr:rowOff>
    </xdr:to>
    <xdr:pic>
      <xdr:nvPicPr>
        <xdr:cNvPr id="53" name="Picture 52">
          <a:extLst>
            <a:ext uri="{FF2B5EF4-FFF2-40B4-BE49-F238E27FC236}">
              <a16:creationId xmlns:a16="http://schemas.microsoft.com/office/drawing/2014/main" id="{CBF167D1-E4D7-4459-A6F4-085F8FBA754C}"/>
            </a:ext>
          </a:extLst>
        </xdr:cNvPr>
        <xdr:cNvPicPr>
          <a:picLocks noChangeAspect="1"/>
        </xdr:cNvPicPr>
      </xdr:nvPicPr>
      <xdr:blipFill>
        <a:blip xmlns:r="http://schemas.openxmlformats.org/officeDocument/2006/relationships" r:embed="rId57"/>
        <a:stretch>
          <a:fillRect/>
        </a:stretch>
      </xdr:blipFill>
      <xdr:spPr>
        <a:xfrm>
          <a:off x="1310640" y="81282540"/>
          <a:ext cx="1028789" cy="1104996"/>
        </a:xfrm>
        <a:prstGeom prst="rect">
          <a:avLst/>
        </a:prstGeom>
      </xdr:spPr>
    </xdr:pic>
    <xdr:clientData/>
  </xdr:twoCellAnchor>
  <xdr:twoCellAnchor editAs="oneCell">
    <xdr:from>
      <xdr:col>5</xdr:col>
      <xdr:colOff>781052</xdr:colOff>
      <xdr:row>486</xdr:row>
      <xdr:rowOff>70002</xdr:rowOff>
    </xdr:from>
    <xdr:to>
      <xdr:col>6</xdr:col>
      <xdr:colOff>370117</xdr:colOff>
      <xdr:row>491</xdr:row>
      <xdr:rowOff>52816</xdr:rowOff>
    </xdr:to>
    <xdr:pic>
      <xdr:nvPicPr>
        <xdr:cNvPr id="54" name="Picture 53">
          <a:extLst>
            <a:ext uri="{FF2B5EF4-FFF2-40B4-BE49-F238E27FC236}">
              <a16:creationId xmlns:a16="http://schemas.microsoft.com/office/drawing/2014/main" id="{C912ED4E-D6B0-4A84-BD7C-EA951E1CFFD3}"/>
            </a:ext>
          </a:extLst>
        </xdr:cNvPr>
        <xdr:cNvPicPr>
          <a:picLocks noChangeAspect="1"/>
        </xdr:cNvPicPr>
      </xdr:nvPicPr>
      <xdr:blipFill>
        <a:blip xmlns:r="http://schemas.openxmlformats.org/officeDocument/2006/relationships" r:embed="rId54"/>
        <a:stretch>
          <a:fillRect/>
        </a:stretch>
      </xdr:blipFill>
      <xdr:spPr>
        <a:xfrm rot="16200000">
          <a:off x="3713820" y="97971605"/>
          <a:ext cx="962529" cy="514351"/>
        </a:xfrm>
        <a:prstGeom prst="rect">
          <a:avLst/>
        </a:prstGeom>
      </xdr:spPr>
    </xdr:pic>
    <xdr:clientData/>
  </xdr:twoCellAnchor>
  <xdr:twoCellAnchor editAs="oneCell">
    <xdr:from>
      <xdr:col>5</xdr:col>
      <xdr:colOff>761999</xdr:colOff>
      <xdr:row>535</xdr:row>
      <xdr:rowOff>7040</xdr:rowOff>
    </xdr:from>
    <xdr:to>
      <xdr:col>6</xdr:col>
      <xdr:colOff>326570</xdr:colOff>
      <xdr:row>540</xdr:row>
      <xdr:rowOff>20976</xdr:rowOff>
    </xdr:to>
    <xdr:pic>
      <xdr:nvPicPr>
        <xdr:cNvPr id="61" name="Picture 60">
          <a:extLst>
            <a:ext uri="{FF2B5EF4-FFF2-40B4-BE49-F238E27FC236}">
              <a16:creationId xmlns:a16="http://schemas.microsoft.com/office/drawing/2014/main" id="{11F7670D-1A16-49D7-B1EB-18D832FBC6CE}"/>
            </a:ext>
          </a:extLst>
        </xdr:cNvPr>
        <xdr:cNvPicPr>
          <a:picLocks noChangeAspect="1"/>
        </xdr:cNvPicPr>
      </xdr:nvPicPr>
      <xdr:blipFill>
        <a:blip xmlns:r="http://schemas.openxmlformats.org/officeDocument/2006/relationships" r:embed="rId56"/>
        <a:stretch>
          <a:fillRect/>
        </a:stretch>
      </xdr:blipFill>
      <xdr:spPr>
        <a:xfrm rot="16200000">
          <a:off x="3666959" y="107537651"/>
          <a:ext cx="993651" cy="489857"/>
        </a:xfrm>
        <a:prstGeom prst="rect">
          <a:avLst/>
        </a:prstGeom>
      </xdr:spPr>
    </xdr:pic>
    <xdr:clientData/>
  </xdr:twoCellAnchor>
  <xdr:twoCellAnchor editAs="oneCell">
    <xdr:from>
      <xdr:col>5</xdr:col>
      <xdr:colOff>833575</xdr:colOff>
      <xdr:row>520</xdr:row>
      <xdr:rowOff>193765</xdr:rowOff>
    </xdr:from>
    <xdr:to>
      <xdr:col>6</xdr:col>
      <xdr:colOff>402773</xdr:colOff>
      <xdr:row>525</xdr:row>
      <xdr:rowOff>127133</xdr:rowOff>
    </xdr:to>
    <xdr:pic>
      <xdr:nvPicPr>
        <xdr:cNvPr id="62" name="Picture 61">
          <a:extLst>
            <a:ext uri="{FF2B5EF4-FFF2-40B4-BE49-F238E27FC236}">
              <a16:creationId xmlns:a16="http://schemas.microsoft.com/office/drawing/2014/main" id="{5DB6A543-09C7-4E90-9C6C-FC07E7985073}"/>
            </a:ext>
          </a:extLst>
        </xdr:cNvPr>
        <xdr:cNvPicPr>
          <a:picLocks noChangeAspect="1"/>
        </xdr:cNvPicPr>
      </xdr:nvPicPr>
      <xdr:blipFill>
        <a:blip xmlns:r="http://schemas.openxmlformats.org/officeDocument/2006/relationships" r:embed="rId54"/>
        <a:stretch>
          <a:fillRect/>
        </a:stretch>
      </xdr:blipFill>
      <xdr:spPr>
        <a:xfrm rot="16200000">
          <a:off x="3781132" y="104742636"/>
          <a:ext cx="913083" cy="494484"/>
        </a:xfrm>
        <a:prstGeom prst="rect">
          <a:avLst/>
        </a:prstGeom>
      </xdr:spPr>
    </xdr:pic>
    <xdr:clientData/>
  </xdr:twoCellAnchor>
  <xdr:twoCellAnchor editAs="oneCell">
    <xdr:from>
      <xdr:col>5</xdr:col>
      <xdr:colOff>764170</xdr:colOff>
      <xdr:row>528</xdr:row>
      <xdr:rowOff>51609</xdr:rowOff>
    </xdr:from>
    <xdr:to>
      <xdr:col>6</xdr:col>
      <xdr:colOff>391885</xdr:colOff>
      <xdr:row>533</xdr:row>
      <xdr:rowOff>67295</xdr:rowOff>
    </xdr:to>
    <xdr:pic>
      <xdr:nvPicPr>
        <xdr:cNvPr id="63" name="Picture 62">
          <a:extLst>
            <a:ext uri="{FF2B5EF4-FFF2-40B4-BE49-F238E27FC236}">
              <a16:creationId xmlns:a16="http://schemas.microsoft.com/office/drawing/2014/main" id="{55BD792A-CC67-4D55-99F6-DC580F778588}"/>
            </a:ext>
          </a:extLst>
        </xdr:cNvPr>
        <xdr:cNvPicPr>
          <a:picLocks noChangeAspect="1"/>
        </xdr:cNvPicPr>
      </xdr:nvPicPr>
      <xdr:blipFill>
        <a:blip xmlns:r="http://schemas.openxmlformats.org/officeDocument/2006/relationships" r:embed="rId55"/>
        <a:stretch>
          <a:fillRect/>
        </a:stretch>
      </xdr:blipFill>
      <xdr:spPr>
        <a:xfrm rot="16200000">
          <a:off x="3699827" y="106179923"/>
          <a:ext cx="995401" cy="553001"/>
        </a:xfrm>
        <a:prstGeom prst="rect">
          <a:avLst/>
        </a:prstGeom>
      </xdr:spPr>
    </xdr:pic>
    <xdr:clientData/>
  </xdr:twoCellAnchor>
  <xdr:twoCellAnchor editAs="oneCell">
    <xdr:from>
      <xdr:col>2</xdr:col>
      <xdr:colOff>7620</xdr:colOff>
      <xdr:row>602</xdr:row>
      <xdr:rowOff>179071</xdr:rowOff>
    </xdr:from>
    <xdr:to>
      <xdr:col>4</xdr:col>
      <xdr:colOff>541019</xdr:colOff>
      <xdr:row>606</xdr:row>
      <xdr:rowOff>125803</xdr:rowOff>
    </xdr:to>
    <xdr:pic>
      <xdr:nvPicPr>
        <xdr:cNvPr id="532736" name="Picture 80650">
          <a:extLst>
            <a:ext uri="{FF2B5EF4-FFF2-40B4-BE49-F238E27FC236}">
              <a16:creationId xmlns:a16="http://schemas.microsoft.com/office/drawing/2014/main" id="{3A8CD327-4C2D-4141-AB3D-D163C34C8057}"/>
            </a:ext>
          </a:extLst>
        </xdr:cNvPr>
        <xdr:cNvPicPr>
          <a:picLocks noChangeAspect="1" noChangeArrowheads="1"/>
        </xdr:cNvPicPr>
      </xdr:nvPicPr>
      <xdr:blipFill>
        <a:blip xmlns:r="http://schemas.openxmlformats.org/officeDocument/2006/relationships" r:embed="rId59" cstate="print"/>
        <a:srcRect/>
        <a:stretch>
          <a:fillRect/>
        </a:stretch>
      </xdr:blipFill>
      <xdr:spPr bwMode="auto">
        <a:xfrm>
          <a:off x="1775460" y="110600491"/>
          <a:ext cx="1120139" cy="708732"/>
        </a:xfrm>
        <a:prstGeom prst="rect">
          <a:avLst/>
        </a:prstGeom>
        <a:noFill/>
        <a:ln w="1">
          <a:noFill/>
          <a:miter lim="800000"/>
          <a:headEnd/>
          <a:tailEnd type="none" w="med" len="med"/>
        </a:ln>
        <a:effectLst/>
      </xdr:spPr>
    </xdr:pic>
    <xdr:clientData/>
  </xdr:twoCellAnchor>
  <xdr:twoCellAnchor editAs="oneCell">
    <xdr:from>
      <xdr:col>5</xdr:col>
      <xdr:colOff>236219</xdr:colOff>
      <xdr:row>602</xdr:row>
      <xdr:rowOff>160020</xdr:rowOff>
    </xdr:from>
    <xdr:to>
      <xdr:col>6</xdr:col>
      <xdr:colOff>312419</xdr:colOff>
      <xdr:row>606</xdr:row>
      <xdr:rowOff>125383</xdr:rowOff>
    </xdr:to>
    <xdr:pic>
      <xdr:nvPicPr>
        <xdr:cNvPr id="532737" name="Picture 80651">
          <a:extLst>
            <a:ext uri="{FF2B5EF4-FFF2-40B4-BE49-F238E27FC236}">
              <a16:creationId xmlns:a16="http://schemas.microsoft.com/office/drawing/2014/main" id="{15ABEBB7-C276-4B2E-9B24-1E96DEE3C8E6}"/>
            </a:ext>
          </a:extLst>
        </xdr:cNvPr>
        <xdr:cNvPicPr>
          <a:picLocks noChangeAspect="1" noChangeArrowheads="1"/>
        </xdr:cNvPicPr>
      </xdr:nvPicPr>
      <xdr:blipFill>
        <a:blip xmlns:r="http://schemas.openxmlformats.org/officeDocument/2006/relationships" r:embed="rId60" cstate="print"/>
        <a:srcRect/>
        <a:stretch>
          <a:fillRect/>
        </a:stretch>
      </xdr:blipFill>
      <xdr:spPr bwMode="auto">
        <a:xfrm>
          <a:off x="3398519" y="110581440"/>
          <a:ext cx="998220" cy="727363"/>
        </a:xfrm>
        <a:prstGeom prst="rect">
          <a:avLst/>
        </a:prstGeom>
        <a:noFill/>
        <a:ln w="1">
          <a:noFill/>
          <a:miter lim="800000"/>
          <a:headEnd/>
          <a:tailEnd type="none" w="med" len="med"/>
        </a:ln>
        <a:effectLst/>
      </xdr:spPr>
    </xdr:pic>
    <xdr:clientData/>
  </xdr:twoCellAnchor>
  <xdr:twoCellAnchor>
    <xdr:from>
      <xdr:col>25</xdr:col>
      <xdr:colOff>274320</xdr:colOff>
      <xdr:row>0</xdr:row>
      <xdr:rowOff>373380</xdr:rowOff>
    </xdr:from>
    <xdr:to>
      <xdr:col>32</xdr:col>
      <xdr:colOff>636270</xdr:colOff>
      <xdr:row>3</xdr:row>
      <xdr:rowOff>72389</xdr:rowOff>
    </xdr:to>
    <xdr:sp macro="" textlink="">
      <xdr:nvSpPr>
        <xdr:cNvPr id="532738" name="TextBox 532737">
          <a:extLst>
            <a:ext uri="{FF2B5EF4-FFF2-40B4-BE49-F238E27FC236}">
              <a16:creationId xmlns:a16="http://schemas.microsoft.com/office/drawing/2014/main" id="{7591A7D2-3AE4-46CF-BEC1-64C1A25E647F}"/>
            </a:ext>
          </a:extLst>
        </xdr:cNvPr>
        <xdr:cNvSpPr txBox="1"/>
      </xdr:nvSpPr>
      <xdr:spPr>
        <a:xfrm>
          <a:off x="13251180" y="37338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8</xdr:col>
      <xdr:colOff>136072</xdr:colOff>
      <xdr:row>398</xdr:row>
      <xdr:rowOff>27214</xdr:rowOff>
    </xdr:from>
    <xdr:to>
      <xdr:col>16</xdr:col>
      <xdr:colOff>419705</xdr:colOff>
      <xdr:row>401</xdr:row>
      <xdr:rowOff>133047</xdr:rowOff>
    </xdr:to>
    <xdr:sp macro="" textlink="">
      <xdr:nvSpPr>
        <xdr:cNvPr id="3" name="TextBox 2">
          <a:extLst>
            <a:ext uri="{FF2B5EF4-FFF2-40B4-BE49-F238E27FC236}">
              <a16:creationId xmlns:a16="http://schemas.microsoft.com/office/drawing/2014/main" id="{9F8E2144-1451-4EAE-AFFB-6096D1A4DC2A}"/>
            </a:ext>
          </a:extLst>
        </xdr:cNvPr>
        <xdr:cNvSpPr txBox="1"/>
      </xdr:nvSpPr>
      <xdr:spPr>
        <a:xfrm>
          <a:off x="5170715" y="74757643"/>
          <a:ext cx="33316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5</xdr:col>
      <xdr:colOff>343868</xdr:colOff>
      <xdr:row>393</xdr:row>
      <xdr:rowOff>47260</xdr:rowOff>
    </xdr:from>
    <xdr:to>
      <xdr:col>6</xdr:col>
      <xdr:colOff>328862</xdr:colOff>
      <xdr:row>396</xdr:row>
      <xdr:rowOff>144780</xdr:rowOff>
    </xdr:to>
    <xdr:pic>
      <xdr:nvPicPr>
        <xdr:cNvPr id="14" name="Picture 13">
          <a:extLst>
            <a:ext uri="{FF2B5EF4-FFF2-40B4-BE49-F238E27FC236}">
              <a16:creationId xmlns:a16="http://schemas.microsoft.com/office/drawing/2014/main" id="{53B76419-B947-45A7-BBA1-BF4C3E0C0D91}"/>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xdr:blipFill>
      <xdr:spPr>
        <a:xfrm>
          <a:off x="3515693" y="76237735"/>
          <a:ext cx="908919" cy="669020"/>
        </a:xfrm>
        <a:prstGeom prst="rect">
          <a:avLst/>
        </a:prstGeom>
      </xdr:spPr>
    </xdr:pic>
    <xdr:clientData/>
  </xdr:twoCellAnchor>
  <xdr:twoCellAnchor>
    <xdr:from>
      <xdr:col>8</xdr:col>
      <xdr:colOff>54429</xdr:colOff>
      <xdr:row>393</xdr:row>
      <xdr:rowOff>163286</xdr:rowOff>
    </xdr:from>
    <xdr:to>
      <xdr:col>19</xdr:col>
      <xdr:colOff>500593</xdr:colOff>
      <xdr:row>397</xdr:row>
      <xdr:rowOff>65919</xdr:rowOff>
    </xdr:to>
    <xdr:sp macro="" textlink="">
      <xdr:nvSpPr>
        <xdr:cNvPr id="15" name="TextBox 14">
          <a:extLst>
            <a:ext uri="{FF2B5EF4-FFF2-40B4-BE49-F238E27FC236}">
              <a16:creationId xmlns:a16="http://schemas.microsoft.com/office/drawing/2014/main" id="{8FC4AE4A-43A9-43D6-AF48-0CE4E4608D7D}"/>
            </a:ext>
          </a:extLst>
        </xdr:cNvPr>
        <xdr:cNvSpPr txBox="1"/>
      </xdr:nvSpPr>
      <xdr:spPr>
        <a:xfrm>
          <a:off x="5074104" y="76353761"/>
          <a:ext cx="4570489"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editAs="oneCell">
    <xdr:from>
      <xdr:col>5</xdr:col>
      <xdr:colOff>770164</xdr:colOff>
      <xdr:row>493</xdr:row>
      <xdr:rowOff>57175</xdr:rowOff>
    </xdr:from>
    <xdr:to>
      <xdr:col>6</xdr:col>
      <xdr:colOff>402773</xdr:colOff>
      <xdr:row>498</xdr:row>
      <xdr:rowOff>75183</xdr:rowOff>
    </xdr:to>
    <xdr:pic>
      <xdr:nvPicPr>
        <xdr:cNvPr id="16" name="Picture 15">
          <a:extLst>
            <a:ext uri="{FF2B5EF4-FFF2-40B4-BE49-F238E27FC236}">
              <a16:creationId xmlns:a16="http://schemas.microsoft.com/office/drawing/2014/main" id="{E787E7EE-929A-4258-A332-876DCAAAF4D4}"/>
            </a:ext>
          </a:extLst>
        </xdr:cNvPr>
        <xdr:cNvPicPr>
          <a:picLocks noChangeAspect="1"/>
        </xdr:cNvPicPr>
      </xdr:nvPicPr>
      <xdr:blipFill>
        <a:blip xmlns:r="http://schemas.openxmlformats.org/officeDocument/2006/relationships" r:embed="rId55"/>
        <a:stretch>
          <a:fillRect/>
        </a:stretch>
      </xdr:blipFill>
      <xdr:spPr>
        <a:xfrm rot="16200000">
          <a:off x="3707107" y="99326203"/>
          <a:ext cx="997723" cy="557895"/>
        </a:xfrm>
        <a:prstGeom prst="rect">
          <a:avLst/>
        </a:prstGeom>
      </xdr:spPr>
    </xdr:pic>
    <xdr:clientData/>
  </xdr:twoCellAnchor>
  <xdr:twoCellAnchor editAs="oneCell">
    <xdr:from>
      <xdr:col>5</xdr:col>
      <xdr:colOff>778329</xdr:colOff>
      <xdr:row>507</xdr:row>
      <xdr:rowOff>28233</xdr:rowOff>
    </xdr:from>
    <xdr:to>
      <xdr:col>6</xdr:col>
      <xdr:colOff>402772</xdr:colOff>
      <xdr:row>512</xdr:row>
      <xdr:rowOff>31638</xdr:rowOff>
    </xdr:to>
    <xdr:pic>
      <xdr:nvPicPr>
        <xdr:cNvPr id="40" name="Picture 39">
          <a:extLst>
            <a:ext uri="{FF2B5EF4-FFF2-40B4-BE49-F238E27FC236}">
              <a16:creationId xmlns:a16="http://schemas.microsoft.com/office/drawing/2014/main" id="{430533E8-952C-4DEB-AB49-13736DD6E28A}"/>
            </a:ext>
          </a:extLst>
        </xdr:cNvPr>
        <xdr:cNvPicPr>
          <a:picLocks noChangeAspect="1"/>
        </xdr:cNvPicPr>
      </xdr:nvPicPr>
      <xdr:blipFill>
        <a:blip xmlns:r="http://schemas.openxmlformats.org/officeDocument/2006/relationships" r:embed="rId55"/>
        <a:stretch>
          <a:fillRect/>
        </a:stretch>
      </xdr:blipFill>
      <xdr:spPr>
        <a:xfrm rot="16200000">
          <a:off x="3718491" y="102037242"/>
          <a:ext cx="983120" cy="549729"/>
        </a:xfrm>
        <a:prstGeom prst="rect">
          <a:avLst/>
        </a:prstGeom>
      </xdr:spPr>
    </xdr:pic>
    <xdr:clientData/>
  </xdr:twoCellAnchor>
  <xdr:twoCellAnchor editAs="oneCell">
    <xdr:from>
      <xdr:col>5</xdr:col>
      <xdr:colOff>835479</xdr:colOff>
      <xdr:row>500</xdr:row>
      <xdr:rowOff>22710</xdr:rowOff>
    </xdr:from>
    <xdr:to>
      <xdr:col>6</xdr:col>
      <xdr:colOff>413657</xdr:colOff>
      <xdr:row>505</xdr:row>
      <xdr:rowOff>64247</xdr:rowOff>
    </xdr:to>
    <xdr:pic>
      <xdr:nvPicPr>
        <xdr:cNvPr id="57" name="Picture 56">
          <a:extLst>
            <a:ext uri="{FF2B5EF4-FFF2-40B4-BE49-F238E27FC236}">
              <a16:creationId xmlns:a16="http://schemas.microsoft.com/office/drawing/2014/main" id="{DFFE806A-A039-487C-AA97-7589804E4FDC}"/>
            </a:ext>
          </a:extLst>
        </xdr:cNvPr>
        <xdr:cNvPicPr>
          <a:picLocks noChangeAspect="1"/>
        </xdr:cNvPicPr>
      </xdr:nvPicPr>
      <xdr:blipFill>
        <a:blip xmlns:r="http://schemas.openxmlformats.org/officeDocument/2006/relationships" r:embed="rId56"/>
        <a:stretch>
          <a:fillRect/>
        </a:stretch>
      </xdr:blipFill>
      <xdr:spPr>
        <a:xfrm rot="16200000">
          <a:off x="3733442" y="100702318"/>
          <a:ext cx="1021252" cy="503464"/>
        </a:xfrm>
        <a:prstGeom prst="rect">
          <a:avLst/>
        </a:prstGeom>
      </xdr:spPr>
    </xdr:pic>
    <xdr:clientData/>
  </xdr:twoCellAnchor>
  <xdr:twoCellAnchor editAs="oneCell">
    <xdr:from>
      <xdr:col>5</xdr:col>
      <xdr:colOff>800101</xdr:colOff>
      <xdr:row>514</xdr:row>
      <xdr:rowOff>87085</xdr:rowOff>
    </xdr:from>
    <xdr:to>
      <xdr:col>6</xdr:col>
      <xdr:colOff>354594</xdr:colOff>
      <xdr:row>519</xdr:row>
      <xdr:rowOff>80577</xdr:rowOff>
    </xdr:to>
    <xdr:pic>
      <xdr:nvPicPr>
        <xdr:cNvPr id="58" name="Picture 57">
          <a:extLst>
            <a:ext uri="{FF2B5EF4-FFF2-40B4-BE49-F238E27FC236}">
              <a16:creationId xmlns:a16="http://schemas.microsoft.com/office/drawing/2014/main" id="{1A3F3B2B-4E58-4AF7-B0A3-9C6427EF0528}"/>
            </a:ext>
          </a:extLst>
        </xdr:cNvPr>
        <xdr:cNvPicPr>
          <a:picLocks noChangeAspect="1"/>
        </xdr:cNvPicPr>
      </xdr:nvPicPr>
      <xdr:blipFill>
        <a:blip xmlns:r="http://schemas.openxmlformats.org/officeDocument/2006/relationships" r:embed="rId56"/>
        <a:stretch>
          <a:fillRect/>
        </a:stretch>
      </xdr:blipFill>
      <xdr:spPr>
        <a:xfrm rot="16200000">
          <a:off x="3710244" y="103497713"/>
          <a:ext cx="973207" cy="47977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2</xdr:row>
      <xdr:rowOff>104775</xdr:rowOff>
    </xdr:from>
    <xdr:to>
      <xdr:col>24</xdr:col>
      <xdr:colOff>0</xdr:colOff>
      <xdr:row>2</xdr:row>
      <xdr:rowOff>104775</xdr:rowOff>
    </xdr:to>
    <xdr:sp macro="" textlink="">
      <xdr:nvSpPr>
        <xdr:cNvPr id="533823" name="Line 1">
          <a:extLst>
            <a:ext uri="{FF2B5EF4-FFF2-40B4-BE49-F238E27FC236}">
              <a16:creationId xmlns:a16="http://schemas.microsoft.com/office/drawing/2014/main" id="{00000000-0008-0000-0500-00003F25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3826" name="Line 4">
          <a:extLst>
            <a:ext uri="{FF2B5EF4-FFF2-40B4-BE49-F238E27FC236}">
              <a16:creationId xmlns:a16="http://schemas.microsoft.com/office/drawing/2014/main" id="{00000000-0008-0000-0500-000042250800}"/>
            </a:ext>
          </a:extLst>
        </xdr:cNvPr>
        <xdr:cNvSpPr>
          <a:spLocks noChangeShapeType="1"/>
        </xdr:cNvSpPr>
      </xdr:nvSpPr>
      <xdr:spPr bwMode="auto">
        <a:xfrm>
          <a:off x="12353925" y="1514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3828" name="Line 10">
          <a:extLst>
            <a:ext uri="{FF2B5EF4-FFF2-40B4-BE49-F238E27FC236}">
              <a16:creationId xmlns:a16="http://schemas.microsoft.com/office/drawing/2014/main" id="{00000000-0008-0000-0500-00004425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3830" name="Line 12">
          <a:extLst>
            <a:ext uri="{FF2B5EF4-FFF2-40B4-BE49-F238E27FC236}">
              <a16:creationId xmlns:a16="http://schemas.microsoft.com/office/drawing/2014/main" id="{00000000-0008-0000-0500-000046250800}"/>
            </a:ext>
          </a:extLst>
        </xdr:cNvPr>
        <xdr:cNvSpPr>
          <a:spLocks noChangeShapeType="1"/>
        </xdr:cNvSpPr>
      </xdr:nvSpPr>
      <xdr:spPr bwMode="auto">
        <a:xfrm>
          <a:off x="14439900" y="685800"/>
          <a:ext cx="0" cy="0"/>
        </a:xfrm>
        <a:prstGeom prst="line">
          <a:avLst/>
        </a:prstGeom>
        <a:noFill/>
        <a:ln w="9525">
          <a:solidFill>
            <a:srgbClr val="000000"/>
          </a:solidFill>
          <a:round/>
          <a:headEnd/>
          <a:tailEnd type="triangle" w="med" len="med"/>
        </a:ln>
      </xdr:spPr>
    </xdr:sp>
    <xdr:clientData/>
  </xdr:twoCellAnchor>
  <xdr:twoCellAnchor>
    <xdr:from>
      <xdr:col>8</xdr:col>
      <xdr:colOff>314325</xdr:colOff>
      <xdr:row>407</xdr:row>
      <xdr:rowOff>187138</xdr:rowOff>
    </xdr:from>
    <xdr:to>
      <xdr:col>19</xdr:col>
      <xdr:colOff>19060</xdr:colOff>
      <xdr:row>407</xdr:row>
      <xdr:rowOff>187138</xdr:rowOff>
    </xdr:to>
    <xdr:sp macro="" textlink="">
      <xdr:nvSpPr>
        <xdr:cNvPr id="13" name="Text Box 19">
          <a:extLst>
            <a:ext uri="{FF2B5EF4-FFF2-40B4-BE49-F238E27FC236}">
              <a16:creationId xmlns:a16="http://schemas.microsoft.com/office/drawing/2014/main" id="{00000000-0008-0000-0500-00000D000000}"/>
            </a:ext>
          </a:extLst>
        </xdr:cNvPr>
        <xdr:cNvSpPr txBox="1">
          <a:spLocks noChangeArrowheads="1"/>
        </xdr:cNvSpPr>
      </xdr:nvSpPr>
      <xdr:spPr bwMode="auto">
        <a:xfrm>
          <a:off x="5343525" y="74714100"/>
          <a:ext cx="4705350"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a:p>
          <a:pPr algn="l" rtl="0">
            <a:defRPr sz="1000"/>
          </a:pPr>
          <a:r>
            <a:rPr lang="en-US" sz="1000" b="1" i="0" u="none" strike="noStrike" baseline="0">
              <a:solidFill>
                <a:srgbClr val="FF0000"/>
              </a:solidFill>
              <a:latin typeface="Comic Sans MS"/>
            </a:rPr>
            <a:t>only </a:t>
          </a:r>
          <a:r>
            <a:rPr lang="en-US" sz="800" b="1" i="0" u="none" strike="noStrike" baseline="0">
              <a:solidFill>
                <a:srgbClr val="FF0000"/>
              </a:solidFill>
              <a:latin typeface="Comic Sans MS"/>
            </a:rPr>
            <a:t>for HP over 40" x 63"</a:t>
          </a:r>
        </a:p>
      </xdr:txBody>
    </xdr:sp>
    <xdr:clientData/>
  </xdr:twoCellAnchor>
  <xdr:twoCellAnchor>
    <xdr:from>
      <xdr:col>12</xdr:col>
      <xdr:colOff>0</xdr:colOff>
      <xdr:row>7</xdr:row>
      <xdr:rowOff>104775</xdr:rowOff>
    </xdr:from>
    <xdr:to>
      <xdr:col>12</xdr:col>
      <xdr:colOff>0</xdr:colOff>
      <xdr:row>7</xdr:row>
      <xdr:rowOff>104775</xdr:rowOff>
    </xdr:to>
    <xdr:sp macro="" textlink="">
      <xdr:nvSpPr>
        <xdr:cNvPr id="533836" name="Line 2">
          <a:extLst>
            <a:ext uri="{FF2B5EF4-FFF2-40B4-BE49-F238E27FC236}">
              <a16:creationId xmlns:a16="http://schemas.microsoft.com/office/drawing/2014/main" id="{00000000-0008-0000-0500-00004C25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3837" name="Line 3">
          <a:extLst>
            <a:ext uri="{FF2B5EF4-FFF2-40B4-BE49-F238E27FC236}">
              <a16:creationId xmlns:a16="http://schemas.microsoft.com/office/drawing/2014/main" id="{00000000-0008-0000-0500-00004D250800}"/>
            </a:ext>
          </a:extLst>
        </xdr:cNvPr>
        <xdr:cNvSpPr>
          <a:spLocks noChangeShapeType="1"/>
        </xdr:cNvSpPr>
      </xdr:nvSpPr>
      <xdr:spPr bwMode="auto">
        <a:xfrm>
          <a:off x="13325475" y="9906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85725</xdr:rowOff>
    </xdr:from>
    <xdr:to>
      <xdr:col>12</xdr:col>
      <xdr:colOff>0</xdr:colOff>
      <xdr:row>7</xdr:row>
      <xdr:rowOff>85725</xdr:rowOff>
    </xdr:to>
    <xdr:sp macro="" textlink="">
      <xdr:nvSpPr>
        <xdr:cNvPr id="533838" name="Line 5">
          <a:extLst>
            <a:ext uri="{FF2B5EF4-FFF2-40B4-BE49-F238E27FC236}">
              <a16:creationId xmlns:a16="http://schemas.microsoft.com/office/drawing/2014/main" id="{00000000-0008-0000-0500-00004E250800}"/>
            </a:ext>
          </a:extLst>
        </xdr:cNvPr>
        <xdr:cNvSpPr>
          <a:spLocks noChangeShapeType="1"/>
        </xdr:cNvSpPr>
      </xdr:nvSpPr>
      <xdr:spPr bwMode="auto">
        <a:xfrm>
          <a:off x="6753225" y="225742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104775</xdr:rowOff>
    </xdr:from>
    <xdr:to>
      <xdr:col>12</xdr:col>
      <xdr:colOff>0</xdr:colOff>
      <xdr:row>7</xdr:row>
      <xdr:rowOff>104775</xdr:rowOff>
    </xdr:to>
    <xdr:sp macro="" textlink="">
      <xdr:nvSpPr>
        <xdr:cNvPr id="533839" name="Line 11">
          <a:extLst>
            <a:ext uri="{FF2B5EF4-FFF2-40B4-BE49-F238E27FC236}">
              <a16:creationId xmlns:a16="http://schemas.microsoft.com/office/drawing/2014/main" id="{00000000-0008-0000-0500-00004F25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3840" name="Line 13">
          <a:extLst>
            <a:ext uri="{FF2B5EF4-FFF2-40B4-BE49-F238E27FC236}">
              <a16:creationId xmlns:a16="http://schemas.microsoft.com/office/drawing/2014/main" id="{00000000-0008-0000-0500-000050250800}"/>
            </a:ext>
          </a:extLst>
        </xdr:cNvPr>
        <xdr:cNvSpPr>
          <a:spLocks noChangeShapeType="1"/>
        </xdr:cNvSpPr>
      </xdr:nvSpPr>
      <xdr:spPr bwMode="auto">
        <a:xfrm>
          <a:off x="13392150" y="1504950"/>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3841" name="Line 38">
          <a:extLst>
            <a:ext uri="{FF2B5EF4-FFF2-40B4-BE49-F238E27FC236}">
              <a16:creationId xmlns:a16="http://schemas.microsoft.com/office/drawing/2014/main" id="{00000000-0008-0000-0500-000051250800}"/>
            </a:ext>
          </a:extLst>
        </xdr:cNvPr>
        <xdr:cNvSpPr>
          <a:spLocks noChangeShapeType="1"/>
        </xdr:cNvSpPr>
      </xdr:nvSpPr>
      <xdr:spPr bwMode="auto">
        <a:xfrm>
          <a:off x="5943600" y="1504950"/>
          <a:ext cx="0" cy="0"/>
        </a:xfrm>
        <a:prstGeom prst="line">
          <a:avLst/>
        </a:prstGeom>
        <a:noFill/>
        <a:ln w="9525">
          <a:solidFill>
            <a:srgbClr val="000000"/>
          </a:solidFill>
          <a:round/>
          <a:headEnd/>
          <a:tailEnd type="triangle" w="med" len="med"/>
        </a:ln>
      </xdr:spPr>
    </xdr:sp>
    <xdr:clientData/>
  </xdr:twoCellAnchor>
  <xdr:twoCellAnchor>
    <xdr:from>
      <xdr:col>8</xdr:col>
      <xdr:colOff>152400</xdr:colOff>
      <xdr:row>713</xdr:row>
      <xdr:rowOff>0</xdr:rowOff>
    </xdr:from>
    <xdr:to>
      <xdr:col>16</xdr:col>
      <xdr:colOff>76200</xdr:colOff>
      <xdr:row>713</xdr:row>
      <xdr:rowOff>0</xdr:rowOff>
    </xdr:to>
    <xdr:grpSp>
      <xdr:nvGrpSpPr>
        <xdr:cNvPr id="533854" name="Group 214">
          <a:extLst>
            <a:ext uri="{FF2B5EF4-FFF2-40B4-BE49-F238E27FC236}">
              <a16:creationId xmlns:a16="http://schemas.microsoft.com/office/drawing/2014/main" id="{00000000-0008-0000-0500-00005E250800}"/>
            </a:ext>
          </a:extLst>
        </xdr:cNvPr>
        <xdr:cNvGrpSpPr>
          <a:grpSpLocks/>
        </xdr:cNvGrpSpPr>
      </xdr:nvGrpSpPr>
      <xdr:grpSpPr bwMode="auto">
        <a:xfrm>
          <a:off x="5187043" y="138996964"/>
          <a:ext cx="2944586" cy="0"/>
          <a:chOff x="491" y="6279"/>
          <a:chExt cx="369" cy="233"/>
        </a:xfrm>
      </xdr:grpSpPr>
      <xdr:pic>
        <xdr:nvPicPr>
          <xdr:cNvPr id="534062" name="Picture 8">
            <a:extLst>
              <a:ext uri="{FF2B5EF4-FFF2-40B4-BE49-F238E27FC236}">
                <a16:creationId xmlns:a16="http://schemas.microsoft.com/office/drawing/2014/main" id="{00000000-0008-0000-0500-00002E260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91" y="6279"/>
            <a:ext cx="184" cy="233"/>
          </a:xfrm>
          <a:prstGeom prst="rect">
            <a:avLst/>
          </a:prstGeom>
          <a:noFill/>
          <a:ln w="1">
            <a:noFill/>
            <a:miter lim="800000"/>
            <a:headEnd/>
            <a:tailEnd/>
          </a:ln>
        </xdr:spPr>
      </xdr:pic>
      <xdr:pic>
        <xdr:nvPicPr>
          <xdr:cNvPr id="534063" name="Picture 9">
            <a:extLst>
              <a:ext uri="{FF2B5EF4-FFF2-40B4-BE49-F238E27FC236}">
                <a16:creationId xmlns:a16="http://schemas.microsoft.com/office/drawing/2014/main" id="{00000000-0008-0000-0500-00002F2608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70" y="6279"/>
            <a:ext cx="190" cy="230"/>
          </a:xfrm>
          <a:prstGeom prst="rect">
            <a:avLst/>
          </a:prstGeom>
          <a:noFill/>
          <a:ln w="1">
            <a:noFill/>
            <a:miter lim="800000"/>
            <a:headEnd/>
            <a:tailEnd/>
          </a:ln>
        </xdr:spPr>
      </xdr:pic>
    </xdr:grpSp>
    <xdr:clientData/>
  </xdr:twoCellAnchor>
  <xdr:twoCellAnchor editAs="oneCell">
    <xdr:from>
      <xdr:col>3</xdr:col>
      <xdr:colOff>19050</xdr:colOff>
      <xdr:row>380</xdr:row>
      <xdr:rowOff>152400</xdr:rowOff>
    </xdr:from>
    <xdr:to>
      <xdr:col>4</xdr:col>
      <xdr:colOff>323850</xdr:colOff>
      <xdr:row>383</xdr:row>
      <xdr:rowOff>152400</xdr:rowOff>
    </xdr:to>
    <xdr:pic>
      <xdr:nvPicPr>
        <xdr:cNvPr id="533869" name="Picture 458">
          <a:extLst>
            <a:ext uri="{FF2B5EF4-FFF2-40B4-BE49-F238E27FC236}">
              <a16:creationId xmlns:a16="http://schemas.microsoft.com/office/drawing/2014/main" id="{00000000-0008-0000-0500-00006D2508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2105025" y="43014900"/>
          <a:ext cx="581025" cy="571500"/>
        </a:xfrm>
        <a:prstGeom prst="rect">
          <a:avLst/>
        </a:prstGeom>
        <a:noFill/>
        <a:ln w="1">
          <a:noFill/>
          <a:miter lim="800000"/>
          <a:headEnd/>
          <a:tailEnd/>
        </a:ln>
      </xdr:spPr>
    </xdr:pic>
    <xdr:clientData/>
  </xdr:twoCellAnchor>
  <xdr:twoCellAnchor>
    <xdr:from>
      <xdr:col>3</xdr:col>
      <xdr:colOff>180975</xdr:colOff>
      <xdr:row>603</xdr:row>
      <xdr:rowOff>0</xdr:rowOff>
    </xdr:from>
    <xdr:to>
      <xdr:col>4</xdr:col>
      <xdr:colOff>495300</xdr:colOff>
      <xdr:row>603</xdr:row>
      <xdr:rowOff>0</xdr:rowOff>
    </xdr:to>
    <xdr:pic>
      <xdr:nvPicPr>
        <xdr:cNvPr id="533872" name="Picture 464">
          <a:extLst>
            <a:ext uri="{FF2B5EF4-FFF2-40B4-BE49-F238E27FC236}">
              <a16:creationId xmlns:a16="http://schemas.microsoft.com/office/drawing/2014/main" id="{00000000-0008-0000-0500-0000702508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blip>
        <a:srcRect/>
        <a:stretch>
          <a:fillRect/>
        </a:stretch>
      </xdr:blipFill>
      <xdr:spPr bwMode="auto">
        <a:xfrm>
          <a:off x="2266950" y="70161150"/>
          <a:ext cx="590550" cy="0"/>
        </a:xfrm>
        <a:prstGeom prst="rect">
          <a:avLst/>
        </a:prstGeom>
        <a:noFill/>
        <a:ln w="1">
          <a:noFill/>
          <a:miter lim="800000"/>
          <a:headEnd/>
          <a:tailEnd/>
        </a:ln>
      </xdr:spPr>
    </xdr:pic>
    <xdr:clientData/>
  </xdr:twoCellAnchor>
  <xdr:twoCellAnchor>
    <xdr:from>
      <xdr:col>3</xdr:col>
      <xdr:colOff>171450</xdr:colOff>
      <xdr:row>603</xdr:row>
      <xdr:rowOff>0</xdr:rowOff>
    </xdr:from>
    <xdr:to>
      <xdr:col>4</xdr:col>
      <xdr:colOff>438150</xdr:colOff>
      <xdr:row>603</xdr:row>
      <xdr:rowOff>0</xdr:rowOff>
    </xdr:to>
    <xdr:pic>
      <xdr:nvPicPr>
        <xdr:cNvPr id="533873" name="Picture 465">
          <a:extLst>
            <a:ext uri="{FF2B5EF4-FFF2-40B4-BE49-F238E27FC236}">
              <a16:creationId xmlns:a16="http://schemas.microsoft.com/office/drawing/2014/main" id="{00000000-0008-0000-0500-0000712508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blip>
        <a:srcRect/>
        <a:stretch>
          <a:fillRect/>
        </a:stretch>
      </xdr:blipFill>
      <xdr:spPr bwMode="auto">
        <a:xfrm>
          <a:off x="2257425" y="70161150"/>
          <a:ext cx="542925" cy="0"/>
        </a:xfrm>
        <a:prstGeom prst="rect">
          <a:avLst/>
        </a:prstGeom>
        <a:noFill/>
        <a:ln w="1">
          <a:noFill/>
          <a:miter lim="800000"/>
          <a:headEnd/>
          <a:tailEnd/>
        </a:ln>
      </xdr:spPr>
    </xdr:pic>
    <xdr:clientData/>
  </xdr:twoCellAnchor>
  <xdr:twoCellAnchor editAs="oneCell">
    <xdr:from>
      <xdr:col>3</xdr:col>
      <xdr:colOff>104775</xdr:colOff>
      <xdr:row>579</xdr:row>
      <xdr:rowOff>85725</xdr:rowOff>
    </xdr:from>
    <xdr:to>
      <xdr:col>5</xdr:col>
      <xdr:colOff>504825</xdr:colOff>
      <xdr:row>584</xdr:row>
      <xdr:rowOff>104775</xdr:rowOff>
    </xdr:to>
    <xdr:pic>
      <xdr:nvPicPr>
        <xdr:cNvPr id="533876" name="Picture 471">
          <a:extLst>
            <a:ext uri="{FF2B5EF4-FFF2-40B4-BE49-F238E27FC236}">
              <a16:creationId xmlns:a16="http://schemas.microsoft.com/office/drawing/2014/main" id="{00000000-0008-0000-0500-00007425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190750" y="67198875"/>
          <a:ext cx="1495425" cy="971550"/>
        </a:xfrm>
        <a:prstGeom prst="rect">
          <a:avLst/>
        </a:prstGeom>
        <a:noFill/>
        <a:ln w="1">
          <a:noFill/>
          <a:miter lim="800000"/>
          <a:headEnd/>
          <a:tailEnd/>
        </a:ln>
      </xdr:spPr>
    </xdr:pic>
    <xdr:clientData/>
  </xdr:twoCellAnchor>
  <xdr:twoCellAnchor editAs="oneCell">
    <xdr:from>
      <xdr:col>2</xdr:col>
      <xdr:colOff>257175</xdr:colOff>
      <xdr:row>562</xdr:row>
      <xdr:rowOff>57150</xdr:rowOff>
    </xdr:from>
    <xdr:to>
      <xdr:col>5</xdr:col>
      <xdr:colOff>276225</xdr:colOff>
      <xdr:row>567</xdr:row>
      <xdr:rowOff>57150</xdr:rowOff>
    </xdr:to>
    <xdr:pic>
      <xdr:nvPicPr>
        <xdr:cNvPr id="533877" name="Picture 472">
          <a:extLst>
            <a:ext uri="{FF2B5EF4-FFF2-40B4-BE49-F238E27FC236}">
              <a16:creationId xmlns:a16="http://schemas.microsoft.com/office/drawing/2014/main" id="{00000000-0008-0000-0500-00007525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2028825" y="63931800"/>
          <a:ext cx="1428750" cy="952500"/>
        </a:xfrm>
        <a:prstGeom prst="rect">
          <a:avLst/>
        </a:prstGeom>
        <a:noFill/>
        <a:ln w="1">
          <a:noFill/>
          <a:miter lim="800000"/>
          <a:headEnd/>
          <a:tailEnd/>
        </a:ln>
      </xdr:spPr>
    </xdr:pic>
    <xdr:clientData/>
  </xdr:twoCellAnchor>
  <xdr:twoCellAnchor>
    <xdr:from>
      <xdr:col>31</xdr:col>
      <xdr:colOff>38100</xdr:colOff>
      <xdr:row>549</xdr:row>
      <xdr:rowOff>0</xdr:rowOff>
    </xdr:from>
    <xdr:to>
      <xdr:col>33</xdr:col>
      <xdr:colOff>200025</xdr:colOff>
      <xdr:row>571</xdr:row>
      <xdr:rowOff>114300</xdr:rowOff>
    </xdr:to>
    <xdr:grpSp>
      <xdr:nvGrpSpPr>
        <xdr:cNvPr id="533881" name="Group 502">
          <a:extLst>
            <a:ext uri="{FF2B5EF4-FFF2-40B4-BE49-F238E27FC236}">
              <a16:creationId xmlns:a16="http://schemas.microsoft.com/office/drawing/2014/main" id="{00000000-0008-0000-0500-000079250800}"/>
            </a:ext>
          </a:extLst>
        </xdr:cNvPr>
        <xdr:cNvGrpSpPr>
          <a:grpSpLocks/>
        </xdr:cNvGrpSpPr>
      </xdr:nvGrpSpPr>
      <xdr:grpSpPr bwMode="auto">
        <a:xfrm>
          <a:off x="16108136" y="107632500"/>
          <a:ext cx="1361258" cy="4305300"/>
          <a:chOff x="1373" y="4984"/>
          <a:chExt cx="143" cy="430"/>
        </a:xfrm>
      </xdr:grpSpPr>
      <xdr:sp macro="" textlink="">
        <xdr:nvSpPr>
          <xdr:cNvPr id="534060" name="Line 491">
            <a:extLst>
              <a:ext uri="{FF2B5EF4-FFF2-40B4-BE49-F238E27FC236}">
                <a16:creationId xmlns:a16="http://schemas.microsoft.com/office/drawing/2014/main" id="{00000000-0008-0000-0500-00002C260800}"/>
              </a:ext>
            </a:extLst>
          </xdr:cNvPr>
          <xdr:cNvSpPr>
            <a:spLocks noChangeShapeType="1"/>
          </xdr:cNvSpPr>
        </xdr:nvSpPr>
        <xdr:spPr bwMode="auto">
          <a:xfrm flipV="1">
            <a:off x="1410" y="4984"/>
            <a:ext cx="106" cy="149"/>
          </a:xfrm>
          <a:prstGeom prst="line">
            <a:avLst/>
          </a:prstGeom>
          <a:noFill/>
          <a:ln w="28575">
            <a:solidFill>
              <a:srgbClr val="000000"/>
            </a:solidFill>
            <a:round/>
            <a:headEnd/>
            <a:tailEnd type="triangle" w="lg" len="lg"/>
          </a:ln>
        </xdr:spPr>
      </xdr:sp>
      <xdr:sp macro="" textlink="">
        <xdr:nvSpPr>
          <xdr:cNvPr id="534061" name="AutoShape 492">
            <a:extLst>
              <a:ext uri="{FF2B5EF4-FFF2-40B4-BE49-F238E27FC236}">
                <a16:creationId xmlns:a16="http://schemas.microsoft.com/office/drawing/2014/main" id="{00000000-0008-0000-0500-00002D260800}"/>
              </a:ext>
            </a:extLst>
          </xdr:cNvPr>
          <xdr:cNvSpPr>
            <a:spLocks/>
          </xdr:cNvSpPr>
        </xdr:nvSpPr>
        <xdr:spPr bwMode="auto">
          <a:xfrm>
            <a:off x="1373" y="507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xdr:from>
      <xdr:col>31</xdr:col>
      <xdr:colOff>38100</xdr:colOff>
      <xdr:row>549</xdr:row>
      <xdr:rowOff>0</xdr:rowOff>
    </xdr:from>
    <xdr:to>
      <xdr:col>33</xdr:col>
      <xdr:colOff>457200</xdr:colOff>
      <xdr:row>592</xdr:row>
      <xdr:rowOff>152400</xdr:rowOff>
    </xdr:to>
    <xdr:grpSp>
      <xdr:nvGrpSpPr>
        <xdr:cNvPr id="533882" name="Group 503">
          <a:extLst>
            <a:ext uri="{FF2B5EF4-FFF2-40B4-BE49-F238E27FC236}">
              <a16:creationId xmlns:a16="http://schemas.microsoft.com/office/drawing/2014/main" id="{00000000-0008-0000-0500-00007A250800}"/>
            </a:ext>
          </a:extLst>
        </xdr:cNvPr>
        <xdr:cNvGrpSpPr>
          <a:grpSpLocks/>
        </xdr:cNvGrpSpPr>
      </xdr:nvGrpSpPr>
      <xdr:grpSpPr bwMode="auto">
        <a:xfrm>
          <a:off x="16108136" y="107632500"/>
          <a:ext cx="1616528" cy="8343900"/>
          <a:chOff x="1373" y="5003"/>
          <a:chExt cx="170" cy="791"/>
        </a:xfrm>
      </xdr:grpSpPr>
      <xdr:sp macro="" textlink="">
        <xdr:nvSpPr>
          <xdr:cNvPr id="534058" name="Line 490">
            <a:extLst>
              <a:ext uri="{FF2B5EF4-FFF2-40B4-BE49-F238E27FC236}">
                <a16:creationId xmlns:a16="http://schemas.microsoft.com/office/drawing/2014/main" id="{00000000-0008-0000-0500-00002A260800}"/>
              </a:ext>
            </a:extLst>
          </xdr:cNvPr>
          <xdr:cNvSpPr>
            <a:spLocks noChangeShapeType="1"/>
          </xdr:cNvSpPr>
        </xdr:nvSpPr>
        <xdr:spPr bwMode="auto">
          <a:xfrm flipV="1">
            <a:off x="1410" y="5003"/>
            <a:ext cx="133" cy="511"/>
          </a:xfrm>
          <a:prstGeom prst="line">
            <a:avLst/>
          </a:prstGeom>
          <a:noFill/>
          <a:ln w="28575">
            <a:solidFill>
              <a:srgbClr val="000000"/>
            </a:solidFill>
            <a:round/>
            <a:headEnd/>
            <a:tailEnd type="triangle" w="lg" len="lg"/>
          </a:ln>
        </xdr:spPr>
      </xdr:sp>
      <xdr:sp macro="" textlink="">
        <xdr:nvSpPr>
          <xdr:cNvPr id="534059" name="AutoShape 493">
            <a:extLst>
              <a:ext uri="{FF2B5EF4-FFF2-40B4-BE49-F238E27FC236}">
                <a16:creationId xmlns:a16="http://schemas.microsoft.com/office/drawing/2014/main" id="{00000000-0008-0000-0500-00002B260800}"/>
              </a:ext>
            </a:extLst>
          </xdr:cNvPr>
          <xdr:cNvSpPr>
            <a:spLocks/>
          </xdr:cNvSpPr>
        </xdr:nvSpPr>
        <xdr:spPr bwMode="auto">
          <a:xfrm>
            <a:off x="1373" y="545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editAs="oneCell">
    <xdr:from>
      <xdr:col>2</xdr:col>
      <xdr:colOff>212912</xdr:colOff>
      <xdr:row>127</xdr:row>
      <xdr:rowOff>35298</xdr:rowOff>
    </xdr:from>
    <xdr:to>
      <xdr:col>4</xdr:col>
      <xdr:colOff>190500</xdr:colOff>
      <xdr:row>131</xdr:row>
      <xdr:rowOff>138168</xdr:rowOff>
    </xdr:to>
    <xdr:pic>
      <xdr:nvPicPr>
        <xdr:cNvPr id="533885" name="Picture 513">
          <a:extLst>
            <a:ext uri="{FF2B5EF4-FFF2-40B4-BE49-F238E27FC236}">
              <a16:creationId xmlns:a16="http://schemas.microsoft.com/office/drawing/2014/main" id="{00000000-0008-0000-0500-00007D250800}"/>
            </a:ext>
          </a:extLst>
        </xdr:cNvPr>
        <xdr:cNvPicPr>
          <a:picLocks noChangeAspect="1" noChangeArrowheads="1"/>
        </xdr:cNvPicPr>
      </xdr:nvPicPr>
      <xdr:blipFill>
        <a:blip xmlns:r="http://schemas.openxmlformats.org/officeDocument/2006/relationships" r:embed="rId8" cstate="print">
          <a:clrChange>
            <a:clrFrom>
              <a:srgbClr val="E8E8E8"/>
            </a:clrFrom>
            <a:clrTo>
              <a:srgbClr val="E8E8E8">
                <a:alpha val="0"/>
              </a:srgbClr>
            </a:clrTo>
          </a:clrChange>
        </a:blip>
        <a:srcRect/>
        <a:stretch>
          <a:fillRect/>
        </a:stretch>
      </xdr:blipFill>
      <xdr:spPr bwMode="auto">
        <a:xfrm>
          <a:off x="1995448" y="25194905"/>
          <a:ext cx="562695" cy="864870"/>
        </a:xfrm>
        <a:prstGeom prst="rect">
          <a:avLst/>
        </a:prstGeom>
        <a:noFill/>
        <a:ln w="1">
          <a:noFill/>
          <a:miter lim="800000"/>
          <a:headEnd/>
          <a:tailEnd/>
        </a:ln>
      </xdr:spPr>
    </xdr:pic>
    <xdr:clientData/>
  </xdr:twoCellAnchor>
  <xdr:twoCellAnchor>
    <xdr:from>
      <xdr:col>2</xdr:col>
      <xdr:colOff>9525</xdr:colOff>
      <xdr:row>277</xdr:row>
      <xdr:rowOff>0</xdr:rowOff>
    </xdr:from>
    <xdr:to>
      <xdr:col>3</xdr:col>
      <xdr:colOff>285750</xdr:colOff>
      <xdr:row>277</xdr:row>
      <xdr:rowOff>0</xdr:rowOff>
    </xdr:to>
    <xdr:pic>
      <xdr:nvPicPr>
        <xdr:cNvPr id="533896" name="Picture 529">
          <a:extLst>
            <a:ext uri="{FF2B5EF4-FFF2-40B4-BE49-F238E27FC236}">
              <a16:creationId xmlns:a16="http://schemas.microsoft.com/office/drawing/2014/main" id="{00000000-0008-0000-0500-00008825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781175" y="32356425"/>
          <a:ext cx="581025" cy="0"/>
        </a:xfrm>
        <a:prstGeom prst="rect">
          <a:avLst/>
        </a:prstGeom>
        <a:noFill/>
        <a:ln w="1">
          <a:noFill/>
          <a:miter lim="800000"/>
          <a:headEnd/>
          <a:tailEnd/>
        </a:ln>
      </xdr:spPr>
    </xdr:pic>
    <xdr:clientData/>
  </xdr:twoCellAnchor>
  <xdr:twoCellAnchor>
    <xdr:from>
      <xdr:col>2</xdr:col>
      <xdr:colOff>9525</xdr:colOff>
      <xdr:row>277</xdr:row>
      <xdr:rowOff>0</xdr:rowOff>
    </xdr:from>
    <xdr:to>
      <xdr:col>3</xdr:col>
      <xdr:colOff>285750</xdr:colOff>
      <xdr:row>277</xdr:row>
      <xdr:rowOff>0</xdr:rowOff>
    </xdr:to>
    <xdr:pic>
      <xdr:nvPicPr>
        <xdr:cNvPr id="533897" name="Picture 530">
          <a:extLst>
            <a:ext uri="{FF2B5EF4-FFF2-40B4-BE49-F238E27FC236}">
              <a16:creationId xmlns:a16="http://schemas.microsoft.com/office/drawing/2014/main" id="{00000000-0008-0000-0500-00008925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781175" y="32356425"/>
          <a:ext cx="581025" cy="0"/>
        </a:xfrm>
        <a:prstGeom prst="rect">
          <a:avLst/>
        </a:prstGeom>
        <a:noFill/>
        <a:ln w="1">
          <a:noFill/>
          <a:miter lim="800000"/>
          <a:headEnd/>
          <a:tailEnd/>
        </a:ln>
      </xdr:spPr>
    </xdr:pic>
    <xdr:clientData/>
  </xdr:twoCellAnchor>
  <xdr:twoCellAnchor>
    <xdr:from>
      <xdr:col>2</xdr:col>
      <xdr:colOff>104775</xdr:colOff>
      <xdr:row>487</xdr:row>
      <xdr:rowOff>0</xdr:rowOff>
    </xdr:from>
    <xdr:to>
      <xdr:col>4</xdr:col>
      <xdr:colOff>66675</xdr:colOff>
      <xdr:row>487</xdr:row>
      <xdr:rowOff>0</xdr:rowOff>
    </xdr:to>
    <xdr:pic>
      <xdr:nvPicPr>
        <xdr:cNvPr id="533898" name="Picture 531">
          <a:extLst>
            <a:ext uri="{FF2B5EF4-FFF2-40B4-BE49-F238E27FC236}">
              <a16:creationId xmlns:a16="http://schemas.microsoft.com/office/drawing/2014/main" id="{00000000-0008-0000-0500-00008A2508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blip>
        <a:srcRect/>
        <a:stretch>
          <a:fillRect/>
        </a:stretch>
      </xdr:blipFill>
      <xdr:spPr bwMode="auto">
        <a:xfrm>
          <a:off x="1876425" y="56445150"/>
          <a:ext cx="552450" cy="0"/>
        </a:xfrm>
        <a:prstGeom prst="rect">
          <a:avLst/>
        </a:prstGeom>
        <a:noFill/>
        <a:ln w="1">
          <a:noFill/>
          <a:miter lim="800000"/>
          <a:headEnd/>
          <a:tailEnd/>
        </a:ln>
      </xdr:spPr>
    </xdr:pic>
    <xdr:clientData/>
  </xdr:twoCellAnchor>
  <xdr:twoCellAnchor>
    <xdr:from>
      <xdr:col>2</xdr:col>
      <xdr:colOff>104775</xdr:colOff>
      <xdr:row>487</xdr:row>
      <xdr:rowOff>0</xdr:rowOff>
    </xdr:from>
    <xdr:to>
      <xdr:col>4</xdr:col>
      <xdr:colOff>66675</xdr:colOff>
      <xdr:row>487</xdr:row>
      <xdr:rowOff>0</xdr:rowOff>
    </xdr:to>
    <xdr:pic>
      <xdr:nvPicPr>
        <xdr:cNvPr id="533899" name="Picture 532">
          <a:extLst>
            <a:ext uri="{FF2B5EF4-FFF2-40B4-BE49-F238E27FC236}">
              <a16:creationId xmlns:a16="http://schemas.microsoft.com/office/drawing/2014/main" id="{00000000-0008-0000-0500-00008B2508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blip>
        <a:srcRect/>
        <a:stretch>
          <a:fillRect/>
        </a:stretch>
      </xdr:blipFill>
      <xdr:spPr bwMode="auto">
        <a:xfrm>
          <a:off x="1876425" y="56445150"/>
          <a:ext cx="552450" cy="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3907" name="Line 1">
          <a:extLst>
            <a:ext uri="{FF2B5EF4-FFF2-40B4-BE49-F238E27FC236}">
              <a16:creationId xmlns:a16="http://schemas.microsoft.com/office/drawing/2014/main" id="{00000000-0008-0000-0500-00009325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3908" name="Line 4">
          <a:extLst>
            <a:ext uri="{FF2B5EF4-FFF2-40B4-BE49-F238E27FC236}">
              <a16:creationId xmlns:a16="http://schemas.microsoft.com/office/drawing/2014/main" id="{00000000-0008-0000-0500-000094250800}"/>
            </a:ext>
          </a:extLst>
        </xdr:cNvPr>
        <xdr:cNvSpPr>
          <a:spLocks noChangeShapeType="1"/>
        </xdr:cNvSpPr>
      </xdr:nvSpPr>
      <xdr:spPr bwMode="auto">
        <a:xfrm>
          <a:off x="12353925" y="1000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3909" name="Line 10">
          <a:extLst>
            <a:ext uri="{FF2B5EF4-FFF2-40B4-BE49-F238E27FC236}">
              <a16:creationId xmlns:a16="http://schemas.microsoft.com/office/drawing/2014/main" id="{00000000-0008-0000-0500-00009525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3910" name="Line 1">
          <a:extLst>
            <a:ext uri="{FF2B5EF4-FFF2-40B4-BE49-F238E27FC236}">
              <a16:creationId xmlns:a16="http://schemas.microsoft.com/office/drawing/2014/main" id="{00000000-0008-0000-0500-00009625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3911" name="Line 4">
          <a:extLst>
            <a:ext uri="{FF2B5EF4-FFF2-40B4-BE49-F238E27FC236}">
              <a16:creationId xmlns:a16="http://schemas.microsoft.com/office/drawing/2014/main" id="{00000000-0008-0000-0500-000097250800}"/>
            </a:ext>
          </a:extLst>
        </xdr:cNvPr>
        <xdr:cNvSpPr>
          <a:spLocks noChangeShapeType="1"/>
        </xdr:cNvSpPr>
      </xdr:nvSpPr>
      <xdr:spPr bwMode="auto">
        <a:xfrm>
          <a:off x="12353925" y="1257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3912" name="Line 10">
          <a:extLst>
            <a:ext uri="{FF2B5EF4-FFF2-40B4-BE49-F238E27FC236}">
              <a16:creationId xmlns:a16="http://schemas.microsoft.com/office/drawing/2014/main" id="{00000000-0008-0000-0500-00009825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104775</xdr:rowOff>
    </xdr:from>
    <xdr:to>
      <xdr:col>39</xdr:col>
      <xdr:colOff>0</xdr:colOff>
      <xdr:row>229</xdr:row>
      <xdr:rowOff>104775</xdr:rowOff>
    </xdr:to>
    <xdr:sp macro="" textlink="">
      <xdr:nvSpPr>
        <xdr:cNvPr id="533913" name="Line 2">
          <a:extLst>
            <a:ext uri="{FF2B5EF4-FFF2-40B4-BE49-F238E27FC236}">
              <a16:creationId xmlns:a16="http://schemas.microsoft.com/office/drawing/2014/main" id="{00000000-0008-0000-0500-00009925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227</xdr:row>
      <xdr:rowOff>104775</xdr:rowOff>
    </xdr:from>
    <xdr:to>
      <xdr:col>39</xdr:col>
      <xdr:colOff>0</xdr:colOff>
      <xdr:row>227</xdr:row>
      <xdr:rowOff>104775</xdr:rowOff>
    </xdr:to>
    <xdr:sp macro="" textlink="">
      <xdr:nvSpPr>
        <xdr:cNvPr id="533914" name="Line 3">
          <a:extLst>
            <a:ext uri="{FF2B5EF4-FFF2-40B4-BE49-F238E27FC236}">
              <a16:creationId xmlns:a16="http://schemas.microsoft.com/office/drawing/2014/main" id="{00000000-0008-0000-0500-00009A250800}"/>
            </a:ext>
          </a:extLst>
        </xdr:cNvPr>
        <xdr:cNvSpPr>
          <a:spLocks noChangeShapeType="1"/>
        </xdr:cNvSpPr>
      </xdr:nvSpPr>
      <xdr:spPr bwMode="auto">
        <a:xfrm>
          <a:off x="20935950" y="2425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85725</xdr:rowOff>
    </xdr:from>
    <xdr:to>
      <xdr:col>39</xdr:col>
      <xdr:colOff>0</xdr:colOff>
      <xdr:row>229</xdr:row>
      <xdr:rowOff>85725</xdr:rowOff>
    </xdr:to>
    <xdr:sp macro="" textlink="">
      <xdr:nvSpPr>
        <xdr:cNvPr id="533915" name="Line 5">
          <a:extLst>
            <a:ext uri="{FF2B5EF4-FFF2-40B4-BE49-F238E27FC236}">
              <a16:creationId xmlns:a16="http://schemas.microsoft.com/office/drawing/2014/main" id="{00000000-0008-0000-0500-00009B250800}"/>
            </a:ext>
          </a:extLst>
        </xdr:cNvPr>
        <xdr:cNvSpPr>
          <a:spLocks noChangeShapeType="1"/>
        </xdr:cNvSpPr>
      </xdr:nvSpPr>
      <xdr:spPr bwMode="auto">
        <a:xfrm>
          <a:off x="20935950" y="246126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104775</xdr:rowOff>
    </xdr:from>
    <xdr:to>
      <xdr:col>39</xdr:col>
      <xdr:colOff>0</xdr:colOff>
      <xdr:row>229</xdr:row>
      <xdr:rowOff>104775</xdr:rowOff>
    </xdr:to>
    <xdr:sp macro="" textlink="">
      <xdr:nvSpPr>
        <xdr:cNvPr id="533916" name="Line 11">
          <a:extLst>
            <a:ext uri="{FF2B5EF4-FFF2-40B4-BE49-F238E27FC236}">
              <a16:creationId xmlns:a16="http://schemas.microsoft.com/office/drawing/2014/main" id="{00000000-0008-0000-0500-00009C25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3917" name="Line 584">
          <a:extLst>
            <a:ext uri="{FF2B5EF4-FFF2-40B4-BE49-F238E27FC236}">
              <a16:creationId xmlns:a16="http://schemas.microsoft.com/office/drawing/2014/main" id="{00000000-0008-0000-0500-00009D250800}"/>
            </a:ext>
          </a:extLst>
        </xdr:cNvPr>
        <xdr:cNvSpPr>
          <a:spLocks noChangeShapeType="1"/>
        </xdr:cNvSpPr>
      </xdr:nvSpPr>
      <xdr:spPr bwMode="auto">
        <a:xfrm>
          <a:off x="20935950" y="24441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104775</xdr:rowOff>
    </xdr:from>
    <xdr:to>
      <xdr:col>39</xdr:col>
      <xdr:colOff>0</xdr:colOff>
      <xdr:row>233</xdr:row>
      <xdr:rowOff>104775</xdr:rowOff>
    </xdr:to>
    <xdr:sp macro="" textlink="">
      <xdr:nvSpPr>
        <xdr:cNvPr id="533918" name="Line 2">
          <a:extLst>
            <a:ext uri="{FF2B5EF4-FFF2-40B4-BE49-F238E27FC236}">
              <a16:creationId xmlns:a16="http://schemas.microsoft.com/office/drawing/2014/main" id="{00000000-0008-0000-0500-00009E25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85725</xdr:rowOff>
    </xdr:from>
    <xdr:to>
      <xdr:col>39</xdr:col>
      <xdr:colOff>0</xdr:colOff>
      <xdr:row>233</xdr:row>
      <xdr:rowOff>85725</xdr:rowOff>
    </xdr:to>
    <xdr:sp macro="" textlink="">
      <xdr:nvSpPr>
        <xdr:cNvPr id="533920" name="Line 5">
          <a:extLst>
            <a:ext uri="{FF2B5EF4-FFF2-40B4-BE49-F238E27FC236}">
              <a16:creationId xmlns:a16="http://schemas.microsoft.com/office/drawing/2014/main" id="{00000000-0008-0000-0500-0000A0250800}"/>
            </a:ext>
          </a:extLst>
        </xdr:cNvPr>
        <xdr:cNvSpPr>
          <a:spLocks noChangeShapeType="1"/>
        </xdr:cNvSpPr>
      </xdr:nvSpPr>
      <xdr:spPr bwMode="auto">
        <a:xfrm>
          <a:off x="20935950" y="25393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104775</xdr:rowOff>
    </xdr:from>
    <xdr:to>
      <xdr:col>39</xdr:col>
      <xdr:colOff>0</xdr:colOff>
      <xdr:row>233</xdr:row>
      <xdr:rowOff>104775</xdr:rowOff>
    </xdr:to>
    <xdr:sp macro="" textlink="">
      <xdr:nvSpPr>
        <xdr:cNvPr id="533921" name="Line 11">
          <a:extLst>
            <a:ext uri="{FF2B5EF4-FFF2-40B4-BE49-F238E27FC236}">
              <a16:creationId xmlns:a16="http://schemas.microsoft.com/office/drawing/2014/main" id="{00000000-0008-0000-0500-0000A125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3922" name="Line 589">
          <a:extLst>
            <a:ext uri="{FF2B5EF4-FFF2-40B4-BE49-F238E27FC236}">
              <a16:creationId xmlns:a16="http://schemas.microsoft.com/office/drawing/2014/main" id="{00000000-0008-0000-0500-0000A2250800}"/>
            </a:ext>
          </a:extLst>
        </xdr:cNvPr>
        <xdr:cNvSpPr>
          <a:spLocks noChangeShapeType="1"/>
        </xdr:cNvSpPr>
      </xdr:nvSpPr>
      <xdr:spPr bwMode="auto">
        <a:xfrm>
          <a:off x="20935950" y="2522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104775</xdr:rowOff>
    </xdr:from>
    <xdr:to>
      <xdr:col>39</xdr:col>
      <xdr:colOff>0</xdr:colOff>
      <xdr:row>237</xdr:row>
      <xdr:rowOff>104775</xdr:rowOff>
    </xdr:to>
    <xdr:sp macro="" textlink="">
      <xdr:nvSpPr>
        <xdr:cNvPr id="533923" name="Line 2">
          <a:extLst>
            <a:ext uri="{FF2B5EF4-FFF2-40B4-BE49-F238E27FC236}">
              <a16:creationId xmlns:a16="http://schemas.microsoft.com/office/drawing/2014/main" id="{00000000-0008-0000-0500-0000A325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235</xdr:row>
      <xdr:rowOff>104775</xdr:rowOff>
    </xdr:from>
    <xdr:to>
      <xdr:col>39</xdr:col>
      <xdr:colOff>0</xdr:colOff>
      <xdr:row>235</xdr:row>
      <xdr:rowOff>104775</xdr:rowOff>
    </xdr:to>
    <xdr:sp macro="" textlink="">
      <xdr:nvSpPr>
        <xdr:cNvPr id="533924" name="Line 3">
          <a:extLst>
            <a:ext uri="{FF2B5EF4-FFF2-40B4-BE49-F238E27FC236}">
              <a16:creationId xmlns:a16="http://schemas.microsoft.com/office/drawing/2014/main" id="{00000000-0008-0000-0500-0000A4250800}"/>
            </a:ext>
          </a:extLst>
        </xdr:cNvPr>
        <xdr:cNvSpPr>
          <a:spLocks noChangeShapeType="1"/>
        </xdr:cNvSpPr>
      </xdr:nvSpPr>
      <xdr:spPr bwMode="auto">
        <a:xfrm>
          <a:off x="20935950" y="2560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85725</xdr:rowOff>
    </xdr:from>
    <xdr:to>
      <xdr:col>39</xdr:col>
      <xdr:colOff>0</xdr:colOff>
      <xdr:row>237</xdr:row>
      <xdr:rowOff>85725</xdr:rowOff>
    </xdr:to>
    <xdr:sp macro="" textlink="">
      <xdr:nvSpPr>
        <xdr:cNvPr id="533925" name="Line 5">
          <a:extLst>
            <a:ext uri="{FF2B5EF4-FFF2-40B4-BE49-F238E27FC236}">
              <a16:creationId xmlns:a16="http://schemas.microsoft.com/office/drawing/2014/main" id="{00000000-0008-0000-0500-0000A5250800}"/>
            </a:ext>
          </a:extLst>
        </xdr:cNvPr>
        <xdr:cNvSpPr>
          <a:spLocks noChangeShapeType="1"/>
        </xdr:cNvSpPr>
      </xdr:nvSpPr>
      <xdr:spPr bwMode="auto">
        <a:xfrm>
          <a:off x="20935950" y="25965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104775</xdr:rowOff>
    </xdr:from>
    <xdr:to>
      <xdr:col>39</xdr:col>
      <xdr:colOff>0</xdr:colOff>
      <xdr:row>237</xdr:row>
      <xdr:rowOff>104775</xdr:rowOff>
    </xdr:to>
    <xdr:sp macro="" textlink="">
      <xdr:nvSpPr>
        <xdr:cNvPr id="533926" name="Line 11">
          <a:extLst>
            <a:ext uri="{FF2B5EF4-FFF2-40B4-BE49-F238E27FC236}">
              <a16:creationId xmlns:a16="http://schemas.microsoft.com/office/drawing/2014/main" id="{00000000-0008-0000-0500-0000A625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3927" name="Line 594">
          <a:extLst>
            <a:ext uri="{FF2B5EF4-FFF2-40B4-BE49-F238E27FC236}">
              <a16:creationId xmlns:a16="http://schemas.microsoft.com/office/drawing/2014/main" id="{00000000-0008-0000-0500-0000A7250800}"/>
            </a:ext>
          </a:extLst>
        </xdr:cNvPr>
        <xdr:cNvSpPr>
          <a:spLocks noChangeShapeType="1"/>
        </xdr:cNvSpPr>
      </xdr:nvSpPr>
      <xdr:spPr bwMode="auto">
        <a:xfrm>
          <a:off x="20935950" y="2579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217</xdr:row>
      <xdr:rowOff>104775</xdr:rowOff>
    </xdr:from>
    <xdr:to>
      <xdr:col>39</xdr:col>
      <xdr:colOff>0</xdr:colOff>
      <xdr:row>217</xdr:row>
      <xdr:rowOff>104775</xdr:rowOff>
    </xdr:to>
    <xdr:sp macro="" textlink="">
      <xdr:nvSpPr>
        <xdr:cNvPr id="533928" name="Line 3">
          <a:extLst>
            <a:ext uri="{FF2B5EF4-FFF2-40B4-BE49-F238E27FC236}">
              <a16:creationId xmlns:a16="http://schemas.microsoft.com/office/drawing/2014/main" id="{00000000-0008-0000-0500-0000A8250800}"/>
            </a:ext>
          </a:extLst>
        </xdr:cNvPr>
        <xdr:cNvSpPr>
          <a:spLocks noChangeShapeType="1"/>
        </xdr:cNvSpPr>
      </xdr:nvSpPr>
      <xdr:spPr bwMode="auto">
        <a:xfrm>
          <a:off x="20935950" y="2255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218</xdr:row>
      <xdr:rowOff>104775</xdr:rowOff>
    </xdr:from>
    <xdr:to>
      <xdr:col>39</xdr:col>
      <xdr:colOff>0</xdr:colOff>
      <xdr:row>218</xdr:row>
      <xdr:rowOff>104775</xdr:rowOff>
    </xdr:to>
    <xdr:sp macro="" textlink="">
      <xdr:nvSpPr>
        <xdr:cNvPr id="533929" name="Line 3">
          <a:extLst>
            <a:ext uri="{FF2B5EF4-FFF2-40B4-BE49-F238E27FC236}">
              <a16:creationId xmlns:a16="http://schemas.microsoft.com/office/drawing/2014/main" id="{00000000-0008-0000-0500-0000A9250800}"/>
            </a:ext>
          </a:extLst>
        </xdr:cNvPr>
        <xdr:cNvSpPr>
          <a:spLocks noChangeShapeType="1"/>
        </xdr:cNvSpPr>
      </xdr:nvSpPr>
      <xdr:spPr bwMode="auto">
        <a:xfrm>
          <a:off x="20935950" y="2274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219</xdr:row>
      <xdr:rowOff>104775</xdr:rowOff>
    </xdr:from>
    <xdr:to>
      <xdr:col>39</xdr:col>
      <xdr:colOff>0</xdr:colOff>
      <xdr:row>219</xdr:row>
      <xdr:rowOff>104775</xdr:rowOff>
    </xdr:to>
    <xdr:sp macro="" textlink="">
      <xdr:nvSpPr>
        <xdr:cNvPr id="533930" name="Line 3">
          <a:extLst>
            <a:ext uri="{FF2B5EF4-FFF2-40B4-BE49-F238E27FC236}">
              <a16:creationId xmlns:a16="http://schemas.microsoft.com/office/drawing/2014/main" id="{00000000-0008-0000-0500-0000AA250800}"/>
            </a:ext>
          </a:extLst>
        </xdr:cNvPr>
        <xdr:cNvSpPr>
          <a:spLocks noChangeShapeType="1"/>
        </xdr:cNvSpPr>
      </xdr:nvSpPr>
      <xdr:spPr bwMode="auto">
        <a:xfrm>
          <a:off x="20935950" y="2293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220</xdr:row>
      <xdr:rowOff>104775</xdr:rowOff>
    </xdr:from>
    <xdr:to>
      <xdr:col>39</xdr:col>
      <xdr:colOff>0</xdr:colOff>
      <xdr:row>220</xdr:row>
      <xdr:rowOff>104775</xdr:rowOff>
    </xdr:to>
    <xdr:sp macro="" textlink="">
      <xdr:nvSpPr>
        <xdr:cNvPr id="533931" name="Line 3">
          <a:extLst>
            <a:ext uri="{FF2B5EF4-FFF2-40B4-BE49-F238E27FC236}">
              <a16:creationId xmlns:a16="http://schemas.microsoft.com/office/drawing/2014/main" id="{00000000-0008-0000-0500-0000AB250800}"/>
            </a:ext>
          </a:extLst>
        </xdr:cNvPr>
        <xdr:cNvSpPr>
          <a:spLocks noChangeShapeType="1"/>
        </xdr:cNvSpPr>
      </xdr:nvSpPr>
      <xdr:spPr bwMode="auto">
        <a:xfrm>
          <a:off x="20935950" y="2312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3933" name="Line 3">
          <a:extLst>
            <a:ext uri="{FF2B5EF4-FFF2-40B4-BE49-F238E27FC236}">
              <a16:creationId xmlns:a16="http://schemas.microsoft.com/office/drawing/2014/main" id="{00000000-0008-0000-0500-0000AD250800}"/>
            </a:ext>
          </a:extLst>
        </xdr:cNvPr>
        <xdr:cNvSpPr>
          <a:spLocks noChangeShapeType="1"/>
        </xdr:cNvSpPr>
      </xdr:nvSpPr>
      <xdr:spPr bwMode="auto">
        <a:xfrm>
          <a:off x="20935950" y="23688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224</xdr:row>
      <xdr:rowOff>104775</xdr:rowOff>
    </xdr:from>
    <xdr:to>
      <xdr:col>39</xdr:col>
      <xdr:colOff>0</xdr:colOff>
      <xdr:row>224</xdr:row>
      <xdr:rowOff>104775</xdr:rowOff>
    </xdr:to>
    <xdr:sp macro="" textlink="">
      <xdr:nvSpPr>
        <xdr:cNvPr id="533934" name="Line 3">
          <a:extLst>
            <a:ext uri="{FF2B5EF4-FFF2-40B4-BE49-F238E27FC236}">
              <a16:creationId xmlns:a16="http://schemas.microsoft.com/office/drawing/2014/main" id="{00000000-0008-0000-0500-0000AE250800}"/>
            </a:ext>
          </a:extLst>
        </xdr:cNvPr>
        <xdr:cNvSpPr>
          <a:spLocks noChangeShapeType="1"/>
        </xdr:cNvSpPr>
      </xdr:nvSpPr>
      <xdr:spPr bwMode="auto">
        <a:xfrm>
          <a:off x="20935950" y="2386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3935" name="Line 3">
          <a:extLst>
            <a:ext uri="{FF2B5EF4-FFF2-40B4-BE49-F238E27FC236}">
              <a16:creationId xmlns:a16="http://schemas.microsoft.com/office/drawing/2014/main" id="{00000000-0008-0000-0500-0000AF250800}"/>
            </a:ext>
          </a:extLst>
        </xdr:cNvPr>
        <xdr:cNvSpPr>
          <a:spLocks noChangeShapeType="1"/>
        </xdr:cNvSpPr>
      </xdr:nvSpPr>
      <xdr:spPr bwMode="auto">
        <a:xfrm>
          <a:off x="20935950" y="2406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175</xdr:row>
      <xdr:rowOff>104775</xdr:rowOff>
    </xdr:from>
    <xdr:to>
      <xdr:col>39</xdr:col>
      <xdr:colOff>0</xdr:colOff>
      <xdr:row>175</xdr:row>
      <xdr:rowOff>104775</xdr:rowOff>
    </xdr:to>
    <xdr:sp macro="" textlink="">
      <xdr:nvSpPr>
        <xdr:cNvPr id="533936" name="Line 3">
          <a:extLst>
            <a:ext uri="{FF2B5EF4-FFF2-40B4-BE49-F238E27FC236}">
              <a16:creationId xmlns:a16="http://schemas.microsoft.com/office/drawing/2014/main" id="{00000000-0008-0000-0500-0000B0250800}"/>
            </a:ext>
          </a:extLst>
        </xdr:cNvPr>
        <xdr:cNvSpPr>
          <a:spLocks noChangeShapeType="1"/>
        </xdr:cNvSpPr>
      </xdr:nvSpPr>
      <xdr:spPr bwMode="auto">
        <a:xfrm>
          <a:off x="20935950" y="17783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162</xdr:row>
      <xdr:rowOff>104775</xdr:rowOff>
    </xdr:from>
    <xdr:to>
      <xdr:col>39</xdr:col>
      <xdr:colOff>0</xdr:colOff>
      <xdr:row>162</xdr:row>
      <xdr:rowOff>104775</xdr:rowOff>
    </xdr:to>
    <xdr:sp macro="" textlink="">
      <xdr:nvSpPr>
        <xdr:cNvPr id="533937" name="Line 3">
          <a:extLst>
            <a:ext uri="{FF2B5EF4-FFF2-40B4-BE49-F238E27FC236}">
              <a16:creationId xmlns:a16="http://schemas.microsoft.com/office/drawing/2014/main" id="{00000000-0008-0000-0500-0000B1250800}"/>
            </a:ext>
          </a:extLst>
        </xdr:cNvPr>
        <xdr:cNvSpPr>
          <a:spLocks noChangeShapeType="1"/>
        </xdr:cNvSpPr>
      </xdr:nvSpPr>
      <xdr:spPr bwMode="auto">
        <a:xfrm>
          <a:off x="20935950" y="15868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163</xdr:row>
      <xdr:rowOff>104775</xdr:rowOff>
    </xdr:from>
    <xdr:to>
      <xdr:col>39</xdr:col>
      <xdr:colOff>0</xdr:colOff>
      <xdr:row>163</xdr:row>
      <xdr:rowOff>104775</xdr:rowOff>
    </xdr:to>
    <xdr:sp macro="" textlink="">
      <xdr:nvSpPr>
        <xdr:cNvPr id="533938" name="Line 3">
          <a:extLst>
            <a:ext uri="{FF2B5EF4-FFF2-40B4-BE49-F238E27FC236}">
              <a16:creationId xmlns:a16="http://schemas.microsoft.com/office/drawing/2014/main" id="{00000000-0008-0000-0500-0000B2250800}"/>
            </a:ext>
          </a:extLst>
        </xdr:cNvPr>
        <xdr:cNvSpPr>
          <a:spLocks noChangeShapeType="1"/>
        </xdr:cNvSpPr>
      </xdr:nvSpPr>
      <xdr:spPr bwMode="auto">
        <a:xfrm>
          <a:off x="20935950" y="16059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164</xdr:row>
      <xdr:rowOff>104775</xdr:rowOff>
    </xdr:from>
    <xdr:to>
      <xdr:col>39</xdr:col>
      <xdr:colOff>0</xdr:colOff>
      <xdr:row>164</xdr:row>
      <xdr:rowOff>104775</xdr:rowOff>
    </xdr:to>
    <xdr:sp macro="" textlink="">
      <xdr:nvSpPr>
        <xdr:cNvPr id="533939" name="Line 3">
          <a:extLst>
            <a:ext uri="{FF2B5EF4-FFF2-40B4-BE49-F238E27FC236}">
              <a16:creationId xmlns:a16="http://schemas.microsoft.com/office/drawing/2014/main" id="{00000000-0008-0000-0500-0000B3250800}"/>
            </a:ext>
          </a:extLst>
        </xdr:cNvPr>
        <xdr:cNvSpPr>
          <a:spLocks noChangeShapeType="1"/>
        </xdr:cNvSpPr>
      </xdr:nvSpPr>
      <xdr:spPr bwMode="auto">
        <a:xfrm>
          <a:off x="20935950" y="1624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165</xdr:row>
      <xdr:rowOff>104775</xdr:rowOff>
    </xdr:from>
    <xdr:to>
      <xdr:col>39</xdr:col>
      <xdr:colOff>0</xdr:colOff>
      <xdr:row>165</xdr:row>
      <xdr:rowOff>104775</xdr:rowOff>
    </xdr:to>
    <xdr:sp macro="" textlink="">
      <xdr:nvSpPr>
        <xdr:cNvPr id="533940" name="Line 3">
          <a:extLst>
            <a:ext uri="{FF2B5EF4-FFF2-40B4-BE49-F238E27FC236}">
              <a16:creationId xmlns:a16="http://schemas.microsoft.com/office/drawing/2014/main" id="{00000000-0008-0000-0500-0000B4250800}"/>
            </a:ext>
          </a:extLst>
        </xdr:cNvPr>
        <xdr:cNvSpPr>
          <a:spLocks noChangeShapeType="1"/>
        </xdr:cNvSpPr>
      </xdr:nvSpPr>
      <xdr:spPr bwMode="auto">
        <a:xfrm>
          <a:off x="20935950" y="1644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166</xdr:row>
      <xdr:rowOff>104775</xdr:rowOff>
    </xdr:from>
    <xdr:to>
      <xdr:col>39</xdr:col>
      <xdr:colOff>0</xdr:colOff>
      <xdr:row>166</xdr:row>
      <xdr:rowOff>104775</xdr:rowOff>
    </xdr:to>
    <xdr:sp macro="" textlink="">
      <xdr:nvSpPr>
        <xdr:cNvPr id="533941" name="Line 3">
          <a:extLst>
            <a:ext uri="{FF2B5EF4-FFF2-40B4-BE49-F238E27FC236}">
              <a16:creationId xmlns:a16="http://schemas.microsoft.com/office/drawing/2014/main" id="{00000000-0008-0000-0500-0000B5250800}"/>
            </a:ext>
          </a:extLst>
        </xdr:cNvPr>
        <xdr:cNvSpPr>
          <a:spLocks noChangeShapeType="1"/>
        </xdr:cNvSpPr>
      </xdr:nvSpPr>
      <xdr:spPr bwMode="auto">
        <a:xfrm>
          <a:off x="20935950" y="1663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172</xdr:row>
      <xdr:rowOff>104775</xdr:rowOff>
    </xdr:from>
    <xdr:to>
      <xdr:col>39</xdr:col>
      <xdr:colOff>0</xdr:colOff>
      <xdr:row>172</xdr:row>
      <xdr:rowOff>104775</xdr:rowOff>
    </xdr:to>
    <xdr:sp macro="" textlink="">
      <xdr:nvSpPr>
        <xdr:cNvPr id="533942" name="Line 3">
          <a:extLst>
            <a:ext uri="{FF2B5EF4-FFF2-40B4-BE49-F238E27FC236}">
              <a16:creationId xmlns:a16="http://schemas.microsoft.com/office/drawing/2014/main" id="{00000000-0008-0000-0500-0000B6250800}"/>
            </a:ext>
          </a:extLst>
        </xdr:cNvPr>
        <xdr:cNvSpPr>
          <a:spLocks noChangeShapeType="1"/>
        </xdr:cNvSpPr>
      </xdr:nvSpPr>
      <xdr:spPr bwMode="auto">
        <a:xfrm>
          <a:off x="20935950" y="17211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173</xdr:row>
      <xdr:rowOff>104775</xdr:rowOff>
    </xdr:from>
    <xdr:to>
      <xdr:col>39</xdr:col>
      <xdr:colOff>0</xdr:colOff>
      <xdr:row>173</xdr:row>
      <xdr:rowOff>104775</xdr:rowOff>
    </xdr:to>
    <xdr:sp macro="" textlink="">
      <xdr:nvSpPr>
        <xdr:cNvPr id="533943" name="Line 3">
          <a:extLst>
            <a:ext uri="{FF2B5EF4-FFF2-40B4-BE49-F238E27FC236}">
              <a16:creationId xmlns:a16="http://schemas.microsoft.com/office/drawing/2014/main" id="{00000000-0008-0000-0500-0000B7250800}"/>
            </a:ext>
          </a:extLst>
        </xdr:cNvPr>
        <xdr:cNvSpPr>
          <a:spLocks noChangeShapeType="1"/>
        </xdr:cNvSpPr>
      </xdr:nvSpPr>
      <xdr:spPr bwMode="auto">
        <a:xfrm>
          <a:off x="20935950" y="17402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174</xdr:row>
      <xdr:rowOff>104775</xdr:rowOff>
    </xdr:from>
    <xdr:to>
      <xdr:col>39</xdr:col>
      <xdr:colOff>0</xdr:colOff>
      <xdr:row>174</xdr:row>
      <xdr:rowOff>104775</xdr:rowOff>
    </xdr:to>
    <xdr:sp macro="" textlink="">
      <xdr:nvSpPr>
        <xdr:cNvPr id="533944" name="Line 3">
          <a:extLst>
            <a:ext uri="{FF2B5EF4-FFF2-40B4-BE49-F238E27FC236}">
              <a16:creationId xmlns:a16="http://schemas.microsoft.com/office/drawing/2014/main" id="{00000000-0008-0000-0500-0000B8250800}"/>
            </a:ext>
          </a:extLst>
        </xdr:cNvPr>
        <xdr:cNvSpPr>
          <a:spLocks noChangeShapeType="1"/>
        </xdr:cNvSpPr>
      </xdr:nvSpPr>
      <xdr:spPr bwMode="auto">
        <a:xfrm>
          <a:off x="20935950" y="17592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195</xdr:row>
      <xdr:rowOff>104775</xdr:rowOff>
    </xdr:from>
    <xdr:to>
      <xdr:col>39</xdr:col>
      <xdr:colOff>0</xdr:colOff>
      <xdr:row>195</xdr:row>
      <xdr:rowOff>104775</xdr:rowOff>
    </xdr:to>
    <xdr:sp macro="" textlink="">
      <xdr:nvSpPr>
        <xdr:cNvPr id="533945" name="Line 3">
          <a:extLst>
            <a:ext uri="{FF2B5EF4-FFF2-40B4-BE49-F238E27FC236}">
              <a16:creationId xmlns:a16="http://schemas.microsoft.com/office/drawing/2014/main" id="{00000000-0008-0000-0500-0000B9250800}"/>
            </a:ext>
          </a:extLst>
        </xdr:cNvPr>
        <xdr:cNvSpPr>
          <a:spLocks noChangeShapeType="1"/>
        </xdr:cNvSpPr>
      </xdr:nvSpPr>
      <xdr:spPr bwMode="auto">
        <a:xfrm>
          <a:off x="20935950" y="1988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185</xdr:row>
      <xdr:rowOff>104775</xdr:rowOff>
    </xdr:from>
    <xdr:to>
      <xdr:col>39</xdr:col>
      <xdr:colOff>0</xdr:colOff>
      <xdr:row>185</xdr:row>
      <xdr:rowOff>104775</xdr:rowOff>
    </xdr:to>
    <xdr:sp macro="" textlink="">
      <xdr:nvSpPr>
        <xdr:cNvPr id="533946" name="Line 3">
          <a:extLst>
            <a:ext uri="{FF2B5EF4-FFF2-40B4-BE49-F238E27FC236}">
              <a16:creationId xmlns:a16="http://schemas.microsoft.com/office/drawing/2014/main" id="{00000000-0008-0000-0500-0000BA250800}"/>
            </a:ext>
          </a:extLst>
        </xdr:cNvPr>
        <xdr:cNvSpPr>
          <a:spLocks noChangeShapeType="1"/>
        </xdr:cNvSpPr>
      </xdr:nvSpPr>
      <xdr:spPr bwMode="auto">
        <a:xfrm>
          <a:off x="20935950" y="1836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186</xdr:row>
      <xdr:rowOff>104775</xdr:rowOff>
    </xdr:from>
    <xdr:to>
      <xdr:col>39</xdr:col>
      <xdr:colOff>0</xdr:colOff>
      <xdr:row>186</xdr:row>
      <xdr:rowOff>104775</xdr:rowOff>
    </xdr:to>
    <xdr:sp macro="" textlink="">
      <xdr:nvSpPr>
        <xdr:cNvPr id="533947" name="Line 3">
          <a:extLst>
            <a:ext uri="{FF2B5EF4-FFF2-40B4-BE49-F238E27FC236}">
              <a16:creationId xmlns:a16="http://schemas.microsoft.com/office/drawing/2014/main" id="{00000000-0008-0000-0500-0000BB250800}"/>
            </a:ext>
          </a:extLst>
        </xdr:cNvPr>
        <xdr:cNvSpPr>
          <a:spLocks noChangeShapeType="1"/>
        </xdr:cNvSpPr>
      </xdr:nvSpPr>
      <xdr:spPr bwMode="auto">
        <a:xfrm>
          <a:off x="20935950" y="1855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187</xdr:row>
      <xdr:rowOff>104775</xdr:rowOff>
    </xdr:from>
    <xdr:to>
      <xdr:col>39</xdr:col>
      <xdr:colOff>0</xdr:colOff>
      <xdr:row>187</xdr:row>
      <xdr:rowOff>104775</xdr:rowOff>
    </xdr:to>
    <xdr:sp macro="" textlink="">
      <xdr:nvSpPr>
        <xdr:cNvPr id="533948" name="Line 3">
          <a:extLst>
            <a:ext uri="{FF2B5EF4-FFF2-40B4-BE49-F238E27FC236}">
              <a16:creationId xmlns:a16="http://schemas.microsoft.com/office/drawing/2014/main" id="{00000000-0008-0000-0500-0000BC250800}"/>
            </a:ext>
          </a:extLst>
        </xdr:cNvPr>
        <xdr:cNvSpPr>
          <a:spLocks noChangeShapeType="1"/>
        </xdr:cNvSpPr>
      </xdr:nvSpPr>
      <xdr:spPr bwMode="auto">
        <a:xfrm>
          <a:off x="20935950" y="1874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188</xdr:row>
      <xdr:rowOff>104775</xdr:rowOff>
    </xdr:from>
    <xdr:to>
      <xdr:col>39</xdr:col>
      <xdr:colOff>0</xdr:colOff>
      <xdr:row>188</xdr:row>
      <xdr:rowOff>104775</xdr:rowOff>
    </xdr:to>
    <xdr:sp macro="" textlink="">
      <xdr:nvSpPr>
        <xdr:cNvPr id="533949" name="Line 3">
          <a:extLst>
            <a:ext uri="{FF2B5EF4-FFF2-40B4-BE49-F238E27FC236}">
              <a16:creationId xmlns:a16="http://schemas.microsoft.com/office/drawing/2014/main" id="{00000000-0008-0000-0500-0000BD250800}"/>
            </a:ext>
          </a:extLst>
        </xdr:cNvPr>
        <xdr:cNvSpPr>
          <a:spLocks noChangeShapeType="1"/>
        </xdr:cNvSpPr>
      </xdr:nvSpPr>
      <xdr:spPr bwMode="auto">
        <a:xfrm>
          <a:off x="20935950" y="1893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191</xdr:row>
      <xdr:rowOff>104775</xdr:rowOff>
    </xdr:from>
    <xdr:to>
      <xdr:col>39</xdr:col>
      <xdr:colOff>0</xdr:colOff>
      <xdr:row>191</xdr:row>
      <xdr:rowOff>104775</xdr:rowOff>
    </xdr:to>
    <xdr:sp macro="" textlink="">
      <xdr:nvSpPr>
        <xdr:cNvPr id="533950" name="Line 3">
          <a:extLst>
            <a:ext uri="{FF2B5EF4-FFF2-40B4-BE49-F238E27FC236}">
              <a16:creationId xmlns:a16="http://schemas.microsoft.com/office/drawing/2014/main" id="{00000000-0008-0000-0500-0000BE250800}"/>
            </a:ext>
          </a:extLst>
        </xdr:cNvPr>
        <xdr:cNvSpPr>
          <a:spLocks noChangeShapeType="1"/>
        </xdr:cNvSpPr>
      </xdr:nvSpPr>
      <xdr:spPr bwMode="auto">
        <a:xfrm>
          <a:off x="20935950" y="1912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192</xdr:row>
      <xdr:rowOff>104775</xdr:rowOff>
    </xdr:from>
    <xdr:to>
      <xdr:col>39</xdr:col>
      <xdr:colOff>0</xdr:colOff>
      <xdr:row>192</xdr:row>
      <xdr:rowOff>104775</xdr:rowOff>
    </xdr:to>
    <xdr:sp macro="" textlink="">
      <xdr:nvSpPr>
        <xdr:cNvPr id="533951" name="Line 3">
          <a:extLst>
            <a:ext uri="{FF2B5EF4-FFF2-40B4-BE49-F238E27FC236}">
              <a16:creationId xmlns:a16="http://schemas.microsoft.com/office/drawing/2014/main" id="{00000000-0008-0000-0500-0000BF250800}"/>
            </a:ext>
          </a:extLst>
        </xdr:cNvPr>
        <xdr:cNvSpPr>
          <a:spLocks noChangeShapeType="1"/>
        </xdr:cNvSpPr>
      </xdr:nvSpPr>
      <xdr:spPr bwMode="auto">
        <a:xfrm>
          <a:off x="20935950" y="1931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193</xdr:row>
      <xdr:rowOff>104775</xdr:rowOff>
    </xdr:from>
    <xdr:to>
      <xdr:col>39</xdr:col>
      <xdr:colOff>0</xdr:colOff>
      <xdr:row>193</xdr:row>
      <xdr:rowOff>104775</xdr:rowOff>
    </xdr:to>
    <xdr:sp macro="" textlink="">
      <xdr:nvSpPr>
        <xdr:cNvPr id="533952" name="Line 3">
          <a:extLst>
            <a:ext uri="{FF2B5EF4-FFF2-40B4-BE49-F238E27FC236}">
              <a16:creationId xmlns:a16="http://schemas.microsoft.com/office/drawing/2014/main" id="{00000000-0008-0000-0500-0000C0250800}"/>
            </a:ext>
          </a:extLst>
        </xdr:cNvPr>
        <xdr:cNvSpPr>
          <a:spLocks noChangeShapeType="1"/>
        </xdr:cNvSpPr>
      </xdr:nvSpPr>
      <xdr:spPr bwMode="auto">
        <a:xfrm>
          <a:off x="20935950" y="19507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194</xdr:row>
      <xdr:rowOff>104775</xdr:rowOff>
    </xdr:from>
    <xdr:to>
      <xdr:col>39</xdr:col>
      <xdr:colOff>0</xdr:colOff>
      <xdr:row>194</xdr:row>
      <xdr:rowOff>104775</xdr:rowOff>
    </xdr:to>
    <xdr:sp macro="" textlink="">
      <xdr:nvSpPr>
        <xdr:cNvPr id="533953" name="Line 3">
          <a:extLst>
            <a:ext uri="{FF2B5EF4-FFF2-40B4-BE49-F238E27FC236}">
              <a16:creationId xmlns:a16="http://schemas.microsoft.com/office/drawing/2014/main" id="{00000000-0008-0000-0500-0000C1250800}"/>
            </a:ext>
          </a:extLst>
        </xdr:cNvPr>
        <xdr:cNvSpPr>
          <a:spLocks noChangeShapeType="1"/>
        </xdr:cNvSpPr>
      </xdr:nvSpPr>
      <xdr:spPr bwMode="auto">
        <a:xfrm>
          <a:off x="20935950" y="19697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216</xdr:row>
      <xdr:rowOff>104775</xdr:rowOff>
    </xdr:from>
    <xdr:to>
      <xdr:col>39</xdr:col>
      <xdr:colOff>0</xdr:colOff>
      <xdr:row>216</xdr:row>
      <xdr:rowOff>104775</xdr:rowOff>
    </xdr:to>
    <xdr:sp macro="" textlink="">
      <xdr:nvSpPr>
        <xdr:cNvPr id="533954" name="Line 3">
          <a:extLst>
            <a:ext uri="{FF2B5EF4-FFF2-40B4-BE49-F238E27FC236}">
              <a16:creationId xmlns:a16="http://schemas.microsoft.com/office/drawing/2014/main" id="{00000000-0008-0000-0500-0000C2250800}"/>
            </a:ext>
          </a:extLst>
        </xdr:cNvPr>
        <xdr:cNvSpPr>
          <a:spLocks noChangeShapeType="1"/>
        </xdr:cNvSpPr>
      </xdr:nvSpPr>
      <xdr:spPr bwMode="auto">
        <a:xfrm>
          <a:off x="20935950" y="2236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201</xdr:row>
      <xdr:rowOff>104775</xdr:rowOff>
    </xdr:from>
    <xdr:to>
      <xdr:col>39</xdr:col>
      <xdr:colOff>0</xdr:colOff>
      <xdr:row>201</xdr:row>
      <xdr:rowOff>104775</xdr:rowOff>
    </xdr:to>
    <xdr:sp macro="" textlink="">
      <xdr:nvSpPr>
        <xdr:cNvPr id="533955" name="Line 3">
          <a:extLst>
            <a:ext uri="{FF2B5EF4-FFF2-40B4-BE49-F238E27FC236}">
              <a16:creationId xmlns:a16="http://schemas.microsoft.com/office/drawing/2014/main" id="{00000000-0008-0000-0500-0000C3250800}"/>
            </a:ext>
          </a:extLst>
        </xdr:cNvPr>
        <xdr:cNvSpPr>
          <a:spLocks noChangeShapeType="1"/>
        </xdr:cNvSpPr>
      </xdr:nvSpPr>
      <xdr:spPr bwMode="auto">
        <a:xfrm>
          <a:off x="20935950" y="2045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202</xdr:row>
      <xdr:rowOff>104775</xdr:rowOff>
    </xdr:from>
    <xdr:to>
      <xdr:col>39</xdr:col>
      <xdr:colOff>0</xdr:colOff>
      <xdr:row>202</xdr:row>
      <xdr:rowOff>104775</xdr:rowOff>
    </xdr:to>
    <xdr:sp macro="" textlink="">
      <xdr:nvSpPr>
        <xdr:cNvPr id="533956" name="Line 3">
          <a:extLst>
            <a:ext uri="{FF2B5EF4-FFF2-40B4-BE49-F238E27FC236}">
              <a16:creationId xmlns:a16="http://schemas.microsoft.com/office/drawing/2014/main" id="{00000000-0008-0000-0500-0000C4250800}"/>
            </a:ext>
          </a:extLst>
        </xdr:cNvPr>
        <xdr:cNvSpPr>
          <a:spLocks noChangeShapeType="1"/>
        </xdr:cNvSpPr>
      </xdr:nvSpPr>
      <xdr:spPr bwMode="auto">
        <a:xfrm>
          <a:off x="20935950" y="20650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203</xdr:row>
      <xdr:rowOff>104775</xdr:rowOff>
    </xdr:from>
    <xdr:to>
      <xdr:col>39</xdr:col>
      <xdr:colOff>0</xdr:colOff>
      <xdr:row>203</xdr:row>
      <xdr:rowOff>104775</xdr:rowOff>
    </xdr:to>
    <xdr:sp macro="" textlink="">
      <xdr:nvSpPr>
        <xdr:cNvPr id="533957" name="Line 3">
          <a:extLst>
            <a:ext uri="{FF2B5EF4-FFF2-40B4-BE49-F238E27FC236}">
              <a16:creationId xmlns:a16="http://schemas.microsoft.com/office/drawing/2014/main" id="{00000000-0008-0000-0500-0000C5250800}"/>
            </a:ext>
          </a:extLst>
        </xdr:cNvPr>
        <xdr:cNvSpPr>
          <a:spLocks noChangeShapeType="1"/>
        </xdr:cNvSpPr>
      </xdr:nvSpPr>
      <xdr:spPr bwMode="auto">
        <a:xfrm>
          <a:off x="20935950" y="2084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204</xdr:row>
      <xdr:rowOff>104775</xdr:rowOff>
    </xdr:from>
    <xdr:to>
      <xdr:col>39</xdr:col>
      <xdr:colOff>0</xdr:colOff>
      <xdr:row>204</xdr:row>
      <xdr:rowOff>104775</xdr:rowOff>
    </xdr:to>
    <xdr:sp macro="" textlink="">
      <xdr:nvSpPr>
        <xdr:cNvPr id="533958" name="Line 3">
          <a:extLst>
            <a:ext uri="{FF2B5EF4-FFF2-40B4-BE49-F238E27FC236}">
              <a16:creationId xmlns:a16="http://schemas.microsoft.com/office/drawing/2014/main" id="{00000000-0008-0000-0500-0000C6250800}"/>
            </a:ext>
          </a:extLst>
        </xdr:cNvPr>
        <xdr:cNvSpPr>
          <a:spLocks noChangeShapeType="1"/>
        </xdr:cNvSpPr>
      </xdr:nvSpPr>
      <xdr:spPr bwMode="auto">
        <a:xfrm>
          <a:off x="20935950" y="21031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210</xdr:row>
      <xdr:rowOff>104775</xdr:rowOff>
    </xdr:from>
    <xdr:to>
      <xdr:col>39</xdr:col>
      <xdr:colOff>0</xdr:colOff>
      <xdr:row>210</xdr:row>
      <xdr:rowOff>104775</xdr:rowOff>
    </xdr:to>
    <xdr:sp macro="" textlink="">
      <xdr:nvSpPr>
        <xdr:cNvPr id="533959" name="Line 3">
          <a:extLst>
            <a:ext uri="{FF2B5EF4-FFF2-40B4-BE49-F238E27FC236}">
              <a16:creationId xmlns:a16="http://schemas.microsoft.com/office/drawing/2014/main" id="{00000000-0008-0000-0500-0000C7250800}"/>
            </a:ext>
          </a:extLst>
        </xdr:cNvPr>
        <xdr:cNvSpPr>
          <a:spLocks noChangeShapeType="1"/>
        </xdr:cNvSpPr>
      </xdr:nvSpPr>
      <xdr:spPr bwMode="auto">
        <a:xfrm>
          <a:off x="20935950" y="2160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211</xdr:row>
      <xdr:rowOff>104775</xdr:rowOff>
    </xdr:from>
    <xdr:to>
      <xdr:col>39</xdr:col>
      <xdr:colOff>0</xdr:colOff>
      <xdr:row>211</xdr:row>
      <xdr:rowOff>104775</xdr:rowOff>
    </xdr:to>
    <xdr:sp macro="" textlink="">
      <xdr:nvSpPr>
        <xdr:cNvPr id="533960" name="Line 3">
          <a:extLst>
            <a:ext uri="{FF2B5EF4-FFF2-40B4-BE49-F238E27FC236}">
              <a16:creationId xmlns:a16="http://schemas.microsoft.com/office/drawing/2014/main" id="{00000000-0008-0000-0500-0000C8250800}"/>
            </a:ext>
          </a:extLst>
        </xdr:cNvPr>
        <xdr:cNvSpPr>
          <a:spLocks noChangeShapeType="1"/>
        </xdr:cNvSpPr>
      </xdr:nvSpPr>
      <xdr:spPr bwMode="auto">
        <a:xfrm>
          <a:off x="20935950" y="2179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212</xdr:row>
      <xdr:rowOff>104775</xdr:rowOff>
    </xdr:from>
    <xdr:to>
      <xdr:col>39</xdr:col>
      <xdr:colOff>0</xdr:colOff>
      <xdr:row>212</xdr:row>
      <xdr:rowOff>104775</xdr:rowOff>
    </xdr:to>
    <xdr:sp macro="" textlink="">
      <xdr:nvSpPr>
        <xdr:cNvPr id="533961" name="Line 3">
          <a:extLst>
            <a:ext uri="{FF2B5EF4-FFF2-40B4-BE49-F238E27FC236}">
              <a16:creationId xmlns:a16="http://schemas.microsoft.com/office/drawing/2014/main" id="{00000000-0008-0000-0500-0000C9250800}"/>
            </a:ext>
          </a:extLst>
        </xdr:cNvPr>
        <xdr:cNvSpPr>
          <a:spLocks noChangeShapeType="1"/>
        </xdr:cNvSpPr>
      </xdr:nvSpPr>
      <xdr:spPr bwMode="auto">
        <a:xfrm>
          <a:off x="20935950" y="2198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213</xdr:row>
      <xdr:rowOff>104775</xdr:rowOff>
    </xdr:from>
    <xdr:to>
      <xdr:col>39</xdr:col>
      <xdr:colOff>0</xdr:colOff>
      <xdr:row>213</xdr:row>
      <xdr:rowOff>104775</xdr:rowOff>
    </xdr:to>
    <xdr:sp macro="" textlink="">
      <xdr:nvSpPr>
        <xdr:cNvPr id="533962" name="Line 3">
          <a:extLst>
            <a:ext uri="{FF2B5EF4-FFF2-40B4-BE49-F238E27FC236}">
              <a16:creationId xmlns:a16="http://schemas.microsoft.com/office/drawing/2014/main" id="{00000000-0008-0000-0500-0000CA250800}"/>
            </a:ext>
          </a:extLst>
        </xdr:cNvPr>
        <xdr:cNvSpPr>
          <a:spLocks noChangeShapeType="1"/>
        </xdr:cNvSpPr>
      </xdr:nvSpPr>
      <xdr:spPr bwMode="auto">
        <a:xfrm>
          <a:off x="20935950" y="2217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3964" name="Line 3">
          <a:extLst>
            <a:ext uri="{FF2B5EF4-FFF2-40B4-BE49-F238E27FC236}">
              <a16:creationId xmlns:a16="http://schemas.microsoft.com/office/drawing/2014/main" id="{00000000-0008-0000-0500-0000CC250800}"/>
            </a:ext>
          </a:extLst>
        </xdr:cNvPr>
        <xdr:cNvSpPr>
          <a:spLocks noChangeShapeType="1"/>
        </xdr:cNvSpPr>
      </xdr:nvSpPr>
      <xdr:spPr bwMode="auto">
        <a:xfrm>
          <a:off x="20935950" y="23688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224</xdr:row>
      <xdr:rowOff>104775</xdr:rowOff>
    </xdr:from>
    <xdr:to>
      <xdr:col>39</xdr:col>
      <xdr:colOff>0</xdr:colOff>
      <xdr:row>224</xdr:row>
      <xdr:rowOff>104775</xdr:rowOff>
    </xdr:to>
    <xdr:sp macro="" textlink="">
      <xdr:nvSpPr>
        <xdr:cNvPr id="533965" name="Line 3">
          <a:extLst>
            <a:ext uri="{FF2B5EF4-FFF2-40B4-BE49-F238E27FC236}">
              <a16:creationId xmlns:a16="http://schemas.microsoft.com/office/drawing/2014/main" id="{00000000-0008-0000-0500-0000CD250800}"/>
            </a:ext>
          </a:extLst>
        </xdr:cNvPr>
        <xdr:cNvSpPr>
          <a:spLocks noChangeShapeType="1"/>
        </xdr:cNvSpPr>
      </xdr:nvSpPr>
      <xdr:spPr bwMode="auto">
        <a:xfrm>
          <a:off x="20935950" y="2386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3966" name="Line 3">
          <a:extLst>
            <a:ext uri="{FF2B5EF4-FFF2-40B4-BE49-F238E27FC236}">
              <a16:creationId xmlns:a16="http://schemas.microsoft.com/office/drawing/2014/main" id="{00000000-0008-0000-0500-0000CE250800}"/>
            </a:ext>
          </a:extLst>
        </xdr:cNvPr>
        <xdr:cNvSpPr>
          <a:spLocks noChangeShapeType="1"/>
        </xdr:cNvSpPr>
      </xdr:nvSpPr>
      <xdr:spPr bwMode="auto">
        <a:xfrm>
          <a:off x="20935950" y="2406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160</xdr:row>
      <xdr:rowOff>104775</xdr:rowOff>
    </xdr:from>
    <xdr:to>
      <xdr:col>39</xdr:col>
      <xdr:colOff>0</xdr:colOff>
      <xdr:row>160</xdr:row>
      <xdr:rowOff>104775</xdr:rowOff>
    </xdr:to>
    <xdr:sp macro="" textlink="">
      <xdr:nvSpPr>
        <xdr:cNvPr id="533967" name="Line 3">
          <a:extLst>
            <a:ext uri="{FF2B5EF4-FFF2-40B4-BE49-F238E27FC236}">
              <a16:creationId xmlns:a16="http://schemas.microsoft.com/office/drawing/2014/main" id="{00000000-0008-0000-0500-0000CF250800}"/>
            </a:ext>
          </a:extLst>
        </xdr:cNvPr>
        <xdr:cNvSpPr>
          <a:spLocks noChangeShapeType="1"/>
        </xdr:cNvSpPr>
      </xdr:nvSpPr>
      <xdr:spPr bwMode="auto">
        <a:xfrm>
          <a:off x="20935950" y="15487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161</xdr:row>
      <xdr:rowOff>104775</xdr:rowOff>
    </xdr:from>
    <xdr:to>
      <xdr:col>39</xdr:col>
      <xdr:colOff>0</xdr:colOff>
      <xdr:row>161</xdr:row>
      <xdr:rowOff>104775</xdr:rowOff>
    </xdr:to>
    <xdr:sp macro="" textlink="">
      <xdr:nvSpPr>
        <xdr:cNvPr id="533968" name="Line 3">
          <a:extLst>
            <a:ext uri="{FF2B5EF4-FFF2-40B4-BE49-F238E27FC236}">
              <a16:creationId xmlns:a16="http://schemas.microsoft.com/office/drawing/2014/main" id="{00000000-0008-0000-0500-0000D0250800}"/>
            </a:ext>
          </a:extLst>
        </xdr:cNvPr>
        <xdr:cNvSpPr>
          <a:spLocks noChangeShapeType="1"/>
        </xdr:cNvSpPr>
      </xdr:nvSpPr>
      <xdr:spPr bwMode="auto">
        <a:xfrm>
          <a:off x="20935950" y="15678150"/>
          <a:ext cx="0" cy="0"/>
        </a:xfrm>
        <a:prstGeom prst="line">
          <a:avLst/>
        </a:prstGeom>
        <a:noFill/>
        <a:ln w="9525">
          <a:solidFill>
            <a:srgbClr val="000000"/>
          </a:solidFill>
          <a:round/>
          <a:headEnd/>
          <a:tailEnd type="triangle" w="med" len="med"/>
        </a:ln>
      </xdr:spPr>
    </xdr:sp>
    <xdr:clientData/>
  </xdr:twoCellAnchor>
  <xdr:twoCellAnchor>
    <xdr:from>
      <xdr:col>4</xdr:col>
      <xdr:colOff>66675</xdr:colOff>
      <xdr:row>235</xdr:row>
      <xdr:rowOff>0</xdr:rowOff>
    </xdr:from>
    <xdr:to>
      <xdr:col>4</xdr:col>
      <xdr:colOff>457200</xdr:colOff>
      <xdr:row>235</xdr:row>
      <xdr:rowOff>0</xdr:rowOff>
    </xdr:to>
    <xdr:grpSp>
      <xdr:nvGrpSpPr>
        <xdr:cNvPr id="533970" name="Group 660">
          <a:extLst>
            <a:ext uri="{FF2B5EF4-FFF2-40B4-BE49-F238E27FC236}">
              <a16:creationId xmlns:a16="http://schemas.microsoft.com/office/drawing/2014/main" id="{00000000-0008-0000-0500-0000D2250800}"/>
            </a:ext>
          </a:extLst>
        </xdr:cNvPr>
        <xdr:cNvGrpSpPr>
          <a:grpSpLocks/>
        </xdr:cNvGrpSpPr>
      </xdr:nvGrpSpPr>
      <xdr:grpSpPr bwMode="auto">
        <a:xfrm>
          <a:off x="2432413" y="45760821"/>
          <a:ext cx="392430" cy="0"/>
          <a:chOff x="200" y="1128"/>
          <a:chExt cx="48" cy="50"/>
        </a:xfrm>
      </xdr:grpSpPr>
      <xdr:sp macro="" textlink="">
        <xdr:nvSpPr>
          <xdr:cNvPr id="534048" name="Rectangle 661">
            <a:extLst>
              <a:ext uri="{FF2B5EF4-FFF2-40B4-BE49-F238E27FC236}">
                <a16:creationId xmlns:a16="http://schemas.microsoft.com/office/drawing/2014/main" id="{00000000-0008-0000-0500-000020260800}"/>
              </a:ext>
            </a:extLst>
          </xdr:cNvPr>
          <xdr:cNvSpPr>
            <a:spLocks noChangeArrowheads="1"/>
          </xdr:cNvSpPr>
        </xdr:nvSpPr>
        <xdr:spPr bwMode="auto">
          <a:xfrm>
            <a:off x="208" y="1136"/>
            <a:ext cx="22" cy="42"/>
          </a:xfrm>
          <a:prstGeom prst="rect">
            <a:avLst/>
          </a:prstGeom>
          <a:gradFill rotWithShape="1">
            <a:gsLst>
              <a:gs pos="0">
                <a:srgbClr val="767676"/>
              </a:gs>
              <a:gs pos="50000">
                <a:srgbClr val="FFFFFF"/>
              </a:gs>
              <a:gs pos="100000">
                <a:srgbClr val="767676"/>
              </a:gs>
            </a:gsLst>
            <a:lin ang="0" scaled="1"/>
          </a:gradFill>
          <a:ln w="9525">
            <a:solidFill>
              <a:srgbClr val="000000"/>
            </a:solidFill>
            <a:miter lim="800000"/>
            <a:headEnd/>
            <a:tailEnd/>
          </a:ln>
        </xdr:spPr>
      </xdr:sp>
      <xdr:sp macro="" textlink="">
        <xdr:nvSpPr>
          <xdr:cNvPr id="534049" name="Rectangle 662">
            <a:extLst>
              <a:ext uri="{FF2B5EF4-FFF2-40B4-BE49-F238E27FC236}">
                <a16:creationId xmlns:a16="http://schemas.microsoft.com/office/drawing/2014/main" id="{00000000-0008-0000-0500-000021260800}"/>
              </a:ext>
            </a:extLst>
          </xdr:cNvPr>
          <xdr:cNvSpPr>
            <a:spLocks noChangeArrowheads="1"/>
          </xdr:cNvSpPr>
        </xdr:nvSpPr>
        <xdr:spPr bwMode="auto">
          <a:xfrm>
            <a:off x="212" y="1128"/>
            <a:ext cx="12" cy="8"/>
          </a:xfrm>
          <a:prstGeom prst="rect">
            <a:avLst/>
          </a:prstGeom>
          <a:gradFill rotWithShape="1">
            <a:gsLst>
              <a:gs pos="0">
                <a:srgbClr val="767676"/>
              </a:gs>
              <a:gs pos="50000">
                <a:srgbClr val="FFFFFF"/>
              </a:gs>
              <a:gs pos="100000">
                <a:srgbClr val="767676"/>
              </a:gs>
            </a:gsLst>
            <a:lin ang="0" scaled="1"/>
          </a:gradFill>
          <a:ln w="9525" algn="ctr">
            <a:solidFill>
              <a:srgbClr val="000000"/>
            </a:solidFill>
            <a:miter lim="800000"/>
            <a:headEnd/>
            <a:tailEnd/>
          </a:ln>
        </xdr:spPr>
      </xdr:sp>
      <xdr:sp macro="" textlink="">
        <xdr:nvSpPr>
          <xdr:cNvPr id="534050" name="Freeform 663">
            <a:extLst>
              <a:ext uri="{FF2B5EF4-FFF2-40B4-BE49-F238E27FC236}">
                <a16:creationId xmlns:a16="http://schemas.microsoft.com/office/drawing/2014/main" id="{00000000-0008-0000-0500-000022260800}"/>
              </a:ext>
            </a:extLst>
          </xdr:cNvPr>
          <xdr:cNvSpPr>
            <a:spLocks/>
          </xdr:cNvSpPr>
        </xdr:nvSpPr>
        <xdr:spPr bwMode="auto">
          <a:xfrm>
            <a:off x="200" y="1134"/>
            <a:ext cx="45" cy="34"/>
          </a:xfrm>
          <a:custGeom>
            <a:avLst/>
            <a:gdLst>
              <a:gd name="T0" fmla="*/ 2 w 56"/>
              <a:gd name="T1" fmla="*/ 9 h 34"/>
              <a:gd name="T2" fmla="*/ 2 w 56"/>
              <a:gd name="T3" fmla="*/ 3 h 34"/>
              <a:gd name="T4" fmla="*/ 2 w 56"/>
              <a:gd name="T5" fmla="*/ 0 h 34"/>
              <a:gd name="T6" fmla="*/ 2 w 56"/>
              <a:gd name="T7" fmla="*/ 0 h 34"/>
              <a:gd name="T8" fmla="*/ 0 w 56"/>
              <a:gd name="T9" fmla="*/ 18 h 34"/>
              <a:gd name="T10" fmla="*/ 0 w 56"/>
              <a:gd name="T11" fmla="*/ 34 h 34"/>
              <a:gd name="T12" fmla="*/ 0 60000 65536"/>
              <a:gd name="T13" fmla="*/ 0 60000 65536"/>
              <a:gd name="T14" fmla="*/ 0 60000 65536"/>
              <a:gd name="T15" fmla="*/ 0 60000 65536"/>
              <a:gd name="T16" fmla="*/ 0 60000 65536"/>
              <a:gd name="T17" fmla="*/ 0 60000 65536"/>
              <a:gd name="T18" fmla="*/ 0 w 56"/>
              <a:gd name="T19" fmla="*/ 0 h 34"/>
              <a:gd name="T20" fmla="*/ 56 w 56"/>
              <a:gd name="T21" fmla="*/ 34 h 34"/>
            </a:gdLst>
            <a:ahLst/>
            <a:cxnLst>
              <a:cxn ang="T12">
                <a:pos x="T0" y="T1"/>
              </a:cxn>
              <a:cxn ang="T13">
                <a:pos x="T2" y="T3"/>
              </a:cxn>
              <a:cxn ang="T14">
                <a:pos x="T4" y="T5"/>
              </a:cxn>
              <a:cxn ang="T15">
                <a:pos x="T6" y="T7"/>
              </a:cxn>
              <a:cxn ang="T16">
                <a:pos x="T8" y="T9"/>
              </a:cxn>
              <a:cxn ang="T17">
                <a:pos x="T10" y="T11"/>
              </a:cxn>
            </a:cxnLst>
            <a:rect l="T18" t="T19" r="T20" b="T21"/>
            <a:pathLst>
              <a:path w="56" h="34">
                <a:moveTo>
                  <a:pt x="56" y="9"/>
                </a:moveTo>
                <a:lnTo>
                  <a:pt x="51" y="3"/>
                </a:lnTo>
                <a:lnTo>
                  <a:pt x="23" y="0"/>
                </a:lnTo>
                <a:lnTo>
                  <a:pt x="10" y="0"/>
                </a:lnTo>
                <a:lnTo>
                  <a:pt x="0" y="18"/>
                </a:lnTo>
                <a:lnTo>
                  <a:pt x="0" y="34"/>
                </a:lnTo>
              </a:path>
            </a:pathLst>
          </a:custGeom>
          <a:noFill/>
          <a:ln w="38100">
            <a:solidFill>
              <a:srgbClr val="000000"/>
            </a:solidFill>
            <a:round/>
            <a:headEnd/>
            <a:tailEnd/>
          </a:ln>
        </xdr:spPr>
      </xdr:sp>
      <xdr:sp macro="" textlink="">
        <xdr:nvSpPr>
          <xdr:cNvPr id="534051" name="Freeform 664">
            <a:extLst>
              <a:ext uri="{FF2B5EF4-FFF2-40B4-BE49-F238E27FC236}">
                <a16:creationId xmlns:a16="http://schemas.microsoft.com/office/drawing/2014/main" id="{00000000-0008-0000-0500-000023260800}"/>
              </a:ext>
            </a:extLst>
          </xdr:cNvPr>
          <xdr:cNvSpPr>
            <a:spLocks/>
          </xdr:cNvSpPr>
        </xdr:nvSpPr>
        <xdr:spPr bwMode="auto">
          <a:xfrm>
            <a:off x="245" y="1149"/>
            <a:ext cx="3" cy="9"/>
          </a:xfrm>
          <a:custGeom>
            <a:avLst/>
            <a:gdLst>
              <a:gd name="T0" fmla="*/ 1 w 4"/>
              <a:gd name="T1" fmla="*/ 0 h 14"/>
              <a:gd name="T2" fmla="*/ 0 w 4"/>
              <a:gd name="T3" fmla="*/ 1 h 14"/>
              <a:gd name="T4" fmla="*/ 2 w 4"/>
              <a:gd name="T5" fmla="*/ 1 h 14"/>
              <a:gd name="T6" fmla="*/ 1 w 4"/>
              <a:gd name="T7" fmla="*/ 0 h 14"/>
              <a:gd name="T8" fmla="*/ 0 60000 65536"/>
              <a:gd name="T9" fmla="*/ 0 60000 65536"/>
              <a:gd name="T10" fmla="*/ 0 60000 65536"/>
              <a:gd name="T11" fmla="*/ 0 60000 65536"/>
              <a:gd name="T12" fmla="*/ 0 w 4"/>
              <a:gd name="T13" fmla="*/ 0 h 14"/>
              <a:gd name="T14" fmla="*/ 4 w 4"/>
              <a:gd name="T15" fmla="*/ 14 h 14"/>
            </a:gdLst>
            <a:ahLst/>
            <a:cxnLst>
              <a:cxn ang="T8">
                <a:pos x="T0" y="T1"/>
              </a:cxn>
              <a:cxn ang="T9">
                <a:pos x="T2" y="T3"/>
              </a:cxn>
              <a:cxn ang="T10">
                <a:pos x="T4" y="T5"/>
              </a:cxn>
              <a:cxn ang="T11">
                <a:pos x="T6" y="T7"/>
              </a:cxn>
            </a:cxnLst>
            <a:rect l="T12" t="T13" r="T14" b="T15"/>
            <a:pathLst>
              <a:path w="4" h="14">
                <a:moveTo>
                  <a:pt x="1" y="0"/>
                </a:moveTo>
                <a:cubicBezTo>
                  <a:pt x="2" y="0"/>
                  <a:pt x="0" y="10"/>
                  <a:pt x="0" y="12"/>
                </a:cubicBezTo>
                <a:cubicBezTo>
                  <a:pt x="0" y="14"/>
                  <a:pt x="4" y="13"/>
                  <a:pt x="4" y="11"/>
                </a:cubicBezTo>
                <a:cubicBezTo>
                  <a:pt x="4" y="9"/>
                  <a:pt x="2" y="1"/>
                  <a:pt x="1" y="0"/>
                </a:cubicBezTo>
                <a:close/>
              </a:path>
            </a:pathLst>
          </a:custGeom>
          <a:solidFill>
            <a:srgbClr val="996633"/>
          </a:solidFill>
          <a:ln w="9525">
            <a:solidFill>
              <a:srgbClr val="996633"/>
            </a:solidFill>
            <a:round/>
            <a:headEnd/>
            <a:tailEnd/>
          </a:ln>
        </xdr:spPr>
      </xdr:sp>
    </xdr:grpSp>
    <xdr:clientData/>
  </xdr:twoCellAnchor>
  <xdr:twoCellAnchor>
    <xdr:from>
      <xdr:col>8</xdr:col>
      <xdr:colOff>47625</xdr:colOff>
      <xdr:row>659</xdr:row>
      <xdr:rowOff>2017</xdr:rowOff>
    </xdr:from>
    <xdr:to>
      <xdr:col>18</xdr:col>
      <xdr:colOff>0</xdr:colOff>
      <xdr:row>659</xdr:row>
      <xdr:rowOff>2017</xdr:rowOff>
    </xdr:to>
    <xdr:sp macro="" textlink="">
      <xdr:nvSpPr>
        <xdr:cNvPr id="2" name="Text Box 17">
          <a:extLst>
            <a:ext uri="{FF2B5EF4-FFF2-40B4-BE49-F238E27FC236}">
              <a16:creationId xmlns:a16="http://schemas.microsoft.com/office/drawing/2014/main" id="{00000000-0008-0000-0500-000002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659</xdr:row>
      <xdr:rowOff>2017</xdr:rowOff>
    </xdr:from>
    <xdr:to>
      <xdr:col>17</xdr:col>
      <xdr:colOff>112406</xdr:colOff>
      <xdr:row>659</xdr:row>
      <xdr:rowOff>2017</xdr:rowOff>
    </xdr:to>
    <xdr:sp macro="" textlink="">
      <xdr:nvSpPr>
        <xdr:cNvPr id="3" name="Text Box 18">
          <a:extLst>
            <a:ext uri="{FF2B5EF4-FFF2-40B4-BE49-F238E27FC236}">
              <a16:creationId xmlns:a16="http://schemas.microsoft.com/office/drawing/2014/main" id="{00000000-0008-0000-0500-000003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47625</xdr:colOff>
      <xdr:row>659</xdr:row>
      <xdr:rowOff>2017</xdr:rowOff>
    </xdr:from>
    <xdr:to>
      <xdr:col>18</xdr:col>
      <xdr:colOff>0</xdr:colOff>
      <xdr:row>659</xdr:row>
      <xdr:rowOff>2017</xdr:rowOff>
    </xdr:to>
    <xdr:sp macro="" textlink="">
      <xdr:nvSpPr>
        <xdr:cNvPr id="4" name="Text Box 17">
          <a:extLst>
            <a:ext uri="{FF2B5EF4-FFF2-40B4-BE49-F238E27FC236}">
              <a16:creationId xmlns:a16="http://schemas.microsoft.com/office/drawing/2014/main" id="{00000000-0008-0000-0500-000004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659</xdr:row>
      <xdr:rowOff>2017</xdr:rowOff>
    </xdr:from>
    <xdr:to>
      <xdr:col>17</xdr:col>
      <xdr:colOff>112406</xdr:colOff>
      <xdr:row>659</xdr:row>
      <xdr:rowOff>2017</xdr:rowOff>
    </xdr:to>
    <xdr:sp macro="" textlink="">
      <xdr:nvSpPr>
        <xdr:cNvPr id="5" name="Text Box 18">
          <a:extLst>
            <a:ext uri="{FF2B5EF4-FFF2-40B4-BE49-F238E27FC236}">
              <a16:creationId xmlns:a16="http://schemas.microsoft.com/office/drawing/2014/main" id="{00000000-0008-0000-0500-000005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11765</xdr:colOff>
      <xdr:row>688</xdr:row>
      <xdr:rowOff>187138</xdr:rowOff>
    </xdr:from>
    <xdr:to>
      <xdr:col>16</xdr:col>
      <xdr:colOff>20394</xdr:colOff>
      <xdr:row>700</xdr:row>
      <xdr:rowOff>44822</xdr:rowOff>
    </xdr:to>
    <xdr:pic>
      <xdr:nvPicPr>
        <xdr:cNvPr id="533999" name="Picture 20">
          <a:extLst>
            <a:ext uri="{FF2B5EF4-FFF2-40B4-BE49-F238E27FC236}">
              <a16:creationId xmlns:a16="http://schemas.microsoft.com/office/drawing/2014/main" id="{00000000-0008-0000-0500-0000EF2508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032000" y="99986726"/>
          <a:ext cx="3695365" cy="2278155"/>
        </a:xfrm>
        <a:prstGeom prst="rect">
          <a:avLst/>
        </a:prstGeom>
        <a:noFill/>
        <a:ln w="1">
          <a:noFill/>
          <a:miter lim="800000"/>
          <a:headEnd/>
          <a:tailEnd/>
        </a:ln>
      </xdr:spPr>
    </xdr:pic>
    <xdr:clientData/>
  </xdr:twoCellAnchor>
  <xdr:twoCellAnchor>
    <xdr:from>
      <xdr:col>7</xdr:col>
      <xdr:colOff>154641</xdr:colOff>
      <xdr:row>701</xdr:row>
      <xdr:rowOff>49866</xdr:rowOff>
    </xdr:from>
    <xdr:to>
      <xdr:col>16</xdr:col>
      <xdr:colOff>56589</xdr:colOff>
      <xdr:row>712</xdr:row>
      <xdr:rowOff>30816</xdr:rowOff>
    </xdr:to>
    <xdr:pic>
      <xdr:nvPicPr>
        <xdr:cNvPr id="534000" name="Picture 21">
          <a:extLst>
            <a:ext uri="{FF2B5EF4-FFF2-40B4-BE49-F238E27FC236}">
              <a16:creationId xmlns:a16="http://schemas.microsoft.com/office/drawing/2014/main" id="{00000000-0008-0000-0500-0000F02508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4939553" y="102460425"/>
          <a:ext cx="3824007" cy="2076450"/>
        </a:xfrm>
        <a:prstGeom prst="rect">
          <a:avLst/>
        </a:prstGeom>
        <a:noFill/>
        <a:ln w="1">
          <a:noFill/>
          <a:miter lim="800000"/>
          <a:headEnd/>
          <a:tailEnd/>
        </a:ln>
      </xdr:spPr>
    </xdr:pic>
    <xdr:clientData/>
  </xdr:twoCellAnchor>
  <xdr:twoCellAnchor editAs="oneCell">
    <xdr:from>
      <xdr:col>1</xdr:col>
      <xdr:colOff>362269</xdr:colOff>
      <xdr:row>146</xdr:row>
      <xdr:rowOff>45943</xdr:rowOff>
    </xdr:from>
    <xdr:to>
      <xdr:col>3</xdr:col>
      <xdr:colOff>156322</xdr:colOff>
      <xdr:row>149</xdr:row>
      <xdr:rowOff>100852</xdr:rowOff>
    </xdr:to>
    <xdr:pic>
      <xdr:nvPicPr>
        <xdr:cNvPr id="534002" name="Picture 9181">
          <a:extLst>
            <a:ext uri="{FF2B5EF4-FFF2-40B4-BE49-F238E27FC236}">
              <a16:creationId xmlns:a16="http://schemas.microsoft.com/office/drawing/2014/main" id="{00000000-0008-0000-0500-0000F22508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550093" y="22412884"/>
          <a:ext cx="690523" cy="626409"/>
        </a:xfrm>
        <a:prstGeom prst="rect">
          <a:avLst/>
        </a:prstGeom>
        <a:noFill/>
        <a:ln w="1">
          <a:noFill/>
          <a:miter lim="800000"/>
          <a:headEnd/>
          <a:tailEnd/>
        </a:ln>
      </xdr:spPr>
    </xdr:pic>
    <xdr:clientData/>
  </xdr:twoCellAnchor>
  <xdr:twoCellAnchor>
    <xdr:from>
      <xdr:col>8</xdr:col>
      <xdr:colOff>94466</xdr:colOff>
      <xdr:row>548</xdr:row>
      <xdr:rowOff>27565</xdr:rowOff>
    </xdr:from>
    <xdr:to>
      <xdr:col>21</xdr:col>
      <xdr:colOff>91440</xdr:colOff>
      <xdr:row>551</xdr:row>
      <xdr:rowOff>114300</xdr:rowOff>
    </xdr:to>
    <xdr:sp macro="" textlink="">
      <xdr:nvSpPr>
        <xdr:cNvPr id="6" name="TextBox 183">
          <a:extLst>
            <a:ext uri="{FF2B5EF4-FFF2-40B4-BE49-F238E27FC236}">
              <a16:creationId xmlns:a16="http://schemas.microsoft.com/office/drawing/2014/main" id="{00000000-0008-0000-0500-000006000000}"/>
            </a:ext>
          </a:extLst>
        </xdr:cNvPr>
        <xdr:cNvSpPr txBox="1"/>
      </xdr:nvSpPr>
      <xdr:spPr>
        <a:xfrm>
          <a:off x="5100806" y="100222945"/>
          <a:ext cx="5216674" cy="658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USE PERFORMANCE PACK</a:t>
          </a:r>
          <a:r>
            <a:rPr lang="en-US" sz="1800" b="1" baseline="0">
              <a:solidFill>
                <a:srgbClr val="FF0000"/>
              </a:solidFill>
            </a:rPr>
            <a:t> DATA TO DETERMINE WHETHER OR NOT THE REINFORCEMENT IS NEEDED.</a:t>
          </a:r>
          <a:endParaRPr lang="en-US" sz="1800" b="1">
            <a:solidFill>
              <a:srgbClr val="FF0000"/>
            </a:solidFill>
          </a:endParaRPr>
        </a:p>
      </xdr:txBody>
    </xdr:sp>
    <xdr:clientData/>
  </xdr:twoCellAnchor>
  <xdr:twoCellAnchor editAs="oneCell">
    <xdr:from>
      <xdr:col>5</xdr:col>
      <xdr:colOff>796177</xdr:colOff>
      <xdr:row>404</xdr:row>
      <xdr:rowOff>49306</xdr:rowOff>
    </xdr:from>
    <xdr:to>
      <xdr:col>6</xdr:col>
      <xdr:colOff>290792</xdr:colOff>
      <xdr:row>407</xdr:row>
      <xdr:rowOff>154081</xdr:rowOff>
    </xdr:to>
    <xdr:pic>
      <xdr:nvPicPr>
        <xdr:cNvPr id="534012" name="Picture 24051">
          <a:extLst>
            <a:ext uri="{FF2B5EF4-FFF2-40B4-BE49-F238E27FC236}">
              <a16:creationId xmlns:a16="http://schemas.microsoft.com/office/drawing/2014/main" id="{00000000-0008-0000-0500-0000FC2508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978648" y="63351335"/>
          <a:ext cx="413497" cy="676275"/>
        </a:xfrm>
        <a:prstGeom prst="rect">
          <a:avLst/>
        </a:prstGeom>
        <a:noFill/>
        <a:ln w="1">
          <a:noFill/>
          <a:miter lim="800000"/>
          <a:headEnd/>
          <a:tailEnd/>
        </a:ln>
      </xdr:spPr>
    </xdr:pic>
    <xdr:clientData/>
  </xdr:twoCellAnchor>
  <xdr:twoCellAnchor>
    <xdr:from>
      <xdr:col>39</xdr:col>
      <xdr:colOff>0</xdr:colOff>
      <xdr:row>198</xdr:row>
      <xdr:rowOff>104775</xdr:rowOff>
    </xdr:from>
    <xdr:to>
      <xdr:col>39</xdr:col>
      <xdr:colOff>0</xdr:colOff>
      <xdr:row>198</xdr:row>
      <xdr:rowOff>104775</xdr:rowOff>
    </xdr:to>
    <xdr:sp macro="" textlink="">
      <xdr:nvSpPr>
        <xdr:cNvPr id="534018" name="Line 3">
          <a:extLst>
            <a:ext uri="{FF2B5EF4-FFF2-40B4-BE49-F238E27FC236}">
              <a16:creationId xmlns:a16="http://schemas.microsoft.com/office/drawing/2014/main" id="{00000000-0008-0000-0500-00000226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199</xdr:row>
      <xdr:rowOff>104775</xdr:rowOff>
    </xdr:from>
    <xdr:to>
      <xdr:col>39</xdr:col>
      <xdr:colOff>0</xdr:colOff>
      <xdr:row>199</xdr:row>
      <xdr:rowOff>104775</xdr:rowOff>
    </xdr:to>
    <xdr:sp macro="" textlink="">
      <xdr:nvSpPr>
        <xdr:cNvPr id="534019" name="Line 3">
          <a:extLst>
            <a:ext uri="{FF2B5EF4-FFF2-40B4-BE49-F238E27FC236}">
              <a16:creationId xmlns:a16="http://schemas.microsoft.com/office/drawing/2014/main" id="{00000000-0008-0000-0500-00000326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4020" name="Line 3">
          <a:extLst>
            <a:ext uri="{FF2B5EF4-FFF2-40B4-BE49-F238E27FC236}">
              <a16:creationId xmlns:a16="http://schemas.microsoft.com/office/drawing/2014/main" id="{00000000-0008-0000-0500-00000426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199</xdr:row>
      <xdr:rowOff>104775</xdr:rowOff>
    </xdr:from>
    <xdr:to>
      <xdr:col>39</xdr:col>
      <xdr:colOff>0</xdr:colOff>
      <xdr:row>199</xdr:row>
      <xdr:rowOff>104775</xdr:rowOff>
    </xdr:to>
    <xdr:sp macro="" textlink="">
      <xdr:nvSpPr>
        <xdr:cNvPr id="534021" name="Line 3">
          <a:extLst>
            <a:ext uri="{FF2B5EF4-FFF2-40B4-BE49-F238E27FC236}">
              <a16:creationId xmlns:a16="http://schemas.microsoft.com/office/drawing/2014/main" id="{00000000-0008-0000-0500-00000526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4026" name="Line 3">
          <a:extLst>
            <a:ext uri="{FF2B5EF4-FFF2-40B4-BE49-F238E27FC236}">
              <a16:creationId xmlns:a16="http://schemas.microsoft.com/office/drawing/2014/main" id="{00000000-0008-0000-0500-00000A260800}"/>
            </a:ext>
          </a:extLst>
        </xdr:cNvPr>
        <xdr:cNvSpPr>
          <a:spLocks noChangeShapeType="1"/>
        </xdr:cNvSpPr>
      </xdr:nvSpPr>
      <xdr:spPr bwMode="auto">
        <a:xfrm>
          <a:off x="20935950" y="21221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208</xdr:row>
      <xdr:rowOff>104775</xdr:rowOff>
    </xdr:from>
    <xdr:to>
      <xdr:col>39</xdr:col>
      <xdr:colOff>0</xdr:colOff>
      <xdr:row>208</xdr:row>
      <xdr:rowOff>104775</xdr:rowOff>
    </xdr:to>
    <xdr:sp macro="" textlink="">
      <xdr:nvSpPr>
        <xdr:cNvPr id="534027" name="Line 3">
          <a:extLst>
            <a:ext uri="{FF2B5EF4-FFF2-40B4-BE49-F238E27FC236}">
              <a16:creationId xmlns:a16="http://schemas.microsoft.com/office/drawing/2014/main" id="{00000000-0008-0000-0500-00000B260800}"/>
            </a:ext>
          </a:extLst>
        </xdr:cNvPr>
        <xdr:cNvSpPr>
          <a:spLocks noChangeShapeType="1"/>
        </xdr:cNvSpPr>
      </xdr:nvSpPr>
      <xdr:spPr bwMode="auto">
        <a:xfrm>
          <a:off x="20935950" y="2141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4028" name="Line 3">
          <a:extLst>
            <a:ext uri="{FF2B5EF4-FFF2-40B4-BE49-F238E27FC236}">
              <a16:creationId xmlns:a16="http://schemas.microsoft.com/office/drawing/2014/main" id="{00000000-0008-0000-0500-00000C260800}"/>
            </a:ext>
          </a:extLst>
        </xdr:cNvPr>
        <xdr:cNvSpPr>
          <a:spLocks noChangeShapeType="1"/>
        </xdr:cNvSpPr>
      </xdr:nvSpPr>
      <xdr:spPr bwMode="auto">
        <a:xfrm>
          <a:off x="20935950" y="21221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208</xdr:row>
      <xdr:rowOff>104775</xdr:rowOff>
    </xdr:from>
    <xdr:to>
      <xdr:col>39</xdr:col>
      <xdr:colOff>0</xdr:colOff>
      <xdr:row>208</xdr:row>
      <xdr:rowOff>104775</xdr:rowOff>
    </xdr:to>
    <xdr:sp macro="" textlink="">
      <xdr:nvSpPr>
        <xdr:cNvPr id="534029" name="Line 3">
          <a:extLst>
            <a:ext uri="{FF2B5EF4-FFF2-40B4-BE49-F238E27FC236}">
              <a16:creationId xmlns:a16="http://schemas.microsoft.com/office/drawing/2014/main" id="{00000000-0008-0000-0500-00000D260800}"/>
            </a:ext>
          </a:extLst>
        </xdr:cNvPr>
        <xdr:cNvSpPr>
          <a:spLocks noChangeShapeType="1"/>
        </xdr:cNvSpPr>
      </xdr:nvSpPr>
      <xdr:spPr bwMode="auto">
        <a:xfrm>
          <a:off x="20935950" y="2141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4034" name="Line 3">
          <a:extLst>
            <a:ext uri="{FF2B5EF4-FFF2-40B4-BE49-F238E27FC236}">
              <a16:creationId xmlns:a16="http://schemas.microsoft.com/office/drawing/2014/main" id="{00000000-0008-0000-0500-00001226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179</xdr:row>
      <xdr:rowOff>104775</xdr:rowOff>
    </xdr:from>
    <xdr:to>
      <xdr:col>39</xdr:col>
      <xdr:colOff>0</xdr:colOff>
      <xdr:row>179</xdr:row>
      <xdr:rowOff>104775</xdr:rowOff>
    </xdr:to>
    <xdr:sp macro="" textlink="">
      <xdr:nvSpPr>
        <xdr:cNvPr id="534035" name="Line 3">
          <a:extLst>
            <a:ext uri="{FF2B5EF4-FFF2-40B4-BE49-F238E27FC236}">
              <a16:creationId xmlns:a16="http://schemas.microsoft.com/office/drawing/2014/main" id="{00000000-0008-0000-0500-00001326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4036" name="Line 3">
          <a:extLst>
            <a:ext uri="{FF2B5EF4-FFF2-40B4-BE49-F238E27FC236}">
              <a16:creationId xmlns:a16="http://schemas.microsoft.com/office/drawing/2014/main" id="{00000000-0008-0000-0500-00001426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179</xdr:row>
      <xdr:rowOff>104775</xdr:rowOff>
    </xdr:from>
    <xdr:to>
      <xdr:col>39</xdr:col>
      <xdr:colOff>0</xdr:colOff>
      <xdr:row>179</xdr:row>
      <xdr:rowOff>104775</xdr:rowOff>
    </xdr:to>
    <xdr:sp macro="" textlink="">
      <xdr:nvSpPr>
        <xdr:cNvPr id="534037" name="Line 3">
          <a:extLst>
            <a:ext uri="{FF2B5EF4-FFF2-40B4-BE49-F238E27FC236}">
              <a16:creationId xmlns:a16="http://schemas.microsoft.com/office/drawing/2014/main" id="{00000000-0008-0000-0500-00001526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4042" name="Line 3">
          <a:extLst>
            <a:ext uri="{FF2B5EF4-FFF2-40B4-BE49-F238E27FC236}">
              <a16:creationId xmlns:a16="http://schemas.microsoft.com/office/drawing/2014/main" id="{00000000-0008-0000-0500-00001A26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170</xdr:row>
      <xdr:rowOff>104775</xdr:rowOff>
    </xdr:from>
    <xdr:to>
      <xdr:col>39</xdr:col>
      <xdr:colOff>0</xdr:colOff>
      <xdr:row>170</xdr:row>
      <xdr:rowOff>104775</xdr:rowOff>
    </xdr:to>
    <xdr:sp macro="" textlink="">
      <xdr:nvSpPr>
        <xdr:cNvPr id="534043" name="Line 3">
          <a:extLst>
            <a:ext uri="{FF2B5EF4-FFF2-40B4-BE49-F238E27FC236}">
              <a16:creationId xmlns:a16="http://schemas.microsoft.com/office/drawing/2014/main" id="{00000000-0008-0000-0500-00001B26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4044" name="Line 3">
          <a:extLst>
            <a:ext uri="{FF2B5EF4-FFF2-40B4-BE49-F238E27FC236}">
              <a16:creationId xmlns:a16="http://schemas.microsoft.com/office/drawing/2014/main" id="{00000000-0008-0000-0500-00001C26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170</xdr:row>
      <xdr:rowOff>104775</xdr:rowOff>
    </xdr:from>
    <xdr:to>
      <xdr:col>39</xdr:col>
      <xdr:colOff>0</xdr:colOff>
      <xdr:row>170</xdr:row>
      <xdr:rowOff>104775</xdr:rowOff>
    </xdr:to>
    <xdr:sp macro="" textlink="">
      <xdr:nvSpPr>
        <xdr:cNvPr id="534045" name="Line 3">
          <a:extLst>
            <a:ext uri="{FF2B5EF4-FFF2-40B4-BE49-F238E27FC236}">
              <a16:creationId xmlns:a16="http://schemas.microsoft.com/office/drawing/2014/main" id="{00000000-0008-0000-0500-00001D26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editAs="oneCell">
    <xdr:from>
      <xdr:col>3</xdr:col>
      <xdr:colOff>0</xdr:colOff>
      <xdr:row>140</xdr:row>
      <xdr:rowOff>0</xdr:rowOff>
    </xdr:from>
    <xdr:to>
      <xdr:col>5</xdr:col>
      <xdr:colOff>761009</xdr:colOff>
      <xdr:row>142</xdr:row>
      <xdr:rowOff>69725</xdr:rowOff>
    </xdr:to>
    <xdr:pic>
      <xdr:nvPicPr>
        <xdr:cNvPr id="174" name="Picture 80538">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2084294" y="21481676"/>
          <a:ext cx="1859186" cy="450725"/>
        </a:xfrm>
        <a:prstGeom prst="rect">
          <a:avLst/>
        </a:prstGeom>
        <a:noFill/>
        <a:ln w="1">
          <a:noFill/>
          <a:miter lim="800000"/>
          <a:headEnd/>
          <a:tailEnd type="none" w="med" len="med"/>
        </a:ln>
        <a:effectLst/>
      </xdr:spPr>
    </xdr:pic>
    <xdr:clientData/>
  </xdr:twoCellAnchor>
  <xdr:twoCellAnchor editAs="oneCell">
    <xdr:from>
      <xdr:col>1</xdr:col>
      <xdr:colOff>0</xdr:colOff>
      <xdr:row>337</xdr:row>
      <xdr:rowOff>0</xdr:rowOff>
    </xdr:from>
    <xdr:to>
      <xdr:col>3</xdr:col>
      <xdr:colOff>106458</xdr:colOff>
      <xdr:row>339</xdr:row>
      <xdr:rowOff>94983</xdr:rowOff>
    </xdr:to>
    <xdr:pic>
      <xdr:nvPicPr>
        <xdr:cNvPr id="177" name="Picture 80544">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rot="5400000">
          <a:off x="1440090" y="46162499"/>
          <a:ext cx="498396" cy="1002928"/>
        </a:xfrm>
        <a:prstGeom prst="rect">
          <a:avLst/>
        </a:prstGeom>
        <a:noFill/>
        <a:ln w="1">
          <a:noFill/>
          <a:miter lim="800000"/>
          <a:headEnd/>
          <a:tailEnd type="none" w="med" len="med"/>
        </a:ln>
        <a:effectLst/>
      </xdr:spPr>
    </xdr:pic>
    <xdr:clientData/>
  </xdr:twoCellAnchor>
  <xdr:twoCellAnchor editAs="oneCell">
    <xdr:from>
      <xdr:col>1</xdr:col>
      <xdr:colOff>100852</xdr:colOff>
      <xdr:row>265</xdr:row>
      <xdr:rowOff>134470</xdr:rowOff>
    </xdr:from>
    <xdr:to>
      <xdr:col>3</xdr:col>
      <xdr:colOff>47624</xdr:colOff>
      <xdr:row>267</xdr:row>
      <xdr:rowOff>163045</xdr:rowOff>
    </xdr:to>
    <xdr:pic>
      <xdr:nvPicPr>
        <xdr:cNvPr id="195" name="Picture 29268">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288676" y="38716323"/>
          <a:ext cx="843242" cy="409575"/>
        </a:xfrm>
        <a:prstGeom prst="rect">
          <a:avLst/>
        </a:prstGeom>
        <a:noFill/>
        <a:ln w="1">
          <a:noFill/>
          <a:miter lim="800000"/>
          <a:headEnd/>
          <a:tailEnd/>
        </a:ln>
      </xdr:spPr>
    </xdr:pic>
    <xdr:clientData/>
  </xdr:twoCellAnchor>
  <xdr:twoCellAnchor editAs="oneCell">
    <xdr:from>
      <xdr:col>1</xdr:col>
      <xdr:colOff>201706</xdr:colOff>
      <xdr:row>385</xdr:row>
      <xdr:rowOff>169769</xdr:rowOff>
    </xdr:from>
    <xdr:to>
      <xdr:col>2</xdr:col>
      <xdr:colOff>280148</xdr:colOff>
      <xdr:row>388</xdr:row>
      <xdr:rowOff>179294</xdr:rowOff>
    </xdr:to>
    <xdr:pic>
      <xdr:nvPicPr>
        <xdr:cNvPr id="198" name="Picture 21111">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8" cstate="print">
          <a:clrChange>
            <a:clrFrom>
              <a:srgbClr val="000000"/>
            </a:clrFrom>
            <a:clrTo>
              <a:srgbClr val="000000">
                <a:alpha val="0"/>
              </a:srgbClr>
            </a:clrTo>
          </a:clrChange>
          <a:lum bright="-24000" contrast="36000"/>
        </a:blip>
        <a:srcRect/>
        <a:stretch>
          <a:fillRect/>
        </a:stretch>
      </xdr:blipFill>
      <xdr:spPr bwMode="auto">
        <a:xfrm>
          <a:off x="1392331" y="59834369"/>
          <a:ext cx="659467" cy="581025"/>
        </a:xfrm>
        <a:prstGeom prst="rect">
          <a:avLst/>
        </a:prstGeom>
        <a:noFill/>
        <a:ln w="1">
          <a:noFill/>
          <a:miter lim="800000"/>
          <a:headEnd/>
          <a:tailEnd/>
        </a:ln>
      </xdr:spPr>
    </xdr:pic>
    <xdr:clientData/>
  </xdr:twoCellAnchor>
  <xdr:twoCellAnchor editAs="oneCell">
    <xdr:from>
      <xdr:col>5</xdr:col>
      <xdr:colOff>672355</xdr:colOff>
      <xdr:row>594</xdr:row>
      <xdr:rowOff>78441</xdr:rowOff>
    </xdr:from>
    <xdr:to>
      <xdr:col>6</xdr:col>
      <xdr:colOff>481855</xdr:colOff>
      <xdr:row>597</xdr:row>
      <xdr:rowOff>91959</xdr:rowOff>
    </xdr:to>
    <xdr:pic>
      <xdr:nvPicPr>
        <xdr:cNvPr id="201" name="Picture 44428">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853705" y="89651541"/>
          <a:ext cx="733425" cy="470717"/>
        </a:xfrm>
        <a:prstGeom prst="rect">
          <a:avLst/>
        </a:prstGeom>
        <a:noFill/>
        <a:ln w="1">
          <a:noFill/>
          <a:miter lim="800000"/>
          <a:headEnd/>
          <a:tailEnd type="none" w="med" len="med"/>
        </a:ln>
        <a:effectLst/>
      </xdr:spPr>
    </xdr:pic>
    <xdr:clientData/>
  </xdr:twoCellAnchor>
  <xdr:twoCellAnchor editAs="oneCell">
    <xdr:from>
      <xdr:col>5</xdr:col>
      <xdr:colOff>672353</xdr:colOff>
      <xdr:row>598</xdr:row>
      <xdr:rowOff>123265</xdr:rowOff>
    </xdr:from>
    <xdr:to>
      <xdr:col>6</xdr:col>
      <xdr:colOff>483580</xdr:colOff>
      <xdr:row>601</xdr:row>
      <xdr:rowOff>11206</xdr:rowOff>
    </xdr:to>
    <xdr:pic>
      <xdr:nvPicPr>
        <xdr:cNvPr id="202" name="Picture 44429">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853703" y="90315490"/>
          <a:ext cx="735152" cy="459441"/>
        </a:xfrm>
        <a:prstGeom prst="rect">
          <a:avLst/>
        </a:prstGeom>
        <a:noFill/>
        <a:ln w="1">
          <a:noFill/>
          <a:miter lim="800000"/>
          <a:headEnd/>
          <a:tailEnd type="none" w="med" len="med"/>
        </a:ln>
        <a:effectLst/>
      </xdr:spPr>
    </xdr:pic>
    <xdr:clientData/>
  </xdr:twoCellAnchor>
  <xdr:twoCellAnchor editAs="oneCell">
    <xdr:from>
      <xdr:col>5</xdr:col>
      <xdr:colOff>358588</xdr:colOff>
      <xdr:row>364</xdr:row>
      <xdr:rowOff>78441</xdr:rowOff>
    </xdr:from>
    <xdr:to>
      <xdr:col>6</xdr:col>
      <xdr:colOff>425822</xdr:colOff>
      <xdr:row>367</xdr:row>
      <xdr:rowOff>126611</xdr:rowOff>
    </xdr:to>
    <xdr:pic>
      <xdr:nvPicPr>
        <xdr:cNvPr id="214" name="Picture 44425">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3539938" y="53399391"/>
          <a:ext cx="991159" cy="619670"/>
        </a:xfrm>
        <a:prstGeom prst="rect">
          <a:avLst/>
        </a:prstGeom>
        <a:noFill/>
        <a:ln w="1">
          <a:noFill/>
          <a:miter lim="800000"/>
          <a:headEnd/>
          <a:tailEnd type="none" w="med" len="med"/>
        </a:ln>
        <a:effectLst/>
      </xdr:spPr>
    </xdr:pic>
    <xdr:clientData/>
  </xdr:twoCellAnchor>
  <xdr:twoCellAnchor editAs="oneCell">
    <xdr:from>
      <xdr:col>5</xdr:col>
      <xdr:colOff>246529</xdr:colOff>
      <xdr:row>368</xdr:row>
      <xdr:rowOff>78441</xdr:rowOff>
    </xdr:from>
    <xdr:to>
      <xdr:col>6</xdr:col>
      <xdr:colOff>621205</xdr:colOff>
      <xdr:row>371</xdr:row>
      <xdr:rowOff>100853</xdr:rowOff>
    </xdr:to>
    <xdr:pic>
      <xdr:nvPicPr>
        <xdr:cNvPr id="215" name="Picture 44426">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427879" y="54161391"/>
          <a:ext cx="1298601" cy="593912"/>
        </a:xfrm>
        <a:prstGeom prst="rect">
          <a:avLst/>
        </a:prstGeom>
        <a:noFill/>
        <a:ln w="1">
          <a:noFill/>
          <a:miter lim="800000"/>
          <a:headEnd/>
          <a:tailEnd type="none" w="med" len="med"/>
        </a:ln>
        <a:effectLst/>
      </xdr:spPr>
    </xdr:pic>
    <xdr:clientData/>
  </xdr:twoCellAnchor>
  <xdr:twoCellAnchor editAs="oneCell">
    <xdr:from>
      <xdr:col>3</xdr:col>
      <xdr:colOff>0</xdr:colOff>
      <xdr:row>620</xdr:row>
      <xdr:rowOff>0</xdr:rowOff>
    </xdr:from>
    <xdr:to>
      <xdr:col>4</xdr:col>
      <xdr:colOff>476250</xdr:colOff>
      <xdr:row>623</xdr:row>
      <xdr:rowOff>165287</xdr:rowOff>
    </xdr:to>
    <xdr:pic>
      <xdr:nvPicPr>
        <xdr:cNvPr id="226" name="Picture 21101">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2085975" y="95554800"/>
          <a:ext cx="752475" cy="736787"/>
        </a:xfrm>
        <a:prstGeom prst="rect">
          <a:avLst/>
        </a:prstGeom>
        <a:noFill/>
        <a:ln w="1">
          <a:noFill/>
          <a:miter lim="800000"/>
          <a:headEnd/>
          <a:tailEnd/>
        </a:ln>
      </xdr:spPr>
    </xdr:pic>
    <xdr:clientData/>
  </xdr:twoCellAnchor>
  <xdr:twoCellAnchor editAs="oneCell">
    <xdr:from>
      <xdr:col>2</xdr:col>
      <xdr:colOff>238461</xdr:colOff>
      <xdr:row>639</xdr:row>
      <xdr:rowOff>108025</xdr:rowOff>
    </xdr:from>
    <xdr:to>
      <xdr:col>4</xdr:col>
      <xdr:colOff>381336</xdr:colOff>
      <xdr:row>642</xdr:row>
      <xdr:rowOff>136600</xdr:rowOff>
    </xdr:to>
    <xdr:pic>
      <xdr:nvPicPr>
        <xdr:cNvPr id="228" name="Picture 24489">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2006301" y="117273145"/>
          <a:ext cx="729615" cy="600075"/>
        </a:xfrm>
        <a:prstGeom prst="rect">
          <a:avLst/>
        </a:prstGeom>
        <a:noFill/>
        <a:ln w="1">
          <a:noFill/>
          <a:miter lim="800000"/>
          <a:headEnd/>
          <a:tailEnd/>
        </a:ln>
      </xdr:spPr>
    </xdr:pic>
    <xdr:clientData/>
  </xdr:twoCellAnchor>
  <xdr:twoCellAnchor editAs="oneCell">
    <xdr:from>
      <xdr:col>2</xdr:col>
      <xdr:colOff>75641</xdr:colOff>
      <xdr:row>630</xdr:row>
      <xdr:rowOff>97492</xdr:rowOff>
    </xdr:from>
    <xdr:to>
      <xdr:col>4</xdr:col>
      <xdr:colOff>104776</xdr:colOff>
      <xdr:row>632</xdr:row>
      <xdr:rowOff>135592</xdr:rowOff>
    </xdr:to>
    <xdr:pic>
      <xdr:nvPicPr>
        <xdr:cNvPr id="229" name="Picture 21100">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25" cstate="print">
          <a:clrChange>
            <a:clrFrom>
              <a:srgbClr val="FFFFFF"/>
            </a:clrFrom>
            <a:clrTo>
              <a:srgbClr val="FFFFFF">
                <a:alpha val="0"/>
              </a:srgbClr>
            </a:clrTo>
          </a:clrChange>
        </a:blip>
        <a:srcRect/>
        <a:stretch>
          <a:fillRect/>
        </a:stretch>
      </xdr:blipFill>
      <xdr:spPr bwMode="auto">
        <a:xfrm>
          <a:off x="1847291" y="97366792"/>
          <a:ext cx="619685" cy="419100"/>
        </a:xfrm>
        <a:prstGeom prst="rect">
          <a:avLst/>
        </a:prstGeom>
        <a:noFill/>
        <a:ln w="1">
          <a:noFill/>
          <a:miter lim="800000"/>
          <a:headEnd/>
          <a:tailEnd/>
        </a:ln>
      </xdr:spPr>
    </xdr:pic>
    <xdr:clientData/>
  </xdr:twoCellAnchor>
  <xdr:twoCellAnchor editAs="oneCell">
    <xdr:from>
      <xdr:col>2</xdr:col>
      <xdr:colOff>174812</xdr:colOff>
      <xdr:row>635</xdr:row>
      <xdr:rowOff>93010</xdr:rowOff>
    </xdr:from>
    <xdr:to>
      <xdr:col>4</xdr:col>
      <xdr:colOff>165847</xdr:colOff>
      <xdr:row>638</xdr:row>
      <xdr:rowOff>102535</xdr:rowOff>
    </xdr:to>
    <xdr:pic>
      <xdr:nvPicPr>
        <xdr:cNvPr id="230" name="Picture 21103">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26" cstate="print">
          <a:clrChange>
            <a:clrFrom>
              <a:srgbClr val="FFFFFF"/>
            </a:clrFrom>
            <a:clrTo>
              <a:srgbClr val="FFFFFF">
                <a:alpha val="0"/>
              </a:srgbClr>
            </a:clrTo>
          </a:clrChange>
        </a:blip>
        <a:srcRect/>
        <a:stretch>
          <a:fillRect/>
        </a:stretch>
      </xdr:blipFill>
      <xdr:spPr bwMode="auto">
        <a:xfrm>
          <a:off x="1946462" y="98314810"/>
          <a:ext cx="581585" cy="581025"/>
        </a:xfrm>
        <a:prstGeom prst="rect">
          <a:avLst/>
        </a:prstGeom>
        <a:noFill/>
        <a:ln w="1">
          <a:noFill/>
          <a:miter lim="800000"/>
          <a:headEnd/>
          <a:tailEnd/>
        </a:ln>
      </xdr:spPr>
    </xdr:pic>
    <xdr:clientData/>
  </xdr:twoCellAnchor>
  <xdr:twoCellAnchor editAs="oneCell">
    <xdr:from>
      <xdr:col>1</xdr:col>
      <xdr:colOff>217394</xdr:colOff>
      <xdr:row>420</xdr:row>
      <xdr:rowOff>238125</xdr:rowOff>
    </xdr:from>
    <xdr:to>
      <xdr:col>4</xdr:col>
      <xdr:colOff>623047</xdr:colOff>
      <xdr:row>420</xdr:row>
      <xdr:rowOff>611841</xdr:rowOff>
    </xdr:to>
    <xdr:pic>
      <xdr:nvPicPr>
        <xdr:cNvPr id="232" name="Picture 80550">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408019" y="66734531"/>
          <a:ext cx="1572466" cy="373716"/>
        </a:xfrm>
        <a:prstGeom prst="rect">
          <a:avLst/>
        </a:prstGeom>
        <a:noFill/>
        <a:ln w="1">
          <a:noFill/>
          <a:miter lim="800000"/>
          <a:headEnd/>
          <a:tailEnd type="none" w="med" len="med"/>
        </a:ln>
        <a:effectLst/>
      </xdr:spPr>
    </xdr:pic>
    <xdr:clientData/>
  </xdr:twoCellAnchor>
  <xdr:twoCellAnchor editAs="oneCell">
    <xdr:from>
      <xdr:col>4</xdr:col>
      <xdr:colOff>351305</xdr:colOff>
      <xdr:row>421</xdr:row>
      <xdr:rowOff>149038</xdr:rowOff>
    </xdr:from>
    <xdr:to>
      <xdr:col>5</xdr:col>
      <xdr:colOff>307602</xdr:colOff>
      <xdr:row>424</xdr:row>
      <xdr:rowOff>121023</xdr:rowOff>
    </xdr:to>
    <xdr:pic>
      <xdr:nvPicPr>
        <xdr:cNvPr id="233" name="Picture 29293">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713505" y="65947738"/>
          <a:ext cx="775447" cy="543485"/>
        </a:xfrm>
        <a:prstGeom prst="rect">
          <a:avLst/>
        </a:prstGeom>
        <a:noFill/>
        <a:ln w="1">
          <a:noFill/>
          <a:miter lim="800000"/>
          <a:headEnd/>
          <a:tailEnd/>
        </a:ln>
      </xdr:spPr>
    </xdr:pic>
    <xdr:clientData/>
  </xdr:twoCellAnchor>
  <xdr:twoCellAnchor>
    <xdr:from>
      <xdr:col>33</xdr:col>
      <xdr:colOff>609600</xdr:colOff>
      <xdr:row>2</xdr:row>
      <xdr:rowOff>19050</xdr:rowOff>
    </xdr:from>
    <xdr:to>
      <xdr:col>37</xdr:col>
      <xdr:colOff>209550</xdr:colOff>
      <xdr:row>4</xdr:row>
      <xdr:rowOff>161925</xdr:rowOff>
    </xdr:to>
    <xdr:sp macro="" textlink="">
      <xdr:nvSpPr>
        <xdr:cNvPr id="235" name="TextBox 234">
          <a:extLst>
            <a:ext uri="{FF2B5EF4-FFF2-40B4-BE49-F238E27FC236}">
              <a16:creationId xmlns:a16="http://schemas.microsoft.com/office/drawing/2014/main" id="{00000000-0008-0000-0500-0000EB000000}"/>
            </a:ext>
          </a:extLst>
        </xdr:cNvPr>
        <xdr:cNvSpPr txBox="1"/>
      </xdr:nvSpPr>
      <xdr:spPr>
        <a:xfrm>
          <a:off x="16421100" y="714375"/>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xdr:from>
      <xdr:col>1</xdr:col>
      <xdr:colOff>514350</xdr:colOff>
      <xdr:row>157</xdr:row>
      <xdr:rowOff>171450</xdr:rowOff>
    </xdr:from>
    <xdr:to>
      <xdr:col>4</xdr:col>
      <xdr:colOff>352425</xdr:colOff>
      <xdr:row>159</xdr:row>
      <xdr:rowOff>171450</xdr:rowOff>
    </xdr:to>
    <xdr:pic>
      <xdr:nvPicPr>
        <xdr:cNvPr id="236" name="Picture 80634">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704975" y="24031575"/>
          <a:ext cx="1009650" cy="381000"/>
        </a:xfrm>
        <a:prstGeom prst="rect">
          <a:avLst/>
        </a:prstGeom>
        <a:noFill/>
        <a:ln w="1">
          <a:noFill/>
          <a:miter lim="800000"/>
          <a:headEnd/>
          <a:tailEnd type="none" w="med" len="med"/>
        </a:ln>
        <a:effectLst/>
      </xdr:spPr>
    </xdr:pic>
    <xdr:clientData/>
  </xdr:twoCellAnchor>
  <xdr:twoCellAnchor editAs="oneCell">
    <xdr:from>
      <xdr:col>3</xdr:col>
      <xdr:colOff>188259</xdr:colOff>
      <xdr:row>134</xdr:row>
      <xdr:rowOff>125506</xdr:rowOff>
    </xdr:from>
    <xdr:to>
      <xdr:col>5</xdr:col>
      <xdr:colOff>228487</xdr:colOff>
      <xdr:row>136</xdr:row>
      <xdr:rowOff>129988</xdr:rowOff>
    </xdr:to>
    <xdr:pic>
      <xdr:nvPicPr>
        <xdr:cNvPr id="241" name="Picture 80652">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277035" y="22860000"/>
          <a:ext cx="1133923" cy="381000"/>
        </a:xfrm>
        <a:prstGeom prst="rect">
          <a:avLst/>
        </a:prstGeom>
        <a:noFill/>
        <a:ln w="1">
          <a:noFill/>
          <a:miter lim="800000"/>
          <a:headEnd/>
          <a:tailEnd type="none" w="med" len="med"/>
        </a:ln>
        <a:effectLst/>
      </xdr:spPr>
    </xdr:pic>
    <xdr:clientData/>
  </xdr:twoCellAnchor>
  <xdr:twoCellAnchor editAs="oneCell">
    <xdr:from>
      <xdr:col>1</xdr:col>
      <xdr:colOff>560070</xdr:colOff>
      <xdr:row>157</xdr:row>
      <xdr:rowOff>125730</xdr:rowOff>
    </xdr:from>
    <xdr:to>
      <xdr:col>4</xdr:col>
      <xdr:colOff>398145</xdr:colOff>
      <xdr:row>159</xdr:row>
      <xdr:rowOff>125730</xdr:rowOff>
    </xdr:to>
    <xdr:pic>
      <xdr:nvPicPr>
        <xdr:cNvPr id="243" name="Picture 80634">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748790" y="29851350"/>
          <a:ext cx="1003935" cy="381000"/>
        </a:xfrm>
        <a:prstGeom prst="rect">
          <a:avLst/>
        </a:prstGeom>
        <a:noFill/>
        <a:ln w="1">
          <a:noFill/>
          <a:miter lim="800000"/>
          <a:headEnd/>
          <a:tailEnd type="none" w="med" len="med"/>
        </a:ln>
        <a:effectLst/>
      </xdr:spPr>
    </xdr:pic>
    <xdr:clientData/>
  </xdr:twoCellAnchor>
  <xdr:twoCellAnchor editAs="oneCell">
    <xdr:from>
      <xdr:col>1</xdr:col>
      <xdr:colOff>510988</xdr:colOff>
      <xdr:row>391</xdr:row>
      <xdr:rowOff>80681</xdr:rowOff>
    </xdr:from>
    <xdr:to>
      <xdr:col>4</xdr:col>
      <xdr:colOff>111947</xdr:colOff>
      <xdr:row>393</xdr:row>
      <xdr:rowOff>56589</xdr:rowOff>
    </xdr:to>
    <xdr:pic>
      <xdr:nvPicPr>
        <xdr:cNvPr id="259" name="Picture 80648">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703294" y="61874399"/>
          <a:ext cx="775335" cy="352425"/>
        </a:xfrm>
        <a:prstGeom prst="rect">
          <a:avLst/>
        </a:prstGeom>
        <a:noFill/>
        <a:ln w="1">
          <a:noFill/>
          <a:miter lim="800000"/>
          <a:headEnd/>
          <a:tailEnd type="none" w="med" len="med"/>
        </a:ln>
        <a:effectLst/>
      </xdr:spPr>
    </xdr:pic>
    <xdr:clientData/>
  </xdr:twoCellAnchor>
  <xdr:twoCellAnchor editAs="oneCell">
    <xdr:from>
      <xdr:col>3</xdr:col>
      <xdr:colOff>35859</xdr:colOff>
      <xdr:row>610</xdr:row>
      <xdr:rowOff>80683</xdr:rowOff>
    </xdr:from>
    <xdr:to>
      <xdr:col>5</xdr:col>
      <xdr:colOff>81354</xdr:colOff>
      <xdr:row>612</xdr:row>
      <xdr:rowOff>85166</xdr:rowOff>
    </xdr:to>
    <xdr:pic>
      <xdr:nvPicPr>
        <xdr:cNvPr id="267" name="Picture 80652">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124635" y="99490307"/>
          <a:ext cx="1139190" cy="381000"/>
        </a:xfrm>
        <a:prstGeom prst="rect">
          <a:avLst/>
        </a:prstGeom>
        <a:noFill/>
        <a:ln w="1">
          <a:noFill/>
          <a:miter lim="800000"/>
          <a:headEnd/>
          <a:tailEnd type="none" w="med" len="med"/>
        </a:ln>
        <a:effectLst/>
      </xdr:spPr>
    </xdr:pic>
    <xdr:clientData/>
  </xdr:twoCellAnchor>
  <xdr:twoCellAnchor editAs="oneCell">
    <xdr:from>
      <xdr:col>4</xdr:col>
      <xdr:colOff>277906</xdr:colOff>
      <xdr:row>615</xdr:row>
      <xdr:rowOff>80683</xdr:rowOff>
    </xdr:from>
    <xdr:to>
      <xdr:col>5</xdr:col>
      <xdr:colOff>271742</xdr:colOff>
      <xdr:row>617</xdr:row>
      <xdr:rowOff>75641</xdr:rowOff>
    </xdr:to>
    <xdr:pic>
      <xdr:nvPicPr>
        <xdr:cNvPr id="268" name="Picture 80653">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644588" y="100243342"/>
          <a:ext cx="809625" cy="371475"/>
        </a:xfrm>
        <a:prstGeom prst="rect">
          <a:avLst/>
        </a:prstGeom>
        <a:noFill/>
        <a:ln w="1">
          <a:noFill/>
          <a:miter lim="800000"/>
          <a:headEnd/>
          <a:tailEnd type="none" w="med" len="med"/>
        </a:ln>
        <a:effectLst/>
      </xdr:spPr>
    </xdr:pic>
    <xdr:clientData/>
  </xdr:twoCellAnchor>
  <xdr:twoCellAnchor editAs="oneCell">
    <xdr:from>
      <xdr:col>3</xdr:col>
      <xdr:colOff>107576</xdr:colOff>
      <xdr:row>625</xdr:row>
      <xdr:rowOff>44825</xdr:rowOff>
    </xdr:from>
    <xdr:to>
      <xdr:col>5</xdr:col>
      <xdr:colOff>153071</xdr:colOff>
      <xdr:row>627</xdr:row>
      <xdr:rowOff>49307</xdr:rowOff>
    </xdr:to>
    <xdr:pic>
      <xdr:nvPicPr>
        <xdr:cNvPr id="269" name="Picture 80652">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196352" y="101901813"/>
          <a:ext cx="1139190" cy="381000"/>
        </a:xfrm>
        <a:prstGeom prst="rect">
          <a:avLst/>
        </a:prstGeom>
        <a:noFill/>
        <a:ln w="1">
          <a:noFill/>
          <a:miter lim="800000"/>
          <a:headEnd/>
          <a:tailEnd type="none" w="med" len="med"/>
        </a:ln>
        <a:effectLst/>
      </xdr:spPr>
    </xdr:pic>
    <xdr:clientData/>
  </xdr:twoCellAnchor>
  <xdr:twoCellAnchor editAs="oneCell">
    <xdr:from>
      <xdr:col>4</xdr:col>
      <xdr:colOff>112061</xdr:colOff>
      <xdr:row>325</xdr:row>
      <xdr:rowOff>145676</xdr:rowOff>
    </xdr:from>
    <xdr:to>
      <xdr:col>5</xdr:col>
      <xdr:colOff>582706</xdr:colOff>
      <xdr:row>329</xdr:row>
      <xdr:rowOff>162969</xdr:rowOff>
    </xdr:to>
    <xdr:pic>
      <xdr:nvPicPr>
        <xdr:cNvPr id="224" name="Picture 223">
          <a:extLst>
            <a:ext uri="{FF2B5EF4-FFF2-40B4-BE49-F238E27FC236}">
              <a16:creationId xmlns:a16="http://schemas.microsoft.com/office/drawing/2014/main" id="{00000000-0008-0000-0500-0000E0000000}"/>
            </a:ext>
          </a:extLst>
        </xdr:cNvPr>
        <xdr:cNvPicPr>
          <a:picLocks noChangeAspect="1"/>
        </xdr:cNvPicPr>
      </xdr:nvPicPr>
      <xdr:blipFill>
        <a:blip xmlns:r="http://schemas.openxmlformats.org/officeDocument/2006/relationships" r:embed="rId33"/>
        <a:stretch>
          <a:fillRect/>
        </a:stretch>
      </xdr:blipFill>
      <xdr:spPr>
        <a:xfrm>
          <a:off x="2476502" y="51009176"/>
          <a:ext cx="1288675" cy="779293"/>
        </a:xfrm>
        <a:prstGeom prst="rect">
          <a:avLst/>
        </a:prstGeom>
      </xdr:spPr>
    </xdr:pic>
    <xdr:clientData/>
  </xdr:twoCellAnchor>
  <xdr:twoCellAnchor>
    <xdr:from>
      <xdr:col>0</xdr:col>
      <xdr:colOff>1154906</xdr:colOff>
      <xdr:row>346</xdr:row>
      <xdr:rowOff>0</xdr:rowOff>
    </xdr:from>
    <xdr:to>
      <xdr:col>4</xdr:col>
      <xdr:colOff>158108</xdr:colOff>
      <xdr:row>351</xdr:row>
      <xdr:rowOff>77384</xdr:rowOff>
    </xdr:to>
    <xdr:pic>
      <xdr:nvPicPr>
        <xdr:cNvPr id="239" name="Picture 30326">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1154906" y="54590156"/>
          <a:ext cx="1360640" cy="1029884"/>
        </a:xfrm>
        <a:prstGeom prst="rect">
          <a:avLst/>
        </a:prstGeom>
        <a:noFill/>
        <a:ln w="1">
          <a:noFill/>
          <a:miter lim="800000"/>
          <a:headEnd/>
          <a:tailEnd/>
        </a:ln>
      </xdr:spPr>
    </xdr:pic>
    <xdr:clientData/>
  </xdr:twoCellAnchor>
  <xdr:twoCellAnchor>
    <xdr:from>
      <xdr:col>0</xdr:col>
      <xdr:colOff>1035844</xdr:colOff>
      <xdr:row>353</xdr:row>
      <xdr:rowOff>23812</xdr:rowOff>
    </xdr:from>
    <xdr:to>
      <xdr:col>6</xdr:col>
      <xdr:colOff>115841</xdr:colOff>
      <xdr:row>356</xdr:row>
      <xdr:rowOff>173036</xdr:rowOff>
    </xdr:to>
    <xdr:sp macro="" textlink="">
      <xdr:nvSpPr>
        <xdr:cNvPr id="244" name="TextBox 243">
          <a:extLst>
            <a:ext uri="{FF2B5EF4-FFF2-40B4-BE49-F238E27FC236}">
              <a16:creationId xmlns:a16="http://schemas.microsoft.com/office/drawing/2014/main" id="{00000000-0008-0000-0500-0000F4000000}"/>
            </a:ext>
          </a:extLst>
        </xdr:cNvPr>
        <xdr:cNvSpPr txBox="1"/>
      </xdr:nvSpPr>
      <xdr:spPr>
        <a:xfrm>
          <a:off x="1035844" y="55947468"/>
          <a:ext cx="3187653"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32</xdr:col>
      <xdr:colOff>464344</xdr:colOff>
      <xdr:row>347</xdr:row>
      <xdr:rowOff>71438</xdr:rowOff>
    </xdr:from>
    <xdr:to>
      <xdr:col>38</xdr:col>
      <xdr:colOff>149460</xdr:colOff>
      <xdr:row>354</xdr:row>
      <xdr:rowOff>130492</xdr:rowOff>
    </xdr:to>
    <xdr:sp macro="" textlink="">
      <xdr:nvSpPr>
        <xdr:cNvPr id="245" name="TextBox 244">
          <a:extLst>
            <a:ext uri="{FF2B5EF4-FFF2-40B4-BE49-F238E27FC236}">
              <a16:creationId xmlns:a16="http://schemas.microsoft.com/office/drawing/2014/main" id="{00000000-0008-0000-0500-0000F5000000}"/>
            </a:ext>
          </a:extLst>
        </xdr:cNvPr>
        <xdr:cNvSpPr txBox="1"/>
      </xdr:nvSpPr>
      <xdr:spPr>
        <a:xfrm>
          <a:off x="15621000" y="54852094"/>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editAs="oneCell">
    <xdr:from>
      <xdr:col>5</xdr:col>
      <xdr:colOff>11906</xdr:colOff>
      <xdr:row>372</xdr:row>
      <xdr:rowOff>44285</xdr:rowOff>
    </xdr:from>
    <xdr:to>
      <xdr:col>5</xdr:col>
      <xdr:colOff>690562</xdr:colOff>
      <xdr:row>375</xdr:row>
      <xdr:rowOff>3318</xdr:rowOff>
    </xdr:to>
    <xdr:pic>
      <xdr:nvPicPr>
        <xdr:cNvPr id="250" name="Picture 44427">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bwMode="auto">
        <a:xfrm>
          <a:off x="3190875" y="59587441"/>
          <a:ext cx="678656" cy="530533"/>
        </a:xfrm>
        <a:prstGeom prst="rect">
          <a:avLst/>
        </a:prstGeom>
        <a:noFill/>
        <a:ln w="1">
          <a:noFill/>
          <a:miter lim="800000"/>
          <a:headEnd/>
          <a:tailEnd type="none" w="med" len="med"/>
        </a:ln>
        <a:effectLst/>
      </xdr:spPr>
    </xdr:pic>
    <xdr:clientData/>
  </xdr:twoCellAnchor>
  <xdr:twoCellAnchor editAs="oneCell">
    <xdr:from>
      <xdr:col>4</xdr:col>
      <xdr:colOff>607218</xdr:colOff>
      <xdr:row>376</xdr:row>
      <xdr:rowOff>23813</xdr:rowOff>
    </xdr:from>
    <xdr:to>
      <xdr:col>5</xdr:col>
      <xdr:colOff>916529</xdr:colOff>
      <xdr:row>379</xdr:row>
      <xdr:rowOff>176213</xdr:rowOff>
    </xdr:to>
    <xdr:pic>
      <xdr:nvPicPr>
        <xdr:cNvPr id="251" name="Picture 80675">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bwMode="auto">
        <a:xfrm>
          <a:off x="2964656" y="60328969"/>
          <a:ext cx="1130842" cy="723900"/>
        </a:xfrm>
        <a:prstGeom prst="rect">
          <a:avLst/>
        </a:prstGeom>
        <a:noFill/>
        <a:ln w="1">
          <a:noFill/>
          <a:miter lim="800000"/>
          <a:headEnd/>
          <a:tailEnd type="none" w="med" len="med"/>
        </a:ln>
        <a:effectLst/>
      </xdr:spPr>
    </xdr:pic>
    <xdr:clientData/>
  </xdr:twoCellAnchor>
  <xdr:twoCellAnchor>
    <xdr:from>
      <xdr:col>4</xdr:col>
      <xdr:colOff>738187</xdr:colOff>
      <xdr:row>413</xdr:row>
      <xdr:rowOff>47625</xdr:rowOff>
    </xdr:from>
    <xdr:to>
      <xdr:col>6</xdr:col>
      <xdr:colOff>335475</xdr:colOff>
      <xdr:row>413</xdr:row>
      <xdr:rowOff>751557</xdr:rowOff>
    </xdr:to>
    <xdr:pic>
      <xdr:nvPicPr>
        <xdr:cNvPr id="252" name="Picture 24045">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bwMode="auto">
        <a:xfrm>
          <a:off x="3095625" y="64162781"/>
          <a:ext cx="1347506" cy="703932"/>
        </a:xfrm>
        <a:prstGeom prst="rect">
          <a:avLst/>
        </a:prstGeom>
        <a:noFill/>
        <a:ln w="9525">
          <a:noFill/>
          <a:miter lim="800000"/>
          <a:headEnd/>
          <a:tailEnd/>
        </a:ln>
      </xdr:spPr>
    </xdr:pic>
    <xdr:clientData/>
  </xdr:twoCellAnchor>
  <xdr:twoCellAnchor>
    <xdr:from>
      <xdr:col>4</xdr:col>
      <xdr:colOff>642938</xdr:colOff>
      <xdr:row>414</xdr:row>
      <xdr:rowOff>59532</xdr:rowOff>
    </xdr:from>
    <xdr:to>
      <xdr:col>6</xdr:col>
      <xdr:colOff>256204</xdr:colOff>
      <xdr:row>414</xdr:row>
      <xdr:rowOff>726981</xdr:rowOff>
    </xdr:to>
    <xdr:pic>
      <xdr:nvPicPr>
        <xdr:cNvPr id="254" name="Picture 24046">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bwMode="auto">
        <a:xfrm>
          <a:off x="3000376" y="64984313"/>
          <a:ext cx="1363484" cy="667449"/>
        </a:xfrm>
        <a:prstGeom prst="rect">
          <a:avLst/>
        </a:prstGeom>
        <a:noFill/>
        <a:ln w="9525">
          <a:noFill/>
          <a:miter lim="800000"/>
          <a:headEnd/>
          <a:tailEnd/>
        </a:ln>
      </xdr:spPr>
    </xdr:pic>
    <xdr:clientData/>
  </xdr:twoCellAnchor>
  <xdr:twoCellAnchor>
    <xdr:from>
      <xdr:col>4</xdr:col>
      <xdr:colOff>785812</xdr:colOff>
      <xdr:row>415</xdr:row>
      <xdr:rowOff>71438</xdr:rowOff>
    </xdr:from>
    <xdr:to>
      <xdr:col>6</xdr:col>
      <xdr:colOff>180291</xdr:colOff>
      <xdr:row>418</xdr:row>
      <xdr:rowOff>75524</xdr:rowOff>
    </xdr:to>
    <xdr:pic>
      <xdr:nvPicPr>
        <xdr:cNvPr id="255" name="Picture 80549">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bwMode="auto">
        <a:xfrm>
          <a:off x="3143250" y="65805844"/>
          <a:ext cx="1144697" cy="575586"/>
        </a:xfrm>
        <a:prstGeom prst="rect">
          <a:avLst/>
        </a:prstGeom>
        <a:noFill/>
        <a:ln w="1">
          <a:noFill/>
          <a:miter lim="800000"/>
          <a:headEnd/>
          <a:tailEnd type="none" w="med" len="med"/>
        </a:ln>
        <a:effectLst/>
      </xdr:spPr>
    </xdr:pic>
    <xdr:clientData/>
  </xdr:twoCellAnchor>
  <xdr:twoCellAnchor editAs="oneCell">
    <xdr:from>
      <xdr:col>5</xdr:col>
      <xdr:colOff>180140</xdr:colOff>
      <xdr:row>408</xdr:row>
      <xdr:rowOff>23812</xdr:rowOff>
    </xdr:from>
    <xdr:to>
      <xdr:col>5</xdr:col>
      <xdr:colOff>597409</xdr:colOff>
      <xdr:row>411</xdr:row>
      <xdr:rowOff>136801</xdr:rowOff>
    </xdr:to>
    <xdr:pic>
      <xdr:nvPicPr>
        <xdr:cNvPr id="234" name="Picture 233">
          <a:extLst>
            <a:ext uri="{FF2B5EF4-FFF2-40B4-BE49-F238E27FC236}">
              <a16:creationId xmlns:a16="http://schemas.microsoft.com/office/drawing/2014/main" id="{7666339D-6B5D-4DE7-8B23-DDC9609F057E}"/>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3361490" y="6892766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141513</xdr:colOff>
      <xdr:row>333</xdr:row>
      <xdr:rowOff>18539</xdr:rowOff>
    </xdr:from>
    <xdr:to>
      <xdr:col>6</xdr:col>
      <xdr:colOff>38166</xdr:colOff>
      <xdr:row>335</xdr:row>
      <xdr:rowOff>57989</xdr:rowOff>
    </xdr:to>
    <xdr:pic>
      <xdr:nvPicPr>
        <xdr:cNvPr id="237" name="Picture 236">
          <a:extLst>
            <a:ext uri="{FF2B5EF4-FFF2-40B4-BE49-F238E27FC236}">
              <a16:creationId xmlns:a16="http://schemas.microsoft.com/office/drawing/2014/main" id="{4F723F0F-C204-4A87-B3E5-12932AF15118}"/>
            </a:ext>
          </a:extLst>
        </xdr:cNvPr>
        <xdr:cNvPicPr>
          <a:picLocks noChangeAspect="1"/>
        </xdr:cNvPicPr>
      </xdr:nvPicPr>
      <xdr:blipFill>
        <a:blip xmlns:r="http://schemas.openxmlformats.org/officeDocument/2006/relationships" r:embed="rId33"/>
        <a:stretch>
          <a:fillRect/>
        </a:stretch>
      </xdr:blipFill>
      <xdr:spPr>
        <a:xfrm>
          <a:off x="3322863" y="56549414"/>
          <a:ext cx="820578" cy="439500"/>
        </a:xfrm>
        <a:prstGeom prst="rect">
          <a:avLst/>
        </a:prstGeom>
      </xdr:spPr>
    </xdr:pic>
    <xdr:clientData/>
  </xdr:twoCellAnchor>
  <xdr:twoCellAnchor editAs="oneCell">
    <xdr:from>
      <xdr:col>5</xdr:col>
      <xdr:colOff>624061</xdr:colOff>
      <xdr:row>400</xdr:row>
      <xdr:rowOff>130708</xdr:rowOff>
    </xdr:from>
    <xdr:to>
      <xdr:col>6</xdr:col>
      <xdr:colOff>611838</xdr:colOff>
      <xdr:row>403</xdr:row>
      <xdr:rowOff>109061</xdr:rowOff>
    </xdr:to>
    <xdr:pic>
      <xdr:nvPicPr>
        <xdr:cNvPr id="240" name="Picture 239">
          <a:extLst>
            <a:ext uri="{FF2B5EF4-FFF2-40B4-BE49-F238E27FC236}">
              <a16:creationId xmlns:a16="http://schemas.microsoft.com/office/drawing/2014/main" id="{6FD3B378-5E07-4DBA-88E4-7DADC4748C4C}"/>
            </a:ext>
          </a:extLst>
        </xdr:cNvPr>
        <xdr:cNvPicPr>
          <a:picLocks noChangeAspect="1"/>
        </xdr:cNvPicPr>
      </xdr:nvPicPr>
      <xdr:blipFill>
        <a:blip xmlns:r="http://schemas.openxmlformats.org/officeDocument/2006/relationships" r:embed="rId41"/>
        <a:stretch>
          <a:fillRect/>
        </a:stretch>
      </xdr:blipFill>
      <xdr:spPr>
        <a:xfrm>
          <a:off x="3786361" y="72292108"/>
          <a:ext cx="909797" cy="549853"/>
        </a:xfrm>
        <a:prstGeom prst="rect">
          <a:avLst/>
        </a:prstGeom>
      </xdr:spPr>
    </xdr:pic>
    <xdr:clientData/>
  </xdr:twoCellAnchor>
  <xdr:twoCellAnchor>
    <xdr:from>
      <xdr:col>8</xdr:col>
      <xdr:colOff>114300</xdr:colOff>
      <xdr:row>404</xdr:row>
      <xdr:rowOff>60960</xdr:rowOff>
    </xdr:from>
    <xdr:to>
      <xdr:col>17</xdr:col>
      <xdr:colOff>1693</xdr:colOff>
      <xdr:row>407</xdr:row>
      <xdr:rowOff>166793</xdr:rowOff>
    </xdr:to>
    <xdr:sp macro="" textlink="">
      <xdr:nvSpPr>
        <xdr:cNvPr id="7" name="TextBox 6">
          <a:extLst>
            <a:ext uri="{FF2B5EF4-FFF2-40B4-BE49-F238E27FC236}">
              <a16:creationId xmlns:a16="http://schemas.microsoft.com/office/drawing/2014/main" id="{8F476F13-80D8-459D-AE0B-393FA392FF58}"/>
            </a:ext>
          </a:extLst>
        </xdr:cNvPr>
        <xdr:cNvSpPr txBox="1"/>
      </xdr:nvSpPr>
      <xdr:spPr>
        <a:xfrm>
          <a:off x="5120640" y="72984360"/>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6</xdr:col>
      <xdr:colOff>8170</xdr:colOff>
      <xdr:row>278</xdr:row>
      <xdr:rowOff>12737</xdr:rowOff>
    </xdr:from>
    <xdr:to>
      <xdr:col>6</xdr:col>
      <xdr:colOff>489860</xdr:colOff>
      <xdr:row>282</xdr:row>
      <xdr:rowOff>123530</xdr:rowOff>
    </xdr:to>
    <xdr:pic>
      <xdr:nvPicPr>
        <xdr:cNvPr id="14" name="Picture 13">
          <a:extLst>
            <a:ext uri="{FF2B5EF4-FFF2-40B4-BE49-F238E27FC236}">
              <a16:creationId xmlns:a16="http://schemas.microsoft.com/office/drawing/2014/main" id="{7F8C5C56-FEE3-41A4-A471-1768AA244ED3}"/>
            </a:ext>
          </a:extLst>
        </xdr:cNvPr>
        <xdr:cNvPicPr>
          <a:picLocks noChangeAspect="1"/>
        </xdr:cNvPicPr>
      </xdr:nvPicPr>
      <xdr:blipFill>
        <a:blip xmlns:r="http://schemas.openxmlformats.org/officeDocument/2006/relationships" r:embed="rId42"/>
        <a:stretch>
          <a:fillRect/>
        </a:stretch>
      </xdr:blipFill>
      <xdr:spPr>
        <a:xfrm rot="16200000">
          <a:off x="3883875" y="55300889"/>
          <a:ext cx="894565" cy="481690"/>
        </a:xfrm>
        <a:prstGeom prst="rect">
          <a:avLst/>
        </a:prstGeom>
      </xdr:spPr>
    </xdr:pic>
    <xdr:clientData/>
  </xdr:twoCellAnchor>
  <xdr:twoCellAnchor>
    <xdr:from>
      <xdr:col>5</xdr:col>
      <xdr:colOff>917931</xdr:colOff>
      <xdr:row>284</xdr:row>
      <xdr:rowOff>17151</xdr:rowOff>
    </xdr:from>
    <xdr:to>
      <xdr:col>6</xdr:col>
      <xdr:colOff>460771</xdr:colOff>
      <xdr:row>288</xdr:row>
      <xdr:rowOff>70561</xdr:rowOff>
    </xdr:to>
    <xdr:pic>
      <xdr:nvPicPr>
        <xdr:cNvPr id="15" name="Picture 14">
          <a:extLst>
            <a:ext uri="{FF2B5EF4-FFF2-40B4-BE49-F238E27FC236}">
              <a16:creationId xmlns:a16="http://schemas.microsoft.com/office/drawing/2014/main" id="{0B2D2D00-3BF6-46CD-A217-ABD6CD71556E}"/>
            </a:ext>
          </a:extLst>
        </xdr:cNvPr>
        <xdr:cNvPicPr>
          <a:picLocks noChangeAspect="1"/>
        </xdr:cNvPicPr>
      </xdr:nvPicPr>
      <xdr:blipFill>
        <a:blip xmlns:r="http://schemas.openxmlformats.org/officeDocument/2006/relationships" r:embed="rId43"/>
        <a:stretch>
          <a:fillRect/>
        </a:stretch>
      </xdr:blipFill>
      <xdr:spPr>
        <a:xfrm rot="16200000">
          <a:off x="3890260" y="56459050"/>
          <a:ext cx="837182" cy="468126"/>
        </a:xfrm>
        <a:prstGeom prst="rect">
          <a:avLst/>
        </a:prstGeom>
      </xdr:spPr>
    </xdr:pic>
    <xdr:clientData/>
  </xdr:twoCellAnchor>
  <xdr:twoCellAnchor>
    <xdr:from>
      <xdr:col>5</xdr:col>
      <xdr:colOff>921205</xdr:colOff>
      <xdr:row>290</xdr:row>
      <xdr:rowOff>2992</xdr:rowOff>
    </xdr:from>
    <xdr:to>
      <xdr:col>6</xdr:col>
      <xdr:colOff>383707</xdr:colOff>
      <xdr:row>293</xdr:row>
      <xdr:rowOff>195147</xdr:rowOff>
    </xdr:to>
    <xdr:pic>
      <xdr:nvPicPr>
        <xdr:cNvPr id="16" name="Picture 15">
          <a:extLst>
            <a:ext uri="{FF2B5EF4-FFF2-40B4-BE49-F238E27FC236}">
              <a16:creationId xmlns:a16="http://schemas.microsoft.com/office/drawing/2014/main" id="{69C1BB3D-22CD-462C-9E99-58C250C52142}"/>
            </a:ext>
          </a:extLst>
        </xdr:cNvPr>
        <xdr:cNvPicPr>
          <a:picLocks noChangeAspect="1"/>
        </xdr:cNvPicPr>
      </xdr:nvPicPr>
      <xdr:blipFill>
        <a:blip xmlns:r="http://schemas.openxmlformats.org/officeDocument/2006/relationships" r:embed="rId44"/>
        <a:stretch>
          <a:fillRect/>
        </a:stretch>
      </xdr:blipFill>
      <xdr:spPr>
        <a:xfrm rot="16200000">
          <a:off x="3881964" y="57632119"/>
          <a:ext cx="779983" cy="387788"/>
        </a:xfrm>
        <a:prstGeom prst="rect">
          <a:avLst/>
        </a:prstGeom>
      </xdr:spPr>
    </xdr:pic>
    <xdr:clientData/>
  </xdr:twoCellAnchor>
  <xdr:twoCellAnchor>
    <xdr:from>
      <xdr:col>5</xdr:col>
      <xdr:colOff>872763</xdr:colOff>
      <xdr:row>320</xdr:row>
      <xdr:rowOff>36194</xdr:rowOff>
    </xdr:from>
    <xdr:to>
      <xdr:col>6</xdr:col>
      <xdr:colOff>331999</xdr:colOff>
      <xdr:row>324</xdr:row>
      <xdr:rowOff>32406</xdr:rowOff>
    </xdr:to>
    <xdr:pic>
      <xdr:nvPicPr>
        <xdr:cNvPr id="19" name="Picture 18">
          <a:extLst>
            <a:ext uri="{FF2B5EF4-FFF2-40B4-BE49-F238E27FC236}">
              <a16:creationId xmlns:a16="http://schemas.microsoft.com/office/drawing/2014/main" id="{7DAF1BD5-0DC1-90DE-1E5E-356A3309E08B}"/>
            </a:ext>
          </a:extLst>
        </xdr:cNvPr>
        <xdr:cNvPicPr>
          <a:picLocks noChangeAspect="1"/>
        </xdr:cNvPicPr>
      </xdr:nvPicPr>
      <xdr:blipFill>
        <a:blip xmlns:r="http://schemas.openxmlformats.org/officeDocument/2006/relationships" r:embed="rId44"/>
        <a:stretch>
          <a:fillRect/>
        </a:stretch>
      </xdr:blipFill>
      <xdr:spPr>
        <a:xfrm rot="16200000">
          <a:off x="3831889" y="63545239"/>
          <a:ext cx="779984" cy="384522"/>
        </a:xfrm>
        <a:prstGeom prst="rect">
          <a:avLst/>
        </a:prstGeom>
      </xdr:spPr>
    </xdr:pic>
    <xdr:clientData/>
  </xdr:twoCellAnchor>
  <xdr:twoCellAnchor>
    <xdr:from>
      <xdr:col>5</xdr:col>
      <xdr:colOff>840645</xdr:colOff>
      <xdr:row>296</xdr:row>
      <xdr:rowOff>37833</xdr:rowOff>
    </xdr:from>
    <xdr:to>
      <xdr:col>6</xdr:col>
      <xdr:colOff>383485</xdr:colOff>
      <xdr:row>300</xdr:row>
      <xdr:rowOff>91244</xdr:rowOff>
    </xdr:to>
    <xdr:pic>
      <xdr:nvPicPr>
        <xdr:cNvPr id="20" name="Picture 19">
          <a:extLst>
            <a:ext uri="{FF2B5EF4-FFF2-40B4-BE49-F238E27FC236}">
              <a16:creationId xmlns:a16="http://schemas.microsoft.com/office/drawing/2014/main" id="{DD137ED6-D596-8932-6AC9-FC10B419E344}"/>
            </a:ext>
          </a:extLst>
        </xdr:cNvPr>
        <xdr:cNvPicPr>
          <a:picLocks noChangeAspect="1"/>
        </xdr:cNvPicPr>
      </xdr:nvPicPr>
      <xdr:blipFill>
        <a:blip xmlns:r="http://schemas.openxmlformats.org/officeDocument/2006/relationships" r:embed="rId43"/>
        <a:stretch>
          <a:fillRect/>
        </a:stretch>
      </xdr:blipFill>
      <xdr:spPr>
        <a:xfrm rot="16200000">
          <a:off x="3812974" y="58831047"/>
          <a:ext cx="837182" cy="468126"/>
        </a:xfrm>
        <a:prstGeom prst="rect">
          <a:avLst/>
        </a:prstGeom>
      </xdr:spPr>
    </xdr:pic>
    <xdr:clientData/>
  </xdr:twoCellAnchor>
  <xdr:twoCellAnchor>
    <xdr:from>
      <xdr:col>5</xdr:col>
      <xdr:colOff>865690</xdr:colOff>
      <xdr:row>302</xdr:row>
      <xdr:rowOff>45446</xdr:rowOff>
    </xdr:from>
    <xdr:to>
      <xdr:col>6</xdr:col>
      <xdr:colOff>328192</xdr:colOff>
      <xdr:row>306</xdr:row>
      <xdr:rowOff>41658</xdr:rowOff>
    </xdr:to>
    <xdr:pic>
      <xdr:nvPicPr>
        <xdr:cNvPr id="21" name="Picture 20">
          <a:extLst>
            <a:ext uri="{FF2B5EF4-FFF2-40B4-BE49-F238E27FC236}">
              <a16:creationId xmlns:a16="http://schemas.microsoft.com/office/drawing/2014/main" id="{742E648B-DBAD-92CE-807D-38C912CDAEE6}"/>
            </a:ext>
          </a:extLst>
        </xdr:cNvPr>
        <xdr:cNvPicPr>
          <a:picLocks noChangeAspect="1"/>
        </xdr:cNvPicPr>
      </xdr:nvPicPr>
      <xdr:blipFill>
        <a:blip xmlns:r="http://schemas.openxmlformats.org/officeDocument/2006/relationships" r:embed="rId44"/>
        <a:stretch>
          <a:fillRect/>
        </a:stretch>
      </xdr:blipFill>
      <xdr:spPr>
        <a:xfrm rot="16200000">
          <a:off x="3826449" y="60025887"/>
          <a:ext cx="779983" cy="387788"/>
        </a:xfrm>
        <a:prstGeom prst="rect">
          <a:avLst/>
        </a:prstGeom>
      </xdr:spPr>
    </xdr:pic>
    <xdr:clientData/>
  </xdr:twoCellAnchor>
  <xdr:twoCellAnchor>
    <xdr:from>
      <xdr:col>5</xdr:col>
      <xdr:colOff>802827</xdr:colOff>
      <xdr:row>308</xdr:row>
      <xdr:rowOff>21771</xdr:rowOff>
    </xdr:from>
    <xdr:to>
      <xdr:col>6</xdr:col>
      <xdr:colOff>332055</xdr:colOff>
      <xdr:row>312</xdr:row>
      <xdr:rowOff>42965</xdr:rowOff>
    </xdr:to>
    <xdr:pic>
      <xdr:nvPicPr>
        <xdr:cNvPr id="22" name="Picture 21">
          <a:extLst>
            <a:ext uri="{FF2B5EF4-FFF2-40B4-BE49-F238E27FC236}">
              <a16:creationId xmlns:a16="http://schemas.microsoft.com/office/drawing/2014/main" id="{70923A72-4B22-8CCC-AF01-B716CB633A5F}"/>
            </a:ext>
          </a:extLst>
        </xdr:cNvPr>
        <xdr:cNvPicPr>
          <a:picLocks noChangeAspect="1"/>
        </xdr:cNvPicPr>
      </xdr:nvPicPr>
      <xdr:blipFill>
        <a:blip xmlns:r="http://schemas.openxmlformats.org/officeDocument/2006/relationships" r:embed="rId42"/>
        <a:stretch>
          <a:fillRect/>
        </a:stretch>
      </xdr:blipFill>
      <xdr:spPr>
        <a:xfrm rot="16200000">
          <a:off x="3784458" y="61156997"/>
          <a:ext cx="804965" cy="454514"/>
        </a:xfrm>
        <a:prstGeom prst="rect">
          <a:avLst/>
        </a:prstGeom>
      </xdr:spPr>
    </xdr:pic>
    <xdr:clientData/>
  </xdr:twoCellAnchor>
  <xdr:twoCellAnchor>
    <xdr:from>
      <xdr:col>5</xdr:col>
      <xdr:colOff>787305</xdr:colOff>
      <xdr:row>313</xdr:row>
      <xdr:rowOff>163019</xdr:rowOff>
    </xdr:from>
    <xdr:to>
      <xdr:col>6</xdr:col>
      <xdr:colOff>330145</xdr:colOff>
      <xdr:row>318</xdr:row>
      <xdr:rowOff>20487</xdr:rowOff>
    </xdr:to>
    <xdr:pic>
      <xdr:nvPicPr>
        <xdr:cNvPr id="23" name="Picture 22">
          <a:extLst>
            <a:ext uri="{FF2B5EF4-FFF2-40B4-BE49-F238E27FC236}">
              <a16:creationId xmlns:a16="http://schemas.microsoft.com/office/drawing/2014/main" id="{33E488BE-FC9F-49ED-0816-4B885F64B447}"/>
            </a:ext>
          </a:extLst>
        </xdr:cNvPr>
        <xdr:cNvPicPr>
          <a:picLocks noChangeAspect="1"/>
        </xdr:cNvPicPr>
      </xdr:nvPicPr>
      <xdr:blipFill>
        <a:blip xmlns:r="http://schemas.openxmlformats.org/officeDocument/2006/relationships" r:embed="rId43"/>
        <a:stretch>
          <a:fillRect/>
        </a:stretch>
      </xdr:blipFill>
      <xdr:spPr>
        <a:xfrm rot="16200000">
          <a:off x="3759633" y="62287262"/>
          <a:ext cx="837183" cy="468126"/>
        </a:xfrm>
        <a:prstGeom prst="rect">
          <a:avLst/>
        </a:prstGeom>
      </xdr:spPr>
    </xdr:pic>
    <xdr:clientData/>
  </xdr:twoCellAnchor>
  <xdr:twoCellAnchor>
    <xdr:from>
      <xdr:col>5</xdr:col>
      <xdr:colOff>788127</xdr:colOff>
      <xdr:row>537</xdr:row>
      <xdr:rowOff>152127</xdr:rowOff>
    </xdr:from>
    <xdr:to>
      <xdr:col>6</xdr:col>
      <xdr:colOff>247363</xdr:colOff>
      <xdr:row>541</xdr:row>
      <xdr:rowOff>148339</xdr:rowOff>
    </xdr:to>
    <xdr:pic>
      <xdr:nvPicPr>
        <xdr:cNvPr id="24" name="Picture 23">
          <a:extLst>
            <a:ext uri="{FF2B5EF4-FFF2-40B4-BE49-F238E27FC236}">
              <a16:creationId xmlns:a16="http://schemas.microsoft.com/office/drawing/2014/main" id="{ABE49E2D-680B-4E38-8490-6AF6BA00F3DE}"/>
            </a:ext>
          </a:extLst>
        </xdr:cNvPr>
        <xdr:cNvPicPr>
          <a:picLocks noChangeAspect="1"/>
        </xdr:cNvPicPr>
      </xdr:nvPicPr>
      <xdr:blipFill>
        <a:blip xmlns:r="http://schemas.openxmlformats.org/officeDocument/2006/relationships" r:embed="rId44"/>
        <a:stretch>
          <a:fillRect/>
        </a:stretch>
      </xdr:blipFill>
      <xdr:spPr>
        <a:xfrm rot="16200000">
          <a:off x="3747253" y="108096658"/>
          <a:ext cx="779983" cy="384522"/>
        </a:xfrm>
        <a:prstGeom prst="rect">
          <a:avLst/>
        </a:prstGeom>
      </xdr:spPr>
    </xdr:pic>
    <xdr:clientData/>
  </xdr:twoCellAnchor>
  <xdr:twoCellAnchor editAs="oneCell">
    <xdr:from>
      <xdr:col>5</xdr:col>
      <xdr:colOff>736959</xdr:colOff>
      <xdr:row>530</xdr:row>
      <xdr:rowOff>110768</xdr:rowOff>
    </xdr:from>
    <xdr:to>
      <xdr:col>6</xdr:col>
      <xdr:colOff>276533</xdr:colOff>
      <xdr:row>534</xdr:row>
      <xdr:rowOff>169622</xdr:rowOff>
    </xdr:to>
    <xdr:pic>
      <xdr:nvPicPr>
        <xdr:cNvPr id="26" name="Picture 25">
          <a:extLst>
            <a:ext uri="{FF2B5EF4-FFF2-40B4-BE49-F238E27FC236}">
              <a16:creationId xmlns:a16="http://schemas.microsoft.com/office/drawing/2014/main" id="{335DBA91-B10F-4E71-97DE-A0D06D3B38FB}"/>
            </a:ext>
          </a:extLst>
        </xdr:cNvPr>
        <xdr:cNvPicPr>
          <a:picLocks noChangeAspect="1"/>
        </xdr:cNvPicPr>
      </xdr:nvPicPr>
      <xdr:blipFill>
        <a:blip xmlns:r="http://schemas.openxmlformats.org/officeDocument/2006/relationships" r:embed="rId43"/>
        <a:stretch>
          <a:fillRect/>
        </a:stretch>
      </xdr:blipFill>
      <xdr:spPr>
        <a:xfrm rot="16200000">
          <a:off x="3704933" y="106674851"/>
          <a:ext cx="842625" cy="464860"/>
        </a:xfrm>
        <a:prstGeom prst="rect">
          <a:avLst/>
        </a:prstGeom>
      </xdr:spPr>
    </xdr:pic>
    <xdr:clientData/>
  </xdr:twoCellAnchor>
  <xdr:twoCellAnchor>
    <xdr:from>
      <xdr:col>5</xdr:col>
      <xdr:colOff>732608</xdr:colOff>
      <xdr:row>523</xdr:row>
      <xdr:rowOff>78377</xdr:rowOff>
    </xdr:from>
    <xdr:to>
      <xdr:col>6</xdr:col>
      <xdr:colOff>269789</xdr:colOff>
      <xdr:row>527</xdr:row>
      <xdr:rowOff>160041</xdr:rowOff>
    </xdr:to>
    <xdr:pic>
      <xdr:nvPicPr>
        <xdr:cNvPr id="27" name="Picture 26">
          <a:extLst>
            <a:ext uri="{FF2B5EF4-FFF2-40B4-BE49-F238E27FC236}">
              <a16:creationId xmlns:a16="http://schemas.microsoft.com/office/drawing/2014/main" id="{FF3E4685-2CBD-4BA6-B85C-E59B8F4CBB9D}"/>
            </a:ext>
          </a:extLst>
        </xdr:cNvPr>
        <xdr:cNvPicPr>
          <a:picLocks noChangeAspect="1"/>
        </xdr:cNvPicPr>
      </xdr:nvPicPr>
      <xdr:blipFill>
        <a:blip xmlns:r="http://schemas.openxmlformats.org/officeDocument/2006/relationships" r:embed="rId42"/>
        <a:stretch>
          <a:fillRect/>
        </a:stretch>
      </xdr:blipFill>
      <xdr:spPr>
        <a:xfrm rot="16200000">
          <a:off x="3687981" y="105283461"/>
          <a:ext cx="865435" cy="462467"/>
        </a:xfrm>
        <a:prstGeom prst="rect">
          <a:avLst/>
        </a:prstGeom>
      </xdr:spPr>
    </xdr:pic>
    <xdr:clientData/>
  </xdr:twoCellAnchor>
  <xdr:twoCellAnchor>
    <xdr:from>
      <xdr:col>5</xdr:col>
      <xdr:colOff>784861</xdr:colOff>
      <xdr:row>502</xdr:row>
      <xdr:rowOff>61646</xdr:rowOff>
    </xdr:from>
    <xdr:to>
      <xdr:col>6</xdr:col>
      <xdr:colOff>304803</xdr:colOff>
      <xdr:row>506</xdr:row>
      <xdr:rowOff>180997</xdr:rowOff>
    </xdr:to>
    <xdr:pic>
      <xdr:nvPicPr>
        <xdr:cNvPr id="28" name="Picture 27">
          <a:extLst>
            <a:ext uri="{FF2B5EF4-FFF2-40B4-BE49-F238E27FC236}">
              <a16:creationId xmlns:a16="http://schemas.microsoft.com/office/drawing/2014/main" id="{34F23613-3D50-215D-74B8-BD40629665BE}"/>
            </a:ext>
          </a:extLst>
        </xdr:cNvPr>
        <xdr:cNvPicPr>
          <a:picLocks noChangeAspect="1"/>
        </xdr:cNvPicPr>
      </xdr:nvPicPr>
      <xdr:blipFill>
        <a:blip xmlns:r="http://schemas.openxmlformats.org/officeDocument/2006/relationships" r:embed="rId44"/>
        <a:stretch>
          <a:fillRect/>
        </a:stretch>
      </xdr:blipFill>
      <xdr:spPr>
        <a:xfrm rot="16200000">
          <a:off x="3712771" y="101179393"/>
          <a:ext cx="903122" cy="445228"/>
        </a:xfrm>
        <a:prstGeom prst="rect">
          <a:avLst/>
        </a:prstGeom>
      </xdr:spPr>
    </xdr:pic>
    <xdr:clientData/>
  </xdr:twoCellAnchor>
  <xdr:twoCellAnchor editAs="oneCell">
    <xdr:from>
      <xdr:col>5</xdr:col>
      <xdr:colOff>755465</xdr:colOff>
      <xdr:row>495</xdr:row>
      <xdr:rowOff>121652</xdr:rowOff>
    </xdr:from>
    <xdr:to>
      <xdr:col>6</xdr:col>
      <xdr:colOff>295039</xdr:colOff>
      <xdr:row>499</xdr:row>
      <xdr:rowOff>180506</xdr:rowOff>
    </xdr:to>
    <xdr:pic>
      <xdr:nvPicPr>
        <xdr:cNvPr id="29" name="Picture 28">
          <a:extLst>
            <a:ext uri="{FF2B5EF4-FFF2-40B4-BE49-F238E27FC236}">
              <a16:creationId xmlns:a16="http://schemas.microsoft.com/office/drawing/2014/main" id="{BD76A05F-229F-0C00-4C44-197AD6387506}"/>
            </a:ext>
          </a:extLst>
        </xdr:cNvPr>
        <xdr:cNvPicPr>
          <a:picLocks noChangeAspect="1"/>
        </xdr:cNvPicPr>
      </xdr:nvPicPr>
      <xdr:blipFill>
        <a:blip xmlns:r="http://schemas.openxmlformats.org/officeDocument/2006/relationships" r:embed="rId43"/>
        <a:stretch>
          <a:fillRect/>
        </a:stretch>
      </xdr:blipFill>
      <xdr:spPr>
        <a:xfrm rot="16200000">
          <a:off x="3723439" y="99827735"/>
          <a:ext cx="842625" cy="464860"/>
        </a:xfrm>
        <a:prstGeom prst="rect">
          <a:avLst/>
        </a:prstGeom>
      </xdr:spPr>
    </xdr:pic>
    <xdr:clientData/>
  </xdr:twoCellAnchor>
  <xdr:twoCellAnchor>
    <xdr:from>
      <xdr:col>5</xdr:col>
      <xdr:colOff>783771</xdr:colOff>
      <xdr:row>488</xdr:row>
      <xdr:rowOff>121920</xdr:rowOff>
    </xdr:from>
    <xdr:to>
      <xdr:col>6</xdr:col>
      <xdr:colOff>320952</xdr:colOff>
      <xdr:row>493</xdr:row>
      <xdr:rowOff>7641</xdr:rowOff>
    </xdr:to>
    <xdr:pic>
      <xdr:nvPicPr>
        <xdr:cNvPr id="30" name="Picture 29">
          <a:extLst>
            <a:ext uri="{FF2B5EF4-FFF2-40B4-BE49-F238E27FC236}">
              <a16:creationId xmlns:a16="http://schemas.microsoft.com/office/drawing/2014/main" id="{5A3FBC3B-55C9-3A25-5D68-81A6073310DB}"/>
            </a:ext>
          </a:extLst>
        </xdr:cNvPr>
        <xdr:cNvPicPr>
          <a:picLocks noChangeAspect="1"/>
        </xdr:cNvPicPr>
      </xdr:nvPicPr>
      <xdr:blipFill>
        <a:blip xmlns:r="http://schemas.openxmlformats.org/officeDocument/2006/relationships" r:embed="rId42"/>
        <a:stretch>
          <a:fillRect/>
        </a:stretch>
      </xdr:blipFill>
      <xdr:spPr>
        <a:xfrm rot="16200000">
          <a:off x="3739144" y="98469004"/>
          <a:ext cx="865435" cy="462467"/>
        </a:xfrm>
        <a:prstGeom prst="rect">
          <a:avLst/>
        </a:prstGeom>
      </xdr:spPr>
    </xdr:pic>
    <xdr:clientData/>
  </xdr:twoCellAnchor>
  <xdr:twoCellAnchor>
    <xdr:from>
      <xdr:col>5</xdr:col>
      <xdr:colOff>789217</xdr:colOff>
      <xdr:row>516</xdr:row>
      <xdr:rowOff>144507</xdr:rowOff>
    </xdr:from>
    <xdr:to>
      <xdr:col>6</xdr:col>
      <xdr:colOff>248453</xdr:colOff>
      <xdr:row>520</xdr:row>
      <xdr:rowOff>140719</xdr:rowOff>
    </xdr:to>
    <xdr:pic>
      <xdr:nvPicPr>
        <xdr:cNvPr id="31" name="Picture 30">
          <a:extLst>
            <a:ext uri="{FF2B5EF4-FFF2-40B4-BE49-F238E27FC236}">
              <a16:creationId xmlns:a16="http://schemas.microsoft.com/office/drawing/2014/main" id="{8748F0FD-653E-63F0-63B0-97D95A3A7C2A}"/>
            </a:ext>
          </a:extLst>
        </xdr:cNvPr>
        <xdr:cNvPicPr>
          <a:picLocks noChangeAspect="1"/>
        </xdr:cNvPicPr>
      </xdr:nvPicPr>
      <xdr:blipFill>
        <a:blip xmlns:r="http://schemas.openxmlformats.org/officeDocument/2006/relationships" r:embed="rId44"/>
        <a:stretch>
          <a:fillRect/>
        </a:stretch>
      </xdr:blipFill>
      <xdr:spPr>
        <a:xfrm rot="16200000">
          <a:off x="3748343" y="103974238"/>
          <a:ext cx="779983" cy="384522"/>
        </a:xfrm>
        <a:prstGeom prst="rect">
          <a:avLst/>
        </a:prstGeom>
      </xdr:spPr>
    </xdr:pic>
    <xdr:clientData/>
  </xdr:twoCellAnchor>
  <xdr:twoCellAnchor editAs="oneCell">
    <xdr:from>
      <xdr:col>5</xdr:col>
      <xdr:colOff>738049</xdr:colOff>
      <xdr:row>509</xdr:row>
      <xdr:rowOff>81376</xdr:rowOff>
    </xdr:from>
    <xdr:to>
      <xdr:col>6</xdr:col>
      <xdr:colOff>277623</xdr:colOff>
      <xdr:row>513</xdr:row>
      <xdr:rowOff>140230</xdr:rowOff>
    </xdr:to>
    <xdr:pic>
      <xdr:nvPicPr>
        <xdr:cNvPr id="32" name="Picture 31">
          <a:extLst>
            <a:ext uri="{FF2B5EF4-FFF2-40B4-BE49-F238E27FC236}">
              <a16:creationId xmlns:a16="http://schemas.microsoft.com/office/drawing/2014/main" id="{82B22D3F-42EC-D571-9F1F-C65E6ECE4063}"/>
            </a:ext>
          </a:extLst>
        </xdr:cNvPr>
        <xdr:cNvPicPr>
          <a:picLocks noChangeAspect="1"/>
        </xdr:cNvPicPr>
      </xdr:nvPicPr>
      <xdr:blipFill>
        <a:blip xmlns:r="http://schemas.openxmlformats.org/officeDocument/2006/relationships" r:embed="rId43"/>
        <a:stretch>
          <a:fillRect/>
        </a:stretch>
      </xdr:blipFill>
      <xdr:spPr>
        <a:xfrm rot="16200000">
          <a:off x="3706023" y="102530659"/>
          <a:ext cx="842625" cy="464860"/>
        </a:xfrm>
        <a:prstGeom prst="rect">
          <a:avLst/>
        </a:prstGeom>
      </xdr:spPr>
    </xdr:pic>
    <xdr:clientData/>
  </xdr:twoCellAnchor>
  <xdr:twoCellAnchor editAs="oneCell">
    <xdr:from>
      <xdr:col>3</xdr:col>
      <xdr:colOff>259080</xdr:colOff>
      <xdr:row>18</xdr:row>
      <xdr:rowOff>22860</xdr:rowOff>
    </xdr:from>
    <xdr:to>
      <xdr:col>5</xdr:col>
      <xdr:colOff>412952</xdr:colOff>
      <xdr:row>24</xdr:row>
      <xdr:rowOff>83820</xdr:rowOff>
    </xdr:to>
    <xdr:pic>
      <xdr:nvPicPr>
        <xdr:cNvPr id="8" name="Picture 7">
          <a:extLst>
            <a:ext uri="{FF2B5EF4-FFF2-40B4-BE49-F238E27FC236}">
              <a16:creationId xmlns:a16="http://schemas.microsoft.com/office/drawing/2014/main" id="{503FCD49-5548-4EF9-89F7-F4DA3DFB2F1D}"/>
            </a:ext>
          </a:extLst>
        </xdr:cNvPr>
        <xdr:cNvPicPr>
          <a:picLocks noChangeAspect="1"/>
        </xdr:cNvPicPr>
      </xdr:nvPicPr>
      <xdr:blipFill>
        <a:blip xmlns:r="http://schemas.openxmlformats.org/officeDocument/2006/relationships" r:embed="rId45"/>
        <a:stretch>
          <a:fillRect/>
        </a:stretch>
      </xdr:blipFill>
      <xdr:spPr>
        <a:xfrm>
          <a:off x="2339340" y="4267200"/>
          <a:ext cx="1235912" cy="1242060"/>
        </a:xfrm>
        <a:prstGeom prst="rect">
          <a:avLst/>
        </a:prstGeom>
      </xdr:spPr>
    </xdr:pic>
    <xdr:clientData/>
  </xdr:twoCellAnchor>
  <xdr:twoCellAnchor editAs="oneCell">
    <xdr:from>
      <xdr:col>4</xdr:col>
      <xdr:colOff>68579</xdr:colOff>
      <xdr:row>31</xdr:row>
      <xdr:rowOff>167640</xdr:rowOff>
    </xdr:from>
    <xdr:to>
      <xdr:col>5</xdr:col>
      <xdr:colOff>892809</xdr:colOff>
      <xdr:row>35</xdr:row>
      <xdr:rowOff>176953</xdr:rowOff>
    </xdr:to>
    <xdr:pic>
      <xdr:nvPicPr>
        <xdr:cNvPr id="9" name="Picture 8">
          <a:extLst>
            <a:ext uri="{FF2B5EF4-FFF2-40B4-BE49-F238E27FC236}">
              <a16:creationId xmlns:a16="http://schemas.microsoft.com/office/drawing/2014/main" id="{C289486C-D995-415E-B5DD-9E3ABDC0033D}"/>
            </a:ext>
          </a:extLst>
        </xdr:cNvPr>
        <xdr:cNvPicPr>
          <a:picLocks noChangeAspect="1"/>
        </xdr:cNvPicPr>
      </xdr:nvPicPr>
      <xdr:blipFill>
        <a:blip xmlns:r="http://schemas.openxmlformats.org/officeDocument/2006/relationships" r:embed="rId46"/>
        <a:stretch>
          <a:fillRect/>
        </a:stretch>
      </xdr:blipFill>
      <xdr:spPr>
        <a:xfrm>
          <a:off x="2423159" y="6553200"/>
          <a:ext cx="1631950" cy="771313"/>
        </a:xfrm>
        <a:prstGeom prst="rect">
          <a:avLst/>
        </a:prstGeom>
      </xdr:spPr>
    </xdr:pic>
    <xdr:clientData/>
  </xdr:twoCellAnchor>
  <xdr:twoCellAnchor editAs="oneCell">
    <xdr:from>
      <xdr:col>4</xdr:col>
      <xdr:colOff>160019</xdr:colOff>
      <xdr:row>38</xdr:row>
      <xdr:rowOff>121920</xdr:rowOff>
    </xdr:from>
    <xdr:to>
      <xdr:col>5</xdr:col>
      <xdr:colOff>133417</xdr:colOff>
      <xdr:row>43</xdr:row>
      <xdr:rowOff>45720</xdr:rowOff>
    </xdr:to>
    <xdr:pic>
      <xdr:nvPicPr>
        <xdr:cNvPr id="10" name="Picture 9">
          <a:extLst>
            <a:ext uri="{FF2B5EF4-FFF2-40B4-BE49-F238E27FC236}">
              <a16:creationId xmlns:a16="http://schemas.microsoft.com/office/drawing/2014/main" id="{6AE93E71-CA60-48BF-9143-A46C0BC8584A}"/>
            </a:ext>
          </a:extLst>
        </xdr:cNvPr>
        <xdr:cNvPicPr>
          <a:picLocks noChangeAspect="1"/>
        </xdr:cNvPicPr>
      </xdr:nvPicPr>
      <xdr:blipFill>
        <a:blip xmlns:r="http://schemas.openxmlformats.org/officeDocument/2006/relationships" r:embed="rId47"/>
        <a:stretch>
          <a:fillRect/>
        </a:stretch>
      </xdr:blipFill>
      <xdr:spPr>
        <a:xfrm>
          <a:off x="2514599" y="7840980"/>
          <a:ext cx="781118" cy="876300"/>
        </a:xfrm>
        <a:prstGeom prst="rect">
          <a:avLst/>
        </a:prstGeom>
      </xdr:spPr>
    </xdr:pic>
    <xdr:clientData/>
  </xdr:twoCellAnchor>
  <xdr:twoCellAnchor editAs="oneCell">
    <xdr:from>
      <xdr:col>4</xdr:col>
      <xdr:colOff>108585</xdr:colOff>
      <xdr:row>45</xdr:row>
      <xdr:rowOff>22860</xdr:rowOff>
    </xdr:from>
    <xdr:to>
      <xdr:col>5</xdr:col>
      <xdr:colOff>459105</xdr:colOff>
      <xdr:row>47</xdr:row>
      <xdr:rowOff>129354</xdr:rowOff>
    </xdr:to>
    <xdr:pic>
      <xdr:nvPicPr>
        <xdr:cNvPr id="25" name="Picture 24">
          <a:extLst>
            <a:ext uri="{FF2B5EF4-FFF2-40B4-BE49-F238E27FC236}">
              <a16:creationId xmlns:a16="http://schemas.microsoft.com/office/drawing/2014/main" id="{E06C0841-3E2F-49A9-B114-ED14BDDE42A8}"/>
            </a:ext>
          </a:extLst>
        </xdr:cNvPr>
        <xdr:cNvPicPr>
          <a:picLocks noChangeAspect="1"/>
        </xdr:cNvPicPr>
      </xdr:nvPicPr>
      <xdr:blipFill>
        <a:blip xmlns:r="http://schemas.openxmlformats.org/officeDocument/2006/relationships" r:embed="rId48"/>
        <a:stretch>
          <a:fillRect/>
        </a:stretch>
      </xdr:blipFill>
      <xdr:spPr>
        <a:xfrm>
          <a:off x="2463165" y="9075420"/>
          <a:ext cx="1158240" cy="487494"/>
        </a:xfrm>
        <a:prstGeom prst="rect">
          <a:avLst/>
        </a:prstGeom>
      </xdr:spPr>
    </xdr:pic>
    <xdr:clientData/>
  </xdr:twoCellAnchor>
  <xdr:twoCellAnchor editAs="oneCell">
    <xdr:from>
      <xdr:col>4</xdr:col>
      <xdr:colOff>53339</xdr:colOff>
      <xdr:row>49</xdr:row>
      <xdr:rowOff>142874</xdr:rowOff>
    </xdr:from>
    <xdr:to>
      <xdr:col>5</xdr:col>
      <xdr:colOff>463097</xdr:colOff>
      <xdr:row>53</xdr:row>
      <xdr:rowOff>152399</xdr:rowOff>
    </xdr:to>
    <xdr:pic>
      <xdr:nvPicPr>
        <xdr:cNvPr id="33" name="Picture 32">
          <a:extLst>
            <a:ext uri="{FF2B5EF4-FFF2-40B4-BE49-F238E27FC236}">
              <a16:creationId xmlns:a16="http://schemas.microsoft.com/office/drawing/2014/main" id="{54FDD7BE-ED60-47A9-A4EB-5A1B722973E6}"/>
            </a:ext>
          </a:extLst>
        </xdr:cNvPr>
        <xdr:cNvPicPr>
          <a:picLocks noChangeAspect="1"/>
        </xdr:cNvPicPr>
      </xdr:nvPicPr>
      <xdr:blipFill>
        <a:blip xmlns:r="http://schemas.openxmlformats.org/officeDocument/2006/relationships" r:embed="rId49"/>
        <a:stretch>
          <a:fillRect/>
        </a:stretch>
      </xdr:blipFill>
      <xdr:spPr>
        <a:xfrm>
          <a:off x="2407919" y="9957434"/>
          <a:ext cx="1217478" cy="771525"/>
        </a:xfrm>
        <a:prstGeom prst="rect">
          <a:avLst/>
        </a:prstGeom>
      </xdr:spPr>
    </xdr:pic>
    <xdr:clientData/>
  </xdr:twoCellAnchor>
  <xdr:twoCellAnchor editAs="oneCell">
    <xdr:from>
      <xdr:col>4</xdr:col>
      <xdr:colOff>0</xdr:colOff>
      <xdr:row>58</xdr:row>
      <xdr:rowOff>0</xdr:rowOff>
    </xdr:from>
    <xdr:to>
      <xdr:col>5</xdr:col>
      <xdr:colOff>428192</xdr:colOff>
      <xdr:row>64</xdr:row>
      <xdr:rowOff>99060</xdr:rowOff>
    </xdr:to>
    <xdr:pic>
      <xdr:nvPicPr>
        <xdr:cNvPr id="34" name="Picture 33">
          <a:extLst>
            <a:ext uri="{FF2B5EF4-FFF2-40B4-BE49-F238E27FC236}">
              <a16:creationId xmlns:a16="http://schemas.microsoft.com/office/drawing/2014/main" id="{6C6B7634-2E6F-49E8-B4CF-008EE5719A48}"/>
            </a:ext>
          </a:extLst>
        </xdr:cNvPr>
        <xdr:cNvPicPr>
          <a:picLocks noChangeAspect="1"/>
        </xdr:cNvPicPr>
      </xdr:nvPicPr>
      <xdr:blipFill>
        <a:blip xmlns:r="http://schemas.openxmlformats.org/officeDocument/2006/relationships" r:embed="rId45"/>
        <a:stretch>
          <a:fillRect/>
        </a:stretch>
      </xdr:blipFill>
      <xdr:spPr>
        <a:xfrm>
          <a:off x="2354580" y="11529060"/>
          <a:ext cx="1235912" cy="1242060"/>
        </a:xfrm>
        <a:prstGeom prst="rect">
          <a:avLst/>
        </a:prstGeom>
      </xdr:spPr>
    </xdr:pic>
    <xdr:clientData/>
  </xdr:twoCellAnchor>
  <xdr:twoCellAnchor editAs="oneCell">
    <xdr:from>
      <xdr:col>3</xdr:col>
      <xdr:colOff>0</xdr:colOff>
      <xdr:row>71</xdr:row>
      <xdr:rowOff>144780</xdr:rowOff>
    </xdr:from>
    <xdr:to>
      <xdr:col>5</xdr:col>
      <xdr:colOff>549910</xdr:colOff>
      <xdr:row>75</xdr:row>
      <xdr:rowOff>154093</xdr:rowOff>
    </xdr:to>
    <xdr:pic>
      <xdr:nvPicPr>
        <xdr:cNvPr id="35" name="Picture 34">
          <a:extLst>
            <a:ext uri="{FF2B5EF4-FFF2-40B4-BE49-F238E27FC236}">
              <a16:creationId xmlns:a16="http://schemas.microsoft.com/office/drawing/2014/main" id="{008AB743-793C-44B4-8BDA-BE6088B9E5C4}"/>
            </a:ext>
          </a:extLst>
        </xdr:cNvPr>
        <xdr:cNvPicPr>
          <a:picLocks noChangeAspect="1"/>
        </xdr:cNvPicPr>
      </xdr:nvPicPr>
      <xdr:blipFill>
        <a:blip xmlns:r="http://schemas.openxmlformats.org/officeDocument/2006/relationships" r:embed="rId46"/>
        <a:stretch>
          <a:fillRect/>
        </a:stretch>
      </xdr:blipFill>
      <xdr:spPr>
        <a:xfrm>
          <a:off x="2080260" y="13769340"/>
          <a:ext cx="1631950" cy="771313"/>
        </a:xfrm>
        <a:prstGeom prst="rect">
          <a:avLst/>
        </a:prstGeom>
      </xdr:spPr>
    </xdr:pic>
    <xdr:clientData/>
  </xdr:twoCellAnchor>
  <xdr:twoCellAnchor editAs="oneCell">
    <xdr:from>
      <xdr:col>3</xdr:col>
      <xdr:colOff>243840</xdr:colOff>
      <xdr:row>78</xdr:row>
      <xdr:rowOff>129540</xdr:rowOff>
    </xdr:from>
    <xdr:to>
      <xdr:col>4</xdr:col>
      <xdr:colOff>750638</xdr:colOff>
      <xdr:row>83</xdr:row>
      <xdr:rowOff>53340</xdr:rowOff>
    </xdr:to>
    <xdr:pic>
      <xdr:nvPicPr>
        <xdr:cNvPr id="36" name="Picture 35">
          <a:extLst>
            <a:ext uri="{FF2B5EF4-FFF2-40B4-BE49-F238E27FC236}">
              <a16:creationId xmlns:a16="http://schemas.microsoft.com/office/drawing/2014/main" id="{19965D5F-3EA2-4A4B-B96E-1F2ECD1567E0}"/>
            </a:ext>
          </a:extLst>
        </xdr:cNvPr>
        <xdr:cNvPicPr>
          <a:picLocks noChangeAspect="1"/>
        </xdr:cNvPicPr>
      </xdr:nvPicPr>
      <xdr:blipFill>
        <a:blip xmlns:r="http://schemas.openxmlformats.org/officeDocument/2006/relationships" r:embed="rId47"/>
        <a:stretch>
          <a:fillRect/>
        </a:stretch>
      </xdr:blipFill>
      <xdr:spPr>
        <a:xfrm>
          <a:off x="2324100" y="15087600"/>
          <a:ext cx="781118" cy="876300"/>
        </a:xfrm>
        <a:prstGeom prst="rect">
          <a:avLst/>
        </a:prstGeom>
      </xdr:spPr>
    </xdr:pic>
    <xdr:clientData/>
  </xdr:twoCellAnchor>
  <xdr:twoCellAnchor editAs="oneCell">
    <xdr:from>
      <xdr:col>3</xdr:col>
      <xdr:colOff>236220</xdr:colOff>
      <xdr:row>85</xdr:row>
      <xdr:rowOff>120014</xdr:rowOff>
    </xdr:from>
    <xdr:to>
      <xdr:col>5</xdr:col>
      <xdr:colOff>371658</xdr:colOff>
      <xdr:row>89</xdr:row>
      <xdr:rowOff>129539</xdr:rowOff>
    </xdr:to>
    <xdr:pic>
      <xdr:nvPicPr>
        <xdr:cNvPr id="37" name="Picture 36">
          <a:extLst>
            <a:ext uri="{FF2B5EF4-FFF2-40B4-BE49-F238E27FC236}">
              <a16:creationId xmlns:a16="http://schemas.microsoft.com/office/drawing/2014/main" id="{EC284A69-54B2-444B-AD82-76E4D70A9967}"/>
            </a:ext>
          </a:extLst>
        </xdr:cNvPr>
        <xdr:cNvPicPr>
          <a:picLocks noChangeAspect="1"/>
        </xdr:cNvPicPr>
      </xdr:nvPicPr>
      <xdr:blipFill>
        <a:blip xmlns:r="http://schemas.openxmlformats.org/officeDocument/2006/relationships" r:embed="rId49"/>
        <a:stretch>
          <a:fillRect/>
        </a:stretch>
      </xdr:blipFill>
      <xdr:spPr>
        <a:xfrm>
          <a:off x="2316480" y="16411574"/>
          <a:ext cx="1217478" cy="771525"/>
        </a:xfrm>
        <a:prstGeom prst="rect">
          <a:avLst/>
        </a:prstGeom>
      </xdr:spPr>
    </xdr:pic>
    <xdr:clientData/>
  </xdr:twoCellAnchor>
  <xdr:twoCellAnchor editAs="oneCell">
    <xdr:from>
      <xdr:col>3</xdr:col>
      <xdr:colOff>220980</xdr:colOff>
      <xdr:row>113</xdr:row>
      <xdr:rowOff>180974</xdr:rowOff>
    </xdr:from>
    <xdr:to>
      <xdr:col>5</xdr:col>
      <xdr:colOff>356418</xdr:colOff>
      <xdr:row>117</xdr:row>
      <xdr:rowOff>190499</xdr:rowOff>
    </xdr:to>
    <xdr:pic>
      <xdr:nvPicPr>
        <xdr:cNvPr id="38" name="Picture 37">
          <a:extLst>
            <a:ext uri="{FF2B5EF4-FFF2-40B4-BE49-F238E27FC236}">
              <a16:creationId xmlns:a16="http://schemas.microsoft.com/office/drawing/2014/main" id="{29297DF4-48D9-444A-BC30-71047FCC7AF2}"/>
            </a:ext>
          </a:extLst>
        </xdr:cNvPr>
        <xdr:cNvPicPr>
          <a:picLocks noChangeAspect="1"/>
        </xdr:cNvPicPr>
      </xdr:nvPicPr>
      <xdr:blipFill>
        <a:blip xmlns:r="http://schemas.openxmlformats.org/officeDocument/2006/relationships" r:embed="rId49"/>
        <a:stretch>
          <a:fillRect/>
        </a:stretch>
      </xdr:blipFill>
      <xdr:spPr>
        <a:xfrm>
          <a:off x="2301240" y="21425534"/>
          <a:ext cx="1217478" cy="771525"/>
        </a:xfrm>
        <a:prstGeom prst="rect">
          <a:avLst/>
        </a:prstGeom>
      </xdr:spPr>
    </xdr:pic>
    <xdr:clientData/>
  </xdr:twoCellAnchor>
  <xdr:twoCellAnchor editAs="oneCell">
    <xdr:from>
      <xdr:col>4</xdr:col>
      <xdr:colOff>30480</xdr:colOff>
      <xdr:row>106</xdr:row>
      <xdr:rowOff>68580</xdr:rowOff>
    </xdr:from>
    <xdr:to>
      <xdr:col>5</xdr:col>
      <xdr:colOff>3878</xdr:colOff>
      <xdr:row>110</xdr:row>
      <xdr:rowOff>182880</xdr:rowOff>
    </xdr:to>
    <xdr:pic>
      <xdr:nvPicPr>
        <xdr:cNvPr id="39" name="Picture 38">
          <a:extLst>
            <a:ext uri="{FF2B5EF4-FFF2-40B4-BE49-F238E27FC236}">
              <a16:creationId xmlns:a16="http://schemas.microsoft.com/office/drawing/2014/main" id="{78897C05-991F-42ED-B9FB-ECD6E342A7EA}"/>
            </a:ext>
          </a:extLst>
        </xdr:cNvPr>
        <xdr:cNvPicPr>
          <a:picLocks noChangeAspect="1"/>
        </xdr:cNvPicPr>
      </xdr:nvPicPr>
      <xdr:blipFill>
        <a:blip xmlns:r="http://schemas.openxmlformats.org/officeDocument/2006/relationships" r:embed="rId47"/>
        <a:stretch>
          <a:fillRect/>
        </a:stretch>
      </xdr:blipFill>
      <xdr:spPr>
        <a:xfrm>
          <a:off x="2385060" y="19979640"/>
          <a:ext cx="781118" cy="876300"/>
        </a:xfrm>
        <a:prstGeom prst="rect">
          <a:avLst/>
        </a:prstGeom>
      </xdr:spPr>
    </xdr:pic>
    <xdr:clientData/>
  </xdr:twoCellAnchor>
  <xdr:twoCellAnchor editAs="oneCell">
    <xdr:from>
      <xdr:col>4</xdr:col>
      <xdr:colOff>0</xdr:colOff>
      <xdr:row>94</xdr:row>
      <xdr:rowOff>0</xdr:rowOff>
    </xdr:from>
    <xdr:to>
      <xdr:col>5</xdr:col>
      <xdr:colOff>428192</xdr:colOff>
      <xdr:row>100</xdr:row>
      <xdr:rowOff>99060</xdr:rowOff>
    </xdr:to>
    <xdr:pic>
      <xdr:nvPicPr>
        <xdr:cNvPr id="40" name="Picture 39">
          <a:extLst>
            <a:ext uri="{FF2B5EF4-FFF2-40B4-BE49-F238E27FC236}">
              <a16:creationId xmlns:a16="http://schemas.microsoft.com/office/drawing/2014/main" id="{1F104D5F-86E9-4F3C-A5AB-C8F7AF3A0FED}"/>
            </a:ext>
          </a:extLst>
        </xdr:cNvPr>
        <xdr:cNvPicPr>
          <a:picLocks noChangeAspect="1"/>
        </xdr:cNvPicPr>
      </xdr:nvPicPr>
      <xdr:blipFill>
        <a:blip xmlns:r="http://schemas.openxmlformats.org/officeDocument/2006/relationships" r:embed="rId45"/>
        <a:stretch>
          <a:fillRect/>
        </a:stretch>
      </xdr:blipFill>
      <xdr:spPr>
        <a:xfrm>
          <a:off x="2354580" y="18006060"/>
          <a:ext cx="1235912" cy="1242060"/>
        </a:xfrm>
        <a:prstGeom prst="rect">
          <a:avLst/>
        </a:prstGeom>
      </xdr:spPr>
    </xdr:pic>
    <xdr:clientData/>
  </xdr:twoCellAnchor>
  <xdr:twoCellAnchor editAs="oneCell">
    <xdr:from>
      <xdr:col>4</xdr:col>
      <xdr:colOff>7620</xdr:colOff>
      <xdr:row>120</xdr:row>
      <xdr:rowOff>60960</xdr:rowOff>
    </xdr:from>
    <xdr:to>
      <xdr:col>4</xdr:col>
      <xdr:colOff>742943</xdr:colOff>
      <xdr:row>125</xdr:row>
      <xdr:rowOff>36883</xdr:rowOff>
    </xdr:to>
    <xdr:pic>
      <xdr:nvPicPr>
        <xdr:cNvPr id="41" name="Picture 40">
          <a:extLst>
            <a:ext uri="{FF2B5EF4-FFF2-40B4-BE49-F238E27FC236}">
              <a16:creationId xmlns:a16="http://schemas.microsoft.com/office/drawing/2014/main" id="{74B0A40A-1FC3-425D-9057-CF317D28B1DE}"/>
            </a:ext>
          </a:extLst>
        </xdr:cNvPr>
        <xdr:cNvPicPr>
          <a:picLocks noChangeAspect="1"/>
        </xdr:cNvPicPr>
      </xdr:nvPicPr>
      <xdr:blipFill>
        <a:blip xmlns:r="http://schemas.openxmlformats.org/officeDocument/2006/relationships" r:embed="rId50"/>
        <a:stretch>
          <a:fillRect/>
        </a:stretch>
      </xdr:blipFill>
      <xdr:spPr>
        <a:xfrm rot="16200000">
          <a:off x="2265650" y="22735570"/>
          <a:ext cx="928423" cy="735323"/>
        </a:xfrm>
        <a:prstGeom prst="rect">
          <a:avLst/>
        </a:prstGeom>
      </xdr:spPr>
    </xdr:pic>
    <xdr:clientData/>
  </xdr:twoCellAnchor>
  <xdr:twoCellAnchor editAs="oneCell">
    <xdr:from>
      <xdr:col>1</xdr:col>
      <xdr:colOff>251460</xdr:colOff>
      <xdr:row>163</xdr:row>
      <xdr:rowOff>144780</xdr:rowOff>
    </xdr:from>
    <xdr:to>
      <xdr:col>3</xdr:col>
      <xdr:colOff>188661</xdr:colOff>
      <xdr:row>168</xdr:row>
      <xdr:rowOff>99060</xdr:rowOff>
    </xdr:to>
    <xdr:pic>
      <xdr:nvPicPr>
        <xdr:cNvPr id="42" name="Picture 41">
          <a:extLst>
            <a:ext uri="{FF2B5EF4-FFF2-40B4-BE49-F238E27FC236}">
              <a16:creationId xmlns:a16="http://schemas.microsoft.com/office/drawing/2014/main" id="{4A7130F9-6121-4A3A-B4D8-C784A5C54CEE}"/>
            </a:ext>
          </a:extLst>
        </xdr:cNvPr>
        <xdr:cNvPicPr>
          <a:picLocks noChangeAspect="1"/>
        </xdr:cNvPicPr>
      </xdr:nvPicPr>
      <xdr:blipFill>
        <a:blip xmlns:r="http://schemas.openxmlformats.org/officeDocument/2006/relationships" r:embed="rId51"/>
        <a:stretch>
          <a:fillRect/>
        </a:stretch>
      </xdr:blipFill>
      <xdr:spPr>
        <a:xfrm>
          <a:off x="1440180" y="31013400"/>
          <a:ext cx="828741" cy="922020"/>
        </a:xfrm>
        <a:prstGeom prst="rect">
          <a:avLst/>
        </a:prstGeom>
      </xdr:spPr>
    </xdr:pic>
    <xdr:clientData/>
  </xdr:twoCellAnchor>
  <xdr:twoCellAnchor editAs="oneCell">
    <xdr:from>
      <xdr:col>1</xdr:col>
      <xdr:colOff>266700</xdr:colOff>
      <xdr:row>172</xdr:row>
      <xdr:rowOff>182880</xdr:rowOff>
    </xdr:from>
    <xdr:to>
      <xdr:col>3</xdr:col>
      <xdr:colOff>243840</xdr:colOff>
      <xdr:row>177</xdr:row>
      <xdr:rowOff>158385</xdr:rowOff>
    </xdr:to>
    <xdr:pic>
      <xdr:nvPicPr>
        <xdr:cNvPr id="43" name="Picture 42">
          <a:extLst>
            <a:ext uri="{FF2B5EF4-FFF2-40B4-BE49-F238E27FC236}">
              <a16:creationId xmlns:a16="http://schemas.microsoft.com/office/drawing/2014/main" id="{08E83A03-530F-40E7-8D00-567721DEE546}"/>
            </a:ext>
          </a:extLst>
        </xdr:cNvPr>
        <xdr:cNvPicPr>
          <a:picLocks noChangeAspect="1"/>
        </xdr:cNvPicPr>
      </xdr:nvPicPr>
      <xdr:blipFill>
        <a:blip xmlns:r="http://schemas.openxmlformats.org/officeDocument/2006/relationships" r:embed="rId52"/>
        <a:stretch>
          <a:fillRect/>
        </a:stretch>
      </xdr:blipFill>
      <xdr:spPr>
        <a:xfrm>
          <a:off x="1455420" y="32598360"/>
          <a:ext cx="868680" cy="943244"/>
        </a:xfrm>
        <a:prstGeom prst="rect">
          <a:avLst/>
        </a:prstGeom>
      </xdr:spPr>
    </xdr:pic>
    <xdr:clientData/>
  </xdr:twoCellAnchor>
  <xdr:twoCellAnchor editAs="oneCell">
    <xdr:from>
      <xdr:col>1</xdr:col>
      <xdr:colOff>571500</xdr:colOff>
      <xdr:row>181</xdr:row>
      <xdr:rowOff>189411</xdr:rowOff>
    </xdr:from>
    <xdr:to>
      <xdr:col>4</xdr:col>
      <xdr:colOff>163830</xdr:colOff>
      <xdr:row>184</xdr:row>
      <xdr:rowOff>69795</xdr:rowOff>
    </xdr:to>
    <xdr:pic>
      <xdr:nvPicPr>
        <xdr:cNvPr id="44" name="Picture 43">
          <a:extLst>
            <a:ext uri="{FF2B5EF4-FFF2-40B4-BE49-F238E27FC236}">
              <a16:creationId xmlns:a16="http://schemas.microsoft.com/office/drawing/2014/main" id="{C8EF09BD-5FD7-4A5B-8975-8ECA636F3AAD}"/>
            </a:ext>
          </a:extLst>
        </xdr:cNvPr>
        <xdr:cNvPicPr>
          <a:picLocks noChangeAspect="1"/>
        </xdr:cNvPicPr>
      </xdr:nvPicPr>
      <xdr:blipFill>
        <a:blip xmlns:r="http://schemas.openxmlformats.org/officeDocument/2006/relationships" r:embed="rId53"/>
        <a:stretch>
          <a:fillRect/>
        </a:stretch>
      </xdr:blipFill>
      <xdr:spPr>
        <a:xfrm>
          <a:off x="1763486" y="35067240"/>
          <a:ext cx="767987" cy="451884"/>
        </a:xfrm>
        <a:prstGeom prst="rect">
          <a:avLst/>
        </a:prstGeom>
      </xdr:spPr>
    </xdr:pic>
    <xdr:clientData/>
  </xdr:twoCellAnchor>
  <xdr:twoCellAnchor editAs="oneCell">
    <xdr:from>
      <xdr:col>1</xdr:col>
      <xdr:colOff>563880</xdr:colOff>
      <xdr:row>186</xdr:row>
      <xdr:rowOff>0</xdr:rowOff>
    </xdr:from>
    <xdr:to>
      <xdr:col>3</xdr:col>
      <xdr:colOff>213360</xdr:colOff>
      <xdr:row>190</xdr:row>
      <xdr:rowOff>31506</xdr:rowOff>
    </xdr:to>
    <xdr:pic>
      <xdr:nvPicPr>
        <xdr:cNvPr id="45" name="Picture 44">
          <a:extLst>
            <a:ext uri="{FF2B5EF4-FFF2-40B4-BE49-F238E27FC236}">
              <a16:creationId xmlns:a16="http://schemas.microsoft.com/office/drawing/2014/main" id="{1F4A8562-0CC6-499A-88BA-A95CC0AB599B}"/>
            </a:ext>
          </a:extLst>
        </xdr:cNvPr>
        <xdr:cNvPicPr>
          <a:picLocks noChangeAspect="1"/>
        </xdr:cNvPicPr>
      </xdr:nvPicPr>
      <xdr:blipFill>
        <a:blip xmlns:r="http://schemas.openxmlformats.org/officeDocument/2006/relationships" r:embed="rId54"/>
        <a:stretch>
          <a:fillRect/>
        </a:stretch>
      </xdr:blipFill>
      <xdr:spPr>
        <a:xfrm>
          <a:off x="1752600" y="34914840"/>
          <a:ext cx="541020" cy="793506"/>
        </a:xfrm>
        <a:prstGeom prst="rect">
          <a:avLst/>
        </a:prstGeom>
      </xdr:spPr>
    </xdr:pic>
    <xdr:clientData/>
  </xdr:twoCellAnchor>
  <xdr:twoCellAnchor editAs="oneCell">
    <xdr:from>
      <xdr:col>1</xdr:col>
      <xdr:colOff>121920</xdr:colOff>
      <xdr:row>193</xdr:row>
      <xdr:rowOff>22860</xdr:rowOff>
    </xdr:from>
    <xdr:to>
      <xdr:col>3</xdr:col>
      <xdr:colOff>59121</xdr:colOff>
      <xdr:row>197</xdr:row>
      <xdr:rowOff>175259</xdr:rowOff>
    </xdr:to>
    <xdr:pic>
      <xdr:nvPicPr>
        <xdr:cNvPr id="46" name="Picture 45">
          <a:extLst>
            <a:ext uri="{FF2B5EF4-FFF2-40B4-BE49-F238E27FC236}">
              <a16:creationId xmlns:a16="http://schemas.microsoft.com/office/drawing/2014/main" id="{40698589-7D0A-49B5-8630-CF348919ECB0}"/>
            </a:ext>
          </a:extLst>
        </xdr:cNvPr>
        <xdr:cNvPicPr>
          <a:picLocks noChangeAspect="1"/>
        </xdr:cNvPicPr>
      </xdr:nvPicPr>
      <xdr:blipFill>
        <a:blip xmlns:r="http://schemas.openxmlformats.org/officeDocument/2006/relationships" r:embed="rId51"/>
        <a:stretch>
          <a:fillRect/>
        </a:stretch>
      </xdr:blipFill>
      <xdr:spPr>
        <a:xfrm>
          <a:off x="1310640" y="36271200"/>
          <a:ext cx="828741" cy="922020"/>
        </a:xfrm>
        <a:prstGeom prst="rect">
          <a:avLst/>
        </a:prstGeom>
      </xdr:spPr>
    </xdr:pic>
    <xdr:clientData/>
  </xdr:twoCellAnchor>
  <xdr:twoCellAnchor editAs="oneCell">
    <xdr:from>
      <xdr:col>1</xdr:col>
      <xdr:colOff>76200</xdr:colOff>
      <xdr:row>202</xdr:row>
      <xdr:rowOff>7620</xdr:rowOff>
    </xdr:from>
    <xdr:to>
      <xdr:col>3</xdr:col>
      <xdr:colOff>53340</xdr:colOff>
      <xdr:row>206</xdr:row>
      <xdr:rowOff>181244</xdr:rowOff>
    </xdr:to>
    <xdr:pic>
      <xdr:nvPicPr>
        <xdr:cNvPr id="47" name="Picture 46">
          <a:extLst>
            <a:ext uri="{FF2B5EF4-FFF2-40B4-BE49-F238E27FC236}">
              <a16:creationId xmlns:a16="http://schemas.microsoft.com/office/drawing/2014/main" id="{72A18903-46B2-4F3B-A8BE-1C76A4EAC7D8}"/>
            </a:ext>
          </a:extLst>
        </xdr:cNvPr>
        <xdr:cNvPicPr>
          <a:picLocks noChangeAspect="1"/>
        </xdr:cNvPicPr>
      </xdr:nvPicPr>
      <xdr:blipFill>
        <a:blip xmlns:r="http://schemas.openxmlformats.org/officeDocument/2006/relationships" r:embed="rId52"/>
        <a:stretch>
          <a:fillRect/>
        </a:stretch>
      </xdr:blipFill>
      <xdr:spPr>
        <a:xfrm>
          <a:off x="1264920" y="37795200"/>
          <a:ext cx="868680" cy="943244"/>
        </a:xfrm>
        <a:prstGeom prst="rect">
          <a:avLst/>
        </a:prstGeom>
      </xdr:spPr>
    </xdr:pic>
    <xdr:clientData/>
  </xdr:twoCellAnchor>
  <xdr:twoCellAnchor editAs="oneCell">
    <xdr:from>
      <xdr:col>1</xdr:col>
      <xdr:colOff>327660</xdr:colOff>
      <xdr:row>210</xdr:row>
      <xdr:rowOff>175260</xdr:rowOff>
    </xdr:from>
    <xdr:to>
      <xdr:col>2</xdr:col>
      <xdr:colOff>289560</xdr:colOff>
      <xdr:row>215</xdr:row>
      <xdr:rowOff>16266</xdr:rowOff>
    </xdr:to>
    <xdr:pic>
      <xdr:nvPicPr>
        <xdr:cNvPr id="48" name="Picture 47">
          <a:extLst>
            <a:ext uri="{FF2B5EF4-FFF2-40B4-BE49-F238E27FC236}">
              <a16:creationId xmlns:a16="http://schemas.microsoft.com/office/drawing/2014/main" id="{5F1D88AC-5849-47FC-B492-4F60B205D31B}"/>
            </a:ext>
          </a:extLst>
        </xdr:cNvPr>
        <xdr:cNvPicPr>
          <a:picLocks noChangeAspect="1"/>
        </xdr:cNvPicPr>
      </xdr:nvPicPr>
      <xdr:blipFill>
        <a:blip xmlns:r="http://schemas.openxmlformats.org/officeDocument/2006/relationships" r:embed="rId54"/>
        <a:stretch>
          <a:fillRect/>
        </a:stretch>
      </xdr:blipFill>
      <xdr:spPr>
        <a:xfrm>
          <a:off x="1516380" y="39311580"/>
          <a:ext cx="541020" cy="793506"/>
        </a:xfrm>
        <a:prstGeom prst="rect">
          <a:avLst/>
        </a:prstGeom>
      </xdr:spPr>
    </xdr:pic>
    <xdr:clientData/>
  </xdr:twoCellAnchor>
  <xdr:twoCellAnchor editAs="oneCell">
    <xdr:from>
      <xdr:col>1</xdr:col>
      <xdr:colOff>289560</xdr:colOff>
      <xdr:row>218</xdr:row>
      <xdr:rowOff>7620</xdr:rowOff>
    </xdr:from>
    <xdr:to>
      <xdr:col>3</xdr:col>
      <xdr:colOff>226761</xdr:colOff>
      <xdr:row>222</xdr:row>
      <xdr:rowOff>160019</xdr:rowOff>
    </xdr:to>
    <xdr:pic>
      <xdr:nvPicPr>
        <xdr:cNvPr id="49" name="Picture 48">
          <a:extLst>
            <a:ext uri="{FF2B5EF4-FFF2-40B4-BE49-F238E27FC236}">
              <a16:creationId xmlns:a16="http://schemas.microsoft.com/office/drawing/2014/main" id="{1E6F3854-7D9F-446E-91F3-726AF5AF3746}"/>
            </a:ext>
          </a:extLst>
        </xdr:cNvPr>
        <xdr:cNvPicPr>
          <a:picLocks noChangeAspect="1"/>
        </xdr:cNvPicPr>
      </xdr:nvPicPr>
      <xdr:blipFill>
        <a:blip xmlns:r="http://schemas.openxmlformats.org/officeDocument/2006/relationships" r:embed="rId51"/>
        <a:stretch>
          <a:fillRect/>
        </a:stretch>
      </xdr:blipFill>
      <xdr:spPr>
        <a:xfrm>
          <a:off x="1478280" y="40667940"/>
          <a:ext cx="828741" cy="922020"/>
        </a:xfrm>
        <a:prstGeom prst="rect">
          <a:avLst/>
        </a:prstGeom>
      </xdr:spPr>
    </xdr:pic>
    <xdr:clientData/>
  </xdr:twoCellAnchor>
  <xdr:twoCellAnchor editAs="oneCell">
    <xdr:from>
      <xdr:col>1</xdr:col>
      <xdr:colOff>274320</xdr:colOff>
      <xdr:row>227</xdr:row>
      <xdr:rowOff>22860</xdr:rowOff>
    </xdr:from>
    <xdr:to>
      <xdr:col>3</xdr:col>
      <xdr:colOff>251460</xdr:colOff>
      <xdr:row>232</xdr:row>
      <xdr:rowOff>542</xdr:rowOff>
    </xdr:to>
    <xdr:pic>
      <xdr:nvPicPr>
        <xdr:cNvPr id="50" name="Picture 49">
          <a:extLst>
            <a:ext uri="{FF2B5EF4-FFF2-40B4-BE49-F238E27FC236}">
              <a16:creationId xmlns:a16="http://schemas.microsoft.com/office/drawing/2014/main" id="{8D0AD525-B895-44DE-A519-D1A82F049FA7}"/>
            </a:ext>
          </a:extLst>
        </xdr:cNvPr>
        <xdr:cNvPicPr>
          <a:picLocks noChangeAspect="1"/>
        </xdr:cNvPicPr>
      </xdr:nvPicPr>
      <xdr:blipFill>
        <a:blip xmlns:r="http://schemas.openxmlformats.org/officeDocument/2006/relationships" r:embed="rId52"/>
        <a:stretch>
          <a:fillRect/>
        </a:stretch>
      </xdr:blipFill>
      <xdr:spPr>
        <a:xfrm>
          <a:off x="1463040" y="42207180"/>
          <a:ext cx="868680" cy="943244"/>
        </a:xfrm>
        <a:prstGeom prst="rect">
          <a:avLst/>
        </a:prstGeom>
      </xdr:spPr>
    </xdr:pic>
    <xdr:clientData/>
  </xdr:twoCellAnchor>
  <xdr:twoCellAnchor editAs="oneCell">
    <xdr:from>
      <xdr:col>1</xdr:col>
      <xdr:colOff>373380</xdr:colOff>
      <xdr:row>236</xdr:row>
      <xdr:rowOff>30480</xdr:rowOff>
    </xdr:from>
    <xdr:to>
      <xdr:col>3</xdr:col>
      <xdr:colOff>22860</xdr:colOff>
      <xdr:row>240</xdr:row>
      <xdr:rowOff>61986</xdr:rowOff>
    </xdr:to>
    <xdr:pic>
      <xdr:nvPicPr>
        <xdr:cNvPr id="51" name="Picture 50">
          <a:extLst>
            <a:ext uri="{FF2B5EF4-FFF2-40B4-BE49-F238E27FC236}">
              <a16:creationId xmlns:a16="http://schemas.microsoft.com/office/drawing/2014/main" id="{A612F473-A5B2-44DD-B8C7-810FACA60476}"/>
            </a:ext>
          </a:extLst>
        </xdr:cNvPr>
        <xdr:cNvPicPr>
          <a:picLocks noChangeAspect="1"/>
        </xdr:cNvPicPr>
      </xdr:nvPicPr>
      <xdr:blipFill>
        <a:blip xmlns:r="http://schemas.openxmlformats.org/officeDocument/2006/relationships" r:embed="rId54"/>
        <a:stretch>
          <a:fillRect/>
        </a:stretch>
      </xdr:blipFill>
      <xdr:spPr>
        <a:xfrm>
          <a:off x="1562100" y="43754040"/>
          <a:ext cx="541020" cy="793506"/>
        </a:xfrm>
        <a:prstGeom prst="rect">
          <a:avLst/>
        </a:prstGeom>
      </xdr:spPr>
    </xdr:pic>
    <xdr:clientData/>
  </xdr:twoCellAnchor>
  <xdr:twoCellAnchor editAs="oneCell">
    <xdr:from>
      <xdr:col>1</xdr:col>
      <xdr:colOff>175260</xdr:colOff>
      <xdr:row>241</xdr:row>
      <xdr:rowOff>182880</xdr:rowOff>
    </xdr:from>
    <xdr:to>
      <xdr:col>2</xdr:col>
      <xdr:colOff>289560</xdr:colOff>
      <xdr:row>244</xdr:row>
      <xdr:rowOff>121026</xdr:rowOff>
    </xdr:to>
    <xdr:pic>
      <xdr:nvPicPr>
        <xdr:cNvPr id="52" name="Picture 51">
          <a:extLst>
            <a:ext uri="{FF2B5EF4-FFF2-40B4-BE49-F238E27FC236}">
              <a16:creationId xmlns:a16="http://schemas.microsoft.com/office/drawing/2014/main" id="{EAC28181-B9C0-4C43-9D18-19781FDC6A3E}"/>
            </a:ext>
          </a:extLst>
        </xdr:cNvPr>
        <xdr:cNvPicPr>
          <a:picLocks noChangeAspect="1"/>
        </xdr:cNvPicPr>
      </xdr:nvPicPr>
      <xdr:blipFill>
        <a:blip xmlns:r="http://schemas.openxmlformats.org/officeDocument/2006/relationships" r:embed="rId55"/>
        <a:stretch>
          <a:fillRect/>
        </a:stretch>
      </xdr:blipFill>
      <xdr:spPr>
        <a:xfrm>
          <a:off x="1363980" y="44858940"/>
          <a:ext cx="693420" cy="509646"/>
        </a:xfrm>
        <a:prstGeom prst="rect">
          <a:avLst/>
        </a:prstGeom>
      </xdr:spPr>
    </xdr:pic>
    <xdr:clientData/>
  </xdr:twoCellAnchor>
  <xdr:twoCellAnchor editAs="oneCell">
    <xdr:from>
      <xdr:col>2</xdr:col>
      <xdr:colOff>25037</xdr:colOff>
      <xdr:row>252</xdr:row>
      <xdr:rowOff>37012</xdr:rowOff>
    </xdr:from>
    <xdr:to>
      <xdr:col>4</xdr:col>
      <xdr:colOff>650359</xdr:colOff>
      <xdr:row>259</xdr:row>
      <xdr:rowOff>97972</xdr:rowOff>
    </xdr:to>
    <xdr:pic>
      <xdr:nvPicPr>
        <xdr:cNvPr id="53" name="Picture 52">
          <a:extLst>
            <a:ext uri="{FF2B5EF4-FFF2-40B4-BE49-F238E27FC236}">
              <a16:creationId xmlns:a16="http://schemas.microsoft.com/office/drawing/2014/main" id="{5F3AF046-81B6-40C7-966F-3D6E47771C0D}"/>
            </a:ext>
          </a:extLst>
        </xdr:cNvPr>
        <xdr:cNvPicPr>
          <a:picLocks noChangeAspect="1"/>
        </xdr:cNvPicPr>
      </xdr:nvPicPr>
      <xdr:blipFill>
        <a:blip xmlns:r="http://schemas.openxmlformats.org/officeDocument/2006/relationships" r:embed="rId56"/>
        <a:stretch>
          <a:fillRect/>
        </a:stretch>
      </xdr:blipFill>
      <xdr:spPr>
        <a:xfrm>
          <a:off x="1799408" y="48472998"/>
          <a:ext cx="1218594" cy="1394460"/>
        </a:xfrm>
        <a:prstGeom prst="rect">
          <a:avLst/>
        </a:prstGeom>
      </xdr:spPr>
    </xdr:pic>
    <xdr:clientData/>
  </xdr:twoCellAnchor>
  <xdr:twoCellAnchor editAs="oneCell">
    <xdr:from>
      <xdr:col>1</xdr:col>
      <xdr:colOff>45720</xdr:colOff>
      <xdr:row>476</xdr:row>
      <xdr:rowOff>137160</xdr:rowOff>
    </xdr:from>
    <xdr:to>
      <xdr:col>3</xdr:col>
      <xdr:colOff>182969</xdr:colOff>
      <xdr:row>482</xdr:row>
      <xdr:rowOff>99156</xdr:rowOff>
    </xdr:to>
    <xdr:pic>
      <xdr:nvPicPr>
        <xdr:cNvPr id="60" name="Picture 59">
          <a:extLst>
            <a:ext uri="{FF2B5EF4-FFF2-40B4-BE49-F238E27FC236}">
              <a16:creationId xmlns:a16="http://schemas.microsoft.com/office/drawing/2014/main" id="{DDF78E8F-413C-4503-84A4-3251D9C0F7EF}"/>
            </a:ext>
          </a:extLst>
        </xdr:cNvPr>
        <xdr:cNvPicPr>
          <a:picLocks noChangeAspect="1"/>
        </xdr:cNvPicPr>
      </xdr:nvPicPr>
      <xdr:blipFill>
        <a:blip xmlns:r="http://schemas.openxmlformats.org/officeDocument/2006/relationships" r:embed="rId57"/>
        <a:stretch>
          <a:fillRect/>
        </a:stretch>
      </xdr:blipFill>
      <xdr:spPr>
        <a:xfrm>
          <a:off x="1234440" y="86997540"/>
          <a:ext cx="1028789" cy="1104996"/>
        </a:xfrm>
        <a:prstGeom prst="rect">
          <a:avLst/>
        </a:prstGeom>
      </xdr:spPr>
    </xdr:pic>
    <xdr:clientData/>
  </xdr:twoCellAnchor>
  <xdr:twoCellAnchor editAs="oneCell">
    <xdr:from>
      <xdr:col>1</xdr:col>
      <xdr:colOff>68580</xdr:colOff>
      <xdr:row>458</xdr:row>
      <xdr:rowOff>129540</xdr:rowOff>
    </xdr:from>
    <xdr:to>
      <xdr:col>4</xdr:col>
      <xdr:colOff>198232</xdr:colOff>
      <xdr:row>464</xdr:row>
      <xdr:rowOff>129441</xdr:rowOff>
    </xdr:to>
    <xdr:pic>
      <xdr:nvPicPr>
        <xdr:cNvPr id="61" name="Picture 60">
          <a:extLst>
            <a:ext uri="{FF2B5EF4-FFF2-40B4-BE49-F238E27FC236}">
              <a16:creationId xmlns:a16="http://schemas.microsoft.com/office/drawing/2014/main" id="{23BE4C14-B9DA-4791-9C16-4E67FAA6D8CA}"/>
            </a:ext>
          </a:extLst>
        </xdr:cNvPr>
        <xdr:cNvPicPr>
          <a:picLocks noChangeAspect="1"/>
        </xdr:cNvPicPr>
      </xdr:nvPicPr>
      <xdr:blipFill>
        <a:blip xmlns:r="http://schemas.openxmlformats.org/officeDocument/2006/relationships" r:embed="rId58"/>
        <a:stretch>
          <a:fillRect/>
        </a:stretch>
      </xdr:blipFill>
      <xdr:spPr>
        <a:xfrm flipV="1">
          <a:off x="1257300" y="83751420"/>
          <a:ext cx="1295512" cy="1142901"/>
        </a:xfrm>
        <a:prstGeom prst="rect">
          <a:avLst/>
        </a:prstGeom>
      </xdr:spPr>
    </xdr:pic>
    <xdr:clientData/>
  </xdr:twoCellAnchor>
  <xdr:twoCellAnchor editAs="oneCell">
    <xdr:from>
      <xdr:col>1</xdr:col>
      <xdr:colOff>190500</xdr:colOff>
      <xdr:row>447</xdr:row>
      <xdr:rowOff>7620</xdr:rowOff>
    </xdr:from>
    <xdr:to>
      <xdr:col>4</xdr:col>
      <xdr:colOff>53429</xdr:colOff>
      <xdr:row>452</xdr:row>
      <xdr:rowOff>160116</xdr:rowOff>
    </xdr:to>
    <xdr:pic>
      <xdr:nvPicPr>
        <xdr:cNvPr id="62" name="Picture 61">
          <a:extLst>
            <a:ext uri="{FF2B5EF4-FFF2-40B4-BE49-F238E27FC236}">
              <a16:creationId xmlns:a16="http://schemas.microsoft.com/office/drawing/2014/main" id="{77A5848E-452C-469E-AF99-0CD0A6375179}"/>
            </a:ext>
          </a:extLst>
        </xdr:cNvPr>
        <xdr:cNvPicPr>
          <a:picLocks noChangeAspect="1"/>
        </xdr:cNvPicPr>
      </xdr:nvPicPr>
      <xdr:blipFill>
        <a:blip xmlns:r="http://schemas.openxmlformats.org/officeDocument/2006/relationships" r:embed="rId57"/>
        <a:stretch>
          <a:fillRect/>
        </a:stretch>
      </xdr:blipFill>
      <xdr:spPr>
        <a:xfrm>
          <a:off x="1379220" y="81724500"/>
          <a:ext cx="1028789" cy="1104996"/>
        </a:xfrm>
        <a:prstGeom prst="rect">
          <a:avLst/>
        </a:prstGeom>
      </xdr:spPr>
    </xdr:pic>
    <xdr:clientData/>
  </xdr:twoCellAnchor>
  <xdr:twoCellAnchor editAs="oneCell">
    <xdr:from>
      <xdr:col>1</xdr:col>
      <xdr:colOff>457200</xdr:colOff>
      <xdr:row>605</xdr:row>
      <xdr:rowOff>34291</xdr:rowOff>
    </xdr:from>
    <xdr:to>
      <xdr:col>4</xdr:col>
      <xdr:colOff>411479</xdr:colOff>
      <xdr:row>608</xdr:row>
      <xdr:rowOff>171523</xdr:rowOff>
    </xdr:to>
    <xdr:pic>
      <xdr:nvPicPr>
        <xdr:cNvPr id="63" name="Picture 80650">
          <a:extLst>
            <a:ext uri="{FF2B5EF4-FFF2-40B4-BE49-F238E27FC236}">
              <a16:creationId xmlns:a16="http://schemas.microsoft.com/office/drawing/2014/main" id="{AA2CCA2D-3DEF-4170-A559-6760F0D0671F}"/>
            </a:ext>
          </a:extLst>
        </xdr:cNvPr>
        <xdr:cNvPicPr>
          <a:picLocks noChangeAspect="1" noChangeArrowheads="1"/>
        </xdr:cNvPicPr>
      </xdr:nvPicPr>
      <xdr:blipFill>
        <a:blip xmlns:r="http://schemas.openxmlformats.org/officeDocument/2006/relationships" r:embed="rId59" cstate="print"/>
        <a:srcRect/>
        <a:stretch>
          <a:fillRect/>
        </a:stretch>
      </xdr:blipFill>
      <xdr:spPr bwMode="auto">
        <a:xfrm>
          <a:off x="1645920" y="111293911"/>
          <a:ext cx="1120139" cy="708732"/>
        </a:xfrm>
        <a:prstGeom prst="rect">
          <a:avLst/>
        </a:prstGeom>
        <a:noFill/>
        <a:ln w="1">
          <a:noFill/>
          <a:miter lim="800000"/>
          <a:headEnd/>
          <a:tailEnd type="none" w="med" len="med"/>
        </a:ln>
        <a:effectLst/>
      </xdr:spPr>
    </xdr:pic>
    <xdr:clientData/>
  </xdr:twoCellAnchor>
  <xdr:twoCellAnchor editAs="oneCell">
    <xdr:from>
      <xdr:col>5</xdr:col>
      <xdr:colOff>106679</xdr:colOff>
      <xdr:row>605</xdr:row>
      <xdr:rowOff>15240</xdr:rowOff>
    </xdr:from>
    <xdr:to>
      <xdr:col>6</xdr:col>
      <xdr:colOff>182879</xdr:colOff>
      <xdr:row>608</xdr:row>
      <xdr:rowOff>171103</xdr:rowOff>
    </xdr:to>
    <xdr:pic>
      <xdr:nvPicPr>
        <xdr:cNvPr id="534016" name="Picture 80651">
          <a:extLst>
            <a:ext uri="{FF2B5EF4-FFF2-40B4-BE49-F238E27FC236}">
              <a16:creationId xmlns:a16="http://schemas.microsoft.com/office/drawing/2014/main" id="{6C29D64C-C696-4143-81CE-C9E63440736A}"/>
            </a:ext>
          </a:extLst>
        </xdr:cNvPr>
        <xdr:cNvPicPr>
          <a:picLocks noChangeAspect="1" noChangeArrowheads="1"/>
        </xdr:cNvPicPr>
      </xdr:nvPicPr>
      <xdr:blipFill>
        <a:blip xmlns:r="http://schemas.openxmlformats.org/officeDocument/2006/relationships" r:embed="rId60" cstate="print"/>
        <a:srcRect/>
        <a:stretch>
          <a:fillRect/>
        </a:stretch>
      </xdr:blipFill>
      <xdr:spPr bwMode="auto">
        <a:xfrm>
          <a:off x="3268979" y="111274860"/>
          <a:ext cx="998220" cy="727363"/>
        </a:xfrm>
        <a:prstGeom prst="rect">
          <a:avLst/>
        </a:prstGeom>
        <a:noFill/>
        <a:ln w="1">
          <a:noFill/>
          <a:miter lim="800000"/>
          <a:headEnd/>
          <a:tailEnd type="none" w="med" len="med"/>
        </a:ln>
        <a:effectLst/>
      </xdr:spPr>
    </xdr:pic>
    <xdr:clientData/>
  </xdr:twoCellAnchor>
  <xdr:twoCellAnchor>
    <xdr:from>
      <xdr:col>41</xdr:col>
      <xdr:colOff>0</xdr:colOff>
      <xdr:row>162</xdr:row>
      <xdr:rowOff>104775</xdr:rowOff>
    </xdr:from>
    <xdr:to>
      <xdr:col>41</xdr:col>
      <xdr:colOff>0</xdr:colOff>
      <xdr:row>162</xdr:row>
      <xdr:rowOff>104775</xdr:rowOff>
    </xdr:to>
    <xdr:sp macro="" textlink="">
      <xdr:nvSpPr>
        <xdr:cNvPr id="534017" name="Line 3">
          <a:extLst>
            <a:ext uri="{FF2B5EF4-FFF2-40B4-BE49-F238E27FC236}">
              <a16:creationId xmlns:a16="http://schemas.microsoft.com/office/drawing/2014/main" id="{C89D92F5-2EC1-421F-831D-0FC242158798}"/>
            </a:ext>
          </a:extLst>
        </xdr:cNvPr>
        <xdr:cNvSpPr>
          <a:spLocks noChangeShapeType="1"/>
        </xdr:cNvSpPr>
      </xdr:nvSpPr>
      <xdr:spPr bwMode="auto">
        <a:xfrm>
          <a:off x="21244560" y="30775275"/>
          <a:ext cx="0" cy="0"/>
        </a:xfrm>
        <a:prstGeom prst="line">
          <a:avLst/>
        </a:prstGeom>
        <a:noFill/>
        <a:ln w="9525">
          <a:solidFill>
            <a:srgbClr val="000000"/>
          </a:solidFill>
          <a:round/>
          <a:headEnd/>
          <a:tailEnd type="triangle" w="med" len="med"/>
        </a:ln>
      </xdr:spPr>
    </xdr:sp>
    <xdr:clientData/>
  </xdr:twoCellAnchor>
  <xdr:twoCellAnchor>
    <xdr:from>
      <xdr:col>41</xdr:col>
      <xdr:colOff>0</xdr:colOff>
      <xdr:row>160</xdr:row>
      <xdr:rowOff>104775</xdr:rowOff>
    </xdr:from>
    <xdr:to>
      <xdr:col>41</xdr:col>
      <xdr:colOff>0</xdr:colOff>
      <xdr:row>160</xdr:row>
      <xdr:rowOff>104775</xdr:rowOff>
    </xdr:to>
    <xdr:sp macro="" textlink="">
      <xdr:nvSpPr>
        <xdr:cNvPr id="534022" name="Line 3">
          <a:extLst>
            <a:ext uri="{FF2B5EF4-FFF2-40B4-BE49-F238E27FC236}">
              <a16:creationId xmlns:a16="http://schemas.microsoft.com/office/drawing/2014/main" id="{06F5CEC0-B9EE-4DE7-99B0-0B55B87FD642}"/>
            </a:ext>
          </a:extLst>
        </xdr:cNvPr>
        <xdr:cNvSpPr>
          <a:spLocks noChangeShapeType="1"/>
        </xdr:cNvSpPr>
      </xdr:nvSpPr>
      <xdr:spPr bwMode="auto">
        <a:xfrm>
          <a:off x="21244560" y="30394275"/>
          <a:ext cx="0" cy="0"/>
        </a:xfrm>
        <a:prstGeom prst="line">
          <a:avLst/>
        </a:prstGeom>
        <a:noFill/>
        <a:ln w="9525">
          <a:solidFill>
            <a:srgbClr val="000000"/>
          </a:solidFill>
          <a:round/>
          <a:headEnd/>
          <a:tailEnd type="triangle" w="med" len="med"/>
        </a:ln>
      </xdr:spPr>
    </xdr:sp>
    <xdr:clientData/>
  </xdr:twoCellAnchor>
  <xdr:twoCellAnchor>
    <xdr:from>
      <xdr:col>41</xdr:col>
      <xdr:colOff>0</xdr:colOff>
      <xdr:row>161</xdr:row>
      <xdr:rowOff>104775</xdr:rowOff>
    </xdr:from>
    <xdr:to>
      <xdr:col>41</xdr:col>
      <xdr:colOff>0</xdr:colOff>
      <xdr:row>161</xdr:row>
      <xdr:rowOff>104775</xdr:rowOff>
    </xdr:to>
    <xdr:sp macro="" textlink="">
      <xdr:nvSpPr>
        <xdr:cNvPr id="534023" name="Line 3">
          <a:extLst>
            <a:ext uri="{FF2B5EF4-FFF2-40B4-BE49-F238E27FC236}">
              <a16:creationId xmlns:a16="http://schemas.microsoft.com/office/drawing/2014/main" id="{A78B6019-BDC6-4FEC-A6BE-FD1AFD38BB42}"/>
            </a:ext>
          </a:extLst>
        </xdr:cNvPr>
        <xdr:cNvSpPr>
          <a:spLocks noChangeShapeType="1"/>
        </xdr:cNvSpPr>
      </xdr:nvSpPr>
      <xdr:spPr bwMode="auto">
        <a:xfrm>
          <a:off x="21244560" y="30584775"/>
          <a:ext cx="0" cy="0"/>
        </a:xfrm>
        <a:prstGeom prst="line">
          <a:avLst/>
        </a:prstGeom>
        <a:noFill/>
        <a:ln w="9525">
          <a:solidFill>
            <a:srgbClr val="000000"/>
          </a:solidFill>
          <a:round/>
          <a:headEnd/>
          <a:tailEnd type="triangle" w="med" len="med"/>
        </a:ln>
      </xdr:spPr>
    </xdr:sp>
    <xdr:clientData/>
  </xdr:twoCellAnchor>
  <xdr:twoCellAnchor>
    <xdr:from>
      <xdr:col>25</xdr:col>
      <xdr:colOff>251460</xdr:colOff>
      <xdr:row>0</xdr:row>
      <xdr:rowOff>381000</xdr:rowOff>
    </xdr:from>
    <xdr:to>
      <xdr:col>32</xdr:col>
      <xdr:colOff>674370</xdr:colOff>
      <xdr:row>3</xdr:row>
      <xdr:rowOff>80009</xdr:rowOff>
    </xdr:to>
    <xdr:sp macro="" textlink="">
      <xdr:nvSpPr>
        <xdr:cNvPr id="534025" name="TextBox 534024">
          <a:extLst>
            <a:ext uri="{FF2B5EF4-FFF2-40B4-BE49-F238E27FC236}">
              <a16:creationId xmlns:a16="http://schemas.microsoft.com/office/drawing/2014/main" id="{F6AB3B62-654F-4176-8549-C9E2114CF281}"/>
            </a:ext>
          </a:extLst>
        </xdr:cNvPr>
        <xdr:cNvSpPr txBox="1"/>
      </xdr:nvSpPr>
      <xdr:spPr>
        <a:xfrm>
          <a:off x="12740640" y="38100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8</xdr:col>
      <xdr:colOff>108857</xdr:colOff>
      <xdr:row>400</xdr:row>
      <xdr:rowOff>27215</xdr:rowOff>
    </xdr:from>
    <xdr:to>
      <xdr:col>16</xdr:col>
      <xdr:colOff>431678</xdr:colOff>
      <xdr:row>403</xdr:row>
      <xdr:rowOff>133048</xdr:rowOff>
    </xdr:to>
    <xdr:sp macro="" textlink="">
      <xdr:nvSpPr>
        <xdr:cNvPr id="58" name="TextBox 57">
          <a:extLst>
            <a:ext uri="{FF2B5EF4-FFF2-40B4-BE49-F238E27FC236}">
              <a16:creationId xmlns:a16="http://schemas.microsoft.com/office/drawing/2014/main" id="{1B0C1ED2-93EC-4AD0-8E63-3E131568EA05}"/>
            </a:ext>
          </a:extLst>
        </xdr:cNvPr>
        <xdr:cNvSpPr txBox="1"/>
      </xdr:nvSpPr>
      <xdr:spPr>
        <a:xfrm>
          <a:off x="5143500" y="75478822"/>
          <a:ext cx="3343607"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5</xdr:col>
      <xdr:colOff>343868</xdr:colOff>
      <xdr:row>395</xdr:row>
      <xdr:rowOff>47260</xdr:rowOff>
    </xdr:from>
    <xdr:to>
      <xdr:col>6</xdr:col>
      <xdr:colOff>328862</xdr:colOff>
      <xdr:row>398</xdr:row>
      <xdr:rowOff>144780</xdr:rowOff>
    </xdr:to>
    <xdr:pic>
      <xdr:nvPicPr>
        <xdr:cNvPr id="59" name="Picture 58">
          <a:extLst>
            <a:ext uri="{FF2B5EF4-FFF2-40B4-BE49-F238E27FC236}">
              <a16:creationId xmlns:a16="http://schemas.microsoft.com/office/drawing/2014/main" id="{D0B2C449-0333-498D-BCB4-4B0DC0B0CA6B}"/>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xdr:blipFill>
      <xdr:spPr>
        <a:xfrm>
          <a:off x="3515693" y="76237735"/>
          <a:ext cx="908919" cy="669020"/>
        </a:xfrm>
        <a:prstGeom prst="rect">
          <a:avLst/>
        </a:prstGeom>
      </xdr:spPr>
    </xdr:pic>
    <xdr:clientData/>
  </xdr:twoCellAnchor>
  <xdr:twoCellAnchor>
    <xdr:from>
      <xdr:col>8</xdr:col>
      <xdr:colOff>54429</xdr:colOff>
      <xdr:row>395</xdr:row>
      <xdr:rowOff>163286</xdr:rowOff>
    </xdr:from>
    <xdr:to>
      <xdr:col>19</xdr:col>
      <xdr:colOff>500593</xdr:colOff>
      <xdr:row>399</xdr:row>
      <xdr:rowOff>65919</xdr:rowOff>
    </xdr:to>
    <xdr:sp macro="" textlink="">
      <xdr:nvSpPr>
        <xdr:cNvPr id="534024" name="TextBox 534023">
          <a:extLst>
            <a:ext uri="{FF2B5EF4-FFF2-40B4-BE49-F238E27FC236}">
              <a16:creationId xmlns:a16="http://schemas.microsoft.com/office/drawing/2014/main" id="{BF9D90E9-3E5E-4077-BE45-10E62EB6115F}"/>
            </a:ext>
          </a:extLst>
        </xdr:cNvPr>
        <xdr:cNvSpPr txBox="1"/>
      </xdr:nvSpPr>
      <xdr:spPr>
        <a:xfrm>
          <a:off x="5074104" y="76353761"/>
          <a:ext cx="4570489"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35</xdr:row>
      <xdr:rowOff>0</xdr:rowOff>
    </xdr:from>
    <xdr:to>
      <xdr:col>5</xdr:col>
      <xdr:colOff>285750</xdr:colOff>
      <xdr:row>39</xdr:row>
      <xdr:rowOff>142875</xdr:rowOff>
    </xdr:to>
    <xdr:pic>
      <xdr:nvPicPr>
        <xdr:cNvPr id="367302" name="Picture 5830">
          <a:extLst>
            <a:ext uri="{FF2B5EF4-FFF2-40B4-BE49-F238E27FC236}">
              <a16:creationId xmlns:a16="http://schemas.microsoft.com/office/drawing/2014/main" id="{00000000-0008-0000-0600-0000C69A0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7219950"/>
          <a:ext cx="2543175" cy="904875"/>
        </a:xfrm>
        <a:prstGeom prst="rect">
          <a:avLst/>
        </a:prstGeom>
        <a:noFill/>
        <a:ln w="1">
          <a:noFill/>
          <a:miter lim="800000"/>
          <a:headEnd/>
          <a:tailEnd type="none" w="med" len="med"/>
        </a:ln>
        <a:effectLst/>
      </xdr:spPr>
    </xdr:pic>
    <xdr:clientData/>
  </xdr:twoCellAnchor>
  <xdr:twoCellAnchor editAs="oneCell">
    <xdr:from>
      <xdr:col>1</xdr:col>
      <xdr:colOff>314213</xdr:colOff>
      <xdr:row>63</xdr:row>
      <xdr:rowOff>127299</xdr:rowOff>
    </xdr:from>
    <xdr:to>
      <xdr:col>2</xdr:col>
      <xdr:colOff>524813</xdr:colOff>
      <xdr:row>69</xdr:row>
      <xdr:rowOff>104887</xdr:rowOff>
    </xdr:to>
    <xdr:pic>
      <xdr:nvPicPr>
        <xdr:cNvPr id="4" name="Picture 25369">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17133" y="12304059"/>
          <a:ext cx="896400" cy="1120589"/>
        </a:xfrm>
        <a:prstGeom prst="rect">
          <a:avLst/>
        </a:prstGeom>
        <a:noFill/>
        <a:ln w="1">
          <a:noFill/>
          <a:miter lim="800000"/>
          <a:headEnd/>
          <a:tailEnd/>
        </a:ln>
      </xdr:spPr>
    </xdr:pic>
    <xdr:clientData/>
  </xdr:twoCellAnchor>
  <xdr:twoCellAnchor editAs="oneCell">
    <xdr:from>
      <xdr:col>1</xdr:col>
      <xdr:colOff>303007</xdr:colOff>
      <xdr:row>75</xdr:row>
      <xdr:rowOff>116093</xdr:rowOff>
    </xdr:from>
    <xdr:to>
      <xdr:col>3</xdr:col>
      <xdr:colOff>68057</xdr:colOff>
      <xdr:row>82</xdr:row>
      <xdr:rowOff>52301</xdr:rowOff>
    </xdr:to>
    <xdr:pic>
      <xdr:nvPicPr>
        <xdr:cNvPr id="5" name="Picture 25371">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805927" y="14197853"/>
          <a:ext cx="1136650" cy="1269707"/>
        </a:xfrm>
        <a:prstGeom prst="rect">
          <a:avLst/>
        </a:prstGeom>
        <a:noFill/>
        <a:ln w="1">
          <a:noFill/>
          <a:miter lim="800000"/>
          <a:headEnd/>
          <a:tailEnd/>
        </a:ln>
      </xdr:spPr>
    </xdr:pic>
    <xdr:clientData/>
  </xdr:twoCellAnchor>
  <xdr:twoCellAnchor editAs="oneCell">
    <xdr:from>
      <xdr:col>1</xdr:col>
      <xdr:colOff>168089</xdr:colOff>
      <xdr:row>87</xdr:row>
      <xdr:rowOff>186018</xdr:rowOff>
    </xdr:from>
    <xdr:to>
      <xdr:col>2</xdr:col>
      <xdr:colOff>187345</xdr:colOff>
      <xdr:row>91</xdr:row>
      <xdr:rowOff>66675</xdr:rowOff>
    </xdr:to>
    <xdr:pic>
      <xdr:nvPicPr>
        <xdr:cNvPr id="6" name="Picture 17286">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672914" y="16054668"/>
          <a:ext cx="705056" cy="642657"/>
        </a:xfrm>
        <a:prstGeom prst="rect">
          <a:avLst/>
        </a:prstGeom>
        <a:noFill/>
        <a:ln w="1">
          <a:noFill/>
          <a:miter lim="800000"/>
          <a:headEnd/>
          <a:tailEnd/>
        </a:ln>
      </xdr:spPr>
    </xdr:pic>
    <xdr:clientData/>
  </xdr:twoCellAnchor>
  <xdr:twoCellAnchor editAs="oneCell">
    <xdr:from>
      <xdr:col>1</xdr:col>
      <xdr:colOff>90095</xdr:colOff>
      <xdr:row>96</xdr:row>
      <xdr:rowOff>3585</xdr:rowOff>
    </xdr:from>
    <xdr:to>
      <xdr:col>2</xdr:col>
      <xdr:colOff>157330</xdr:colOff>
      <xdr:row>100</xdr:row>
      <xdr:rowOff>33801</xdr:rowOff>
    </xdr:to>
    <xdr:pic>
      <xdr:nvPicPr>
        <xdr:cNvPr id="7" name="Picture 2537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593015" y="18276345"/>
          <a:ext cx="753035" cy="792216"/>
        </a:xfrm>
        <a:prstGeom prst="rect">
          <a:avLst/>
        </a:prstGeom>
        <a:noFill/>
        <a:ln w="1">
          <a:noFill/>
          <a:miter lim="800000"/>
          <a:headEnd/>
          <a:tailEnd/>
        </a:ln>
      </xdr:spPr>
    </xdr:pic>
    <xdr:clientData/>
  </xdr:twoCellAnchor>
  <xdr:twoCellAnchor editAs="oneCell">
    <xdr:from>
      <xdr:col>1</xdr:col>
      <xdr:colOff>280147</xdr:colOff>
      <xdr:row>103</xdr:row>
      <xdr:rowOff>123265</xdr:rowOff>
    </xdr:from>
    <xdr:to>
      <xdr:col>2</xdr:col>
      <xdr:colOff>469145</xdr:colOff>
      <xdr:row>108</xdr:row>
      <xdr:rowOff>44823</xdr:rowOff>
    </xdr:to>
    <xdr:pic>
      <xdr:nvPicPr>
        <xdr:cNvPr id="367303" name="Picture 5831">
          <a:extLst>
            <a:ext uri="{FF2B5EF4-FFF2-40B4-BE49-F238E27FC236}">
              <a16:creationId xmlns:a16="http://schemas.microsoft.com/office/drawing/2014/main" id="{00000000-0008-0000-0600-0000C79A05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784412" y="18635383"/>
          <a:ext cx="872557" cy="874058"/>
        </a:xfrm>
        <a:prstGeom prst="rect">
          <a:avLst/>
        </a:prstGeom>
        <a:noFill/>
        <a:ln w="1">
          <a:noFill/>
          <a:miter lim="800000"/>
          <a:headEnd/>
          <a:tailEnd type="none" w="med" len="med"/>
        </a:ln>
        <a:effectLst/>
      </xdr:spPr>
    </xdr:pic>
    <xdr:clientData/>
  </xdr:twoCellAnchor>
  <xdr:twoCellAnchor editAs="oneCell">
    <xdr:from>
      <xdr:col>1</xdr:col>
      <xdr:colOff>240367</xdr:colOff>
      <xdr:row>110</xdr:row>
      <xdr:rowOff>20169</xdr:rowOff>
    </xdr:from>
    <xdr:to>
      <xdr:col>2</xdr:col>
      <xdr:colOff>403730</xdr:colOff>
      <xdr:row>112</xdr:row>
      <xdr:rowOff>123824</xdr:rowOff>
    </xdr:to>
    <xdr:pic>
      <xdr:nvPicPr>
        <xdr:cNvPr id="9" name="Picture 17289">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745192" y="19127319"/>
          <a:ext cx="849163" cy="484655"/>
        </a:xfrm>
        <a:prstGeom prst="rect">
          <a:avLst/>
        </a:prstGeom>
        <a:noFill/>
        <a:ln w="1">
          <a:noFill/>
          <a:miter lim="800000"/>
          <a:headEnd/>
          <a:tailEnd/>
        </a:ln>
      </xdr:spPr>
    </xdr:pic>
    <xdr:clientData/>
  </xdr:twoCellAnchor>
  <xdr:twoCellAnchor editAs="oneCell">
    <xdr:from>
      <xdr:col>1</xdr:col>
      <xdr:colOff>426383</xdr:colOff>
      <xdr:row>131</xdr:row>
      <xdr:rowOff>44823</xdr:rowOff>
    </xdr:from>
    <xdr:to>
      <xdr:col>4</xdr:col>
      <xdr:colOff>338977</xdr:colOff>
      <xdr:row>136</xdr:row>
      <xdr:rowOff>111498</xdr:rowOff>
    </xdr:to>
    <xdr:pic>
      <xdr:nvPicPr>
        <xdr:cNvPr id="367304" name="Picture 5832">
          <a:extLst>
            <a:ext uri="{FF2B5EF4-FFF2-40B4-BE49-F238E27FC236}">
              <a16:creationId xmlns:a16="http://schemas.microsoft.com/office/drawing/2014/main" id="{00000000-0008-0000-0600-0000C89A05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931208" y="22066623"/>
          <a:ext cx="1484219" cy="828675"/>
        </a:xfrm>
        <a:prstGeom prst="rect">
          <a:avLst/>
        </a:prstGeom>
        <a:noFill/>
        <a:ln w="1">
          <a:noFill/>
          <a:miter lim="800000"/>
          <a:headEnd/>
          <a:tailEnd type="none" w="med" len="med"/>
        </a:ln>
        <a:effectLst/>
      </xdr:spPr>
    </xdr:pic>
    <xdr:clientData/>
  </xdr:twoCellAnchor>
  <xdr:twoCellAnchor editAs="oneCell">
    <xdr:from>
      <xdr:col>0</xdr:col>
      <xdr:colOff>201706</xdr:colOff>
      <xdr:row>117</xdr:row>
      <xdr:rowOff>56030</xdr:rowOff>
    </xdr:from>
    <xdr:to>
      <xdr:col>3</xdr:col>
      <xdr:colOff>118222</xdr:colOff>
      <xdr:row>123</xdr:row>
      <xdr:rowOff>123824</xdr:rowOff>
    </xdr:to>
    <xdr:pic>
      <xdr:nvPicPr>
        <xdr:cNvPr id="367305" name="Picture 5833">
          <a:extLst>
            <a:ext uri="{FF2B5EF4-FFF2-40B4-BE49-F238E27FC236}">
              <a16:creationId xmlns:a16="http://schemas.microsoft.com/office/drawing/2014/main" id="{00000000-0008-0000-0600-0000C99A05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201706" y="21058655"/>
          <a:ext cx="1792941" cy="1210795"/>
        </a:xfrm>
        <a:prstGeom prst="rect">
          <a:avLst/>
        </a:prstGeom>
        <a:noFill/>
        <a:ln w="1">
          <a:noFill/>
          <a:miter lim="800000"/>
          <a:headEnd/>
          <a:tailEnd type="none" w="med" len="med"/>
        </a:ln>
        <a:effectLst/>
      </xdr:spPr>
    </xdr:pic>
    <xdr:clientData/>
  </xdr:twoCellAnchor>
  <xdr:twoCellAnchor editAs="oneCell">
    <xdr:from>
      <xdr:col>1</xdr:col>
      <xdr:colOff>134471</xdr:colOff>
      <xdr:row>150</xdr:row>
      <xdr:rowOff>85165</xdr:rowOff>
    </xdr:from>
    <xdr:to>
      <xdr:col>2</xdr:col>
      <xdr:colOff>589991</xdr:colOff>
      <xdr:row>152</xdr:row>
      <xdr:rowOff>8965</xdr:rowOff>
    </xdr:to>
    <xdr:pic>
      <xdr:nvPicPr>
        <xdr:cNvPr id="367306" name="Picture 5834">
          <a:extLst>
            <a:ext uri="{FF2B5EF4-FFF2-40B4-BE49-F238E27FC236}">
              <a16:creationId xmlns:a16="http://schemas.microsoft.com/office/drawing/2014/main" id="{00000000-0008-0000-0600-0000CA9A05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39296" y="23707165"/>
          <a:ext cx="1141320" cy="304800"/>
        </a:xfrm>
        <a:prstGeom prst="rect">
          <a:avLst/>
        </a:prstGeom>
        <a:noFill/>
        <a:ln w="1">
          <a:noFill/>
          <a:miter lim="800000"/>
          <a:headEnd/>
          <a:tailEnd type="none" w="med" len="med"/>
        </a:ln>
        <a:effectLst/>
      </xdr:spPr>
    </xdr:pic>
    <xdr:clientData/>
  </xdr:twoCellAnchor>
  <xdr:twoCellAnchor editAs="oneCell">
    <xdr:from>
      <xdr:col>1</xdr:col>
      <xdr:colOff>1</xdr:colOff>
      <xdr:row>16</xdr:row>
      <xdr:rowOff>1</xdr:rowOff>
    </xdr:from>
    <xdr:to>
      <xdr:col>5</xdr:col>
      <xdr:colOff>137584</xdr:colOff>
      <xdr:row>17</xdr:row>
      <xdr:rowOff>143421</xdr:rowOff>
    </xdr:to>
    <xdr:pic>
      <xdr:nvPicPr>
        <xdr:cNvPr id="367354" name="Picture 5882">
          <a:extLst>
            <a:ext uri="{FF2B5EF4-FFF2-40B4-BE49-F238E27FC236}">
              <a16:creationId xmlns:a16="http://schemas.microsoft.com/office/drawing/2014/main" id="{00000000-0008-0000-0600-0000FA9A05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08001" y="3291418"/>
          <a:ext cx="2402416" cy="333920"/>
        </a:xfrm>
        <a:prstGeom prst="rect">
          <a:avLst/>
        </a:prstGeom>
        <a:noFill/>
        <a:ln w="1">
          <a:noFill/>
          <a:miter lim="800000"/>
          <a:headEnd/>
          <a:tailEnd type="none" w="med" len="med"/>
        </a:ln>
        <a:effectLst/>
      </xdr:spPr>
    </xdr:pic>
    <xdr:clientData/>
  </xdr:twoCellAnchor>
  <xdr:twoCellAnchor editAs="oneCell">
    <xdr:from>
      <xdr:col>5</xdr:col>
      <xdr:colOff>59268</xdr:colOff>
      <xdr:row>18</xdr:row>
      <xdr:rowOff>57150</xdr:rowOff>
    </xdr:from>
    <xdr:to>
      <xdr:col>6</xdr:col>
      <xdr:colOff>230140</xdr:colOff>
      <xdr:row>20</xdr:row>
      <xdr:rowOff>170392</xdr:rowOff>
    </xdr:to>
    <xdr:pic>
      <xdr:nvPicPr>
        <xdr:cNvPr id="367355" name="Picture 5883">
          <a:extLst>
            <a:ext uri="{FF2B5EF4-FFF2-40B4-BE49-F238E27FC236}">
              <a16:creationId xmlns:a16="http://schemas.microsoft.com/office/drawing/2014/main" id="{00000000-0008-0000-0600-0000FB9A05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2821518" y="3743325"/>
          <a:ext cx="856672" cy="494242"/>
        </a:xfrm>
        <a:prstGeom prst="rect">
          <a:avLst/>
        </a:prstGeom>
        <a:noFill/>
        <a:ln w="1">
          <a:noFill/>
          <a:miter lim="800000"/>
          <a:headEnd/>
          <a:tailEnd type="none" w="med" len="med"/>
        </a:ln>
        <a:effectLst/>
      </xdr:spPr>
    </xdr:pic>
    <xdr:clientData/>
  </xdr:twoCellAnchor>
  <xdr:twoCellAnchor editAs="oneCell">
    <xdr:from>
      <xdr:col>1</xdr:col>
      <xdr:colOff>560917</xdr:colOff>
      <xdr:row>22</xdr:row>
      <xdr:rowOff>21168</xdr:rowOff>
    </xdr:from>
    <xdr:to>
      <xdr:col>3</xdr:col>
      <xdr:colOff>6306</xdr:colOff>
      <xdr:row>24</xdr:row>
      <xdr:rowOff>169334</xdr:rowOff>
    </xdr:to>
    <xdr:pic>
      <xdr:nvPicPr>
        <xdr:cNvPr id="367356" name="Picture 5884">
          <a:extLst>
            <a:ext uri="{FF2B5EF4-FFF2-40B4-BE49-F238E27FC236}">
              <a16:creationId xmlns:a16="http://schemas.microsoft.com/office/drawing/2014/main" id="{00000000-0008-0000-0600-0000FC9A05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068917" y="4476751"/>
          <a:ext cx="821222" cy="529166"/>
        </a:xfrm>
        <a:prstGeom prst="rect">
          <a:avLst/>
        </a:prstGeom>
        <a:noFill/>
        <a:ln w="1">
          <a:noFill/>
          <a:miter lim="800000"/>
          <a:headEnd/>
          <a:tailEnd type="none" w="med" len="med"/>
        </a:ln>
        <a:effectLst/>
      </xdr:spPr>
    </xdr:pic>
    <xdr:clientData/>
  </xdr:twoCellAnchor>
  <xdr:twoCellAnchor editAs="oneCell">
    <xdr:from>
      <xdr:col>1</xdr:col>
      <xdr:colOff>115421</xdr:colOff>
      <xdr:row>155</xdr:row>
      <xdr:rowOff>94690</xdr:rowOff>
    </xdr:from>
    <xdr:to>
      <xdr:col>2</xdr:col>
      <xdr:colOff>570941</xdr:colOff>
      <xdr:row>157</xdr:row>
      <xdr:rowOff>18489</xdr:rowOff>
    </xdr:to>
    <xdr:pic>
      <xdr:nvPicPr>
        <xdr:cNvPr id="18" name="Picture 5834">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20246" y="26050315"/>
          <a:ext cx="1141320" cy="304800"/>
        </a:xfrm>
        <a:prstGeom prst="rect">
          <a:avLst/>
        </a:prstGeom>
        <a:noFill/>
        <a:ln w="1">
          <a:noFill/>
          <a:miter lim="800000"/>
          <a:headEnd/>
          <a:tailEnd type="none" w="med" len="med"/>
        </a:ln>
        <a:effectLst/>
      </xdr:spPr>
    </xdr:pic>
    <xdr:clientData/>
  </xdr:twoCellAnchor>
  <xdr:twoCellAnchor editAs="oneCell">
    <xdr:from>
      <xdr:col>1</xdr:col>
      <xdr:colOff>100181</xdr:colOff>
      <xdr:row>160</xdr:row>
      <xdr:rowOff>90880</xdr:rowOff>
    </xdr:from>
    <xdr:to>
      <xdr:col>2</xdr:col>
      <xdr:colOff>555701</xdr:colOff>
      <xdr:row>162</xdr:row>
      <xdr:rowOff>14680</xdr:rowOff>
    </xdr:to>
    <xdr:pic>
      <xdr:nvPicPr>
        <xdr:cNvPr id="19" name="Picture 5834">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03101" y="30159400"/>
          <a:ext cx="1141320" cy="304800"/>
        </a:xfrm>
        <a:prstGeom prst="rect">
          <a:avLst/>
        </a:prstGeom>
        <a:noFill/>
        <a:ln w="1">
          <a:noFill/>
          <a:miter lim="800000"/>
          <a:headEnd/>
          <a:tailEnd type="none" w="med" len="med"/>
        </a:ln>
        <a:effectLst/>
      </xdr:spPr>
    </xdr:pic>
    <xdr:clientData/>
  </xdr:twoCellAnchor>
  <xdr:twoCellAnchor>
    <xdr:from>
      <xdr:col>10</xdr:col>
      <xdr:colOff>327660</xdr:colOff>
      <xdr:row>21</xdr:row>
      <xdr:rowOff>7620</xdr:rowOff>
    </xdr:from>
    <xdr:to>
      <xdr:col>15</xdr:col>
      <xdr:colOff>114300</xdr:colOff>
      <xdr:row>24</xdr:row>
      <xdr:rowOff>160020</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5410200" y="4381500"/>
          <a:ext cx="188214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Kit includes...</a:t>
          </a:r>
        </a:p>
        <a:p>
          <a:r>
            <a:rPr lang="en-US" sz="1000"/>
            <a:t> 8 nuts 44 0047 000</a:t>
          </a:r>
        </a:p>
        <a:p>
          <a:r>
            <a:rPr lang="en-US" sz="1000"/>
            <a:t>1 instruction sheet 17 0171 000</a:t>
          </a:r>
        </a:p>
        <a:p>
          <a:r>
            <a:rPr lang="en-US" sz="1000"/>
            <a:t>1 bag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997325</xdr:colOff>
      <xdr:row>2</xdr:row>
      <xdr:rowOff>11206</xdr:rowOff>
    </xdr:from>
    <xdr:to>
      <xdr:col>6</xdr:col>
      <xdr:colOff>134471</xdr:colOff>
      <xdr:row>3</xdr:row>
      <xdr:rowOff>26894</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651749" y="710453"/>
          <a:ext cx="2705098" cy="257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 print sheets, scale to 70% of normal size</a:t>
          </a:r>
        </a:p>
      </xdr:txBody>
    </xdr:sp>
    <xdr:clientData/>
  </xdr:twoCellAnchor>
  <xdr:twoCellAnchor editAs="oneCell">
    <xdr:from>
      <xdr:col>3</xdr:col>
      <xdr:colOff>571500</xdr:colOff>
      <xdr:row>9</xdr:row>
      <xdr:rowOff>89647</xdr:rowOff>
    </xdr:from>
    <xdr:to>
      <xdr:col>3</xdr:col>
      <xdr:colOff>1518397</xdr:colOff>
      <xdr:row>12</xdr:row>
      <xdr:rowOff>66115</xdr:rowOff>
    </xdr:to>
    <xdr:pic>
      <xdr:nvPicPr>
        <xdr:cNvPr id="17443" name="Picture 35">
          <a:extLst>
            <a:ext uri="{FF2B5EF4-FFF2-40B4-BE49-F238E27FC236}">
              <a16:creationId xmlns:a16="http://schemas.microsoft.com/office/drawing/2014/main" id="{00000000-0008-0000-0700-000023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2647" y="2050676"/>
          <a:ext cx="946897" cy="447115"/>
        </a:xfrm>
        <a:prstGeom prst="rect">
          <a:avLst/>
        </a:prstGeom>
        <a:noFill/>
        <a:ln w="1">
          <a:noFill/>
          <a:miter lim="800000"/>
          <a:headEnd/>
          <a:tailEnd type="none" w="med" len="med"/>
        </a:ln>
        <a:effectLst/>
      </xdr:spPr>
    </xdr:pic>
    <xdr:clientData/>
  </xdr:twoCellAnchor>
  <xdr:twoCellAnchor editAs="oneCell">
    <xdr:from>
      <xdr:col>3</xdr:col>
      <xdr:colOff>582706</xdr:colOff>
      <xdr:row>16</xdr:row>
      <xdr:rowOff>78441</xdr:rowOff>
    </xdr:from>
    <xdr:to>
      <xdr:col>3</xdr:col>
      <xdr:colOff>1529603</xdr:colOff>
      <xdr:row>19</xdr:row>
      <xdr:rowOff>54909</xdr:rowOff>
    </xdr:to>
    <xdr:pic>
      <xdr:nvPicPr>
        <xdr:cNvPr id="5" name="Picture 35">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3853" y="2835088"/>
          <a:ext cx="946897" cy="447115"/>
        </a:xfrm>
        <a:prstGeom prst="rect">
          <a:avLst/>
        </a:prstGeom>
        <a:noFill/>
        <a:ln w="1">
          <a:noFill/>
          <a:miter lim="800000"/>
          <a:headEnd/>
          <a:tailEnd type="none" w="med" len="med"/>
        </a:ln>
        <a:effectLst/>
      </xdr:spPr>
    </xdr:pic>
    <xdr:clientData/>
  </xdr:twoCellAnchor>
  <xdr:twoCellAnchor editAs="oneCell">
    <xdr:from>
      <xdr:col>3</xdr:col>
      <xdr:colOff>661147</xdr:colOff>
      <xdr:row>23</xdr:row>
      <xdr:rowOff>22411</xdr:rowOff>
    </xdr:from>
    <xdr:to>
      <xdr:col>3</xdr:col>
      <xdr:colOff>1345917</xdr:colOff>
      <xdr:row>26</xdr:row>
      <xdr:rowOff>67235</xdr:rowOff>
    </xdr:to>
    <xdr:pic>
      <xdr:nvPicPr>
        <xdr:cNvPr id="17444" name="Picture 36">
          <a:extLst>
            <a:ext uri="{FF2B5EF4-FFF2-40B4-BE49-F238E27FC236}">
              <a16:creationId xmlns:a16="http://schemas.microsoft.com/office/drawing/2014/main" id="{00000000-0008-0000-0700-0000244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22294" y="3574676"/>
          <a:ext cx="684770" cy="515471"/>
        </a:xfrm>
        <a:prstGeom prst="rect">
          <a:avLst/>
        </a:prstGeom>
        <a:noFill/>
        <a:ln w="1">
          <a:noFill/>
          <a:miter lim="800000"/>
          <a:headEnd/>
          <a:tailEnd type="none" w="med" len="med"/>
        </a:ln>
        <a:effectLst/>
      </xdr:spPr>
    </xdr:pic>
    <xdr:clientData/>
  </xdr:twoCellAnchor>
  <xdr:twoCellAnchor editAs="oneCell">
    <xdr:from>
      <xdr:col>3</xdr:col>
      <xdr:colOff>1019735</xdr:colOff>
      <xdr:row>41</xdr:row>
      <xdr:rowOff>44824</xdr:rowOff>
    </xdr:from>
    <xdr:to>
      <xdr:col>3</xdr:col>
      <xdr:colOff>1438835</xdr:colOff>
      <xdr:row>43</xdr:row>
      <xdr:rowOff>121023</xdr:rowOff>
    </xdr:to>
    <xdr:pic>
      <xdr:nvPicPr>
        <xdr:cNvPr id="17445" name="Picture 37">
          <a:extLst>
            <a:ext uri="{FF2B5EF4-FFF2-40B4-BE49-F238E27FC236}">
              <a16:creationId xmlns:a16="http://schemas.microsoft.com/office/drawing/2014/main" id="{00000000-0008-0000-0700-0000254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680882" y="5827059"/>
          <a:ext cx="419100" cy="389964"/>
        </a:xfrm>
        <a:prstGeom prst="rect">
          <a:avLst/>
        </a:prstGeom>
        <a:noFill/>
        <a:ln w="1">
          <a:noFill/>
          <a:miter lim="800000"/>
          <a:headEnd/>
          <a:tailEnd type="none" w="med" len="med"/>
        </a:ln>
        <a:effectLst/>
      </xdr:spPr>
    </xdr:pic>
    <xdr:clientData/>
  </xdr:twoCellAnchor>
  <xdr:twoCellAnchor editAs="oneCell">
    <xdr:from>
      <xdr:col>3</xdr:col>
      <xdr:colOff>739588</xdr:colOff>
      <xdr:row>35</xdr:row>
      <xdr:rowOff>37132</xdr:rowOff>
    </xdr:from>
    <xdr:to>
      <xdr:col>3</xdr:col>
      <xdr:colOff>1524000</xdr:colOff>
      <xdr:row>39</xdr:row>
      <xdr:rowOff>99514</xdr:rowOff>
    </xdr:to>
    <xdr:pic>
      <xdr:nvPicPr>
        <xdr:cNvPr id="17446" name="Picture 38">
          <a:extLst>
            <a:ext uri="{FF2B5EF4-FFF2-40B4-BE49-F238E27FC236}">
              <a16:creationId xmlns:a16="http://schemas.microsoft.com/office/drawing/2014/main" id="{00000000-0008-0000-0700-0000264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400735" y="5180632"/>
          <a:ext cx="784412" cy="689912"/>
        </a:xfrm>
        <a:prstGeom prst="rect">
          <a:avLst/>
        </a:prstGeom>
        <a:noFill/>
        <a:ln w="1">
          <a:noFill/>
          <a:miter lim="800000"/>
          <a:headEnd/>
          <a:tailEnd type="none" w="med" len="med"/>
        </a:ln>
        <a:effectLst/>
      </xdr:spPr>
    </xdr:pic>
    <xdr:clientData/>
  </xdr:twoCellAnchor>
  <xdr:twoCellAnchor editAs="oneCell">
    <xdr:from>
      <xdr:col>3</xdr:col>
      <xdr:colOff>1127312</xdr:colOff>
      <xdr:row>29</xdr:row>
      <xdr:rowOff>163605</xdr:rowOff>
    </xdr:from>
    <xdr:to>
      <xdr:col>4</xdr:col>
      <xdr:colOff>261657</xdr:colOff>
      <xdr:row>32</xdr:row>
      <xdr:rowOff>130548</xdr:rowOff>
    </xdr:to>
    <xdr:pic>
      <xdr:nvPicPr>
        <xdr:cNvPr id="17447" name="Picture 39">
          <a:extLst>
            <a:ext uri="{FF2B5EF4-FFF2-40B4-BE49-F238E27FC236}">
              <a16:creationId xmlns:a16="http://schemas.microsoft.com/office/drawing/2014/main" id="{00000000-0008-0000-0700-00002744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781736" y="5551393"/>
          <a:ext cx="703168" cy="477931"/>
        </a:xfrm>
        <a:prstGeom prst="rect">
          <a:avLst/>
        </a:prstGeom>
        <a:noFill/>
        <a:ln w="1">
          <a:noFill/>
          <a:miter lim="800000"/>
          <a:headEnd/>
          <a:tailEnd type="none" w="med" len="med"/>
        </a:ln>
        <a:effectLst/>
      </xdr:spPr>
    </xdr:pic>
    <xdr:clientData/>
  </xdr:twoCellAnchor>
  <xdr:twoCellAnchor>
    <xdr:from>
      <xdr:col>18</xdr:col>
      <xdr:colOff>295837</xdr:colOff>
      <xdr:row>6</xdr:row>
      <xdr:rowOff>53789</xdr:rowOff>
    </xdr:from>
    <xdr:to>
      <xdr:col>23</xdr:col>
      <xdr:colOff>0</xdr:colOff>
      <xdr:row>7</xdr:row>
      <xdr:rowOff>143436</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9359155" y="1488142"/>
          <a:ext cx="3541057" cy="259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=$/ft  x inch/piece x 1</a:t>
          </a:r>
          <a:r>
            <a:rPr lang="en-US" sz="1100" baseline="0"/>
            <a:t> ft/</a:t>
          </a:r>
          <a:r>
            <a:rPr lang="en-US" sz="1100"/>
            <a:t>12 inch x  2 pc / screen = $/screen</a:t>
          </a:r>
        </a:p>
      </xdr:txBody>
    </xdr:sp>
    <xdr:clientData/>
  </xdr:twoCellAnchor>
  <xdr:twoCellAnchor>
    <xdr:from>
      <xdr:col>19</xdr:col>
      <xdr:colOff>291353</xdr:colOff>
      <xdr:row>30</xdr:row>
      <xdr:rowOff>78441</xdr:rowOff>
    </xdr:from>
    <xdr:to>
      <xdr:col>21</xdr:col>
      <xdr:colOff>726141</xdr:colOff>
      <xdr:row>32</xdr:row>
      <xdr:rowOff>22412</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0009094" y="4614582"/>
          <a:ext cx="1743635" cy="2846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Not costed since optional</a:t>
          </a:r>
        </a:p>
      </xdr:txBody>
    </xdr:sp>
    <xdr:clientData/>
  </xdr:twoCellAnchor>
  <xdr:twoCellAnchor>
    <xdr:from>
      <xdr:col>33</xdr:col>
      <xdr:colOff>504265</xdr:colOff>
      <xdr:row>6</xdr:row>
      <xdr:rowOff>44822</xdr:rowOff>
    </xdr:from>
    <xdr:to>
      <xdr:col>37</xdr:col>
      <xdr:colOff>515470</xdr:colOff>
      <xdr:row>7</xdr:row>
      <xdr:rowOff>134468</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8556941" y="1523998"/>
          <a:ext cx="2767853" cy="246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=$/ft  x inch/piece x 1</a:t>
          </a:r>
          <a:r>
            <a:rPr lang="en-US" sz="1100" baseline="0"/>
            <a:t> ft/</a:t>
          </a:r>
          <a:r>
            <a:rPr lang="en-US" sz="1100"/>
            <a:t>12 inch x  2 / screen</a:t>
          </a:r>
        </a:p>
      </xdr:txBody>
    </xdr:sp>
    <xdr:clientData/>
  </xdr:twoCellAnchor>
  <xdr:twoCellAnchor>
    <xdr:from>
      <xdr:col>19</xdr:col>
      <xdr:colOff>168088</xdr:colOff>
      <xdr:row>0</xdr:row>
      <xdr:rowOff>219636</xdr:rowOff>
    </xdr:from>
    <xdr:to>
      <xdr:col>23</xdr:col>
      <xdr:colOff>44822</xdr:colOff>
      <xdr:row>2</xdr:row>
      <xdr:rowOff>143435</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885829" y="219636"/>
          <a:ext cx="3059205" cy="623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xdr:from>
      <xdr:col>10</xdr:col>
      <xdr:colOff>172571</xdr:colOff>
      <xdr:row>9</xdr:row>
      <xdr:rowOff>82923</xdr:rowOff>
    </xdr:from>
    <xdr:to>
      <xdr:col>15</xdr:col>
      <xdr:colOff>490819</xdr:colOff>
      <xdr:row>11</xdr:row>
      <xdr:rowOff>13448</xdr:rowOff>
    </xdr:to>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4825253" y="2037229"/>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151239 Area = .044 in^2 x</a:t>
          </a:r>
          <a:r>
            <a:rPr lang="en-US" sz="1100" baseline="0"/>
            <a:t> 1.164 = .0512 lb/ft</a:t>
          </a:r>
          <a:endParaRPr lang="en-US" sz="1100"/>
        </a:p>
      </xdr:txBody>
    </xdr:sp>
    <xdr:clientData/>
  </xdr:twoCellAnchor>
  <xdr:twoCellAnchor>
    <xdr:from>
      <xdr:col>34</xdr:col>
      <xdr:colOff>313764</xdr:colOff>
      <xdr:row>30</xdr:row>
      <xdr:rowOff>89647</xdr:rowOff>
    </xdr:from>
    <xdr:to>
      <xdr:col>36</xdr:col>
      <xdr:colOff>726142</xdr:colOff>
      <xdr:row>32</xdr:row>
      <xdr:rowOff>33618</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8897599" y="4625788"/>
          <a:ext cx="1721225" cy="2846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Not</a:t>
          </a:r>
          <a:r>
            <a:rPr lang="en-US" sz="1100" baseline="0">
              <a:solidFill>
                <a:srgbClr val="FF0000"/>
              </a:solidFill>
            </a:rPr>
            <a:t> </a:t>
          </a:r>
          <a:r>
            <a:rPr lang="en-US" sz="1100">
              <a:solidFill>
                <a:srgbClr val="FF0000"/>
              </a:solidFill>
            </a:rPr>
            <a:t>costed since optional</a:t>
          </a:r>
        </a:p>
      </xdr:txBody>
    </xdr:sp>
    <xdr:clientData/>
  </xdr:twoCellAnchor>
  <xdr:twoCellAnchor>
    <xdr:from>
      <xdr:col>49</xdr:col>
      <xdr:colOff>291352</xdr:colOff>
      <xdr:row>30</xdr:row>
      <xdr:rowOff>123264</xdr:rowOff>
    </xdr:from>
    <xdr:to>
      <xdr:col>51</xdr:col>
      <xdr:colOff>493058</xdr:colOff>
      <xdr:row>32</xdr:row>
      <xdr:rowOff>67235</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27936264" y="4471146"/>
          <a:ext cx="1524000" cy="2577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10</xdr:col>
      <xdr:colOff>163607</xdr:colOff>
      <xdr:row>11</xdr:row>
      <xdr:rowOff>163605</xdr:rowOff>
    </xdr:from>
    <xdr:to>
      <xdr:col>15</xdr:col>
      <xdr:colOff>481855</xdr:colOff>
      <xdr:row>14</xdr:row>
      <xdr:rowOff>0</xdr:rowOff>
    </xdr:to>
    <xdr:sp macro="" textlink="">
      <xdr:nvSpPr>
        <xdr:cNvPr id="18" name="TextBox 17">
          <a:extLst>
            <a:ext uri="{FF2B5EF4-FFF2-40B4-BE49-F238E27FC236}">
              <a16:creationId xmlns:a16="http://schemas.microsoft.com/office/drawing/2014/main" id="{9C7DA135-462B-4F8B-A54E-75AF279FB41C}"/>
            </a:ext>
          </a:extLst>
        </xdr:cNvPr>
        <xdr:cNvSpPr txBox="1"/>
      </xdr:nvSpPr>
      <xdr:spPr>
        <a:xfrm>
          <a:off x="4816289" y="2458570"/>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Channel is 2" shorter than final screen width</a:t>
          </a:r>
        </a:p>
      </xdr:txBody>
    </xdr:sp>
    <xdr:clientData/>
  </xdr:twoCellAnchor>
  <xdr:twoCellAnchor>
    <xdr:from>
      <xdr:col>10</xdr:col>
      <xdr:colOff>136713</xdr:colOff>
      <xdr:row>18</xdr:row>
      <xdr:rowOff>64994</xdr:rowOff>
    </xdr:from>
    <xdr:to>
      <xdr:col>15</xdr:col>
      <xdr:colOff>454961</xdr:colOff>
      <xdr:row>20</xdr:row>
      <xdr:rowOff>165848</xdr:rowOff>
    </xdr:to>
    <xdr:sp macro="" textlink="">
      <xdr:nvSpPr>
        <xdr:cNvPr id="19" name="TextBox 18">
          <a:extLst>
            <a:ext uri="{FF2B5EF4-FFF2-40B4-BE49-F238E27FC236}">
              <a16:creationId xmlns:a16="http://schemas.microsoft.com/office/drawing/2014/main" id="{60D69A71-F299-4384-9A7E-684F7CD21908}"/>
            </a:ext>
          </a:extLst>
        </xdr:cNvPr>
        <xdr:cNvSpPr txBox="1"/>
      </xdr:nvSpPr>
      <xdr:spPr>
        <a:xfrm>
          <a:off x="4789395" y="3561229"/>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Channel is 2" shorter than final screen height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200025</xdr:colOff>
      <xdr:row>65</xdr:row>
      <xdr:rowOff>47625</xdr:rowOff>
    </xdr:from>
    <xdr:to>
      <xdr:col>5</xdr:col>
      <xdr:colOff>161925</xdr:colOff>
      <xdr:row>68</xdr:row>
      <xdr:rowOff>150495</xdr:rowOff>
    </xdr:to>
    <xdr:pic>
      <xdr:nvPicPr>
        <xdr:cNvPr id="29701" name="Picture 5">
          <a:extLst>
            <a:ext uri="{FF2B5EF4-FFF2-40B4-BE49-F238E27FC236}">
              <a16:creationId xmlns:a16="http://schemas.microsoft.com/office/drawing/2014/main" id="{00000000-0008-0000-0900-0000057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71650" y="3457575"/>
          <a:ext cx="923925" cy="542925"/>
        </a:xfrm>
        <a:prstGeom prst="rect">
          <a:avLst/>
        </a:prstGeom>
        <a:noFill/>
        <a:ln w="1">
          <a:noFill/>
          <a:miter lim="800000"/>
          <a:headEnd/>
          <a:tailEnd type="none" w="med" len="med"/>
        </a:ln>
        <a:effectLst/>
      </xdr:spPr>
    </xdr:pic>
    <xdr:clientData/>
  </xdr:twoCellAnchor>
  <xdr:twoCellAnchor editAs="oneCell">
    <xdr:from>
      <xdr:col>3</xdr:col>
      <xdr:colOff>180975</xdr:colOff>
      <xdr:row>72</xdr:row>
      <xdr:rowOff>57150</xdr:rowOff>
    </xdr:from>
    <xdr:to>
      <xdr:col>5</xdr:col>
      <xdr:colOff>142875</xdr:colOff>
      <xdr:row>76</xdr:row>
      <xdr:rowOff>7620</xdr:rowOff>
    </xdr:to>
    <xdr:pic>
      <xdr:nvPicPr>
        <xdr:cNvPr id="4" name="Picture 5">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52600" y="4286250"/>
          <a:ext cx="923925" cy="542925"/>
        </a:xfrm>
        <a:prstGeom prst="rect">
          <a:avLst/>
        </a:prstGeom>
        <a:noFill/>
        <a:ln w="1">
          <a:noFill/>
          <a:miter lim="800000"/>
          <a:headEnd/>
          <a:tailEnd type="none" w="med" len="med"/>
        </a:ln>
        <a:effectLst/>
      </xdr:spPr>
    </xdr:pic>
    <xdr:clientData/>
  </xdr:twoCellAnchor>
  <xdr:twoCellAnchor editAs="oneCell">
    <xdr:from>
      <xdr:col>4</xdr:col>
      <xdr:colOff>190500</xdr:colOff>
      <xdr:row>79</xdr:row>
      <xdr:rowOff>28575</xdr:rowOff>
    </xdr:from>
    <xdr:to>
      <xdr:col>5</xdr:col>
      <xdr:colOff>171450</xdr:colOff>
      <xdr:row>81</xdr:row>
      <xdr:rowOff>144780</xdr:rowOff>
    </xdr:to>
    <xdr:pic>
      <xdr:nvPicPr>
        <xdr:cNvPr id="29702" name="Picture 6">
          <a:extLst>
            <a:ext uri="{FF2B5EF4-FFF2-40B4-BE49-F238E27FC236}">
              <a16:creationId xmlns:a16="http://schemas.microsoft.com/office/drawing/2014/main" id="{00000000-0008-0000-0900-0000067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38350" y="5076825"/>
          <a:ext cx="666750" cy="409575"/>
        </a:xfrm>
        <a:prstGeom prst="rect">
          <a:avLst/>
        </a:prstGeom>
        <a:noFill/>
        <a:ln w="1">
          <a:noFill/>
          <a:miter lim="800000"/>
          <a:headEnd/>
          <a:tailEnd type="none" w="med" len="med"/>
        </a:ln>
        <a:effectLst/>
      </xdr:spPr>
    </xdr:pic>
    <xdr:clientData/>
  </xdr:twoCellAnchor>
  <xdr:twoCellAnchor editAs="oneCell">
    <xdr:from>
      <xdr:col>4</xdr:col>
      <xdr:colOff>0</xdr:colOff>
      <xdr:row>83</xdr:row>
      <xdr:rowOff>0</xdr:rowOff>
    </xdr:from>
    <xdr:to>
      <xdr:col>5</xdr:col>
      <xdr:colOff>133350</xdr:colOff>
      <xdr:row>86</xdr:row>
      <xdr:rowOff>150495</xdr:rowOff>
    </xdr:to>
    <xdr:pic>
      <xdr:nvPicPr>
        <xdr:cNvPr id="29703" name="Picture 7">
          <a:extLst>
            <a:ext uri="{FF2B5EF4-FFF2-40B4-BE49-F238E27FC236}">
              <a16:creationId xmlns:a16="http://schemas.microsoft.com/office/drawing/2014/main" id="{00000000-0008-0000-0900-0000077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847850" y="5705475"/>
          <a:ext cx="819150" cy="590550"/>
        </a:xfrm>
        <a:prstGeom prst="rect">
          <a:avLst/>
        </a:prstGeom>
        <a:noFill/>
        <a:ln w="1">
          <a:noFill/>
          <a:miter lim="800000"/>
          <a:headEnd/>
          <a:tailEnd type="none" w="med" len="med"/>
        </a:ln>
        <a:effectLst/>
      </xdr:spPr>
    </xdr:pic>
    <xdr:clientData/>
  </xdr:twoCellAnchor>
  <xdr:twoCellAnchor editAs="oneCell">
    <xdr:from>
      <xdr:col>5</xdr:col>
      <xdr:colOff>409575</xdr:colOff>
      <xdr:row>90</xdr:row>
      <xdr:rowOff>28575</xdr:rowOff>
    </xdr:from>
    <xdr:to>
      <xdr:col>6</xdr:col>
      <xdr:colOff>542925</xdr:colOff>
      <xdr:row>92</xdr:row>
      <xdr:rowOff>154306</xdr:rowOff>
    </xdr:to>
    <xdr:pic>
      <xdr:nvPicPr>
        <xdr:cNvPr id="29704" name="Picture 8">
          <a:extLst>
            <a:ext uri="{FF2B5EF4-FFF2-40B4-BE49-F238E27FC236}">
              <a16:creationId xmlns:a16="http://schemas.microsoft.com/office/drawing/2014/main" id="{00000000-0008-0000-0900-0000087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943225" y="6553200"/>
          <a:ext cx="733425" cy="419100"/>
        </a:xfrm>
        <a:prstGeom prst="rect">
          <a:avLst/>
        </a:prstGeom>
        <a:noFill/>
        <a:ln w="1">
          <a:noFill/>
          <a:miter lim="800000"/>
          <a:headEnd/>
          <a:tailEnd type="none" w="med" len="med"/>
        </a:ln>
        <a:effectLst/>
      </xdr:spPr>
    </xdr:pic>
    <xdr:clientData/>
  </xdr:twoCellAnchor>
  <xdr:twoCellAnchor>
    <xdr:from>
      <xdr:col>2</xdr:col>
      <xdr:colOff>47625</xdr:colOff>
      <xdr:row>164</xdr:row>
      <xdr:rowOff>133350</xdr:rowOff>
    </xdr:from>
    <xdr:to>
      <xdr:col>30</xdr:col>
      <xdr:colOff>333375</xdr:colOff>
      <xdr:row>226</xdr:row>
      <xdr:rowOff>95250</xdr:rowOff>
    </xdr:to>
    <xdr:cxnSp macro="">
      <xdr:nvCxnSpPr>
        <xdr:cNvPr id="9" name="Straight Connector 8">
          <a:extLst>
            <a:ext uri="{FF2B5EF4-FFF2-40B4-BE49-F238E27FC236}">
              <a16:creationId xmlns:a16="http://schemas.microsoft.com/office/drawing/2014/main" id="{00000000-0008-0000-0900-000009000000}"/>
            </a:ext>
          </a:extLst>
        </xdr:cNvPr>
        <xdr:cNvCxnSpPr/>
      </xdr:nvCxnSpPr>
      <xdr:spPr>
        <a:xfrm>
          <a:off x="1343025" y="18468975"/>
          <a:ext cx="11315700" cy="9448800"/>
        </a:xfrm>
        <a:prstGeom prst="line">
          <a:avLst/>
        </a:prstGeom>
        <a:ln w="63500" cmpd="sng">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163</xdr:row>
      <xdr:rowOff>85725</xdr:rowOff>
    </xdr:from>
    <xdr:to>
      <xdr:col>30</xdr:col>
      <xdr:colOff>428625</xdr:colOff>
      <xdr:row>226</xdr:row>
      <xdr:rowOff>85725</xdr:rowOff>
    </xdr:to>
    <xdr:cxnSp macro="">
      <xdr:nvCxnSpPr>
        <xdr:cNvPr id="12" name="Straight Connector 11">
          <a:extLst>
            <a:ext uri="{FF2B5EF4-FFF2-40B4-BE49-F238E27FC236}">
              <a16:creationId xmlns:a16="http://schemas.microsoft.com/office/drawing/2014/main" id="{00000000-0008-0000-0900-00000C000000}"/>
            </a:ext>
          </a:extLst>
        </xdr:cNvPr>
        <xdr:cNvCxnSpPr/>
      </xdr:nvCxnSpPr>
      <xdr:spPr>
        <a:xfrm flipV="1">
          <a:off x="1381125" y="10687050"/>
          <a:ext cx="12430125" cy="8896350"/>
        </a:xfrm>
        <a:prstGeom prst="line">
          <a:avLst/>
        </a:prstGeom>
        <a:ln w="63500" cmpd="sng">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143436</xdr:colOff>
      <xdr:row>197</xdr:row>
      <xdr:rowOff>86846</xdr:rowOff>
    </xdr:from>
    <xdr:to>
      <xdr:col>41</xdr:col>
      <xdr:colOff>257736</xdr:colOff>
      <xdr:row>215</xdr:row>
      <xdr:rowOff>47065</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2992661" y="23823146"/>
          <a:ext cx="6972300" cy="2417669"/>
        </a:xfrm>
        <a:prstGeom prst="rect">
          <a:avLst/>
        </a:prstGeom>
        <a:solidFill>
          <a:schemeClr val="lt1">
            <a:alpha val="35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4000">
              <a:solidFill>
                <a:srgbClr val="FF0000"/>
              </a:solidFill>
            </a:rPr>
            <a:t>DO NOT USE Spread Mull Kit</a:t>
          </a:r>
        </a:p>
        <a:p>
          <a:pPr algn="ctr"/>
          <a:endParaRPr lang="en-US" sz="4000">
            <a:solidFill>
              <a:srgbClr val="FF0000"/>
            </a:solidFill>
          </a:endParaRPr>
        </a:p>
        <a:p>
          <a:pPr algn="ctr"/>
          <a:r>
            <a:rPr lang="en-US" sz="4000">
              <a:solidFill>
                <a:srgbClr val="FF0000"/>
              </a:solidFill>
            </a:rPr>
            <a:t>UNDER</a:t>
          </a:r>
          <a:r>
            <a:rPr lang="en-US" sz="4000" baseline="0">
              <a:solidFill>
                <a:srgbClr val="FF0000"/>
              </a:solidFill>
            </a:rPr>
            <a:t> CONSTRUCTION</a:t>
          </a:r>
          <a:endParaRPr lang="en-US" sz="4000">
            <a:solidFill>
              <a:srgbClr val="FF0000"/>
            </a:solidFill>
          </a:endParaRPr>
        </a:p>
      </xdr:txBody>
    </xdr:sp>
    <xdr:clientData/>
  </xdr:twoCellAnchor>
  <xdr:twoCellAnchor>
    <xdr:from>
      <xdr:col>4</xdr:col>
      <xdr:colOff>320040</xdr:colOff>
      <xdr:row>163</xdr:row>
      <xdr:rowOff>83820</xdr:rowOff>
    </xdr:from>
    <xdr:to>
      <xdr:col>29</xdr:col>
      <xdr:colOff>167639</xdr:colOff>
      <xdr:row>226</xdr:row>
      <xdr:rowOff>91440</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2164080" y="29893260"/>
          <a:ext cx="10934699" cy="10706100"/>
        </a:xfrm>
        <a:prstGeom prst="rect">
          <a:avLst/>
        </a:prstGeom>
        <a:solidFill>
          <a:srgbClr val="FF0000">
            <a:alpha val="35000"/>
          </a:srgb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4000">
              <a:solidFill>
                <a:schemeClr val="tx1"/>
              </a:solidFill>
            </a:rPr>
            <a:t>DO NOT USE Spread Mull Kit</a:t>
          </a:r>
        </a:p>
        <a:p>
          <a:pPr algn="ctr"/>
          <a:endParaRPr lang="en-US" sz="4000">
            <a:solidFill>
              <a:schemeClr val="tx1"/>
            </a:solidFill>
          </a:endParaRPr>
        </a:p>
        <a:p>
          <a:pPr algn="ctr"/>
          <a:r>
            <a:rPr lang="en-US" sz="4000">
              <a:solidFill>
                <a:schemeClr val="tx1"/>
              </a:solidFill>
            </a:rPr>
            <a:t>UNDER</a:t>
          </a:r>
          <a:r>
            <a:rPr lang="en-US" sz="4000" baseline="0">
              <a:solidFill>
                <a:schemeClr val="tx1"/>
              </a:solidFill>
            </a:rPr>
            <a:t> CONSTRUCTION</a:t>
          </a:r>
          <a:endParaRPr lang="en-US" sz="4000">
            <a:solidFill>
              <a:schemeClr val="tx1"/>
            </a:solidFill>
          </a:endParaRPr>
        </a:p>
      </xdr:txBody>
    </xdr:sp>
    <xdr:clientData/>
  </xdr:twoCellAnchor>
  <xdr:twoCellAnchor>
    <xdr:from>
      <xdr:col>26</xdr:col>
      <xdr:colOff>209550</xdr:colOff>
      <xdr:row>66</xdr:row>
      <xdr:rowOff>9525</xdr:rowOff>
    </xdr:from>
    <xdr:to>
      <xdr:col>28</xdr:col>
      <xdr:colOff>447675</xdr:colOff>
      <xdr:row>67</xdr:row>
      <xdr:rowOff>104775</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0582275" y="6667500"/>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228600</xdr:colOff>
      <xdr:row>73</xdr:row>
      <xdr:rowOff>9525</xdr:rowOff>
    </xdr:from>
    <xdr:to>
      <xdr:col>28</xdr:col>
      <xdr:colOff>466725</xdr:colOff>
      <xdr:row>74</xdr:row>
      <xdr:rowOff>104775</xdr:rowOff>
    </xdr:to>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10601325" y="7486650"/>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228600</xdr:colOff>
      <xdr:row>79</xdr:row>
      <xdr:rowOff>66675</xdr:rowOff>
    </xdr:from>
    <xdr:to>
      <xdr:col>28</xdr:col>
      <xdr:colOff>466725</xdr:colOff>
      <xdr:row>81</xdr:row>
      <xdr:rowOff>0</xdr:rowOff>
    </xdr:to>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10601325" y="8201025"/>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295275</xdr:colOff>
      <xdr:row>93</xdr:row>
      <xdr:rowOff>133350</xdr:rowOff>
    </xdr:from>
    <xdr:to>
      <xdr:col>29</xdr:col>
      <xdr:colOff>9525</xdr:colOff>
      <xdr:row>95</xdr:row>
      <xdr:rowOff>66675</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10668000" y="10239375"/>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editAs="oneCell">
    <xdr:from>
      <xdr:col>5</xdr:col>
      <xdr:colOff>472706</xdr:colOff>
      <xdr:row>114</xdr:row>
      <xdr:rowOff>109648</xdr:rowOff>
    </xdr:from>
    <xdr:to>
      <xdr:col>7</xdr:col>
      <xdr:colOff>55600</xdr:colOff>
      <xdr:row>117</xdr:row>
      <xdr:rowOff>110605</xdr:rowOff>
    </xdr:to>
    <xdr:pic>
      <xdr:nvPicPr>
        <xdr:cNvPr id="28" name="Picture 465">
          <a:extLst>
            <a:ext uri="{FF2B5EF4-FFF2-40B4-BE49-F238E27FC236}">
              <a16:creationId xmlns:a16="http://schemas.microsoft.com/office/drawing/2014/main" id="{00000000-0008-0000-0900-00001C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3009014" y="19215026"/>
          <a:ext cx="779057" cy="521509"/>
        </a:xfrm>
        <a:prstGeom prst="rect">
          <a:avLst/>
        </a:prstGeom>
        <a:noFill/>
        <a:ln w="1">
          <a:noFill/>
          <a:miter lim="800000"/>
          <a:headEnd/>
          <a:tailEnd/>
        </a:ln>
      </xdr:spPr>
    </xdr:pic>
    <xdr:clientData/>
  </xdr:twoCellAnchor>
  <xdr:twoCellAnchor editAs="oneCell">
    <xdr:from>
      <xdr:col>5</xdr:col>
      <xdr:colOff>352424</xdr:colOff>
      <xdr:row>118</xdr:row>
      <xdr:rowOff>57150</xdr:rowOff>
    </xdr:from>
    <xdr:to>
      <xdr:col>6</xdr:col>
      <xdr:colOff>504825</xdr:colOff>
      <xdr:row>121</xdr:row>
      <xdr:rowOff>44061</xdr:rowOff>
    </xdr:to>
    <xdr:pic>
      <xdr:nvPicPr>
        <xdr:cNvPr id="29" name="Picture 464">
          <a:extLst>
            <a:ext uri="{FF2B5EF4-FFF2-40B4-BE49-F238E27FC236}">
              <a16:creationId xmlns:a16="http://schemas.microsoft.com/office/drawing/2014/main" id="{00000000-0008-0000-0900-00001D0000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886074" y="20621625"/>
          <a:ext cx="752476" cy="501261"/>
        </a:xfrm>
        <a:prstGeom prst="rect">
          <a:avLst/>
        </a:prstGeom>
        <a:noFill/>
        <a:ln w="1">
          <a:noFill/>
          <a:miter lim="800000"/>
          <a:headEnd/>
          <a:tailEnd/>
        </a:ln>
      </xdr:spPr>
    </xdr:pic>
    <xdr:clientData/>
  </xdr:twoCellAnchor>
  <xdr:twoCellAnchor editAs="oneCell">
    <xdr:from>
      <xdr:col>5</xdr:col>
      <xdr:colOff>581024</xdr:colOff>
      <xdr:row>122</xdr:row>
      <xdr:rowOff>28580</xdr:rowOff>
    </xdr:from>
    <xdr:to>
      <xdr:col>6</xdr:col>
      <xdr:colOff>565803</xdr:colOff>
      <xdr:row>125</xdr:row>
      <xdr:rowOff>104778</xdr:rowOff>
    </xdr:to>
    <xdr:pic>
      <xdr:nvPicPr>
        <xdr:cNvPr id="30" name="Picture 80657">
          <a:extLst>
            <a:ext uri="{FF2B5EF4-FFF2-40B4-BE49-F238E27FC236}">
              <a16:creationId xmlns:a16="http://schemas.microsoft.com/office/drawing/2014/main" id="{00000000-0008-0000-0900-00001E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rot="5400000">
          <a:off x="3097539" y="21410290"/>
          <a:ext cx="619123" cy="584854"/>
        </a:xfrm>
        <a:prstGeom prst="rect">
          <a:avLst/>
        </a:prstGeom>
        <a:noFill/>
        <a:ln w="1">
          <a:noFill/>
          <a:miter lim="800000"/>
          <a:headEnd/>
          <a:tailEnd type="none" w="med" len="med"/>
        </a:ln>
        <a:effectLst/>
      </xdr:spPr>
    </xdr:pic>
    <xdr:clientData/>
  </xdr:twoCellAnchor>
  <xdr:oneCellAnchor>
    <xdr:from>
      <xdr:col>5</xdr:col>
      <xdr:colOff>76200</xdr:colOff>
      <xdr:row>153</xdr:row>
      <xdr:rowOff>43816</xdr:rowOff>
    </xdr:from>
    <xdr:ext cx="828675" cy="441960"/>
    <xdr:pic>
      <xdr:nvPicPr>
        <xdr:cNvPr id="32" name="Picture 31">
          <a:extLst>
            <a:ext uri="{FF2B5EF4-FFF2-40B4-BE49-F238E27FC236}">
              <a16:creationId xmlns:a16="http://schemas.microsoft.com/office/drawing/2014/main" id="{00000000-0008-0000-0900-000020000000}"/>
            </a:ext>
          </a:extLst>
        </xdr:cNvPr>
        <xdr:cNvPicPr>
          <a:picLocks noChangeAspect="1"/>
        </xdr:cNvPicPr>
      </xdr:nvPicPr>
      <xdr:blipFill>
        <a:blip xmlns:r="http://schemas.openxmlformats.org/officeDocument/2006/relationships" r:embed="rId8" cstate="print"/>
        <a:stretch>
          <a:fillRect/>
        </a:stretch>
      </xdr:blipFill>
      <xdr:spPr>
        <a:xfrm>
          <a:off x="2606040" y="24778336"/>
          <a:ext cx="828675" cy="441960"/>
        </a:xfrm>
        <a:prstGeom prst="rect">
          <a:avLst/>
        </a:prstGeom>
      </xdr:spPr>
    </xdr:pic>
    <xdr:clientData/>
  </xdr:oneCellAnchor>
  <xdr:oneCellAnchor>
    <xdr:from>
      <xdr:col>5</xdr:col>
      <xdr:colOff>549571</xdr:colOff>
      <xdr:row>144</xdr:row>
      <xdr:rowOff>20601</xdr:rowOff>
    </xdr:from>
    <xdr:ext cx="593927" cy="533399"/>
    <xdr:pic>
      <xdr:nvPicPr>
        <xdr:cNvPr id="33" name="Picture 32">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9" cstate="print"/>
        <a:stretch>
          <a:fillRect/>
        </a:stretch>
      </xdr:blipFill>
      <xdr:spPr>
        <a:xfrm>
          <a:off x="3085879" y="22991357"/>
          <a:ext cx="593927" cy="533399"/>
        </a:xfrm>
        <a:prstGeom prst="rect">
          <a:avLst/>
        </a:prstGeom>
      </xdr:spPr>
    </xdr:pic>
    <xdr:clientData/>
  </xdr:oneCellAnchor>
  <xdr:oneCellAnchor>
    <xdr:from>
      <xdr:col>4</xdr:col>
      <xdr:colOff>623999</xdr:colOff>
      <xdr:row>156</xdr:row>
      <xdr:rowOff>70486</xdr:rowOff>
    </xdr:from>
    <xdr:ext cx="1181100" cy="380450"/>
    <xdr:pic>
      <xdr:nvPicPr>
        <xdr:cNvPr id="37" name="Picture 36">
          <a:extLst>
            <a:ext uri="{FF2B5EF4-FFF2-40B4-BE49-F238E27FC236}">
              <a16:creationId xmlns:a16="http://schemas.microsoft.com/office/drawing/2014/main" id="{00000000-0008-0000-0900-000025000000}"/>
            </a:ext>
          </a:extLst>
        </xdr:cNvPr>
        <xdr:cNvPicPr>
          <a:picLocks noChangeAspect="1"/>
        </xdr:cNvPicPr>
      </xdr:nvPicPr>
      <xdr:blipFill>
        <a:blip xmlns:r="http://schemas.openxmlformats.org/officeDocument/2006/relationships" r:embed="rId10" cstate="print"/>
        <a:stretch>
          <a:fillRect/>
        </a:stretch>
      </xdr:blipFill>
      <xdr:spPr>
        <a:xfrm>
          <a:off x="2468039" y="25315546"/>
          <a:ext cx="1181100" cy="380450"/>
        </a:xfrm>
        <a:prstGeom prst="rect">
          <a:avLst/>
        </a:prstGeom>
      </xdr:spPr>
    </xdr:pic>
    <xdr:clientData/>
  </xdr:oneCellAnchor>
  <xdr:twoCellAnchor editAs="oneCell">
    <xdr:from>
      <xdr:col>5</xdr:col>
      <xdr:colOff>33226</xdr:colOff>
      <xdr:row>107</xdr:row>
      <xdr:rowOff>11076</xdr:rowOff>
    </xdr:from>
    <xdr:to>
      <xdr:col>6</xdr:col>
      <xdr:colOff>479998</xdr:colOff>
      <xdr:row>110</xdr:row>
      <xdr:rowOff>68845</xdr:rowOff>
    </xdr:to>
    <xdr:pic>
      <xdr:nvPicPr>
        <xdr:cNvPr id="26" name="Picture 25">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1" cstate="print"/>
        <a:stretch>
          <a:fillRect/>
        </a:stretch>
      </xdr:blipFill>
      <xdr:spPr>
        <a:xfrm>
          <a:off x="2569534" y="17853838"/>
          <a:ext cx="1044854" cy="533399"/>
        </a:xfrm>
        <a:prstGeom prst="rect">
          <a:avLst/>
        </a:prstGeom>
      </xdr:spPr>
    </xdr:pic>
    <xdr:clientData/>
  </xdr:twoCellAnchor>
  <xdr:twoCellAnchor editAs="oneCell">
    <xdr:from>
      <xdr:col>4</xdr:col>
      <xdr:colOff>0</xdr:colOff>
      <xdr:row>136</xdr:row>
      <xdr:rowOff>0</xdr:rowOff>
    </xdr:from>
    <xdr:to>
      <xdr:col>5</xdr:col>
      <xdr:colOff>287965</xdr:colOff>
      <xdr:row>140</xdr:row>
      <xdr:rowOff>32161</xdr:rowOff>
    </xdr:to>
    <xdr:pic>
      <xdr:nvPicPr>
        <xdr:cNvPr id="27" name="Picture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12"/>
        <a:stretch>
          <a:fillRect/>
        </a:stretch>
      </xdr:blipFill>
      <xdr:spPr>
        <a:xfrm>
          <a:off x="1849622" y="22195465"/>
          <a:ext cx="974651" cy="589395"/>
        </a:xfrm>
        <a:prstGeom prst="rect">
          <a:avLst/>
        </a:prstGeom>
      </xdr:spPr>
    </xdr:pic>
    <xdr:clientData/>
  </xdr:twoCellAnchor>
  <xdr:twoCellAnchor editAs="oneCell">
    <xdr:from>
      <xdr:col>5</xdr:col>
      <xdr:colOff>228600</xdr:colOff>
      <xdr:row>126</xdr:row>
      <xdr:rowOff>38100</xdr:rowOff>
    </xdr:from>
    <xdr:to>
      <xdr:col>6</xdr:col>
      <xdr:colOff>19685</xdr:colOff>
      <xdr:row>130</xdr:row>
      <xdr:rowOff>36195</xdr:rowOff>
    </xdr:to>
    <xdr:pic>
      <xdr:nvPicPr>
        <xdr:cNvPr id="3" name="Picture 24051">
          <a:extLst>
            <a:ext uri="{FF2B5EF4-FFF2-40B4-BE49-F238E27FC236}">
              <a16:creationId xmlns:a16="http://schemas.microsoft.com/office/drawing/2014/main" id="{4EC0D958-8C32-4BAD-9323-3FD632ABC6B5}"/>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2758440" y="20299680"/>
          <a:ext cx="393065" cy="676275"/>
        </a:xfrm>
        <a:prstGeom prst="rect">
          <a:avLst/>
        </a:prstGeom>
        <a:noFill/>
        <a:ln w="1">
          <a:noFill/>
          <a:miter lim="800000"/>
          <a:headEnd/>
          <a:tailEnd/>
        </a:ln>
      </xdr:spPr>
    </xdr:pic>
    <xdr:clientData/>
  </xdr:twoCellAnchor>
  <xdr:twoCellAnchor editAs="oneCell">
    <xdr:from>
      <xdr:col>4</xdr:col>
      <xdr:colOff>662940</xdr:colOff>
      <xdr:row>131</xdr:row>
      <xdr:rowOff>0</xdr:rowOff>
    </xdr:from>
    <xdr:to>
      <xdr:col>6</xdr:col>
      <xdr:colOff>304800</xdr:colOff>
      <xdr:row>133</xdr:row>
      <xdr:rowOff>160853</xdr:rowOff>
    </xdr:to>
    <xdr:pic>
      <xdr:nvPicPr>
        <xdr:cNvPr id="5" name="Picture 4">
          <a:extLst>
            <a:ext uri="{FF2B5EF4-FFF2-40B4-BE49-F238E27FC236}">
              <a16:creationId xmlns:a16="http://schemas.microsoft.com/office/drawing/2014/main" id="{0EEFB464-6427-4EB1-BCAC-02977923BDB6}"/>
            </a:ext>
          </a:extLst>
        </xdr:cNvPr>
        <xdr:cNvPicPr>
          <a:picLocks noChangeAspect="1"/>
        </xdr:cNvPicPr>
      </xdr:nvPicPr>
      <xdr:blipFill>
        <a:blip xmlns:r="http://schemas.openxmlformats.org/officeDocument/2006/relationships" r:embed="rId14"/>
        <a:stretch>
          <a:fillRect/>
        </a:stretch>
      </xdr:blipFill>
      <xdr:spPr>
        <a:xfrm>
          <a:off x="2506980" y="23286720"/>
          <a:ext cx="929640" cy="57233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57978</xdr:colOff>
      <xdr:row>393</xdr:row>
      <xdr:rowOff>8283</xdr:rowOff>
    </xdr:from>
    <xdr:to>
      <xdr:col>3</xdr:col>
      <xdr:colOff>315153</xdr:colOff>
      <xdr:row>396</xdr:row>
      <xdr:rowOff>12258</xdr:rowOff>
    </xdr:to>
    <xdr:pic>
      <xdr:nvPicPr>
        <xdr:cNvPr id="2" name="Picture 1682">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29478" y="29353566"/>
          <a:ext cx="447675" cy="457200"/>
        </a:xfrm>
        <a:prstGeom prst="rect">
          <a:avLst/>
        </a:prstGeom>
        <a:noFill/>
        <a:ln w="1">
          <a:noFill/>
          <a:miter lim="800000"/>
          <a:headEnd/>
          <a:tailEnd/>
        </a:ln>
      </xdr:spPr>
    </xdr:pic>
    <xdr:clientData/>
  </xdr:twoCellAnchor>
  <xdr:twoCellAnchor editAs="oneCell">
    <xdr:from>
      <xdr:col>3</xdr:col>
      <xdr:colOff>57150</xdr:colOff>
      <xdr:row>35</xdr:row>
      <xdr:rowOff>19050</xdr:rowOff>
    </xdr:from>
    <xdr:to>
      <xdr:col>3</xdr:col>
      <xdr:colOff>664510</xdr:colOff>
      <xdr:row>40</xdr:row>
      <xdr:rowOff>0</xdr:rowOff>
    </xdr:to>
    <xdr:pic>
      <xdr:nvPicPr>
        <xdr:cNvPr id="3" name="Picture 538">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714375" y="4257675"/>
          <a:ext cx="607360" cy="662575"/>
        </a:xfrm>
        <a:prstGeom prst="rect">
          <a:avLst/>
        </a:prstGeom>
        <a:noFill/>
        <a:ln w="1">
          <a:noFill/>
          <a:miter lim="800000"/>
          <a:headEnd/>
          <a:tailEnd/>
        </a:ln>
      </xdr:spPr>
    </xdr:pic>
    <xdr:clientData/>
  </xdr:twoCellAnchor>
  <xdr:twoCellAnchor editAs="oneCell">
    <xdr:from>
      <xdr:col>2</xdr:col>
      <xdr:colOff>171450</xdr:colOff>
      <xdr:row>124</xdr:row>
      <xdr:rowOff>133351</xdr:rowOff>
    </xdr:from>
    <xdr:to>
      <xdr:col>3</xdr:col>
      <xdr:colOff>552450</xdr:colOff>
      <xdr:row>129</xdr:row>
      <xdr:rowOff>0</xdr:rowOff>
    </xdr:to>
    <xdr:pic>
      <xdr:nvPicPr>
        <xdr:cNvPr id="8" name="Picture 513">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3" cstate="print">
          <a:clrChange>
            <a:clrFrom>
              <a:srgbClr val="E8E8E8"/>
            </a:clrFrom>
            <a:clrTo>
              <a:srgbClr val="E8E8E8">
                <a:alpha val="0"/>
              </a:srgbClr>
            </a:clrTo>
          </a:clrChange>
        </a:blip>
        <a:srcRect/>
        <a:stretch>
          <a:fillRect/>
        </a:stretch>
      </xdr:blipFill>
      <xdr:spPr bwMode="auto">
        <a:xfrm>
          <a:off x="638175" y="21078826"/>
          <a:ext cx="571500" cy="647700"/>
        </a:xfrm>
        <a:prstGeom prst="rect">
          <a:avLst/>
        </a:prstGeom>
        <a:noFill/>
        <a:ln w="1">
          <a:noFill/>
          <a:miter lim="800000"/>
          <a:headEnd/>
          <a:tailEnd/>
        </a:ln>
      </xdr:spPr>
    </xdr:pic>
    <xdr:clientData/>
  </xdr:twoCellAnchor>
  <xdr:twoCellAnchor editAs="oneCell">
    <xdr:from>
      <xdr:col>3</xdr:col>
      <xdr:colOff>0</xdr:colOff>
      <xdr:row>9</xdr:row>
      <xdr:rowOff>0</xdr:rowOff>
    </xdr:from>
    <xdr:to>
      <xdr:col>3</xdr:col>
      <xdr:colOff>690523</xdr:colOff>
      <xdr:row>13</xdr:row>
      <xdr:rowOff>30144</xdr:rowOff>
    </xdr:to>
    <xdr:pic>
      <xdr:nvPicPr>
        <xdr:cNvPr id="9" name="Picture 9181">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657225" y="1981200"/>
          <a:ext cx="690523" cy="626409"/>
        </a:xfrm>
        <a:prstGeom prst="rect">
          <a:avLst/>
        </a:prstGeom>
        <a:noFill/>
        <a:ln w="1">
          <a:noFill/>
          <a:miter lim="800000"/>
          <a:headEnd/>
          <a:tailEnd/>
        </a:ln>
      </xdr:spPr>
    </xdr:pic>
    <xdr:clientData/>
  </xdr:twoCellAnchor>
  <xdr:twoCellAnchor editAs="oneCell">
    <xdr:from>
      <xdr:col>3</xdr:col>
      <xdr:colOff>95250</xdr:colOff>
      <xdr:row>110</xdr:row>
      <xdr:rowOff>9525</xdr:rowOff>
    </xdr:from>
    <xdr:to>
      <xdr:col>3</xdr:col>
      <xdr:colOff>1543050</xdr:colOff>
      <xdr:row>114</xdr:row>
      <xdr:rowOff>99060</xdr:rowOff>
    </xdr:to>
    <xdr:pic>
      <xdr:nvPicPr>
        <xdr:cNvPr id="21619" name="Picture 115">
          <a:extLst>
            <a:ext uri="{FF2B5EF4-FFF2-40B4-BE49-F238E27FC236}">
              <a16:creationId xmlns:a16="http://schemas.microsoft.com/office/drawing/2014/main" id="{00000000-0008-0000-0A00-00007354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52475" y="13115925"/>
          <a:ext cx="1447800" cy="685800"/>
        </a:xfrm>
        <a:prstGeom prst="rect">
          <a:avLst/>
        </a:prstGeom>
        <a:noFill/>
        <a:ln w="1">
          <a:noFill/>
          <a:miter lim="800000"/>
          <a:headEnd/>
          <a:tailEnd type="none" w="med" len="med"/>
        </a:ln>
        <a:effectLst/>
      </xdr:spPr>
    </xdr:pic>
    <xdr:clientData/>
  </xdr:twoCellAnchor>
  <xdr:twoCellAnchor editAs="oneCell">
    <xdr:from>
      <xdr:col>3</xdr:col>
      <xdr:colOff>228600</xdr:colOff>
      <xdr:row>103</xdr:row>
      <xdr:rowOff>9525</xdr:rowOff>
    </xdr:from>
    <xdr:to>
      <xdr:col>3</xdr:col>
      <xdr:colOff>1676400</xdr:colOff>
      <xdr:row>107</xdr:row>
      <xdr:rowOff>99060</xdr:rowOff>
    </xdr:to>
    <xdr:pic>
      <xdr:nvPicPr>
        <xdr:cNvPr id="11" name="Picture 115">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85825" y="12192000"/>
          <a:ext cx="1447800" cy="685800"/>
        </a:xfrm>
        <a:prstGeom prst="rect">
          <a:avLst/>
        </a:prstGeom>
        <a:noFill/>
        <a:ln w="1">
          <a:noFill/>
          <a:miter lim="800000"/>
          <a:headEnd/>
          <a:tailEnd type="none" w="med" len="med"/>
        </a:ln>
        <a:effectLst/>
      </xdr:spPr>
    </xdr:pic>
    <xdr:clientData/>
  </xdr:twoCellAnchor>
  <xdr:twoCellAnchor editAs="oneCell">
    <xdr:from>
      <xdr:col>2</xdr:col>
      <xdr:colOff>19050</xdr:colOff>
      <xdr:row>17</xdr:row>
      <xdr:rowOff>0</xdr:rowOff>
    </xdr:from>
    <xdr:to>
      <xdr:col>3</xdr:col>
      <xdr:colOff>1228725</xdr:colOff>
      <xdr:row>18</xdr:row>
      <xdr:rowOff>97155</xdr:rowOff>
    </xdr:to>
    <xdr:pic>
      <xdr:nvPicPr>
        <xdr:cNvPr id="21618" name="Picture 114">
          <a:extLst>
            <a:ext uri="{FF2B5EF4-FFF2-40B4-BE49-F238E27FC236}">
              <a16:creationId xmlns:a16="http://schemas.microsoft.com/office/drawing/2014/main" id="{00000000-0008-0000-0A00-00007254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485775" y="3086100"/>
          <a:ext cx="1400175" cy="247650"/>
        </a:xfrm>
        <a:prstGeom prst="rect">
          <a:avLst/>
        </a:prstGeom>
        <a:noFill/>
        <a:ln w="1">
          <a:noFill/>
          <a:miter lim="800000"/>
          <a:headEnd/>
          <a:tailEnd type="none" w="med" len="med"/>
        </a:ln>
        <a:effectLst/>
      </xdr:spPr>
    </xdr:pic>
    <xdr:clientData/>
  </xdr:twoCellAnchor>
  <xdr:twoCellAnchor editAs="oneCell">
    <xdr:from>
      <xdr:col>1</xdr:col>
      <xdr:colOff>66675</xdr:colOff>
      <xdr:row>21</xdr:row>
      <xdr:rowOff>0</xdr:rowOff>
    </xdr:from>
    <xdr:to>
      <xdr:col>3</xdr:col>
      <xdr:colOff>2286000</xdr:colOff>
      <xdr:row>25</xdr:row>
      <xdr:rowOff>99060</xdr:rowOff>
    </xdr:to>
    <xdr:pic>
      <xdr:nvPicPr>
        <xdr:cNvPr id="21620" name="Picture 116">
          <a:extLst>
            <a:ext uri="{FF2B5EF4-FFF2-40B4-BE49-F238E27FC236}">
              <a16:creationId xmlns:a16="http://schemas.microsoft.com/office/drawing/2014/main" id="{00000000-0008-0000-0A00-00007454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42900" y="3829050"/>
          <a:ext cx="2600325" cy="695325"/>
        </a:xfrm>
        <a:prstGeom prst="rect">
          <a:avLst/>
        </a:prstGeom>
        <a:noFill/>
        <a:ln w="1">
          <a:noFill/>
          <a:miter lim="800000"/>
          <a:headEnd/>
          <a:tailEnd type="none" w="med" len="med"/>
        </a:ln>
        <a:effectLst/>
      </xdr:spPr>
    </xdr:pic>
    <xdr:clientData/>
  </xdr:twoCellAnchor>
  <xdr:twoCellAnchor editAs="oneCell">
    <xdr:from>
      <xdr:col>3</xdr:col>
      <xdr:colOff>908685</xdr:colOff>
      <xdr:row>30</xdr:row>
      <xdr:rowOff>7621</xdr:rowOff>
    </xdr:from>
    <xdr:to>
      <xdr:col>3</xdr:col>
      <xdr:colOff>2185035</xdr:colOff>
      <xdr:row>33</xdr:row>
      <xdr:rowOff>76201</xdr:rowOff>
    </xdr:to>
    <xdr:pic>
      <xdr:nvPicPr>
        <xdr:cNvPr id="21621" name="Picture 117">
          <a:extLst>
            <a:ext uri="{FF2B5EF4-FFF2-40B4-BE49-F238E27FC236}">
              <a16:creationId xmlns:a16="http://schemas.microsoft.com/office/drawing/2014/main" id="{00000000-0008-0000-0A00-00007554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65910" y="5103496"/>
          <a:ext cx="1276350" cy="525780"/>
        </a:xfrm>
        <a:prstGeom prst="rect">
          <a:avLst/>
        </a:prstGeom>
        <a:noFill/>
        <a:ln w="1">
          <a:noFill/>
          <a:miter lim="800000"/>
          <a:headEnd/>
          <a:tailEnd type="none" w="med" len="med"/>
        </a:ln>
        <a:effectLst/>
      </xdr:spPr>
    </xdr:pic>
    <xdr:clientData/>
  </xdr:twoCellAnchor>
  <xdr:twoCellAnchor>
    <xdr:from>
      <xdr:col>5</xdr:col>
      <xdr:colOff>295274</xdr:colOff>
      <xdr:row>20</xdr:row>
      <xdr:rowOff>38099</xdr:rowOff>
    </xdr:from>
    <xdr:to>
      <xdr:col>12</xdr:col>
      <xdr:colOff>388619</xdr:colOff>
      <xdr:row>23</xdr:row>
      <xdr:rowOff>91440</xdr:rowOff>
    </xdr:to>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3579494" y="3512819"/>
          <a:ext cx="2204085" cy="4876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May be listed under part number 252618-WH &amp; 252618-BG</a:t>
          </a:r>
        </a:p>
      </xdr:txBody>
    </xdr:sp>
    <xdr:clientData/>
  </xdr:twoCellAnchor>
  <xdr:twoCellAnchor editAs="oneCell">
    <xdr:from>
      <xdr:col>3</xdr:col>
      <xdr:colOff>323850</xdr:colOff>
      <xdr:row>42</xdr:row>
      <xdr:rowOff>161925</xdr:rowOff>
    </xdr:from>
    <xdr:to>
      <xdr:col>3</xdr:col>
      <xdr:colOff>1383371</xdr:colOff>
      <xdr:row>49</xdr:row>
      <xdr:rowOff>41909</xdr:rowOff>
    </xdr:to>
    <xdr:pic>
      <xdr:nvPicPr>
        <xdr:cNvPr id="21623" name="Picture 119">
          <a:extLst>
            <a:ext uri="{FF2B5EF4-FFF2-40B4-BE49-F238E27FC236}">
              <a16:creationId xmlns:a16="http://schemas.microsoft.com/office/drawing/2014/main" id="{00000000-0008-0000-0A00-00007754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981075" y="6981825"/>
          <a:ext cx="1059521" cy="952499"/>
        </a:xfrm>
        <a:prstGeom prst="rect">
          <a:avLst/>
        </a:prstGeom>
        <a:noFill/>
        <a:ln w="1">
          <a:noFill/>
          <a:miter lim="800000"/>
          <a:headEnd/>
          <a:tailEnd type="none" w="med" len="med"/>
        </a:ln>
        <a:effectLst/>
      </xdr:spPr>
    </xdr:pic>
    <xdr:clientData/>
  </xdr:twoCellAnchor>
  <xdr:twoCellAnchor editAs="oneCell">
    <xdr:from>
      <xdr:col>3</xdr:col>
      <xdr:colOff>581025</xdr:colOff>
      <xdr:row>57</xdr:row>
      <xdr:rowOff>28576</xdr:rowOff>
    </xdr:from>
    <xdr:to>
      <xdr:col>3</xdr:col>
      <xdr:colOff>1171574</xdr:colOff>
      <xdr:row>62</xdr:row>
      <xdr:rowOff>84951</xdr:rowOff>
    </xdr:to>
    <xdr:pic>
      <xdr:nvPicPr>
        <xdr:cNvPr id="21624" name="Picture 120">
          <a:extLst>
            <a:ext uri="{FF2B5EF4-FFF2-40B4-BE49-F238E27FC236}">
              <a16:creationId xmlns:a16="http://schemas.microsoft.com/office/drawing/2014/main" id="{00000000-0008-0000-0A00-00007854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238250" y="8848726"/>
          <a:ext cx="590549" cy="810755"/>
        </a:xfrm>
        <a:prstGeom prst="rect">
          <a:avLst/>
        </a:prstGeom>
        <a:noFill/>
        <a:ln w="1">
          <a:noFill/>
          <a:miter lim="800000"/>
          <a:headEnd/>
          <a:tailEnd type="none" w="med" len="med"/>
        </a:ln>
        <a:effectLst/>
      </xdr:spPr>
    </xdr:pic>
    <xdr:clientData/>
  </xdr:twoCellAnchor>
  <xdr:twoCellAnchor editAs="oneCell">
    <xdr:from>
      <xdr:col>3</xdr:col>
      <xdr:colOff>371475</xdr:colOff>
      <xdr:row>70</xdr:row>
      <xdr:rowOff>171450</xdr:rowOff>
    </xdr:from>
    <xdr:to>
      <xdr:col>3</xdr:col>
      <xdr:colOff>1162050</xdr:colOff>
      <xdr:row>74</xdr:row>
      <xdr:rowOff>40005</xdr:rowOff>
    </xdr:to>
    <xdr:pic>
      <xdr:nvPicPr>
        <xdr:cNvPr id="21625" name="Picture 121">
          <a:extLst>
            <a:ext uri="{FF2B5EF4-FFF2-40B4-BE49-F238E27FC236}">
              <a16:creationId xmlns:a16="http://schemas.microsoft.com/office/drawing/2014/main" id="{00000000-0008-0000-0A00-00007954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028700" y="8839200"/>
          <a:ext cx="790575" cy="495300"/>
        </a:xfrm>
        <a:prstGeom prst="rect">
          <a:avLst/>
        </a:prstGeom>
        <a:noFill/>
        <a:ln w="1">
          <a:noFill/>
          <a:miter lim="800000"/>
          <a:headEnd/>
          <a:tailEnd type="none" w="med" len="med"/>
        </a:ln>
        <a:effectLst/>
      </xdr:spPr>
    </xdr:pic>
    <xdr:clientData/>
  </xdr:twoCellAnchor>
  <xdr:twoCellAnchor editAs="oneCell">
    <xdr:from>
      <xdr:col>3</xdr:col>
      <xdr:colOff>57150</xdr:colOff>
      <xdr:row>85</xdr:row>
      <xdr:rowOff>66675</xdr:rowOff>
    </xdr:from>
    <xdr:to>
      <xdr:col>3</xdr:col>
      <xdr:colOff>1066800</xdr:colOff>
      <xdr:row>88</xdr:row>
      <xdr:rowOff>120015</xdr:rowOff>
    </xdr:to>
    <xdr:pic>
      <xdr:nvPicPr>
        <xdr:cNvPr id="21626" name="Picture 122">
          <a:extLst>
            <a:ext uri="{FF2B5EF4-FFF2-40B4-BE49-F238E27FC236}">
              <a16:creationId xmlns:a16="http://schemas.microsoft.com/office/drawing/2014/main" id="{00000000-0008-0000-0A00-00007A54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14375" y="9658350"/>
          <a:ext cx="1009650" cy="504825"/>
        </a:xfrm>
        <a:prstGeom prst="rect">
          <a:avLst/>
        </a:prstGeom>
        <a:noFill/>
        <a:ln w="1">
          <a:noFill/>
          <a:miter lim="800000"/>
          <a:headEnd/>
          <a:tailEnd type="none" w="med" len="med"/>
        </a:ln>
        <a:effectLst/>
      </xdr:spPr>
    </xdr:pic>
    <xdr:clientData/>
  </xdr:twoCellAnchor>
  <xdr:twoCellAnchor editAs="oneCell">
    <xdr:from>
      <xdr:col>3</xdr:col>
      <xdr:colOff>1562100</xdr:colOff>
      <xdr:row>91</xdr:row>
      <xdr:rowOff>22860</xdr:rowOff>
    </xdr:from>
    <xdr:to>
      <xdr:col>3</xdr:col>
      <xdr:colOff>2247900</xdr:colOff>
      <xdr:row>94</xdr:row>
      <xdr:rowOff>114300</xdr:rowOff>
    </xdr:to>
    <xdr:pic>
      <xdr:nvPicPr>
        <xdr:cNvPr id="21627" name="Picture 123">
          <a:extLst>
            <a:ext uri="{FF2B5EF4-FFF2-40B4-BE49-F238E27FC236}">
              <a16:creationId xmlns:a16="http://schemas.microsoft.com/office/drawing/2014/main" id="{00000000-0008-0000-0A00-00007B54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2217420" y="13807440"/>
          <a:ext cx="685800" cy="533400"/>
        </a:xfrm>
        <a:prstGeom prst="rect">
          <a:avLst/>
        </a:prstGeom>
        <a:noFill/>
        <a:ln w="1">
          <a:noFill/>
          <a:miter lim="800000"/>
          <a:headEnd/>
          <a:tailEnd type="none" w="med" len="med"/>
        </a:ln>
        <a:effectLst/>
      </xdr:spPr>
    </xdr:pic>
    <xdr:clientData/>
  </xdr:twoCellAnchor>
  <xdr:twoCellAnchor editAs="oneCell">
    <xdr:from>
      <xdr:col>1</xdr:col>
      <xdr:colOff>97155</xdr:colOff>
      <xdr:row>96</xdr:row>
      <xdr:rowOff>133350</xdr:rowOff>
    </xdr:from>
    <xdr:to>
      <xdr:col>3</xdr:col>
      <xdr:colOff>2271236</xdr:colOff>
      <xdr:row>100</xdr:row>
      <xdr:rowOff>89535</xdr:rowOff>
    </xdr:to>
    <xdr:pic>
      <xdr:nvPicPr>
        <xdr:cNvPr id="21628" name="Picture 124">
          <a:extLst>
            <a:ext uri="{FF2B5EF4-FFF2-40B4-BE49-F238E27FC236}">
              <a16:creationId xmlns:a16="http://schemas.microsoft.com/office/drawing/2014/main" id="{00000000-0008-0000-0A00-00007C54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71475" y="14664690"/>
          <a:ext cx="2555081" cy="535305"/>
        </a:xfrm>
        <a:prstGeom prst="rect">
          <a:avLst/>
        </a:prstGeom>
        <a:noFill/>
        <a:ln w="1">
          <a:noFill/>
          <a:miter lim="800000"/>
          <a:headEnd/>
          <a:tailEnd type="none" w="med" len="med"/>
        </a:ln>
        <a:effectLst/>
      </xdr:spPr>
    </xdr:pic>
    <xdr:clientData/>
  </xdr:twoCellAnchor>
  <xdr:twoCellAnchor editAs="oneCell">
    <xdr:from>
      <xdr:col>3</xdr:col>
      <xdr:colOff>1282065</xdr:colOff>
      <xdr:row>116</xdr:row>
      <xdr:rowOff>30480</xdr:rowOff>
    </xdr:from>
    <xdr:to>
      <xdr:col>3</xdr:col>
      <xdr:colOff>2148840</xdr:colOff>
      <xdr:row>121</xdr:row>
      <xdr:rowOff>137160</xdr:rowOff>
    </xdr:to>
    <xdr:pic>
      <xdr:nvPicPr>
        <xdr:cNvPr id="21629" name="Picture 125">
          <a:extLst>
            <a:ext uri="{FF2B5EF4-FFF2-40B4-BE49-F238E27FC236}">
              <a16:creationId xmlns:a16="http://schemas.microsoft.com/office/drawing/2014/main" id="{00000000-0008-0000-0A00-00007D54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1937385" y="17495520"/>
          <a:ext cx="866775" cy="838200"/>
        </a:xfrm>
        <a:prstGeom prst="rect">
          <a:avLst/>
        </a:prstGeom>
        <a:noFill/>
        <a:ln w="1">
          <a:noFill/>
          <a:miter lim="800000"/>
          <a:headEnd/>
          <a:tailEnd type="none" w="med" len="med"/>
        </a:ln>
        <a:effectLst/>
      </xdr:spPr>
    </xdr:pic>
    <xdr:clientData/>
  </xdr:twoCellAnchor>
  <xdr:twoCellAnchor editAs="oneCell">
    <xdr:from>
      <xdr:col>3</xdr:col>
      <xdr:colOff>1143001</xdr:colOff>
      <xdr:row>141</xdr:row>
      <xdr:rowOff>142876</xdr:rowOff>
    </xdr:from>
    <xdr:to>
      <xdr:col>3</xdr:col>
      <xdr:colOff>2034679</xdr:colOff>
      <xdr:row>146</xdr:row>
      <xdr:rowOff>83821</xdr:rowOff>
    </xdr:to>
    <xdr:pic>
      <xdr:nvPicPr>
        <xdr:cNvPr id="4" name="Picture 114">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800226" y="17706976"/>
          <a:ext cx="891678" cy="704850"/>
        </a:xfrm>
        <a:prstGeom prst="rect">
          <a:avLst/>
        </a:prstGeom>
        <a:noFill/>
        <a:ln w="1">
          <a:noFill/>
          <a:miter lim="800000"/>
          <a:headEnd/>
          <a:tailEnd type="none" w="med" len="med"/>
        </a:ln>
        <a:effectLst/>
      </xdr:spPr>
    </xdr:pic>
    <xdr:clientData/>
  </xdr:twoCellAnchor>
  <xdr:twoCellAnchor editAs="oneCell">
    <xdr:from>
      <xdr:col>3</xdr:col>
      <xdr:colOff>9525</xdr:colOff>
      <xdr:row>149</xdr:row>
      <xdr:rowOff>47625</xdr:rowOff>
    </xdr:from>
    <xdr:to>
      <xdr:col>3</xdr:col>
      <xdr:colOff>2181225</xdr:colOff>
      <xdr:row>151</xdr:row>
      <xdr:rowOff>99060</xdr:rowOff>
    </xdr:to>
    <xdr:pic>
      <xdr:nvPicPr>
        <xdr:cNvPr id="5" name="Picture 115">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666750" y="18726150"/>
          <a:ext cx="2171700" cy="352425"/>
        </a:xfrm>
        <a:prstGeom prst="rect">
          <a:avLst/>
        </a:prstGeom>
        <a:noFill/>
        <a:ln w="1">
          <a:noFill/>
          <a:miter lim="800000"/>
          <a:headEnd/>
          <a:tailEnd type="none" w="med" len="med"/>
        </a:ln>
        <a:effectLst/>
      </xdr:spPr>
    </xdr:pic>
    <xdr:clientData/>
  </xdr:twoCellAnchor>
  <xdr:twoCellAnchor editAs="oneCell">
    <xdr:from>
      <xdr:col>2</xdr:col>
      <xdr:colOff>9525</xdr:colOff>
      <xdr:row>153</xdr:row>
      <xdr:rowOff>38100</xdr:rowOff>
    </xdr:from>
    <xdr:to>
      <xdr:col>3</xdr:col>
      <xdr:colOff>1647825</xdr:colOff>
      <xdr:row>157</xdr:row>
      <xdr:rowOff>41910</xdr:rowOff>
    </xdr:to>
    <xdr:pic>
      <xdr:nvPicPr>
        <xdr:cNvPr id="6" name="Picture 116">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476250" y="19297650"/>
          <a:ext cx="1828800" cy="600075"/>
        </a:xfrm>
        <a:prstGeom prst="rect">
          <a:avLst/>
        </a:prstGeom>
        <a:noFill/>
        <a:ln w="1">
          <a:noFill/>
          <a:miter lim="800000"/>
          <a:headEnd/>
          <a:tailEnd type="none" w="med" len="med"/>
        </a:ln>
        <a:effectLst/>
      </xdr:spPr>
    </xdr:pic>
    <xdr:clientData/>
  </xdr:twoCellAnchor>
  <xdr:twoCellAnchor editAs="oneCell">
    <xdr:from>
      <xdr:col>3</xdr:col>
      <xdr:colOff>85725</xdr:colOff>
      <xdr:row>160</xdr:row>
      <xdr:rowOff>19050</xdr:rowOff>
    </xdr:from>
    <xdr:to>
      <xdr:col>3</xdr:col>
      <xdr:colOff>1087994</xdr:colOff>
      <xdr:row>164</xdr:row>
      <xdr:rowOff>72390</xdr:rowOff>
    </xdr:to>
    <xdr:pic>
      <xdr:nvPicPr>
        <xdr:cNvPr id="7" name="Picture 117">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742950" y="20364450"/>
          <a:ext cx="1002269" cy="657225"/>
        </a:xfrm>
        <a:prstGeom prst="rect">
          <a:avLst/>
        </a:prstGeom>
        <a:noFill/>
        <a:ln w="1">
          <a:noFill/>
          <a:miter lim="800000"/>
          <a:headEnd/>
          <a:tailEnd type="none" w="med" len="med"/>
        </a:ln>
        <a:effectLst/>
      </xdr:spPr>
    </xdr:pic>
    <xdr:clientData/>
  </xdr:twoCellAnchor>
  <xdr:twoCellAnchor editAs="oneCell">
    <xdr:from>
      <xdr:col>3</xdr:col>
      <xdr:colOff>1276350</xdr:colOff>
      <xdr:row>164</xdr:row>
      <xdr:rowOff>161925</xdr:rowOff>
    </xdr:from>
    <xdr:to>
      <xdr:col>3</xdr:col>
      <xdr:colOff>1762125</xdr:colOff>
      <xdr:row>169</xdr:row>
      <xdr:rowOff>123825</xdr:rowOff>
    </xdr:to>
    <xdr:pic>
      <xdr:nvPicPr>
        <xdr:cNvPr id="21622" name="Picture 118">
          <a:extLst>
            <a:ext uri="{FF2B5EF4-FFF2-40B4-BE49-F238E27FC236}">
              <a16:creationId xmlns:a16="http://schemas.microsoft.com/office/drawing/2014/main" id="{00000000-0008-0000-0A00-00007654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1933575" y="21240750"/>
          <a:ext cx="485775" cy="733425"/>
        </a:xfrm>
        <a:prstGeom prst="rect">
          <a:avLst/>
        </a:prstGeom>
        <a:noFill/>
        <a:ln w="1">
          <a:noFill/>
          <a:miter lim="800000"/>
          <a:headEnd/>
          <a:tailEnd type="none" w="med" len="med"/>
        </a:ln>
        <a:effectLst/>
      </xdr:spPr>
    </xdr:pic>
    <xdr:clientData/>
  </xdr:twoCellAnchor>
  <xdr:twoCellAnchor editAs="oneCell">
    <xdr:from>
      <xdr:col>3</xdr:col>
      <xdr:colOff>190500</xdr:colOff>
      <xdr:row>172</xdr:row>
      <xdr:rowOff>171450</xdr:rowOff>
    </xdr:from>
    <xdr:to>
      <xdr:col>3</xdr:col>
      <xdr:colOff>1361966</xdr:colOff>
      <xdr:row>179</xdr:row>
      <xdr:rowOff>104775</xdr:rowOff>
    </xdr:to>
    <xdr:pic>
      <xdr:nvPicPr>
        <xdr:cNvPr id="12" name="Picture 120">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847725" y="24031575"/>
          <a:ext cx="1171466" cy="1019175"/>
        </a:xfrm>
        <a:prstGeom prst="rect">
          <a:avLst/>
        </a:prstGeom>
        <a:noFill/>
        <a:ln w="1">
          <a:noFill/>
          <a:miter lim="800000"/>
          <a:headEnd/>
          <a:tailEnd type="none" w="med" len="med"/>
        </a:ln>
        <a:effectLst/>
      </xdr:spPr>
    </xdr:pic>
    <xdr:clientData/>
  </xdr:twoCellAnchor>
  <xdr:twoCellAnchor editAs="oneCell">
    <xdr:from>
      <xdr:col>3</xdr:col>
      <xdr:colOff>742950</xdr:colOff>
      <xdr:row>188</xdr:row>
      <xdr:rowOff>66675</xdr:rowOff>
    </xdr:from>
    <xdr:to>
      <xdr:col>3</xdr:col>
      <xdr:colOff>1123950</xdr:colOff>
      <xdr:row>194</xdr:row>
      <xdr:rowOff>16164</xdr:rowOff>
    </xdr:to>
    <xdr:pic>
      <xdr:nvPicPr>
        <xdr:cNvPr id="13" name="Picture 121">
          <a:extLst>
            <a:ext uri="{FF2B5EF4-FFF2-40B4-BE49-F238E27FC236}">
              <a16:creationId xmlns:a16="http://schemas.microsoft.com/office/drawing/2014/main" id="{00000000-0008-0000-0A00-00000D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1400175" y="25946100"/>
          <a:ext cx="381000" cy="854364"/>
        </a:xfrm>
        <a:prstGeom prst="rect">
          <a:avLst/>
        </a:prstGeom>
        <a:noFill/>
        <a:ln w="1">
          <a:noFill/>
          <a:miter lim="800000"/>
          <a:headEnd/>
          <a:tailEnd type="none" w="med" len="med"/>
        </a:ln>
        <a:effectLst/>
      </xdr:spPr>
    </xdr:pic>
    <xdr:clientData/>
  </xdr:twoCellAnchor>
  <xdr:twoCellAnchor editAs="oneCell">
    <xdr:from>
      <xdr:col>5</xdr:col>
      <xdr:colOff>57150</xdr:colOff>
      <xdr:row>232</xdr:row>
      <xdr:rowOff>104775</xdr:rowOff>
    </xdr:from>
    <xdr:to>
      <xdr:col>9</xdr:col>
      <xdr:colOff>285750</xdr:colOff>
      <xdr:row>235</xdr:row>
      <xdr:rowOff>139065</xdr:rowOff>
    </xdr:to>
    <xdr:pic>
      <xdr:nvPicPr>
        <xdr:cNvPr id="10" name="Picture 114">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3343275" y="24755475"/>
          <a:ext cx="1247775" cy="485775"/>
        </a:xfrm>
        <a:prstGeom prst="rect">
          <a:avLst/>
        </a:prstGeom>
        <a:noFill/>
        <a:ln w="1">
          <a:noFill/>
          <a:miter lim="800000"/>
          <a:headEnd/>
          <a:tailEnd type="none" w="med" len="med"/>
        </a:ln>
        <a:effectLst/>
      </xdr:spPr>
    </xdr:pic>
    <xdr:clientData/>
  </xdr:twoCellAnchor>
  <xdr:twoCellAnchor editAs="oneCell">
    <xdr:from>
      <xdr:col>3</xdr:col>
      <xdr:colOff>57149</xdr:colOff>
      <xdr:row>239</xdr:row>
      <xdr:rowOff>19050</xdr:rowOff>
    </xdr:from>
    <xdr:to>
      <xdr:col>3</xdr:col>
      <xdr:colOff>1236784</xdr:colOff>
      <xdr:row>246</xdr:row>
      <xdr:rowOff>57150</xdr:rowOff>
    </xdr:to>
    <xdr:pic>
      <xdr:nvPicPr>
        <xdr:cNvPr id="15" name="Picture 115">
          <a:extLst>
            <a:ext uri="{FF2B5EF4-FFF2-40B4-BE49-F238E27FC236}">
              <a16:creationId xmlns:a16="http://schemas.microsoft.com/office/drawing/2014/main" id="{00000000-0008-0000-0A00-00000F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714374" y="29289375"/>
          <a:ext cx="1179635" cy="1095375"/>
        </a:xfrm>
        <a:prstGeom prst="rect">
          <a:avLst/>
        </a:prstGeom>
        <a:noFill/>
        <a:ln w="1">
          <a:noFill/>
          <a:miter lim="800000"/>
          <a:headEnd/>
          <a:tailEnd type="none" w="med" len="med"/>
        </a:ln>
        <a:effectLst/>
      </xdr:spPr>
    </xdr:pic>
    <xdr:clientData/>
  </xdr:twoCellAnchor>
  <xdr:twoCellAnchor editAs="oneCell">
    <xdr:from>
      <xdr:col>3</xdr:col>
      <xdr:colOff>152400</xdr:colOff>
      <xdr:row>260</xdr:row>
      <xdr:rowOff>123825</xdr:rowOff>
    </xdr:from>
    <xdr:to>
      <xdr:col>3</xdr:col>
      <xdr:colOff>1123627</xdr:colOff>
      <xdr:row>263</xdr:row>
      <xdr:rowOff>120015</xdr:rowOff>
    </xdr:to>
    <xdr:pic>
      <xdr:nvPicPr>
        <xdr:cNvPr id="16" name="Picture 116">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809625" y="26812875"/>
          <a:ext cx="971227" cy="447675"/>
        </a:xfrm>
        <a:prstGeom prst="rect">
          <a:avLst/>
        </a:prstGeom>
        <a:noFill/>
        <a:ln w="1">
          <a:noFill/>
          <a:miter lim="800000"/>
          <a:headEnd/>
          <a:tailEnd type="none" w="med" len="med"/>
        </a:ln>
        <a:effectLst/>
      </xdr:spPr>
    </xdr:pic>
    <xdr:clientData/>
  </xdr:twoCellAnchor>
  <xdr:twoCellAnchor editAs="oneCell">
    <xdr:from>
      <xdr:col>3</xdr:col>
      <xdr:colOff>285751</xdr:colOff>
      <xdr:row>275</xdr:row>
      <xdr:rowOff>1</xdr:rowOff>
    </xdr:from>
    <xdr:to>
      <xdr:col>3</xdr:col>
      <xdr:colOff>1693015</xdr:colOff>
      <xdr:row>277</xdr:row>
      <xdr:rowOff>9525</xdr:rowOff>
    </xdr:to>
    <xdr:pic>
      <xdr:nvPicPr>
        <xdr:cNvPr id="17" name="Picture 117">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942976" y="28717876"/>
          <a:ext cx="1407264" cy="304799"/>
        </a:xfrm>
        <a:prstGeom prst="rect">
          <a:avLst/>
        </a:prstGeom>
        <a:noFill/>
        <a:ln w="1">
          <a:noFill/>
          <a:miter lim="800000"/>
          <a:headEnd/>
          <a:tailEnd type="none" w="med" len="med"/>
        </a:ln>
        <a:effectLst/>
      </xdr:spPr>
    </xdr:pic>
    <xdr:clientData/>
  </xdr:twoCellAnchor>
  <xdr:twoCellAnchor editAs="oneCell">
    <xdr:from>
      <xdr:col>2</xdr:col>
      <xdr:colOff>19050</xdr:colOff>
      <xdr:row>281</xdr:row>
      <xdr:rowOff>76200</xdr:rowOff>
    </xdr:from>
    <xdr:to>
      <xdr:col>3</xdr:col>
      <xdr:colOff>2143125</xdr:colOff>
      <xdr:row>283</xdr:row>
      <xdr:rowOff>70485</xdr:rowOff>
    </xdr:to>
    <xdr:pic>
      <xdr:nvPicPr>
        <xdr:cNvPr id="18" name="Picture 118">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485775" y="29537025"/>
          <a:ext cx="2314575" cy="295275"/>
        </a:xfrm>
        <a:prstGeom prst="rect">
          <a:avLst/>
        </a:prstGeom>
        <a:noFill/>
        <a:ln w="1">
          <a:noFill/>
          <a:miter lim="800000"/>
          <a:headEnd/>
          <a:tailEnd type="none" w="med" len="med"/>
        </a:ln>
        <a:effectLst/>
      </xdr:spPr>
    </xdr:pic>
    <xdr:clientData/>
  </xdr:twoCellAnchor>
  <xdr:twoCellAnchor editAs="oneCell">
    <xdr:from>
      <xdr:col>3</xdr:col>
      <xdr:colOff>2028825</xdr:colOff>
      <xdr:row>287</xdr:row>
      <xdr:rowOff>57150</xdr:rowOff>
    </xdr:from>
    <xdr:to>
      <xdr:col>3</xdr:col>
      <xdr:colOff>2314574</xdr:colOff>
      <xdr:row>291</xdr:row>
      <xdr:rowOff>96880</xdr:rowOff>
    </xdr:to>
    <xdr:pic>
      <xdr:nvPicPr>
        <xdr:cNvPr id="20" name="Picture 120">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686050" y="30251400"/>
          <a:ext cx="285749" cy="653140"/>
        </a:xfrm>
        <a:prstGeom prst="rect">
          <a:avLst/>
        </a:prstGeom>
        <a:noFill/>
        <a:ln w="1">
          <a:noFill/>
          <a:miter lim="800000"/>
          <a:headEnd/>
          <a:tailEnd type="none" w="med" len="med"/>
        </a:ln>
        <a:effectLst/>
      </xdr:spPr>
    </xdr:pic>
    <xdr:clientData/>
  </xdr:twoCellAnchor>
  <xdr:twoCellAnchor editAs="oneCell">
    <xdr:from>
      <xdr:col>3</xdr:col>
      <xdr:colOff>1152525</xdr:colOff>
      <xdr:row>292</xdr:row>
      <xdr:rowOff>66675</xdr:rowOff>
    </xdr:from>
    <xdr:to>
      <xdr:col>3</xdr:col>
      <xdr:colOff>1930007</xdr:colOff>
      <xdr:row>295</xdr:row>
      <xdr:rowOff>76200</xdr:rowOff>
    </xdr:to>
    <xdr:pic>
      <xdr:nvPicPr>
        <xdr:cNvPr id="21" name="Picture 121">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807845" y="43493055"/>
          <a:ext cx="777482" cy="451485"/>
        </a:xfrm>
        <a:prstGeom prst="rect">
          <a:avLst/>
        </a:prstGeom>
        <a:noFill/>
        <a:ln w="1">
          <a:noFill/>
          <a:miter lim="800000"/>
          <a:headEnd/>
          <a:tailEnd type="none" w="med" len="med"/>
        </a:ln>
        <a:effectLst/>
      </xdr:spPr>
    </xdr:pic>
    <xdr:clientData/>
  </xdr:twoCellAnchor>
  <xdr:twoCellAnchor editAs="oneCell">
    <xdr:from>
      <xdr:col>3</xdr:col>
      <xdr:colOff>1249681</xdr:colOff>
      <xdr:row>296</xdr:row>
      <xdr:rowOff>60961</xdr:rowOff>
    </xdr:from>
    <xdr:to>
      <xdr:col>3</xdr:col>
      <xdr:colOff>1887548</xdr:colOff>
      <xdr:row>299</xdr:row>
      <xdr:rowOff>60960</xdr:rowOff>
    </xdr:to>
    <xdr:pic>
      <xdr:nvPicPr>
        <xdr:cNvPr id="23" name="Picture 123">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1905001" y="44081701"/>
          <a:ext cx="637867" cy="441959"/>
        </a:xfrm>
        <a:prstGeom prst="rect">
          <a:avLst/>
        </a:prstGeom>
        <a:noFill/>
        <a:ln w="1">
          <a:noFill/>
          <a:miter lim="800000"/>
          <a:headEnd/>
          <a:tailEnd type="none" w="med" len="med"/>
        </a:ln>
        <a:effectLst/>
      </xdr:spPr>
    </xdr:pic>
    <xdr:clientData/>
  </xdr:twoCellAnchor>
  <xdr:twoCellAnchor editAs="oneCell">
    <xdr:from>
      <xdr:col>3</xdr:col>
      <xdr:colOff>967740</xdr:colOff>
      <xdr:row>306</xdr:row>
      <xdr:rowOff>61406</xdr:rowOff>
    </xdr:from>
    <xdr:to>
      <xdr:col>3</xdr:col>
      <xdr:colOff>2444115</xdr:colOff>
      <xdr:row>309</xdr:row>
      <xdr:rowOff>129540</xdr:rowOff>
    </xdr:to>
    <xdr:pic>
      <xdr:nvPicPr>
        <xdr:cNvPr id="24" name="Picture 124">
          <a:extLst>
            <a:ext uri="{FF2B5EF4-FFF2-40B4-BE49-F238E27FC236}">
              <a16:creationId xmlns:a16="http://schemas.microsoft.com/office/drawing/2014/main" id="{00000000-0008-0000-0A00-000018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623060" y="45568046"/>
          <a:ext cx="1476375" cy="502474"/>
        </a:xfrm>
        <a:prstGeom prst="rect">
          <a:avLst/>
        </a:prstGeom>
        <a:noFill/>
        <a:ln w="1">
          <a:noFill/>
          <a:miter lim="800000"/>
          <a:headEnd/>
          <a:tailEnd type="none" w="med" len="med"/>
        </a:ln>
        <a:effectLst/>
      </xdr:spPr>
    </xdr:pic>
    <xdr:clientData/>
  </xdr:twoCellAnchor>
  <xdr:twoCellAnchor editAs="oneCell">
    <xdr:from>
      <xdr:col>3</xdr:col>
      <xdr:colOff>1483995</xdr:colOff>
      <xdr:row>300</xdr:row>
      <xdr:rowOff>67865</xdr:rowOff>
    </xdr:from>
    <xdr:to>
      <xdr:col>3</xdr:col>
      <xdr:colOff>2474594</xdr:colOff>
      <xdr:row>304</xdr:row>
      <xdr:rowOff>3809</xdr:rowOff>
    </xdr:to>
    <xdr:pic>
      <xdr:nvPicPr>
        <xdr:cNvPr id="25" name="Picture 125">
          <a:extLst>
            <a:ext uri="{FF2B5EF4-FFF2-40B4-BE49-F238E27FC236}">
              <a16:creationId xmlns:a16="http://schemas.microsoft.com/office/drawing/2014/main" id="{00000000-0008-0000-0A00-00001900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139315" y="44682965"/>
          <a:ext cx="990599" cy="522684"/>
        </a:xfrm>
        <a:prstGeom prst="rect">
          <a:avLst/>
        </a:prstGeom>
        <a:noFill/>
        <a:ln w="1">
          <a:noFill/>
          <a:miter lim="800000"/>
          <a:headEnd/>
          <a:tailEnd type="none" w="med" len="med"/>
        </a:ln>
        <a:effectLst/>
      </xdr:spPr>
    </xdr:pic>
    <xdr:clientData/>
  </xdr:twoCellAnchor>
  <xdr:twoCellAnchor>
    <xdr:from>
      <xdr:col>2</xdr:col>
      <xdr:colOff>142875</xdr:colOff>
      <xdr:row>382</xdr:row>
      <xdr:rowOff>114300</xdr:rowOff>
    </xdr:from>
    <xdr:to>
      <xdr:col>3</xdr:col>
      <xdr:colOff>1924050</xdr:colOff>
      <xdr:row>384</xdr:row>
      <xdr:rowOff>152400</xdr:rowOff>
    </xdr:to>
    <xdr:pic>
      <xdr:nvPicPr>
        <xdr:cNvPr id="19" name="Picture 114">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609600" y="41614725"/>
          <a:ext cx="1971675" cy="419100"/>
        </a:xfrm>
        <a:prstGeom prst="rect">
          <a:avLst/>
        </a:prstGeom>
        <a:noFill/>
        <a:ln w="1">
          <a:noFill/>
          <a:miter lim="800000"/>
          <a:headEnd/>
          <a:tailEnd type="none" w="med" len="med"/>
        </a:ln>
        <a:effectLst/>
      </xdr:spPr>
    </xdr:pic>
    <xdr:clientData/>
  </xdr:twoCellAnchor>
  <xdr:twoCellAnchor>
    <xdr:from>
      <xdr:col>2</xdr:col>
      <xdr:colOff>161925</xdr:colOff>
      <xdr:row>386</xdr:row>
      <xdr:rowOff>0</xdr:rowOff>
    </xdr:from>
    <xdr:to>
      <xdr:col>3</xdr:col>
      <xdr:colOff>1866900</xdr:colOff>
      <xdr:row>390</xdr:row>
      <xdr:rowOff>38100</xdr:rowOff>
    </xdr:to>
    <xdr:pic>
      <xdr:nvPicPr>
        <xdr:cNvPr id="22" name="Picture 115">
          <a:extLst>
            <a:ext uri="{FF2B5EF4-FFF2-40B4-BE49-F238E27FC236}">
              <a16:creationId xmlns:a16="http://schemas.microsoft.com/office/drawing/2014/main" id="{00000000-0008-0000-0A00-000016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628650" y="42271950"/>
          <a:ext cx="1895475" cy="581025"/>
        </a:xfrm>
        <a:prstGeom prst="rect">
          <a:avLst/>
        </a:prstGeom>
        <a:noFill/>
        <a:ln w="1">
          <a:noFill/>
          <a:miter lim="800000"/>
          <a:headEnd/>
          <a:tailEnd type="none" w="med" len="med"/>
        </a:ln>
        <a:effectLst/>
      </xdr:spPr>
    </xdr:pic>
    <xdr:clientData/>
  </xdr:twoCellAnchor>
  <xdr:twoCellAnchor editAs="oneCell">
    <xdr:from>
      <xdr:col>2</xdr:col>
      <xdr:colOff>123825</xdr:colOff>
      <xdr:row>414</xdr:row>
      <xdr:rowOff>95250</xdr:rowOff>
    </xdr:from>
    <xdr:to>
      <xdr:col>3</xdr:col>
      <xdr:colOff>571500</xdr:colOff>
      <xdr:row>417</xdr:row>
      <xdr:rowOff>87630</xdr:rowOff>
    </xdr:to>
    <xdr:pic>
      <xdr:nvPicPr>
        <xdr:cNvPr id="29" name="Picture 119">
          <a:extLst>
            <a:ext uri="{FF2B5EF4-FFF2-40B4-BE49-F238E27FC236}">
              <a16:creationId xmlns:a16="http://schemas.microsoft.com/office/drawing/2014/main" id="{00000000-0008-0000-0A00-00001D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590550" y="45339000"/>
          <a:ext cx="638175" cy="409575"/>
        </a:xfrm>
        <a:prstGeom prst="rect">
          <a:avLst/>
        </a:prstGeom>
        <a:noFill/>
        <a:ln w="1">
          <a:noFill/>
          <a:miter lim="800000"/>
          <a:headEnd/>
          <a:tailEnd type="none" w="med" len="med"/>
        </a:ln>
        <a:effectLst/>
      </xdr:spPr>
    </xdr:pic>
    <xdr:clientData/>
  </xdr:twoCellAnchor>
  <xdr:twoCellAnchor editAs="oneCell">
    <xdr:from>
      <xdr:col>3</xdr:col>
      <xdr:colOff>9525</xdr:colOff>
      <xdr:row>131</xdr:row>
      <xdr:rowOff>142875</xdr:rowOff>
    </xdr:from>
    <xdr:to>
      <xdr:col>3</xdr:col>
      <xdr:colOff>1276350</xdr:colOff>
      <xdr:row>134</xdr:row>
      <xdr:rowOff>68580</xdr:rowOff>
    </xdr:to>
    <xdr:pic>
      <xdr:nvPicPr>
        <xdr:cNvPr id="30" name="Picture 120">
          <a:extLst>
            <a:ext uri="{FF2B5EF4-FFF2-40B4-BE49-F238E27FC236}">
              <a16:creationId xmlns:a16="http://schemas.microsoft.com/office/drawing/2014/main" id="{00000000-0008-0000-0A00-00001E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666750" y="17106900"/>
          <a:ext cx="1266825" cy="371475"/>
        </a:xfrm>
        <a:prstGeom prst="rect">
          <a:avLst/>
        </a:prstGeom>
        <a:noFill/>
        <a:ln w="1">
          <a:noFill/>
          <a:miter lim="800000"/>
          <a:headEnd/>
          <a:tailEnd type="none" w="med" len="med"/>
        </a:ln>
        <a:effectLst/>
      </xdr:spPr>
    </xdr:pic>
    <xdr:clientData/>
  </xdr:twoCellAnchor>
  <xdr:twoCellAnchor>
    <xdr:from>
      <xdr:col>22</xdr:col>
      <xdr:colOff>167640</xdr:colOff>
      <xdr:row>0</xdr:row>
      <xdr:rowOff>167640</xdr:rowOff>
    </xdr:from>
    <xdr:to>
      <xdr:col>24</xdr:col>
      <xdr:colOff>297180</xdr:colOff>
      <xdr:row>1</xdr:row>
      <xdr:rowOff>30479</xdr:rowOff>
    </xdr:to>
    <xdr:sp macro="" textlink="">
      <xdr:nvSpPr>
        <xdr:cNvPr id="49" name="TextBox 48">
          <a:extLst>
            <a:ext uri="{FF2B5EF4-FFF2-40B4-BE49-F238E27FC236}">
              <a16:creationId xmlns:a16="http://schemas.microsoft.com/office/drawing/2014/main" id="{00000000-0008-0000-0A00-000031000000}"/>
            </a:ext>
          </a:extLst>
        </xdr:cNvPr>
        <xdr:cNvSpPr txBox="1"/>
      </xdr:nvSpPr>
      <xdr:spPr>
        <a:xfrm>
          <a:off x="9730740" y="167640"/>
          <a:ext cx="1028700" cy="3124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Cost Estimates</a:t>
          </a:r>
        </a:p>
      </xdr:txBody>
    </xdr:sp>
    <xdr:clientData/>
  </xdr:twoCellAnchor>
  <xdr:twoCellAnchor editAs="oneCell">
    <xdr:from>
      <xdr:col>3</xdr:col>
      <xdr:colOff>929640</xdr:colOff>
      <xdr:row>316</xdr:row>
      <xdr:rowOff>38546</xdr:rowOff>
    </xdr:from>
    <xdr:to>
      <xdr:col>3</xdr:col>
      <xdr:colOff>2406015</xdr:colOff>
      <xdr:row>319</xdr:row>
      <xdr:rowOff>106680</xdr:rowOff>
    </xdr:to>
    <xdr:pic>
      <xdr:nvPicPr>
        <xdr:cNvPr id="50" name="Picture 124">
          <a:extLst>
            <a:ext uri="{FF2B5EF4-FFF2-40B4-BE49-F238E27FC236}">
              <a16:creationId xmlns:a16="http://schemas.microsoft.com/office/drawing/2014/main" id="{00000000-0008-0000-0A00-000032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584960" y="47023466"/>
          <a:ext cx="1476375" cy="502474"/>
        </a:xfrm>
        <a:prstGeom prst="rect">
          <a:avLst/>
        </a:prstGeom>
        <a:noFill/>
        <a:ln w="1">
          <a:noFill/>
          <a:miter lim="800000"/>
          <a:headEnd/>
          <a:tailEnd type="none" w="med" len="med"/>
        </a:ln>
        <a:effectLst/>
      </xdr:spPr>
    </xdr:pic>
    <xdr:clientData/>
  </xdr:twoCellAnchor>
  <xdr:twoCellAnchor editAs="oneCell">
    <xdr:from>
      <xdr:col>3</xdr:col>
      <xdr:colOff>1447800</xdr:colOff>
      <xdr:row>311</xdr:row>
      <xdr:rowOff>35633</xdr:rowOff>
    </xdr:from>
    <xdr:to>
      <xdr:col>3</xdr:col>
      <xdr:colOff>2398394</xdr:colOff>
      <xdr:row>314</xdr:row>
      <xdr:rowOff>102869</xdr:rowOff>
    </xdr:to>
    <xdr:pic>
      <xdr:nvPicPr>
        <xdr:cNvPr id="51" name="Picture 125">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103120" y="46281413"/>
          <a:ext cx="950594" cy="501576"/>
        </a:xfrm>
        <a:prstGeom prst="rect">
          <a:avLst/>
        </a:prstGeom>
        <a:noFill/>
        <a:ln w="1">
          <a:noFill/>
          <a:miter lim="800000"/>
          <a:headEnd/>
          <a:tailEnd type="none" w="med" len="med"/>
        </a:ln>
        <a:effectLst/>
      </xdr:spPr>
    </xdr:pic>
    <xdr:clientData/>
  </xdr:twoCellAnchor>
  <xdr:twoCellAnchor editAs="oneCell">
    <xdr:from>
      <xdr:col>3</xdr:col>
      <xdr:colOff>295275</xdr:colOff>
      <xdr:row>403</xdr:row>
      <xdr:rowOff>38100</xdr:rowOff>
    </xdr:from>
    <xdr:to>
      <xdr:col>3</xdr:col>
      <xdr:colOff>1200150</xdr:colOff>
      <xdr:row>408</xdr:row>
      <xdr:rowOff>89928</xdr:rowOff>
    </xdr:to>
    <xdr:pic>
      <xdr:nvPicPr>
        <xdr:cNvPr id="26" name="Picture 115">
          <a:extLst>
            <a:ext uri="{FF2B5EF4-FFF2-40B4-BE49-F238E27FC236}">
              <a16:creationId xmlns:a16="http://schemas.microsoft.com/office/drawing/2014/main" id="{00000000-0008-0000-0A00-00001A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952500" y="45300900"/>
          <a:ext cx="904875" cy="617613"/>
        </a:xfrm>
        <a:prstGeom prst="rect">
          <a:avLst/>
        </a:prstGeom>
        <a:noFill/>
        <a:ln w="1">
          <a:noFill/>
          <a:miter lim="800000"/>
          <a:headEnd/>
          <a:tailEnd type="none" w="med" len="med"/>
        </a:ln>
        <a:effectLst/>
      </xdr:spPr>
    </xdr:pic>
    <xdr:clientData/>
  </xdr:twoCellAnchor>
  <xdr:twoCellAnchor editAs="oneCell">
    <xdr:from>
      <xdr:col>0</xdr:col>
      <xdr:colOff>38100</xdr:colOff>
      <xdr:row>355</xdr:row>
      <xdr:rowOff>152400</xdr:rowOff>
    </xdr:from>
    <xdr:to>
      <xdr:col>3</xdr:col>
      <xdr:colOff>2495550</xdr:colOff>
      <xdr:row>360</xdr:row>
      <xdr:rowOff>47625</xdr:rowOff>
    </xdr:to>
    <xdr:pic>
      <xdr:nvPicPr>
        <xdr:cNvPr id="27" name="Picture 115">
          <a:extLst>
            <a:ext uri="{FF2B5EF4-FFF2-40B4-BE49-F238E27FC236}">
              <a16:creationId xmlns:a16="http://schemas.microsoft.com/office/drawing/2014/main" id="{00000000-0008-0000-0A00-00001B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38100" y="43576875"/>
          <a:ext cx="3114675" cy="457200"/>
        </a:xfrm>
        <a:prstGeom prst="rect">
          <a:avLst/>
        </a:prstGeom>
        <a:noFill/>
        <a:ln w="1">
          <a:noFill/>
          <a:miter lim="800000"/>
          <a:headEnd/>
          <a:tailEnd type="none" w="med" len="med"/>
        </a:ln>
        <a:effectLst/>
      </xdr:spPr>
    </xdr:pic>
    <xdr:clientData/>
  </xdr:twoCellAnchor>
  <xdr:twoCellAnchor editAs="oneCell">
    <xdr:from>
      <xdr:col>3</xdr:col>
      <xdr:colOff>342900</xdr:colOff>
      <xdr:row>433</xdr:row>
      <xdr:rowOff>66675</xdr:rowOff>
    </xdr:from>
    <xdr:to>
      <xdr:col>3</xdr:col>
      <xdr:colOff>1381125</xdr:colOff>
      <xdr:row>433</xdr:row>
      <xdr:rowOff>749212</xdr:rowOff>
    </xdr:to>
    <xdr:pic>
      <xdr:nvPicPr>
        <xdr:cNvPr id="31" name="Picture 116">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000125" y="50853975"/>
          <a:ext cx="1038225" cy="682537"/>
        </a:xfrm>
        <a:prstGeom prst="rect">
          <a:avLst/>
        </a:prstGeom>
        <a:noFill/>
        <a:ln w="1">
          <a:noFill/>
          <a:miter lim="800000"/>
          <a:headEnd/>
          <a:tailEnd type="none" w="med" len="med"/>
        </a:ln>
        <a:effectLst/>
      </xdr:spPr>
    </xdr:pic>
    <xdr:clientData/>
  </xdr:twoCellAnchor>
  <xdr:twoCellAnchor>
    <xdr:from>
      <xdr:col>5</xdr:col>
      <xdr:colOff>388620</xdr:colOff>
      <xdr:row>330</xdr:row>
      <xdr:rowOff>144780</xdr:rowOff>
    </xdr:from>
    <xdr:to>
      <xdr:col>11</xdr:col>
      <xdr:colOff>464820</xdr:colOff>
      <xdr:row>334</xdr:row>
      <xdr:rowOff>68580</xdr:rowOff>
    </xdr:to>
    <xdr:sp macro="" textlink="">
      <xdr:nvSpPr>
        <xdr:cNvPr id="54" name="TextBox 53">
          <a:extLst>
            <a:ext uri="{FF2B5EF4-FFF2-40B4-BE49-F238E27FC236}">
              <a16:creationId xmlns:a16="http://schemas.microsoft.com/office/drawing/2014/main" id="{00000000-0008-0000-0A00-000036000000}"/>
            </a:ext>
          </a:extLst>
        </xdr:cNvPr>
        <xdr:cNvSpPr txBox="1"/>
      </xdr:nvSpPr>
      <xdr:spPr>
        <a:xfrm>
          <a:off x="3672840" y="44820840"/>
          <a:ext cx="179070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Rocky Mount purchases</a:t>
          </a:r>
          <a:r>
            <a:rPr lang="en-US" sz="1100" baseline="0"/>
            <a:t> </a:t>
          </a:r>
          <a:r>
            <a:rPr lang="en-US" sz="1100"/>
            <a:t>SDL bars without tape applied.</a:t>
          </a:r>
        </a:p>
      </xdr:txBody>
    </xdr:sp>
    <xdr:clientData/>
  </xdr:twoCellAnchor>
  <xdr:twoCellAnchor editAs="oneCell">
    <xdr:from>
      <xdr:col>2</xdr:col>
      <xdr:colOff>0</xdr:colOff>
      <xdr:row>321</xdr:row>
      <xdr:rowOff>99060</xdr:rowOff>
    </xdr:from>
    <xdr:to>
      <xdr:col>3</xdr:col>
      <xdr:colOff>1701918</xdr:colOff>
      <xdr:row>324</xdr:row>
      <xdr:rowOff>114300</xdr:rowOff>
    </xdr:to>
    <xdr:pic>
      <xdr:nvPicPr>
        <xdr:cNvPr id="28" name="Picture 115">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464820" y="55473600"/>
          <a:ext cx="1892418" cy="449580"/>
        </a:xfrm>
        <a:prstGeom prst="rect">
          <a:avLst/>
        </a:prstGeom>
        <a:noFill/>
        <a:ln w="1">
          <a:noFill/>
          <a:miter lim="800000"/>
          <a:headEnd/>
          <a:tailEnd type="none" w="med" len="med"/>
        </a:ln>
        <a:effectLst/>
      </xdr:spPr>
    </xdr:pic>
    <xdr:clientData/>
  </xdr:twoCellAnchor>
  <xdr:twoCellAnchor editAs="oneCell">
    <xdr:from>
      <xdr:col>1</xdr:col>
      <xdr:colOff>144779</xdr:colOff>
      <xdr:row>330</xdr:row>
      <xdr:rowOff>160020</xdr:rowOff>
    </xdr:from>
    <xdr:to>
      <xdr:col>3</xdr:col>
      <xdr:colOff>1789562</xdr:colOff>
      <xdr:row>334</xdr:row>
      <xdr:rowOff>121920</xdr:rowOff>
    </xdr:to>
    <xdr:pic>
      <xdr:nvPicPr>
        <xdr:cNvPr id="32" name="Picture 116">
          <a:extLst>
            <a:ext uri="{FF2B5EF4-FFF2-40B4-BE49-F238E27FC236}">
              <a16:creationId xmlns:a16="http://schemas.microsoft.com/office/drawing/2014/main" id="{00000000-0008-0000-0A00-000020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419099" y="50642520"/>
          <a:ext cx="2025783" cy="556260"/>
        </a:xfrm>
        <a:prstGeom prst="rect">
          <a:avLst/>
        </a:prstGeom>
        <a:noFill/>
        <a:ln w="1">
          <a:noFill/>
          <a:miter lim="800000"/>
          <a:headEnd/>
          <a:tailEnd type="none" w="med" len="med"/>
        </a:ln>
        <a:effectLst/>
      </xdr:spPr>
    </xdr:pic>
    <xdr:clientData/>
  </xdr:twoCellAnchor>
  <xdr:twoCellAnchor editAs="oneCell">
    <xdr:from>
      <xdr:col>1</xdr:col>
      <xdr:colOff>144780</xdr:colOff>
      <xdr:row>338</xdr:row>
      <xdr:rowOff>30480</xdr:rowOff>
    </xdr:from>
    <xdr:to>
      <xdr:col>3</xdr:col>
      <xdr:colOff>2162092</xdr:colOff>
      <xdr:row>341</xdr:row>
      <xdr:rowOff>30480</xdr:rowOff>
    </xdr:to>
    <xdr:pic>
      <xdr:nvPicPr>
        <xdr:cNvPr id="33" name="Picture 117">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42" cstate="print"/>
        <a:srcRect/>
        <a:stretch>
          <a:fillRect/>
        </a:stretch>
      </xdr:blipFill>
      <xdr:spPr bwMode="auto">
        <a:xfrm>
          <a:off x="419100" y="51747420"/>
          <a:ext cx="2398312" cy="434340"/>
        </a:xfrm>
        <a:prstGeom prst="rect">
          <a:avLst/>
        </a:prstGeom>
        <a:noFill/>
        <a:ln w="1">
          <a:noFill/>
          <a:miter lim="800000"/>
          <a:headEnd/>
          <a:tailEnd type="none" w="med" len="med"/>
        </a:ln>
        <a:effectLst/>
      </xdr:spPr>
    </xdr:pic>
    <xdr:clientData/>
  </xdr:twoCellAnchor>
  <xdr:twoCellAnchor editAs="oneCell">
    <xdr:from>
      <xdr:col>1</xdr:col>
      <xdr:colOff>114300</xdr:colOff>
      <xdr:row>346</xdr:row>
      <xdr:rowOff>68580</xdr:rowOff>
    </xdr:from>
    <xdr:to>
      <xdr:col>3</xdr:col>
      <xdr:colOff>2194560</xdr:colOff>
      <xdr:row>351</xdr:row>
      <xdr:rowOff>2924</xdr:rowOff>
    </xdr:to>
    <xdr:pic>
      <xdr:nvPicPr>
        <xdr:cNvPr id="34" name="Picture 118">
          <a:extLst>
            <a:ext uri="{FF2B5EF4-FFF2-40B4-BE49-F238E27FC236}">
              <a16:creationId xmlns:a16="http://schemas.microsoft.com/office/drawing/2014/main" id="{00000000-0008-0000-0A00-000022000000}"/>
            </a:ext>
          </a:extLst>
        </xdr:cNvPr>
        <xdr:cNvPicPr>
          <a:picLocks noChangeAspect="1" noChangeArrowheads="1"/>
        </xdr:cNvPicPr>
      </xdr:nvPicPr>
      <xdr:blipFill>
        <a:blip xmlns:r="http://schemas.openxmlformats.org/officeDocument/2006/relationships" r:embed="rId43" cstate="print"/>
        <a:srcRect/>
        <a:stretch>
          <a:fillRect/>
        </a:stretch>
      </xdr:blipFill>
      <xdr:spPr bwMode="auto">
        <a:xfrm>
          <a:off x="388620" y="52852320"/>
          <a:ext cx="2461260" cy="658244"/>
        </a:xfrm>
        <a:prstGeom prst="rect">
          <a:avLst/>
        </a:prstGeom>
        <a:noFill/>
        <a:ln w="1">
          <a:noFill/>
          <a:miter lim="800000"/>
          <a:headEnd/>
          <a:tailEnd type="none" w="med" len="med"/>
        </a:ln>
        <a:effectLst/>
      </xdr:spPr>
    </xdr:pic>
    <xdr:clientData/>
  </xdr:twoCellAnchor>
  <xdr:twoCellAnchor editAs="oneCell">
    <xdr:from>
      <xdr:col>2</xdr:col>
      <xdr:colOff>88458</xdr:colOff>
      <xdr:row>393</xdr:row>
      <xdr:rowOff>8283</xdr:rowOff>
    </xdr:from>
    <xdr:to>
      <xdr:col>3</xdr:col>
      <xdr:colOff>345633</xdr:colOff>
      <xdr:row>396</xdr:row>
      <xdr:rowOff>12258</xdr:rowOff>
    </xdr:to>
    <xdr:pic>
      <xdr:nvPicPr>
        <xdr:cNvPr id="60" name="Picture 1682">
          <a:extLst>
            <a:ext uri="{FF2B5EF4-FFF2-40B4-BE49-F238E27FC236}">
              <a16:creationId xmlns:a16="http://schemas.microsoft.com/office/drawing/2014/main" id="{00000000-0008-0000-0A00-00003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53278" y="56853483"/>
          <a:ext cx="447675" cy="438315"/>
        </a:xfrm>
        <a:prstGeom prst="rect">
          <a:avLst/>
        </a:prstGeom>
        <a:noFill/>
        <a:ln w="1">
          <a:noFill/>
          <a:miter lim="800000"/>
          <a:headEnd/>
          <a:tailEnd/>
        </a:ln>
      </xdr:spPr>
    </xdr:pic>
    <xdr:clientData/>
  </xdr:twoCellAnchor>
  <xdr:twoCellAnchor editAs="oneCell">
    <xdr:from>
      <xdr:col>2</xdr:col>
      <xdr:colOff>158115</xdr:colOff>
      <xdr:row>382</xdr:row>
      <xdr:rowOff>53340</xdr:rowOff>
    </xdr:from>
    <xdr:to>
      <xdr:col>3</xdr:col>
      <xdr:colOff>1939290</xdr:colOff>
      <xdr:row>384</xdr:row>
      <xdr:rowOff>137160</xdr:rowOff>
    </xdr:to>
    <xdr:pic>
      <xdr:nvPicPr>
        <xdr:cNvPr id="61" name="Picture 114">
          <a:extLst>
            <a:ext uri="{FF2B5EF4-FFF2-40B4-BE49-F238E27FC236}">
              <a16:creationId xmlns:a16="http://schemas.microsoft.com/office/drawing/2014/main" id="{00000000-0008-0000-0A00-00003D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622935" y="56250840"/>
          <a:ext cx="1971675" cy="388620"/>
        </a:xfrm>
        <a:prstGeom prst="rect">
          <a:avLst/>
        </a:prstGeom>
        <a:noFill/>
        <a:ln w="1">
          <a:noFill/>
          <a:miter lim="800000"/>
          <a:headEnd/>
          <a:tailEnd type="none" w="med" len="med"/>
        </a:ln>
        <a:effectLst/>
      </xdr:spPr>
    </xdr:pic>
    <xdr:clientData/>
  </xdr:twoCellAnchor>
  <xdr:twoCellAnchor editAs="oneCell">
    <xdr:from>
      <xdr:col>3</xdr:col>
      <xdr:colOff>1905</xdr:colOff>
      <xdr:row>386</xdr:row>
      <xdr:rowOff>0</xdr:rowOff>
    </xdr:from>
    <xdr:to>
      <xdr:col>3</xdr:col>
      <xdr:colOff>1897380</xdr:colOff>
      <xdr:row>391</xdr:row>
      <xdr:rowOff>15240</xdr:rowOff>
    </xdr:to>
    <xdr:pic>
      <xdr:nvPicPr>
        <xdr:cNvPr id="62" name="Picture 115">
          <a:extLst>
            <a:ext uri="{FF2B5EF4-FFF2-40B4-BE49-F238E27FC236}">
              <a16:creationId xmlns:a16="http://schemas.microsoft.com/office/drawing/2014/main" id="{00000000-0008-0000-0A00-00003E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657225" y="55786020"/>
          <a:ext cx="1895475" cy="739140"/>
        </a:xfrm>
        <a:prstGeom prst="rect">
          <a:avLst/>
        </a:prstGeom>
        <a:noFill/>
        <a:ln w="1">
          <a:noFill/>
          <a:miter lim="800000"/>
          <a:headEnd/>
          <a:tailEnd type="none" w="med" len="med"/>
        </a:ln>
        <a:effectLst/>
      </xdr:spPr>
    </xdr:pic>
    <xdr:clientData/>
  </xdr:twoCellAnchor>
  <xdr:oneCellAnchor>
    <xdr:from>
      <xdr:col>2</xdr:col>
      <xdr:colOff>57978</xdr:colOff>
      <xdr:row>398</xdr:row>
      <xdr:rowOff>8283</xdr:rowOff>
    </xdr:from>
    <xdr:ext cx="447675" cy="449745"/>
    <xdr:pic>
      <xdr:nvPicPr>
        <xdr:cNvPr id="56" name="Picture 1682">
          <a:extLst>
            <a:ext uri="{FF2B5EF4-FFF2-40B4-BE49-F238E27FC236}">
              <a16:creationId xmlns:a16="http://schemas.microsoft.com/office/drawing/2014/main" id="{00000000-0008-0000-0A00-00003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703" y="53262558"/>
          <a:ext cx="447675" cy="449745"/>
        </a:xfrm>
        <a:prstGeom prst="rect">
          <a:avLst/>
        </a:prstGeom>
        <a:noFill/>
        <a:ln w="1">
          <a:noFill/>
          <a:miter lim="800000"/>
          <a:headEnd/>
          <a:tailEnd/>
        </a:ln>
      </xdr:spPr>
    </xdr:pic>
    <xdr:clientData/>
  </xdr:oneCellAnchor>
  <xdr:oneCellAnchor>
    <xdr:from>
      <xdr:col>2</xdr:col>
      <xdr:colOff>88458</xdr:colOff>
      <xdr:row>398</xdr:row>
      <xdr:rowOff>8283</xdr:rowOff>
    </xdr:from>
    <xdr:ext cx="447675" cy="449745"/>
    <xdr:pic>
      <xdr:nvPicPr>
        <xdr:cNvPr id="57" name="Picture 1682">
          <a:extLst>
            <a:ext uri="{FF2B5EF4-FFF2-40B4-BE49-F238E27FC236}">
              <a16:creationId xmlns:a16="http://schemas.microsoft.com/office/drawing/2014/main" id="{00000000-0008-0000-0A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55183" y="53262558"/>
          <a:ext cx="447675" cy="449745"/>
        </a:xfrm>
        <a:prstGeom prst="rect">
          <a:avLst/>
        </a:prstGeom>
        <a:noFill/>
        <a:ln w="1">
          <a:noFill/>
          <a:miter lim="800000"/>
          <a:headEnd/>
          <a:tailEnd/>
        </a:ln>
      </xdr:spPr>
    </xdr:pic>
    <xdr:clientData/>
  </xdr:oneCellAnchor>
  <xdr:twoCellAnchor editAs="oneCell">
    <xdr:from>
      <xdr:col>3</xdr:col>
      <xdr:colOff>1297305</xdr:colOff>
      <xdr:row>446</xdr:row>
      <xdr:rowOff>161981</xdr:rowOff>
    </xdr:from>
    <xdr:to>
      <xdr:col>3</xdr:col>
      <xdr:colOff>2102727</xdr:colOff>
      <xdr:row>449</xdr:row>
      <xdr:rowOff>111891</xdr:rowOff>
    </xdr:to>
    <xdr:pic>
      <xdr:nvPicPr>
        <xdr:cNvPr id="58" name="Picture 24051">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rot="16200000">
          <a:off x="2140351" y="66672115"/>
          <a:ext cx="429970" cy="805422"/>
        </a:xfrm>
        <a:prstGeom prst="rect">
          <a:avLst/>
        </a:prstGeom>
        <a:noFill/>
        <a:ln w="1">
          <a:noFill/>
          <a:miter lim="800000"/>
          <a:headEnd/>
          <a:tailEnd/>
        </a:ln>
      </xdr:spPr>
    </xdr:pic>
    <xdr:clientData/>
  </xdr:twoCellAnchor>
  <xdr:twoCellAnchor>
    <xdr:from>
      <xdr:col>5</xdr:col>
      <xdr:colOff>381000</xdr:colOff>
      <xdr:row>346</xdr:row>
      <xdr:rowOff>114300</xdr:rowOff>
    </xdr:from>
    <xdr:to>
      <xdr:col>11</xdr:col>
      <xdr:colOff>457200</xdr:colOff>
      <xdr:row>350</xdr:row>
      <xdr:rowOff>38100</xdr:rowOff>
    </xdr:to>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3665220" y="47091600"/>
          <a:ext cx="179070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Rocky Mount purchases</a:t>
          </a:r>
          <a:r>
            <a:rPr lang="en-US" sz="1100" baseline="0"/>
            <a:t> </a:t>
          </a:r>
          <a:r>
            <a:rPr lang="en-US" sz="1100"/>
            <a:t>SDL bars without tape applied.</a:t>
          </a:r>
        </a:p>
      </xdr:txBody>
    </xdr:sp>
    <xdr:clientData/>
  </xdr:twoCellAnchor>
  <xdr:twoCellAnchor editAs="oneCell">
    <xdr:from>
      <xdr:col>3</xdr:col>
      <xdr:colOff>76200</xdr:colOff>
      <xdr:row>253</xdr:row>
      <xdr:rowOff>30480</xdr:rowOff>
    </xdr:from>
    <xdr:to>
      <xdr:col>3</xdr:col>
      <xdr:colOff>1526116</xdr:colOff>
      <xdr:row>258</xdr:row>
      <xdr:rowOff>100066</xdr:rowOff>
    </xdr:to>
    <xdr:pic>
      <xdr:nvPicPr>
        <xdr:cNvPr id="63" name="Picture 62">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45"/>
        <a:stretch>
          <a:fillRect/>
        </a:stretch>
      </xdr:blipFill>
      <xdr:spPr>
        <a:xfrm rot="5400000">
          <a:off x="1059735" y="32879745"/>
          <a:ext cx="793486" cy="1449916"/>
        </a:xfrm>
        <a:prstGeom prst="rect">
          <a:avLst/>
        </a:prstGeom>
      </xdr:spPr>
    </xdr:pic>
    <xdr:clientData/>
  </xdr:twoCellAnchor>
  <xdr:oneCellAnchor>
    <xdr:from>
      <xdr:col>3</xdr:col>
      <xdr:colOff>978947</xdr:colOff>
      <xdr:row>432</xdr:row>
      <xdr:rowOff>41910</xdr:rowOff>
    </xdr:from>
    <xdr:ext cx="6694393" cy="593304"/>
    <xdr:sp macro="" textlink="">
      <xdr:nvSpPr>
        <xdr:cNvPr id="35" name="Rectangle 34">
          <a:extLst>
            <a:ext uri="{FF2B5EF4-FFF2-40B4-BE49-F238E27FC236}">
              <a16:creationId xmlns:a16="http://schemas.microsoft.com/office/drawing/2014/main" id="{00000000-0008-0000-0A00-000023000000}"/>
            </a:ext>
          </a:extLst>
        </xdr:cNvPr>
        <xdr:cNvSpPr/>
      </xdr:nvSpPr>
      <xdr:spPr>
        <a:xfrm>
          <a:off x="1634267" y="75281790"/>
          <a:ext cx="6694393" cy="593304"/>
        </a:xfrm>
        <a:prstGeom prst="rect">
          <a:avLst/>
        </a:prstGeom>
        <a:noFill/>
      </xdr:spPr>
      <xdr:txBody>
        <a:bodyPr wrap="square" lIns="91440" tIns="45720" rIns="91440" bIns="45720">
          <a:spAutoFit/>
        </a:bodyPr>
        <a:lstStyle/>
        <a:p>
          <a:r>
            <a:rPr lang="en-US" sz="3200" b="0">
              <a:solidFill>
                <a:srgbClr val="FF0000"/>
              </a:solidFill>
              <a:effectLst>
                <a:outerShdw blurRad="38100" dist="19050" dir="2700000" algn="tl" rotWithShape="0">
                  <a:schemeClr val="dk1">
                    <a:alpha val="40000"/>
                  </a:schemeClr>
                </a:outerShdw>
              </a:effectLst>
              <a:latin typeface="+mn-lt"/>
              <a:ea typeface="+mn-ea"/>
              <a:cs typeface="+mn-cs"/>
            </a:rPr>
            <a:t>Not</a:t>
          </a:r>
          <a:r>
            <a:rPr lang="en-US" sz="3200" b="0" baseline="0">
              <a:solidFill>
                <a:srgbClr val="FF0000"/>
              </a:solidFill>
              <a:effectLst>
                <a:outerShdw blurRad="38100" dist="19050" dir="2700000" algn="tl" rotWithShape="0">
                  <a:schemeClr val="dk1">
                    <a:alpha val="40000"/>
                  </a:schemeClr>
                </a:outerShdw>
              </a:effectLst>
              <a:latin typeface="+mn-lt"/>
              <a:ea typeface="+mn-ea"/>
              <a:cs typeface="+mn-cs"/>
            </a:rPr>
            <a:t> Released or Available for Purchase</a:t>
          </a:r>
          <a:endParaRPr lang="en-US" sz="3200">
            <a:solidFill>
              <a:srgbClr val="FF0000"/>
            </a:solidFill>
            <a:effectLst/>
          </a:endParaRPr>
        </a:p>
      </xdr:txBody>
    </xdr:sp>
    <xdr:clientData/>
  </xdr:oneCellAnchor>
  <xdr:twoCellAnchor editAs="oneCell">
    <xdr:from>
      <xdr:col>3</xdr:col>
      <xdr:colOff>376239</xdr:colOff>
      <xdr:row>202</xdr:row>
      <xdr:rowOff>61912</xdr:rowOff>
    </xdr:from>
    <xdr:to>
      <xdr:col>3</xdr:col>
      <xdr:colOff>1381128</xdr:colOff>
      <xdr:row>204</xdr:row>
      <xdr:rowOff>75247</xdr:rowOff>
    </xdr:to>
    <xdr:pic>
      <xdr:nvPicPr>
        <xdr:cNvPr id="67" name="Picture 6">
          <a:extLst>
            <a:ext uri="{FF2B5EF4-FFF2-40B4-BE49-F238E27FC236}">
              <a16:creationId xmlns:a16="http://schemas.microsoft.com/office/drawing/2014/main" id="{5B20E084-8767-4A0E-913C-1C2E2BB4D12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rot="16200000">
          <a:off x="1378746" y="34168555"/>
          <a:ext cx="314325" cy="1004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3</xdr:col>
      <xdr:colOff>1101200</xdr:colOff>
      <xdr:row>450</xdr:row>
      <xdr:rowOff>66674</xdr:rowOff>
    </xdr:from>
    <xdr:to>
      <xdr:col>3</xdr:col>
      <xdr:colOff>2104397</xdr:colOff>
      <xdr:row>453</xdr:row>
      <xdr:rowOff>60960</xdr:rowOff>
    </xdr:to>
    <xdr:pic>
      <xdr:nvPicPr>
        <xdr:cNvPr id="36" name="Picture 35">
          <a:extLst>
            <a:ext uri="{FF2B5EF4-FFF2-40B4-BE49-F238E27FC236}">
              <a16:creationId xmlns:a16="http://schemas.microsoft.com/office/drawing/2014/main" id="{45FED3C8-95AD-4553-ACFE-5679F6C6F8E4}"/>
            </a:ext>
          </a:extLst>
        </xdr:cNvPr>
        <xdr:cNvPicPr>
          <a:picLocks noChangeAspect="1"/>
        </xdr:cNvPicPr>
      </xdr:nvPicPr>
      <xdr:blipFill>
        <a:blip xmlns:r="http://schemas.openxmlformats.org/officeDocument/2006/relationships" r:embed="rId47">
          <a:clrChange>
            <a:clrFrom>
              <a:srgbClr val="E0E0E0"/>
            </a:clrFrom>
            <a:clrTo>
              <a:srgbClr val="E0E0E0">
                <a:alpha val="0"/>
              </a:srgbClr>
            </a:clrTo>
          </a:clrChange>
          <a:biLevel thresh="75000"/>
        </a:blip>
        <a:stretch>
          <a:fillRect/>
        </a:stretch>
      </xdr:blipFill>
      <xdr:spPr>
        <a:xfrm>
          <a:off x="1756520" y="68509514"/>
          <a:ext cx="1003197" cy="451486"/>
        </a:xfrm>
        <a:prstGeom prst="rect">
          <a:avLst/>
        </a:prstGeom>
      </xdr:spPr>
    </xdr:pic>
    <xdr:clientData/>
  </xdr:twoCellAnchor>
  <xdr:twoCellAnchor editAs="oneCell">
    <xdr:from>
      <xdr:col>3</xdr:col>
      <xdr:colOff>91440</xdr:colOff>
      <xdr:row>361</xdr:row>
      <xdr:rowOff>142875</xdr:rowOff>
    </xdr:from>
    <xdr:to>
      <xdr:col>3</xdr:col>
      <xdr:colOff>1929765</xdr:colOff>
      <xdr:row>364</xdr:row>
      <xdr:rowOff>97178</xdr:rowOff>
    </xdr:to>
    <xdr:pic>
      <xdr:nvPicPr>
        <xdr:cNvPr id="37" name="Picture 36">
          <a:extLst>
            <a:ext uri="{FF2B5EF4-FFF2-40B4-BE49-F238E27FC236}">
              <a16:creationId xmlns:a16="http://schemas.microsoft.com/office/drawing/2014/main" id="{1907DFAE-AA43-43E2-B987-3C8C63845496}"/>
            </a:ext>
          </a:extLst>
        </xdr:cNvPr>
        <xdr:cNvPicPr>
          <a:picLocks noChangeAspect="1"/>
        </xdr:cNvPicPr>
      </xdr:nvPicPr>
      <xdr:blipFill>
        <a:blip xmlns:r="http://schemas.openxmlformats.org/officeDocument/2006/relationships" r:embed="rId48"/>
        <a:stretch>
          <a:fillRect/>
        </a:stretch>
      </xdr:blipFill>
      <xdr:spPr>
        <a:xfrm>
          <a:off x="746760" y="53216175"/>
          <a:ext cx="1838325" cy="396263"/>
        </a:xfrm>
        <a:prstGeom prst="rect">
          <a:avLst/>
        </a:prstGeom>
      </xdr:spPr>
    </xdr:pic>
    <xdr:clientData/>
  </xdr:twoCellAnchor>
  <xdr:twoCellAnchor editAs="oneCell">
    <xdr:from>
      <xdr:col>1</xdr:col>
      <xdr:colOff>180976</xdr:colOff>
      <xdr:row>366</xdr:row>
      <xdr:rowOff>22860</xdr:rowOff>
    </xdr:from>
    <xdr:to>
      <xdr:col>3</xdr:col>
      <xdr:colOff>2257426</xdr:colOff>
      <xdr:row>368</xdr:row>
      <xdr:rowOff>131445</xdr:rowOff>
    </xdr:to>
    <xdr:pic>
      <xdr:nvPicPr>
        <xdr:cNvPr id="38" name="Picture 37">
          <a:extLst>
            <a:ext uri="{FF2B5EF4-FFF2-40B4-BE49-F238E27FC236}">
              <a16:creationId xmlns:a16="http://schemas.microsoft.com/office/drawing/2014/main" id="{459EF886-8231-4936-9B88-05F22590AA03}"/>
            </a:ext>
          </a:extLst>
        </xdr:cNvPr>
        <xdr:cNvPicPr>
          <a:picLocks noChangeAspect="1"/>
        </xdr:cNvPicPr>
      </xdr:nvPicPr>
      <xdr:blipFill>
        <a:blip xmlns:r="http://schemas.openxmlformats.org/officeDocument/2006/relationships" r:embed="rId49"/>
        <a:stretch>
          <a:fillRect/>
        </a:stretch>
      </xdr:blipFill>
      <xdr:spPr>
        <a:xfrm>
          <a:off x="455296" y="53842920"/>
          <a:ext cx="2457450" cy="398145"/>
        </a:xfrm>
        <a:prstGeom prst="rect">
          <a:avLst/>
        </a:prstGeom>
      </xdr:spPr>
    </xdr:pic>
    <xdr:clientData/>
  </xdr:twoCellAnchor>
  <xdr:twoCellAnchor editAs="oneCell">
    <xdr:from>
      <xdr:col>3</xdr:col>
      <xdr:colOff>1</xdr:colOff>
      <xdr:row>374</xdr:row>
      <xdr:rowOff>1</xdr:rowOff>
    </xdr:from>
    <xdr:to>
      <xdr:col>3</xdr:col>
      <xdr:colOff>1790701</xdr:colOff>
      <xdr:row>376</xdr:row>
      <xdr:rowOff>104999</xdr:rowOff>
    </xdr:to>
    <xdr:pic>
      <xdr:nvPicPr>
        <xdr:cNvPr id="40" name="Picture 39">
          <a:extLst>
            <a:ext uri="{FF2B5EF4-FFF2-40B4-BE49-F238E27FC236}">
              <a16:creationId xmlns:a16="http://schemas.microsoft.com/office/drawing/2014/main" id="{001C03EC-4931-4849-8CEA-DB2D26AED50D}"/>
            </a:ext>
          </a:extLst>
        </xdr:cNvPr>
        <xdr:cNvPicPr>
          <a:picLocks noChangeAspect="1"/>
        </xdr:cNvPicPr>
      </xdr:nvPicPr>
      <xdr:blipFill>
        <a:blip xmlns:r="http://schemas.openxmlformats.org/officeDocument/2006/relationships" r:embed="rId50"/>
        <a:stretch>
          <a:fillRect/>
        </a:stretch>
      </xdr:blipFill>
      <xdr:spPr>
        <a:xfrm>
          <a:off x="657226" y="62350651"/>
          <a:ext cx="1790700" cy="405988"/>
        </a:xfrm>
        <a:prstGeom prst="rect">
          <a:avLst/>
        </a:prstGeom>
      </xdr:spPr>
    </xdr:pic>
    <xdr:clientData/>
  </xdr:twoCellAnchor>
  <xdr:twoCellAnchor editAs="oneCell">
    <xdr:from>
      <xdr:col>1</xdr:col>
      <xdr:colOff>150496</xdr:colOff>
      <xdr:row>378</xdr:row>
      <xdr:rowOff>1905</xdr:rowOff>
    </xdr:from>
    <xdr:to>
      <xdr:col>3</xdr:col>
      <xdr:colOff>2333450</xdr:colOff>
      <xdr:row>380</xdr:row>
      <xdr:rowOff>129540</xdr:rowOff>
    </xdr:to>
    <xdr:pic>
      <xdr:nvPicPr>
        <xdr:cNvPr id="41" name="Picture 40">
          <a:extLst>
            <a:ext uri="{FF2B5EF4-FFF2-40B4-BE49-F238E27FC236}">
              <a16:creationId xmlns:a16="http://schemas.microsoft.com/office/drawing/2014/main" id="{962ECF01-33A0-47F6-8BAA-51B4DF94841C}"/>
            </a:ext>
          </a:extLst>
        </xdr:cNvPr>
        <xdr:cNvPicPr>
          <a:picLocks noChangeAspect="1"/>
        </xdr:cNvPicPr>
      </xdr:nvPicPr>
      <xdr:blipFill>
        <a:blip xmlns:r="http://schemas.openxmlformats.org/officeDocument/2006/relationships" r:embed="rId51"/>
        <a:stretch>
          <a:fillRect/>
        </a:stretch>
      </xdr:blipFill>
      <xdr:spPr>
        <a:xfrm>
          <a:off x="424816" y="55605045"/>
          <a:ext cx="2563954" cy="417195"/>
        </a:xfrm>
        <a:prstGeom prst="rect">
          <a:avLst/>
        </a:prstGeom>
      </xdr:spPr>
    </xdr:pic>
    <xdr:clientData/>
  </xdr:twoCellAnchor>
  <xdr:twoCellAnchor editAs="oneCell">
    <xdr:from>
      <xdr:col>3</xdr:col>
      <xdr:colOff>1524000</xdr:colOff>
      <xdr:row>210</xdr:row>
      <xdr:rowOff>110490</xdr:rowOff>
    </xdr:from>
    <xdr:to>
      <xdr:col>3</xdr:col>
      <xdr:colOff>2377440</xdr:colOff>
      <xdr:row>215</xdr:row>
      <xdr:rowOff>84343</xdr:rowOff>
    </xdr:to>
    <xdr:pic>
      <xdr:nvPicPr>
        <xdr:cNvPr id="69" name="Picture 545">
          <a:extLst>
            <a:ext uri="{FF2B5EF4-FFF2-40B4-BE49-F238E27FC236}">
              <a16:creationId xmlns:a16="http://schemas.microsoft.com/office/drawing/2014/main" id="{98E3BCB6-551C-4942-88E8-04C765291031}"/>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bwMode="auto">
        <a:xfrm>
          <a:off x="2179320" y="37318950"/>
          <a:ext cx="853440" cy="850153"/>
        </a:xfrm>
        <a:prstGeom prst="rect">
          <a:avLst/>
        </a:prstGeom>
        <a:noFill/>
        <a:ln w="1">
          <a:noFill/>
          <a:miter lim="800000"/>
          <a:headEnd/>
          <a:tailEnd/>
        </a:ln>
      </xdr:spPr>
    </xdr:pic>
    <xdr:clientData/>
  </xdr:twoCellAnchor>
  <xdr:twoCellAnchor editAs="oneCell">
    <xdr:from>
      <xdr:col>3</xdr:col>
      <xdr:colOff>274320</xdr:colOff>
      <xdr:row>77</xdr:row>
      <xdr:rowOff>60960</xdr:rowOff>
    </xdr:from>
    <xdr:to>
      <xdr:col>3</xdr:col>
      <xdr:colOff>1623177</xdr:colOff>
      <xdr:row>79</xdr:row>
      <xdr:rowOff>121950</xdr:rowOff>
    </xdr:to>
    <xdr:pic>
      <xdr:nvPicPr>
        <xdr:cNvPr id="42" name="Picture 41">
          <a:extLst>
            <a:ext uri="{FF2B5EF4-FFF2-40B4-BE49-F238E27FC236}">
              <a16:creationId xmlns:a16="http://schemas.microsoft.com/office/drawing/2014/main" id="{CCE70282-C597-19C7-A72B-52DC668460D6}"/>
            </a:ext>
          </a:extLst>
        </xdr:cNvPr>
        <xdr:cNvPicPr>
          <a:picLocks noChangeAspect="1"/>
        </xdr:cNvPicPr>
      </xdr:nvPicPr>
      <xdr:blipFill>
        <a:blip xmlns:r="http://schemas.openxmlformats.org/officeDocument/2006/relationships" r:embed="rId53"/>
        <a:stretch>
          <a:fillRect/>
        </a:stretch>
      </xdr:blipFill>
      <xdr:spPr>
        <a:xfrm>
          <a:off x="929640" y="11780520"/>
          <a:ext cx="1348857" cy="350550"/>
        </a:xfrm>
        <a:prstGeom prst="rect">
          <a:avLst/>
        </a:prstGeom>
      </xdr:spPr>
    </xdr:pic>
    <xdr:clientData/>
  </xdr:twoCellAnchor>
  <xdr:twoCellAnchor editAs="oneCell">
    <xdr:from>
      <xdr:col>3</xdr:col>
      <xdr:colOff>243841</xdr:colOff>
      <xdr:row>81</xdr:row>
      <xdr:rowOff>53340</xdr:rowOff>
    </xdr:from>
    <xdr:to>
      <xdr:col>3</xdr:col>
      <xdr:colOff>1537088</xdr:colOff>
      <xdr:row>83</xdr:row>
      <xdr:rowOff>45720</xdr:rowOff>
    </xdr:to>
    <xdr:pic>
      <xdr:nvPicPr>
        <xdr:cNvPr id="43" name="Picture 42">
          <a:extLst>
            <a:ext uri="{FF2B5EF4-FFF2-40B4-BE49-F238E27FC236}">
              <a16:creationId xmlns:a16="http://schemas.microsoft.com/office/drawing/2014/main" id="{6BA97FBB-DBE0-53A4-B8E0-30221820C88F}"/>
            </a:ext>
          </a:extLst>
        </xdr:cNvPr>
        <xdr:cNvPicPr>
          <a:picLocks noChangeAspect="1"/>
        </xdr:cNvPicPr>
      </xdr:nvPicPr>
      <xdr:blipFill>
        <a:blip xmlns:r="http://schemas.openxmlformats.org/officeDocument/2006/relationships" r:embed="rId54"/>
        <a:stretch>
          <a:fillRect/>
        </a:stretch>
      </xdr:blipFill>
      <xdr:spPr>
        <a:xfrm>
          <a:off x="899161" y="14554200"/>
          <a:ext cx="1293247" cy="281940"/>
        </a:xfrm>
        <a:prstGeom prst="rect">
          <a:avLst/>
        </a:prstGeom>
      </xdr:spPr>
    </xdr:pic>
    <xdr:clientData/>
  </xdr:twoCellAnchor>
  <xdr:twoCellAnchor editAs="oneCell">
    <xdr:from>
      <xdr:col>3</xdr:col>
      <xdr:colOff>1479406</xdr:colOff>
      <xdr:row>442</xdr:row>
      <xdr:rowOff>90703</xdr:rowOff>
    </xdr:from>
    <xdr:to>
      <xdr:col>3</xdr:col>
      <xdr:colOff>2391108</xdr:colOff>
      <xdr:row>445</xdr:row>
      <xdr:rowOff>133826</xdr:rowOff>
    </xdr:to>
    <xdr:pic>
      <xdr:nvPicPr>
        <xdr:cNvPr id="45" name="Picture 44">
          <a:extLst>
            <a:ext uri="{FF2B5EF4-FFF2-40B4-BE49-F238E27FC236}">
              <a16:creationId xmlns:a16="http://schemas.microsoft.com/office/drawing/2014/main" id="{91FBB15B-E136-46B0-ADEE-F6EA5589C525}"/>
            </a:ext>
          </a:extLst>
        </xdr:cNvPr>
        <xdr:cNvPicPr>
          <a:picLocks noChangeAspect="1"/>
        </xdr:cNvPicPr>
      </xdr:nvPicPr>
      <xdr:blipFill>
        <a:blip xmlns:r="http://schemas.openxmlformats.org/officeDocument/2006/relationships" r:embed="rId55"/>
        <a:stretch>
          <a:fillRect/>
        </a:stretch>
      </xdr:blipFill>
      <xdr:spPr>
        <a:xfrm>
          <a:off x="2134726" y="66171343"/>
          <a:ext cx="911702" cy="500323"/>
        </a:xfrm>
        <a:prstGeom prst="rect">
          <a:avLst/>
        </a:prstGeom>
      </xdr:spPr>
    </xdr:pic>
    <xdr:clientData/>
  </xdr:twoCellAnchor>
  <xdr:twoCellAnchor>
    <xdr:from>
      <xdr:col>5</xdr:col>
      <xdr:colOff>22860</xdr:colOff>
      <xdr:row>446</xdr:row>
      <xdr:rowOff>38101</xdr:rowOff>
    </xdr:from>
    <xdr:to>
      <xdr:col>12</xdr:col>
      <xdr:colOff>76200</xdr:colOff>
      <xdr:row>449</xdr:row>
      <xdr:rowOff>114301</xdr:rowOff>
    </xdr:to>
    <xdr:sp macro="" textlink="">
      <xdr:nvSpPr>
        <xdr:cNvPr id="44" name="TextBox 43">
          <a:extLst>
            <a:ext uri="{FF2B5EF4-FFF2-40B4-BE49-F238E27FC236}">
              <a16:creationId xmlns:a16="http://schemas.microsoft.com/office/drawing/2014/main" id="{459D0524-B295-4E68-AC0B-8D0E3E9A1E2F}"/>
            </a:ext>
          </a:extLst>
        </xdr:cNvPr>
        <xdr:cNvSpPr txBox="1"/>
      </xdr:nvSpPr>
      <xdr:spPr>
        <a:xfrm>
          <a:off x="3307080" y="78371701"/>
          <a:ext cx="2324100" cy="617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This part is being made </a:t>
          </a:r>
          <a:r>
            <a:rPr lang="en-US" sz="1100" baseline="0">
              <a:solidFill>
                <a:srgbClr val="FF0000"/>
              </a:solidFill>
            </a:rPr>
            <a:t>obsolete.</a:t>
          </a:r>
        </a:p>
        <a:p>
          <a:pPr algn="ctr"/>
          <a:r>
            <a:rPr lang="en-US" sz="1100" baseline="0">
              <a:solidFill>
                <a:srgbClr val="FF0000"/>
              </a:solidFill>
            </a:rPr>
            <a:t>Keep for Service Only.</a:t>
          </a:r>
          <a:endParaRPr lang="en-US" sz="1100">
            <a:solidFill>
              <a:srgbClr val="FF0000"/>
            </a:solidFill>
          </a:endParaRPr>
        </a:p>
      </xdr:txBody>
    </xdr:sp>
    <xdr:clientData/>
  </xdr:twoCellAnchor>
  <xdr:twoCellAnchor>
    <xdr:from>
      <xdr:col>3</xdr:col>
      <xdr:colOff>1676401</xdr:colOff>
      <xdr:row>454</xdr:row>
      <xdr:rowOff>68580</xdr:rowOff>
    </xdr:from>
    <xdr:to>
      <xdr:col>3</xdr:col>
      <xdr:colOff>2362201</xdr:colOff>
      <xdr:row>457</xdr:row>
      <xdr:rowOff>104147</xdr:rowOff>
    </xdr:to>
    <xdr:pic>
      <xdr:nvPicPr>
        <xdr:cNvPr id="47" name="Picture 46">
          <a:extLst>
            <a:ext uri="{FF2B5EF4-FFF2-40B4-BE49-F238E27FC236}">
              <a16:creationId xmlns:a16="http://schemas.microsoft.com/office/drawing/2014/main" id="{E4062368-2102-44FE-AFBD-FA551BC8641E}"/>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xdr:blipFill>
      <xdr:spPr>
        <a:xfrm>
          <a:off x="2331721" y="69281040"/>
          <a:ext cx="685800" cy="492767"/>
        </a:xfrm>
        <a:prstGeom prst="rect">
          <a:avLst/>
        </a:prstGeom>
      </xdr:spPr>
    </xdr:pic>
    <xdr:clientData/>
  </xdr:twoCellAnchor>
  <xdr:twoCellAnchor>
    <xdr:from>
      <xdr:col>5</xdr:col>
      <xdr:colOff>0</xdr:colOff>
      <xdr:row>442</xdr:row>
      <xdr:rowOff>60960</xdr:rowOff>
    </xdr:from>
    <xdr:to>
      <xdr:col>12</xdr:col>
      <xdr:colOff>53340</xdr:colOff>
      <xdr:row>445</xdr:row>
      <xdr:rowOff>99060</xdr:rowOff>
    </xdr:to>
    <xdr:sp macro="" textlink="">
      <xdr:nvSpPr>
        <xdr:cNvPr id="48" name="TextBox 47">
          <a:extLst>
            <a:ext uri="{FF2B5EF4-FFF2-40B4-BE49-F238E27FC236}">
              <a16:creationId xmlns:a16="http://schemas.microsoft.com/office/drawing/2014/main" id="{A9FF7B71-A070-4A79-93C0-5AE1322F8606}"/>
            </a:ext>
          </a:extLst>
        </xdr:cNvPr>
        <xdr:cNvSpPr txBox="1"/>
      </xdr:nvSpPr>
      <xdr:spPr>
        <a:xfrm>
          <a:off x="3284220" y="67246500"/>
          <a:ext cx="216408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This part is being made </a:t>
          </a:r>
          <a:r>
            <a:rPr lang="en-US" sz="1100" baseline="0">
              <a:solidFill>
                <a:srgbClr val="FF0000"/>
              </a:solidFill>
            </a:rPr>
            <a:t>obsolete.</a:t>
          </a:r>
        </a:p>
        <a:p>
          <a:pPr algn="ctr"/>
          <a:r>
            <a:rPr lang="en-US" sz="1100" baseline="0">
              <a:solidFill>
                <a:srgbClr val="FF0000"/>
              </a:solidFill>
            </a:rPr>
            <a:t>Keep for Service Only.</a:t>
          </a:r>
          <a:endParaRPr lang="en-US" sz="1100">
            <a:solidFill>
              <a:srgbClr val="FF0000"/>
            </a:solidFill>
          </a:endParaRPr>
        </a:p>
      </xdr:txBody>
    </xdr:sp>
    <xdr:clientData/>
  </xdr:twoCellAnchor>
  <xdr:twoCellAnchor>
    <xdr:from>
      <xdr:col>5</xdr:col>
      <xdr:colOff>1</xdr:colOff>
      <xdr:row>454</xdr:row>
      <xdr:rowOff>1</xdr:rowOff>
    </xdr:from>
    <xdr:to>
      <xdr:col>12</xdr:col>
      <xdr:colOff>259081</xdr:colOff>
      <xdr:row>457</xdr:row>
      <xdr:rowOff>91441</xdr:rowOff>
    </xdr:to>
    <xdr:sp macro="" textlink="">
      <xdr:nvSpPr>
        <xdr:cNvPr id="52" name="TextBox 51">
          <a:extLst>
            <a:ext uri="{FF2B5EF4-FFF2-40B4-BE49-F238E27FC236}">
              <a16:creationId xmlns:a16="http://schemas.microsoft.com/office/drawing/2014/main" id="{D9E9E39B-9F5C-4A49-84BB-C9083F9434E8}"/>
            </a:ext>
          </a:extLst>
        </xdr:cNvPr>
        <xdr:cNvSpPr txBox="1"/>
      </xdr:nvSpPr>
      <xdr:spPr>
        <a:xfrm>
          <a:off x="3284221" y="69212461"/>
          <a:ext cx="2369820" cy="548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rgbClr val="FF0000"/>
              </a:solidFill>
            </a:rPr>
            <a:t>New WOCD to be implemented</a:t>
          </a:r>
          <a:r>
            <a:rPr lang="en-US" sz="1200" baseline="0">
              <a:solidFill>
                <a:srgbClr val="FF0000"/>
              </a:solidFill>
            </a:rPr>
            <a:t> about 12-24</a:t>
          </a:r>
        </a:p>
      </xdr:txBody>
    </xdr:sp>
    <xdr:clientData/>
  </xdr:twoCellAnchor>
  <xdr:twoCellAnchor editAs="oneCell">
    <xdr:from>
      <xdr:col>0</xdr:col>
      <xdr:colOff>209551</xdr:colOff>
      <xdr:row>370</xdr:row>
      <xdr:rowOff>47625</xdr:rowOff>
    </xdr:from>
    <xdr:to>
      <xdr:col>3</xdr:col>
      <xdr:colOff>2390776</xdr:colOff>
      <xdr:row>372</xdr:row>
      <xdr:rowOff>87266</xdr:rowOff>
    </xdr:to>
    <xdr:pic>
      <xdr:nvPicPr>
        <xdr:cNvPr id="46" name="Picture 45">
          <a:extLst>
            <a:ext uri="{FF2B5EF4-FFF2-40B4-BE49-F238E27FC236}">
              <a16:creationId xmlns:a16="http://schemas.microsoft.com/office/drawing/2014/main" id="{5AC7D4A0-B829-F555-65D4-29CE9723CF9A}"/>
            </a:ext>
          </a:extLst>
        </xdr:cNvPr>
        <xdr:cNvPicPr>
          <a:picLocks noChangeAspect="1"/>
        </xdr:cNvPicPr>
      </xdr:nvPicPr>
      <xdr:blipFill>
        <a:blip xmlns:r="http://schemas.openxmlformats.org/officeDocument/2006/relationships" r:embed="rId57"/>
        <a:stretch>
          <a:fillRect/>
        </a:stretch>
      </xdr:blipFill>
      <xdr:spPr>
        <a:xfrm>
          <a:off x="209551" y="58054875"/>
          <a:ext cx="2838450" cy="3444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683559</xdr:colOff>
      <xdr:row>22</xdr:row>
      <xdr:rowOff>22411</xdr:rowOff>
    </xdr:from>
    <xdr:to>
      <xdr:col>5</xdr:col>
      <xdr:colOff>493060</xdr:colOff>
      <xdr:row>27</xdr:row>
      <xdr:rowOff>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496235" y="4157382"/>
          <a:ext cx="2207560" cy="784412"/>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742950</xdr:colOff>
      <xdr:row>27</xdr:row>
      <xdr:rowOff>123825</xdr:rowOff>
    </xdr:from>
    <xdr:to>
      <xdr:col>3</xdr:col>
      <xdr:colOff>209550</xdr:colOff>
      <xdr:row>43</xdr:row>
      <xdr:rowOff>161925</xdr:rowOff>
    </xdr:to>
    <xdr:cxnSp macro="">
      <xdr:nvCxnSpPr>
        <xdr:cNvPr id="8" name="Straight Arrow Connector 7">
          <a:extLst>
            <a:ext uri="{FF2B5EF4-FFF2-40B4-BE49-F238E27FC236}">
              <a16:creationId xmlns:a16="http://schemas.microsoft.com/office/drawing/2014/main" id="{00000000-0008-0000-0B00-000008000000}"/>
            </a:ext>
          </a:extLst>
        </xdr:cNvPr>
        <xdr:cNvCxnSpPr/>
      </xdr:nvCxnSpPr>
      <xdr:spPr>
        <a:xfrm>
          <a:off x="3562350" y="5162550"/>
          <a:ext cx="400050" cy="26860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657225</xdr:colOff>
      <xdr:row>38</xdr:row>
      <xdr:rowOff>161925</xdr:rowOff>
    </xdr:from>
    <xdr:to>
      <xdr:col>3</xdr:col>
      <xdr:colOff>95250</xdr:colOff>
      <xdr:row>44</xdr:row>
      <xdr:rowOff>0</xdr:rowOff>
    </xdr:to>
    <xdr:cxnSp macro="">
      <xdr:nvCxnSpPr>
        <xdr:cNvPr id="9" name="Straight Arrow Connector 8">
          <a:extLst>
            <a:ext uri="{FF2B5EF4-FFF2-40B4-BE49-F238E27FC236}">
              <a16:creationId xmlns:a16="http://schemas.microsoft.com/office/drawing/2014/main" id="{00000000-0008-0000-0B00-000009000000}"/>
            </a:ext>
          </a:extLst>
        </xdr:cNvPr>
        <xdr:cNvCxnSpPr/>
      </xdr:nvCxnSpPr>
      <xdr:spPr>
        <a:xfrm>
          <a:off x="3476625" y="7010400"/>
          <a:ext cx="371475" cy="8477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4</xdr:row>
      <xdr:rowOff>104775</xdr:rowOff>
    </xdr:from>
    <xdr:to>
      <xdr:col>24</xdr:col>
      <xdr:colOff>0</xdr:colOff>
      <xdr:row>4</xdr:row>
      <xdr:rowOff>104775</xdr:rowOff>
    </xdr:to>
    <xdr:sp macro="" textlink="">
      <xdr:nvSpPr>
        <xdr:cNvPr id="522992" name="Line 1">
          <a:extLst>
            <a:ext uri="{FF2B5EF4-FFF2-40B4-BE49-F238E27FC236}">
              <a16:creationId xmlns:a16="http://schemas.microsoft.com/office/drawing/2014/main" id="{00000000-0008-0000-0D00-0000F0FA0700}"/>
            </a:ext>
          </a:extLst>
        </xdr:cNvPr>
        <xdr:cNvSpPr>
          <a:spLocks noChangeShapeType="1"/>
        </xdr:cNvSpPr>
      </xdr:nvSpPr>
      <xdr:spPr bwMode="auto">
        <a:xfrm>
          <a:off x="11277600"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104775</xdr:rowOff>
    </xdr:from>
    <xdr:to>
      <xdr:col>45</xdr:col>
      <xdr:colOff>0</xdr:colOff>
      <xdr:row>52</xdr:row>
      <xdr:rowOff>104775</xdr:rowOff>
    </xdr:to>
    <xdr:sp macro="" textlink="">
      <xdr:nvSpPr>
        <xdr:cNvPr id="522993" name="Line 2">
          <a:extLst>
            <a:ext uri="{FF2B5EF4-FFF2-40B4-BE49-F238E27FC236}">
              <a16:creationId xmlns:a16="http://schemas.microsoft.com/office/drawing/2014/main" id="{00000000-0008-0000-0D00-0000F1FA0700}"/>
            </a:ext>
          </a:extLst>
        </xdr:cNvPr>
        <xdr:cNvSpPr>
          <a:spLocks noChangeShapeType="1"/>
        </xdr:cNvSpPr>
      </xdr:nvSpPr>
      <xdr:spPr bwMode="auto">
        <a:xfrm>
          <a:off x="22783800" y="108966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50</xdr:row>
      <xdr:rowOff>104775</xdr:rowOff>
    </xdr:from>
    <xdr:to>
      <xdr:col>45</xdr:col>
      <xdr:colOff>0</xdr:colOff>
      <xdr:row>50</xdr:row>
      <xdr:rowOff>104775</xdr:rowOff>
    </xdr:to>
    <xdr:sp macro="" textlink="">
      <xdr:nvSpPr>
        <xdr:cNvPr id="522994" name="Line 3">
          <a:extLst>
            <a:ext uri="{FF2B5EF4-FFF2-40B4-BE49-F238E27FC236}">
              <a16:creationId xmlns:a16="http://schemas.microsoft.com/office/drawing/2014/main" id="{00000000-0008-0000-0D00-0000F2FA0700}"/>
            </a:ext>
          </a:extLst>
        </xdr:cNvPr>
        <xdr:cNvSpPr>
          <a:spLocks noChangeShapeType="1"/>
        </xdr:cNvSpPr>
      </xdr:nvSpPr>
      <xdr:spPr bwMode="auto">
        <a:xfrm>
          <a:off x="22783800" y="10515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114300</xdr:rowOff>
    </xdr:from>
    <xdr:to>
      <xdr:col>24</xdr:col>
      <xdr:colOff>0</xdr:colOff>
      <xdr:row>4</xdr:row>
      <xdr:rowOff>114300</xdr:rowOff>
    </xdr:to>
    <xdr:sp macro="" textlink="">
      <xdr:nvSpPr>
        <xdr:cNvPr id="522995" name="Line 4">
          <a:extLst>
            <a:ext uri="{FF2B5EF4-FFF2-40B4-BE49-F238E27FC236}">
              <a16:creationId xmlns:a16="http://schemas.microsoft.com/office/drawing/2014/main" id="{00000000-0008-0000-0D00-0000F3FA0700}"/>
            </a:ext>
          </a:extLst>
        </xdr:cNvPr>
        <xdr:cNvSpPr>
          <a:spLocks noChangeShapeType="1"/>
        </xdr:cNvSpPr>
      </xdr:nvSpPr>
      <xdr:spPr bwMode="auto">
        <a:xfrm>
          <a:off x="11277600" y="1390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85725</xdr:rowOff>
    </xdr:from>
    <xdr:to>
      <xdr:col>45</xdr:col>
      <xdr:colOff>0</xdr:colOff>
      <xdr:row>52</xdr:row>
      <xdr:rowOff>85725</xdr:rowOff>
    </xdr:to>
    <xdr:sp macro="" textlink="">
      <xdr:nvSpPr>
        <xdr:cNvPr id="522996" name="Line 5">
          <a:extLst>
            <a:ext uri="{FF2B5EF4-FFF2-40B4-BE49-F238E27FC236}">
              <a16:creationId xmlns:a16="http://schemas.microsoft.com/office/drawing/2014/main" id="{00000000-0008-0000-0D00-0000F4FA0700}"/>
            </a:ext>
          </a:extLst>
        </xdr:cNvPr>
        <xdr:cNvSpPr>
          <a:spLocks noChangeShapeType="1"/>
        </xdr:cNvSpPr>
      </xdr:nvSpPr>
      <xdr:spPr bwMode="auto">
        <a:xfrm>
          <a:off x="22783800" y="108775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104775</xdr:rowOff>
    </xdr:from>
    <xdr:to>
      <xdr:col>24</xdr:col>
      <xdr:colOff>0</xdr:colOff>
      <xdr:row>4</xdr:row>
      <xdr:rowOff>104775</xdr:rowOff>
    </xdr:to>
    <xdr:sp macro="" textlink="">
      <xdr:nvSpPr>
        <xdr:cNvPr id="522997" name="Line 10">
          <a:extLst>
            <a:ext uri="{FF2B5EF4-FFF2-40B4-BE49-F238E27FC236}">
              <a16:creationId xmlns:a16="http://schemas.microsoft.com/office/drawing/2014/main" id="{00000000-0008-0000-0D00-0000F5FA0700}"/>
            </a:ext>
          </a:extLst>
        </xdr:cNvPr>
        <xdr:cNvSpPr>
          <a:spLocks noChangeShapeType="1"/>
        </xdr:cNvSpPr>
      </xdr:nvSpPr>
      <xdr:spPr bwMode="auto">
        <a:xfrm>
          <a:off x="11277600"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104775</xdr:rowOff>
    </xdr:from>
    <xdr:to>
      <xdr:col>45</xdr:col>
      <xdr:colOff>0</xdr:colOff>
      <xdr:row>52</xdr:row>
      <xdr:rowOff>104775</xdr:rowOff>
    </xdr:to>
    <xdr:sp macro="" textlink="">
      <xdr:nvSpPr>
        <xdr:cNvPr id="522998" name="Line 11">
          <a:extLst>
            <a:ext uri="{FF2B5EF4-FFF2-40B4-BE49-F238E27FC236}">
              <a16:creationId xmlns:a16="http://schemas.microsoft.com/office/drawing/2014/main" id="{00000000-0008-0000-0D00-0000F6FA0700}"/>
            </a:ext>
          </a:extLst>
        </xdr:cNvPr>
        <xdr:cNvSpPr>
          <a:spLocks noChangeShapeType="1"/>
        </xdr:cNvSpPr>
      </xdr:nvSpPr>
      <xdr:spPr bwMode="auto">
        <a:xfrm>
          <a:off x="22783800" y="10896600"/>
          <a:ext cx="0" cy="0"/>
        </a:xfrm>
        <a:prstGeom prst="line">
          <a:avLst/>
        </a:prstGeom>
        <a:noFill/>
        <a:ln w="9525">
          <a:solidFill>
            <a:srgbClr val="000000"/>
          </a:solidFill>
          <a:round/>
          <a:headEnd/>
          <a:tailEnd type="triangle" w="med" len="med"/>
        </a:ln>
      </xdr:spPr>
    </xdr:sp>
    <xdr:clientData/>
  </xdr:twoCellAnchor>
  <xdr:twoCellAnchor>
    <xdr:from>
      <xdr:col>28</xdr:col>
      <xdr:colOff>0</xdr:colOff>
      <xdr:row>1</xdr:row>
      <xdr:rowOff>104775</xdr:rowOff>
    </xdr:from>
    <xdr:to>
      <xdr:col>28</xdr:col>
      <xdr:colOff>0</xdr:colOff>
      <xdr:row>1</xdr:row>
      <xdr:rowOff>104775</xdr:rowOff>
    </xdr:to>
    <xdr:sp macro="" textlink="">
      <xdr:nvSpPr>
        <xdr:cNvPr id="522999" name="Line 12">
          <a:extLst>
            <a:ext uri="{FF2B5EF4-FFF2-40B4-BE49-F238E27FC236}">
              <a16:creationId xmlns:a16="http://schemas.microsoft.com/office/drawing/2014/main" id="{00000000-0008-0000-0D00-0000F7FA0700}"/>
            </a:ext>
          </a:extLst>
        </xdr:cNvPr>
        <xdr:cNvSpPr>
          <a:spLocks noChangeShapeType="1"/>
        </xdr:cNvSpPr>
      </xdr:nvSpPr>
      <xdr:spPr bwMode="auto">
        <a:xfrm>
          <a:off x="13363575" y="5619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52</xdr:row>
      <xdr:rowOff>104775</xdr:rowOff>
    </xdr:from>
    <xdr:to>
      <xdr:col>50</xdr:col>
      <xdr:colOff>0</xdr:colOff>
      <xdr:row>52</xdr:row>
      <xdr:rowOff>104775</xdr:rowOff>
    </xdr:to>
    <xdr:sp macro="" textlink="">
      <xdr:nvSpPr>
        <xdr:cNvPr id="523000" name="Line 13">
          <a:extLst>
            <a:ext uri="{FF2B5EF4-FFF2-40B4-BE49-F238E27FC236}">
              <a16:creationId xmlns:a16="http://schemas.microsoft.com/office/drawing/2014/main" id="{00000000-0008-0000-0D00-0000F8FA0700}"/>
            </a:ext>
          </a:extLst>
        </xdr:cNvPr>
        <xdr:cNvSpPr>
          <a:spLocks noChangeShapeType="1"/>
        </xdr:cNvSpPr>
      </xdr:nvSpPr>
      <xdr:spPr bwMode="auto">
        <a:xfrm>
          <a:off x="24860250" y="108966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51</xdr:row>
      <xdr:rowOff>104775</xdr:rowOff>
    </xdr:from>
    <xdr:to>
      <xdr:col>45</xdr:col>
      <xdr:colOff>0</xdr:colOff>
      <xdr:row>51</xdr:row>
      <xdr:rowOff>104775</xdr:rowOff>
    </xdr:to>
    <xdr:sp macro="" textlink="">
      <xdr:nvSpPr>
        <xdr:cNvPr id="523001" name="Line 18">
          <a:extLst>
            <a:ext uri="{FF2B5EF4-FFF2-40B4-BE49-F238E27FC236}">
              <a16:creationId xmlns:a16="http://schemas.microsoft.com/office/drawing/2014/main" id="{00000000-0008-0000-0D00-0000F9FA0700}"/>
            </a:ext>
          </a:extLst>
        </xdr:cNvPr>
        <xdr:cNvSpPr>
          <a:spLocks noChangeShapeType="1"/>
        </xdr:cNvSpPr>
      </xdr:nvSpPr>
      <xdr:spPr bwMode="auto">
        <a:xfrm>
          <a:off x="22783800" y="107061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2" name="Line 2">
          <a:extLst>
            <a:ext uri="{FF2B5EF4-FFF2-40B4-BE49-F238E27FC236}">
              <a16:creationId xmlns:a16="http://schemas.microsoft.com/office/drawing/2014/main" id="{00000000-0008-0000-0D00-0000FA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25</xdr:col>
      <xdr:colOff>0</xdr:colOff>
      <xdr:row>2</xdr:row>
      <xdr:rowOff>104775</xdr:rowOff>
    </xdr:from>
    <xdr:to>
      <xdr:col>25</xdr:col>
      <xdr:colOff>0</xdr:colOff>
      <xdr:row>2</xdr:row>
      <xdr:rowOff>104775</xdr:rowOff>
    </xdr:to>
    <xdr:sp macro="" textlink="">
      <xdr:nvSpPr>
        <xdr:cNvPr id="523003" name="Line 3">
          <a:extLst>
            <a:ext uri="{FF2B5EF4-FFF2-40B4-BE49-F238E27FC236}">
              <a16:creationId xmlns:a16="http://schemas.microsoft.com/office/drawing/2014/main" id="{00000000-0008-0000-0D00-0000FBFA0700}"/>
            </a:ext>
          </a:extLst>
        </xdr:cNvPr>
        <xdr:cNvSpPr>
          <a:spLocks noChangeShapeType="1"/>
        </xdr:cNvSpPr>
      </xdr:nvSpPr>
      <xdr:spPr bwMode="auto">
        <a:xfrm>
          <a:off x="12249150" y="8667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4" name="Line 5">
          <a:extLst>
            <a:ext uri="{FF2B5EF4-FFF2-40B4-BE49-F238E27FC236}">
              <a16:creationId xmlns:a16="http://schemas.microsoft.com/office/drawing/2014/main" id="{00000000-0008-0000-0D00-0000FC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5" name="Line 11">
          <a:extLst>
            <a:ext uri="{FF2B5EF4-FFF2-40B4-BE49-F238E27FC236}">
              <a16:creationId xmlns:a16="http://schemas.microsoft.com/office/drawing/2014/main" id="{00000000-0008-0000-0D00-0000FD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4</xdr:row>
      <xdr:rowOff>104775</xdr:rowOff>
    </xdr:from>
    <xdr:to>
      <xdr:col>26</xdr:col>
      <xdr:colOff>0</xdr:colOff>
      <xdr:row>4</xdr:row>
      <xdr:rowOff>104775</xdr:rowOff>
    </xdr:to>
    <xdr:sp macro="" textlink="">
      <xdr:nvSpPr>
        <xdr:cNvPr id="523006" name="Line 13">
          <a:extLst>
            <a:ext uri="{FF2B5EF4-FFF2-40B4-BE49-F238E27FC236}">
              <a16:creationId xmlns:a16="http://schemas.microsoft.com/office/drawing/2014/main" id="{00000000-0008-0000-0D00-0000FEFA0700}"/>
            </a:ext>
          </a:extLst>
        </xdr:cNvPr>
        <xdr:cNvSpPr>
          <a:spLocks noChangeShapeType="1"/>
        </xdr:cNvSpPr>
      </xdr:nvSpPr>
      <xdr:spPr bwMode="auto">
        <a:xfrm>
          <a:off x="12315825" y="1381125"/>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23007" name="Line 28">
          <a:extLst>
            <a:ext uri="{FF2B5EF4-FFF2-40B4-BE49-F238E27FC236}">
              <a16:creationId xmlns:a16="http://schemas.microsoft.com/office/drawing/2014/main" id="{00000000-0008-0000-0D00-0000FFFA0700}"/>
            </a:ext>
          </a:extLst>
        </xdr:cNvPr>
        <xdr:cNvSpPr>
          <a:spLocks noChangeShapeType="1"/>
        </xdr:cNvSpPr>
      </xdr:nvSpPr>
      <xdr:spPr bwMode="auto">
        <a:xfrm>
          <a:off x="5800725"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08" name="Line 2">
          <a:extLst>
            <a:ext uri="{FF2B5EF4-FFF2-40B4-BE49-F238E27FC236}">
              <a16:creationId xmlns:a16="http://schemas.microsoft.com/office/drawing/2014/main" id="{00000000-0008-0000-0D00-000000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09" name="Line 5">
          <a:extLst>
            <a:ext uri="{FF2B5EF4-FFF2-40B4-BE49-F238E27FC236}">
              <a16:creationId xmlns:a16="http://schemas.microsoft.com/office/drawing/2014/main" id="{00000000-0008-0000-0D00-000001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10" name="Line 11">
          <a:extLst>
            <a:ext uri="{FF2B5EF4-FFF2-40B4-BE49-F238E27FC236}">
              <a16:creationId xmlns:a16="http://schemas.microsoft.com/office/drawing/2014/main" id="{00000000-0008-0000-0D00-000002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53</xdr:row>
      <xdr:rowOff>0</xdr:rowOff>
    </xdr:from>
    <xdr:to>
      <xdr:col>50</xdr:col>
      <xdr:colOff>0</xdr:colOff>
      <xdr:row>53</xdr:row>
      <xdr:rowOff>0</xdr:rowOff>
    </xdr:to>
    <xdr:sp macro="" textlink="">
      <xdr:nvSpPr>
        <xdr:cNvPr id="523011" name="Line 13">
          <a:extLst>
            <a:ext uri="{FF2B5EF4-FFF2-40B4-BE49-F238E27FC236}">
              <a16:creationId xmlns:a16="http://schemas.microsoft.com/office/drawing/2014/main" id="{00000000-0008-0000-0D00-000003FB0700}"/>
            </a:ext>
          </a:extLst>
        </xdr:cNvPr>
        <xdr:cNvSpPr>
          <a:spLocks noChangeShapeType="1"/>
        </xdr:cNvSpPr>
      </xdr:nvSpPr>
      <xdr:spPr bwMode="auto">
        <a:xfrm>
          <a:off x="2486025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2" name="Line 2">
          <a:extLst>
            <a:ext uri="{FF2B5EF4-FFF2-40B4-BE49-F238E27FC236}">
              <a16:creationId xmlns:a16="http://schemas.microsoft.com/office/drawing/2014/main" id="{00000000-0008-0000-0D00-000004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3" name="Line 5">
          <a:extLst>
            <a:ext uri="{FF2B5EF4-FFF2-40B4-BE49-F238E27FC236}">
              <a16:creationId xmlns:a16="http://schemas.microsoft.com/office/drawing/2014/main" id="{00000000-0008-0000-0D00-000005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4" name="Line 11">
          <a:extLst>
            <a:ext uri="{FF2B5EF4-FFF2-40B4-BE49-F238E27FC236}">
              <a16:creationId xmlns:a16="http://schemas.microsoft.com/office/drawing/2014/main" id="{00000000-0008-0000-0D00-000006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116</xdr:row>
      <xdr:rowOff>0</xdr:rowOff>
    </xdr:from>
    <xdr:to>
      <xdr:col>50</xdr:col>
      <xdr:colOff>0</xdr:colOff>
      <xdr:row>116</xdr:row>
      <xdr:rowOff>0</xdr:rowOff>
    </xdr:to>
    <xdr:sp macro="" textlink="">
      <xdr:nvSpPr>
        <xdr:cNvPr id="523015" name="Line 13">
          <a:extLst>
            <a:ext uri="{FF2B5EF4-FFF2-40B4-BE49-F238E27FC236}">
              <a16:creationId xmlns:a16="http://schemas.microsoft.com/office/drawing/2014/main" id="{00000000-0008-0000-0D00-000007FB0700}"/>
            </a:ext>
          </a:extLst>
        </xdr:cNvPr>
        <xdr:cNvSpPr>
          <a:spLocks noChangeShapeType="1"/>
        </xdr:cNvSpPr>
      </xdr:nvSpPr>
      <xdr:spPr bwMode="auto">
        <a:xfrm>
          <a:off x="2486025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6" name="Line 2">
          <a:extLst>
            <a:ext uri="{FF2B5EF4-FFF2-40B4-BE49-F238E27FC236}">
              <a16:creationId xmlns:a16="http://schemas.microsoft.com/office/drawing/2014/main" id="{00000000-0008-0000-0D00-000008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7" name="Line 5">
          <a:extLst>
            <a:ext uri="{FF2B5EF4-FFF2-40B4-BE49-F238E27FC236}">
              <a16:creationId xmlns:a16="http://schemas.microsoft.com/office/drawing/2014/main" id="{00000000-0008-0000-0D00-000009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8" name="Line 11">
          <a:extLst>
            <a:ext uri="{FF2B5EF4-FFF2-40B4-BE49-F238E27FC236}">
              <a16:creationId xmlns:a16="http://schemas.microsoft.com/office/drawing/2014/main" id="{00000000-0008-0000-0D00-00000A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147</xdr:row>
      <xdr:rowOff>0</xdr:rowOff>
    </xdr:from>
    <xdr:to>
      <xdr:col>50</xdr:col>
      <xdr:colOff>0</xdr:colOff>
      <xdr:row>147</xdr:row>
      <xdr:rowOff>0</xdr:rowOff>
    </xdr:to>
    <xdr:sp macro="" textlink="">
      <xdr:nvSpPr>
        <xdr:cNvPr id="523019" name="Line 13">
          <a:extLst>
            <a:ext uri="{FF2B5EF4-FFF2-40B4-BE49-F238E27FC236}">
              <a16:creationId xmlns:a16="http://schemas.microsoft.com/office/drawing/2014/main" id="{00000000-0008-0000-0D00-00000BFB0700}"/>
            </a:ext>
          </a:extLst>
        </xdr:cNvPr>
        <xdr:cNvSpPr>
          <a:spLocks noChangeShapeType="1"/>
        </xdr:cNvSpPr>
      </xdr:nvSpPr>
      <xdr:spPr bwMode="auto">
        <a:xfrm>
          <a:off x="2486025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104775</xdr:rowOff>
    </xdr:from>
    <xdr:to>
      <xdr:col>45</xdr:col>
      <xdr:colOff>0</xdr:colOff>
      <xdr:row>105</xdr:row>
      <xdr:rowOff>104775</xdr:rowOff>
    </xdr:to>
    <xdr:sp macro="" textlink="">
      <xdr:nvSpPr>
        <xdr:cNvPr id="523020" name="Line 2">
          <a:extLst>
            <a:ext uri="{FF2B5EF4-FFF2-40B4-BE49-F238E27FC236}">
              <a16:creationId xmlns:a16="http://schemas.microsoft.com/office/drawing/2014/main" id="{00000000-0008-0000-0D00-00000CFB0700}"/>
            </a:ext>
          </a:extLst>
        </xdr:cNvPr>
        <xdr:cNvSpPr>
          <a:spLocks noChangeShapeType="1"/>
        </xdr:cNvSpPr>
      </xdr:nvSpPr>
      <xdr:spPr bwMode="auto">
        <a:xfrm>
          <a:off x="22783800" y="21012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103</xdr:row>
      <xdr:rowOff>104775</xdr:rowOff>
    </xdr:from>
    <xdr:to>
      <xdr:col>45</xdr:col>
      <xdr:colOff>0</xdr:colOff>
      <xdr:row>103</xdr:row>
      <xdr:rowOff>104775</xdr:rowOff>
    </xdr:to>
    <xdr:sp macro="" textlink="">
      <xdr:nvSpPr>
        <xdr:cNvPr id="523021" name="Line 3">
          <a:extLst>
            <a:ext uri="{FF2B5EF4-FFF2-40B4-BE49-F238E27FC236}">
              <a16:creationId xmlns:a16="http://schemas.microsoft.com/office/drawing/2014/main" id="{00000000-0008-0000-0D00-00000DFB0700}"/>
            </a:ext>
          </a:extLst>
        </xdr:cNvPr>
        <xdr:cNvSpPr>
          <a:spLocks noChangeShapeType="1"/>
        </xdr:cNvSpPr>
      </xdr:nvSpPr>
      <xdr:spPr bwMode="auto">
        <a:xfrm>
          <a:off x="22783800" y="20631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85725</xdr:rowOff>
    </xdr:from>
    <xdr:to>
      <xdr:col>45</xdr:col>
      <xdr:colOff>0</xdr:colOff>
      <xdr:row>105</xdr:row>
      <xdr:rowOff>85725</xdr:rowOff>
    </xdr:to>
    <xdr:sp macro="" textlink="">
      <xdr:nvSpPr>
        <xdr:cNvPr id="523022" name="Line 5">
          <a:extLst>
            <a:ext uri="{FF2B5EF4-FFF2-40B4-BE49-F238E27FC236}">
              <a16:creationId xmlns:a16="http://schemas.microsoft.com/office/drawing/2014/main" id="{00000000-0008-0000-0D00-00000EFB0700}"/>
            </a:ext>
          </a:extLst>
        </xdr:cNvPr>
        <xdr:cNvSpPr>
          <a:spLocks noChangeShapeType="1"/>
        </xdr:cNvSpPr>
      </xdr:nvSpPr>
      <xdr:spPr bwMode="auto">
        <a:xfrm>
          <a:off x="22783800" y="20993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104775</xdr:rowOff>
    </xdr:from>
    <xdr:to>
      <xdr:col>45</xdr:col>
      <xdr:colOff>0</xdr:colOff>
      <xdr:row>105</xdr:row>
      <xdr:rowOff>104775</xdr:rowOff>
    </xdr:to>
    <xdr:sp macro="" textlink="">
      <xdr:nvSpPr>
        <xdr:cNvPr id="523023" name="Line 11">
          <a:extLst>
            <a:ext uri="{FF2B5EF4-FFF2-40B4-BE49-F238E27FC236}">
              <a16:creationId xmlns:a16="http://schemas.microsoft.com/office/drawing/2014/main" id="{00000000-0008-0000-0D00-00000FFB0700}"/>
            </a:ext>
          </a:extLst>
        </xdr:cNvPr>
        <xdr:cNvSpPr>
          <a:spLocks noChangeShapeType="1"/>
        </xdr:cNvSpPr>
      </xdr:nvSpPr>
      <xdr:spPr bwMode="auto">
        <a:xfrm>
          <a:off x="22783800" y="21012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105</xdr:row>
      <xdr:rowOff>104775</xdr:rowOff>
    </xdr:from>
    <xdr:to>
      <xdr:col>50</xdr:col>
      <xdr:colOff>0</xdr:colOff>
      <xdr:row>105</xdr:row>
      <xdr:rowOff>104775</xdr:rowOff>
    </xdr:to>
    <xdr:sp macro="" textlink="">
      <xdr:nvSpPr>
        <xdr:cNvPr id="523024" name="Line 13">
          <a:extLst>
            <a:ext uri="{FF2B5EF4-FFF2-40B4-BE49-F238E27FC236}">
              <a16:creationId xmlns:a16="http://schemas.microsoft.com/office/drawing/2014/main" id="{00000000-0008-0000-0D00-000010FB0700}"/>
            </a:ext>
          </a:extLst>
        </xdr:cNvPr>
        <xdr:cNvSpPr>
          <a:spLocks noChangeShapeType="1"/>
        </xdr:cNvSpPr>
      </xdr:nvSpPr>
      <xdr:spPr bwMode="auto">
        <a:xfrm>
          <a:off x="24860250" y="21012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104</xdr:row>
      <xdr:rowOff>104775</xdr:rowOff>
    </xdr:from>
    <xdr:to>
      <xdr:col>45</xdr:col>
      <xdr:colOff>0</xdr:colOff>
      <xdr:row>104</xdr:row>
      <xdr:rowOff>104775</xdr:rowOff>
    </xdr:to>
    <xdr:sp macro="" textlink="">
      <xdr:nvSpPr>
        <xdr:cNvPr id="523025" name="Line 95">
          <a:extLst>
            <a:ext uri="{FF2B5EF4-FFF2-40B4-BE49-F238E27FC236}">
              <a16:creationId xmlns:a16="http://schemas.microsoft.com/office/drawing/2014/main" id="{00000000-0008-0000-0D00-000011FB0700}"/>
            </a:ext>
          </a:extLst>
        </xdr:cNvPr>
        <xdr:cNvSpPr>
          <a:spLocks noChangeShapeType="1"/>
        </xdr:cNvSpPr>
      </xdr:nvSpPr>
      <xdr:spPr bwMode="auto">
        <a:xfrm>
          <a:off x="22783800" y="20821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6" name="Line 2">
          <a:extLst>
            <a:ext uri="{FF2B5EF4-FFF2-40B4-BE49-F238E27FC236}">
              <a16:creationId xmlns:a16="http://schemas.microsoft.com/office/drawing/2014/main" id="{00000000-0008-0000-0D00-000012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7" name="Line 5">
          <a:extLst>
            <a:ext uri="{FF2B5EF4-FFF2-40B4-BE49-F238E27FC236}">
              <a16:creationId xmlns:a16="http://schemas.microsoft.com/office/drawing/2014/main" id="{00000000-0008-0000-0D00-000013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8" name="Line 11">
          <a:extLst>
            <a:ext uri="{FF2B5EF4-FFF2-40B4-BE49-F238E27FC236}">
              <a16:creationId xmlns:a16="http://schemas.microsoft.com/office/drawing/2014/main" id="{00000000-0008-0000-0D00-000014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106</xdr:row>
      <xdr:rowOff>0</xdr:rowOff>
    </xdr:from>
    <xdr:to>
      <xdr:col>50</xdr:col>
      <xdr:colOff>0</xdr:colOff>
      <xdr:row>106</xdr:row>
      <xdr:rowOff>0</xdr:rowOff>
    </xdr:to>
    <xdr:sp macro="" textlink="">
      <xdr:nvSpPr>
        <xdr:cNvPr id="523029" name="Line 13">
          <a:extLst>
            <a:ext uri="{FF2B5EF4-FFF2-40B4-BE49-F238E27FC236}">
              <a16:creationId xmlns:a16="http://schemas.microsoft.com/office/drawing/2014/main" id="{00000000-0008-0000-0D00-000015FB0700}"/>
            </a:ext>
          </a:extLst>
        </xdr:cNvPr>
        <xdr:cNvSpPr>
          <a:spLocks noChangeShapeType="1"/>
        </xdr:cNvSpPr>
      </xdr:nvSpPr>
      <xdr:spPr bwMode="auto">
        <a:xfrm>
          <a:off x="2486025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0" name="Line 2">
          <a:extLst>
            <a:ext uri="{FF2B5EF4-FFF2-40B4-BE49-F238E27FC236}">
              <a16:creationId xmlns:a16="http://schemas.microsoft.com/office/drawing/2014/main" id="{00000000-0008-0000-0D00-000016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1" name="Line 5">
          <a:extLst>
            <a:ext uri="{FF2B5EF4-FFF2-40B4-BE49-F238E27FC236}">
              <a16:creationId xmlns:a16="http://schemas.microsoft.com/office/drawing/2014/main" id="{00000000-0008-0000-0D00-000017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2" name="Line 11">
          <a:extLst>
            <a:ext uri="{FF2B5EF4-FFF2-40B4-BE49-F238E27FC236}">
              <a16:creationId xmlns:a16="http://schemas.microsoft.com/office/drawing/2014/main" id="{00000000-0008-0000-0D00-000018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147</xdr:row>
      <xdr:rowOff>0</xdr:rowOff>
    </xdr:from>
    <xdr:to>
      <xdr:col>50</xdr:col>
      <xdr:colOff>0</xdr:colOff>
      <xdr:row>147</xdr:row>
      <xdr:rowOff>0</xdr:rowOff>
    </xdr:to>
    <xdr:sp macro="" textlink="">
      <xdr:nvSpPr>
        <xdr:cNvPr id="523033" name="Line 13">
          <a:extLst>
            <a:ext uri="{FF2B5EF4-FFF2-40B4-BE49-F238E27FC236}">
              <a16:creationId xmlns:a16="http://schemas.microsoft.com/office/drawing/2014/main" id="{00000000-0008-0000-0D00-000019FB0700}"/>
            </a:ext>
          </a:extLst>
        </xdr:cNvPr>
        <xdr:cNvSpPr>
          <a:spLocks noChangeShapeType="1"/>
        </xdr:cNvSpPr>
      </xdr:nvSpPr>
      <xdr:spPr bwMode="auto">
        <a:xfrm>
          <a:off x="24860250" y="28908375"/>
          <a:ext cx="0" cy="0"/>
        </a:xfrm>
        <a:prstGeom prst="line">
          <a:avLst/>
        </a:prstGeom>
        <a:noFill/>
        <a:ln w="9525">
          <a:solidFill>
            <a:srgbClr val="000000"/>
          </a:solidFill>
          <a:round/>
          <a:headEnd/>
          <a:tailEnd type="triangle" w="med" len="med"/>
        </a:ln>
      </xdr:spPr>
    </xdr:sp>
    <xdr:clientData/>
  </xdr:twoCellAnchor>
  <xdr:twoCellAnchor>
    <xdr:from>
      <xdr:col>5</xdr:col>
      <xdr:colOff>361950</xdr:colOff>
      <xdr:row>5</xdr:row>
      <xdr:rowOff>209550</xdr:rowOff>
    </xdr:from>
    <xdr:to>
      <xdr:col>5</xdr:col>
      <xdr:colOff>904875</xdr:colOff>
      <xdr:row>6</xdr:row>
      <xdr:rowOff>190500</xdr:rowOff>
    </xdr:to>
    <xdr:sp macro="" textlink="">
      <xdr:nvSpPr>
        <xdr:cNvPr id="523034" name="Rectangle 189">
          <a:extLst>
            <a:ext uri="{FF2B5EF4-FFF2-40B4-BE49-F238E27FC236}">
              <a16:creationId xmlns:a16="http://schemas.microsoft.com/office/drawing/2014/main" id="{00000000-0008-0000-0D00-00001AFB0700}"/>
            </a:ext>
          </a:extLst>
        </xdr:cNvPr>
        <xdr:cNvSpPr>
          <a:spLocks noChangeArrowheads="1"/>
        </xdr:cNvSpPr>
      </xdr:nvSpPr>
      <xdr:spPr bwMode="auto">
        <a:xfrm>
          <a:off x="3543300" y="1743075"/>
          <a:ext cx="542925" cy="238125"/>
        </a:xfrm>
        <a:prstGeom prst="rect">
          <a:avLst/>
        </a:prstGeom>
        <a:solidFill>
          <a:srgbClr val="00FF00"/>
        </a:solidFill>
        <a:ln w="9525">
          <a:solidFill>
            <a:srgbClr val="000000"/>
          </a:solidFill>
          <a:miter lim="800000"/>
          <a:headEnd/>
          <a:tailEnd/>
        </a:ln>
      </xdr:spPr>
    </xdr:sp>
    <xdr:clientData/>
  </xdr:twoCellAnchor>
  <xdr:twoCellAnchor>
    <xdr:from>
      <xdr:col>1</xdr:col>
      <xdr:colOff>9525</xdr:colOff>
      <xdr:row>5</xdr:row>
      <xdr:rowOff>209550</xdr:rowOff>
    </xdr:from>
    <xdr:to>
      <xdr:col>1</xdr:col>
      <xdr:colOff>552450</xdr:colOff>
      <xdr:row>6</xdr:row>
      <xdr:rowOff>190500</xdr:rowOff>
    </xdr:to>
    <xdr:sp macro="" textlink="">
      <xdr:nvSpPr>
        <xdr:cNvPr id="523035" name="Rectangle 190">
          <a:extLst>
            <a:ext uri="{FF2B5EF4-FFF2-40B4-BE49-F238E27FC236}">
              <a16:creationId xmlns:a16="http://schemas.microsoft.com/office/drawing/2014/main" id="{00000000-0008-0000-0D00-00001BFB0700}"/>
            </a:ext>
          </a:extLst>
        </xdr:cNvPr>
        <xdr:cNvSpPr>
          <a:spLocks noChangeArrowheads="1"/>
        </xdr:cNvSpPr>
      </xdr:nvSpPr>
      <xdr:spPr bwMode="auto">
        <a:xfrm>
          <a:off x="1200150" y="1743075"/>
          <a:ext cx="542925" cy="238125"/>
        </a:xfrm>
        <a:prstGeom prst="rect">
          <a:avLst/>
        </a:prstGeom>
        <a:solidFill>
          <a:srgbClr val="FF0000"/>
        </a:solidFill>
        <a:ln w="9525">
          <a:solidFill>
            <a:srgbClr val="000000"/>
          </a:solidFill>
          <a:miter lim="800000"/>
          <a:headEnd/>
          <a:tailEnd/>
        </a:ln>
      </xdr:spPr>
    </xdr:sp>
    <xdr:clientData/>
  </xdr:twoCellAnchor>
  <xdr:twoCellAnchor>
    <xdr:from>
      <xdr:col>2</xdr:col>
      <xdr:colOff>133350</xdr:colOff>
      <xdr:row>66</xdr:row>
      <xdr:rowOff>38100</xdr:rowOff>
    </xdr:from>
    <xdr:to>
      <xdr:col>4</xdr:col>
      <xdr:colOff>419100</xdr:colOff>
      <xdr:row>68</xdr:row>
      <xdr:rowOff>0</xdr:rowOff>
    </xdr:to>
    <xdr:pic>
      <xdr:nvPicPr>
        <xdr:cNvPr id="523036" name="Picture 208">
          <a:extLst>
            <a:ext uri="{FF2B5EF4-FFF2-40B4-BE49-F238E27FC236}">
              <a16:creationId xmlns:a16="http://schemas.microsoft.com/office/drawing/2014/main" id="{00000000-0008-0000-0D00-00001CFB07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a:blip>
        <a:srcRect/>
        <a:stretch>
          <a:fillRect/>
        </a:stretch>
      </xdr:blipFill>
      <xdr:spPr bwMode="auto">
        <a:xfrm>
          <a:off x="1905000" y="13496925"/>
          <a:ext cx="876300" cy="342900"/>
        </a:xfrm>
        <a:prstGeom prst="rect">
          <a:avLst/>
        </a:prstGeom>
        <a:noFill/>
        <a:ln w="1">
          <a:noFill/>
          <a:miter lim="800000"/>
          <a:headEnd/>
          <a:tailEnd/>
        </a:ln>
      </xdr:spPr>
    </xdr:pic>
    <xdr:clientData/>
  </xdr:twoCellAnchor>
  <xdr:twoCellAnchor>
    <xdr:from>
      <xdr:col>3</xdr:col>
      <xdr:colOff>190500</xdr:colOff>
      <xdr:row>61</xdr:row>
      <xdr:rowOff>152400</xdr:rowOff>
    </xdr:from>
    <xdr:to>
      <xdr:col>4</xdr:col>
      <xdr:colOff>390525</xdr:colOff>
      <xdr:row>64</xdr:row>
      <xdr:rowOff>142875</xdr:rowOff>
    </xdr:to>
    <xdr:pic>
      <xdr:nvPicPr>
        <xdr:cNvPr id="523037" name="Picture 209">
          <a:extLst>
            <a:ext uri="{FF2B5EF4-FFF2-40B4-BE49-F238E27FC236}">
              <a16:creationId xmlns:a16="http://schemas.microsoft.com/office/drawing/2014/main" id="{00000000-0008-0000-0D00-00001DFB0700}"/>
            </a:ext>
          </a:extLst>
        </xdr:cNvPr>
        <xdr:cNvPicPr>
          <a:picLocks noChangeAspect="1" noChangeArrowheads="1"/>
        </xdr:cNvPicPr>
      </xdr:nvPicPr>
      <xdr:blipFill>
        <a:blip xmlns:r="http://schemas.openxmlformats.org/officeDocument/2006/relationships" r:embed="rId2" cstate="print">
          <a:clrChange>
            <a:clrFrom>
              <a:srgbClr val="E8E8E8"/>
            </a:clrFrom>
            <a:clrTo>
              <a:srgbClr val="E8E8E8">
                <a:alpha val="0"/>
              </a:srgbClr>
            </a:clrTo>
          </a:clrChange>
        </a:blip>
        <a:srcRect/>
        <a:stretch>
          <a:fillRect/>
        </a:stretch>
      </xdr:blipFill>
      <xdr:spPr bwMode="auto">
        <a:xfrm>
          <a:off x="2276475" y="12658725"/>
          <a:ext cx="476250" cy="561975"/>
        </a:xfrm>
        <a:prstGeom prst="rect">
          <a:avLst/>
        </a:prstGeom>
        <a:noFill/>
        <a:ln w="1">
          <a:noFill/>
          <a:miter lim="800000"/>
          <a:headEnd/>
          <a:tailEnd/>
        </a:ln>
      </xdr:spPr>
    </xdr:pic>
    <xdr:clientData/>
  </xdr:twoCellAnchor>
  <xdr:twoCellAnchor>
    <xdr:from>
      <xdr:col>45</xdr:col>
      <xdr:colOff>0</xdr:colOff>
      <xdr:row>109</xdr:row>
      <xdr:rowOff>104775</xdr:rowOff>
    </xdr:from>
    <xdr:to>
      <xdr:col>45</xdr:col>
      <xdr:colOff>0</xdr:colOff>
      <xdr:row>109</xdr:row>
      <xdr:rowOff>104775</xdr:rowOff>
    </xdr:to>
    <xdr:sp macro="" textlink="">
      <xdr:nvSpPr>
        <xdr:cNvPr id="523038" name="Line 2">
          <a:extLst>
            <a:ext uri="{FF2B5EF4-FFF2-40B4-BE49-F238E27FC236}">
              <a16:creationId xmlns:a16="http://schemas.microsoft.com/office/drawing/2014/main" id="{00000000-0008-0000-0D00-00001E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107</xdr:row>
      <xdr:rowOff>104775</xdr:rowOff>
    </xdr:from>
    <xdr:to>
      <xdr:col>45</xdr:col>
      <xdr:colOff>0</xdr:colOff>
      <xdr:row>107</xdr:row>
      <xdr:rowOff>104775</xdr:rowOff>
    </xdr:to>
    <xdr:sp macro="" textlink="">
      <xdr:nvSpPr>
        <xdr:cNvPr id="523039" name="Line 3">
          <a:extLst>
            <a:ext uri="{FF2B5EF4-FFF2-40B4-BE49-F238E27FC236}">
              <a16:creationId xmlns:a16="http://schemas.microsoft.com/office/drawing/2014/main" id="{00000000-0008-0000-0D00-00001FFB0700}"/>
            </a:ext>
          </a:extLst>
        </xdr:cNvPr>
        <xdr:cNvSpPr>
          <a:spLocks noChangeShapeType="1"/>
        </xdr:cNvSpPr>
      </xdr:nvSpPr>
      <xdr:spPr bwMode="auto">
        <a:xfrm>
          <a:off x="22783800" y="21393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85725</xdr:rowOff>
    </xdr:from>
    <xdr:to>
      <xdr:col>45</xdr:col>
      <xdr:colOff>0</xdr:colOff>
      <xdr:row>109</xdr:row>
      <xdr:rowOff>85725</xdr:rowOff>
    </xdr:to>
    <xdr:sp macro="" textlink="">
      <xdr:nvSpPr>
        <xdr:cNvPr id="523040" name="Line 5">
          <a:extLst>
            <a:ext uri="{FF2B5EF4-FFF2-40B4-BE49-F238E27FC236}">
              <a16:creationId xmlns:a16="http://schemas.microsoft.com/office/drawing/2014/main" id="{00000000-0008-0000-0D00-000020FB0700}"/>
            </a:ext>
          </a:extLst>
        </xdr:cNvPr>
        <xdr:cNvSpPr>
          <a:spLocks noChangeShapeType="1"/>
        </xdr:cNvSpPr>
      </xdr:nvSpPr>
      <xdr:spPr bwMode="auto">
        <a:xfrm>
          <a:off x="22783800" y="21755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41" name="Line 11">
          <a:extLst>
            <a:ext uri="{FF2B5EF4-FFF2-40B4-BE49-F238E27FC236}">
              <a16:creationId xmlns:a16="http://schemas.microsoft.com/office/drawing/2014/main" id="{00000000-0008-0000-0D00-000021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109</xdr:row>
      <xdr:rowOff>104775</xdr:rowOff>
    </xdr:from>
    <xdr:to>
      <xdr:col>50</xdr:col>
      <xdr:colOff>0</xdr:colOff>
      <xdr:row>109</xdr:row>
      <xdr:rowOff>104775</xdr:rowOff>
    </xdr:to>
    <xdr:sp macro="" textlink="">
      <xdr:nvSpPr>
        <xdr:cNvPr id="523042" name="Line 13">
          <a:extLst>
            <a:ext uri="{FF2B5EF4-FFF2-40B4-BE49-F238E27FC236}">
              <a16:creationId xmlns:a16="http://schemas.microsoft.com/office/drawing/2014/main" id="{00000000-0008-0000-0D00-000022FB0700}"/>
            </a:ext>
          </a:extLst>
        </xdr:cNvPr>
        <xdr:cNvSpPr>
          <a:spLocks noChangeShapeType="1"/>
        </xdr:cNvSpPr>
      </xdr:nvSpPr>
      <xdr:spPr bwMode="auto">
        <a:xfrm>
          <a:off x="2486025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108</xdr:row>
      <xdr:rowOff>104775</xdr:rowOff>
    </xdr:from>
    <xdr:to>
      <xdr:col>45</xdr:col>
      <xdr:colOff>0</xdr:colOff>
      <xdr:row>108</xdr:row>
      <xdr:rowOff>104775</xdr:rowOff>
    </xdr:to>
    <xdr:sp macro="" textlink="">
      <xdr:nvSpPr>
        <xdr:cNvPr id="523043" name="Line 215">
          <a:extLst>
            <a:ext uri="{FF2B5EF4-FFF2-40B4-BE49-F238E27FC236}">
              <a16:creationId xmlns:a16="http://schemas.microsoft.com/office/drawing/2014/main" id="{00000000-0008-0000-0D00-000023FB0700}"/>
            </a:ext>
          </a:extLst>
        </xdr:cNvPr>
        <xdr:cNvSpPr>
          <a:spLocks noChangeShapeType="1"/>
        </xdr:cNvSpPr>
      </xdr:nvSpPr>
      <xdr:spPr bwMode="auto">
        <a:xfrm>
          <a:off x="22783800" y="21583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4" name="Line 2">
          <a:extLst>
            <a:ext uri="{FF2B5EF4-FFF2-40B4-BE49-F238E27FC236}">
              <a16:creationId xmlns:a16="http://schemas.microsoft.com/office/drawing/2014/main" id="{00000000-0008-0000-0D00-000024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5" name="Line 5">
          <a:extLst>
            <a:ext uri="{FF2B5EF4-FFF2-40B4-BE49-F238E27FC236}">
              <a16:creationId xmlns:a16="http://schemas.microsoft.com/office/drawing/2014/main" id="{00000000-0008-0000-0D00-000025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6" name="Line 11">
          <a:extLst>
            <a:ext uri="{FF2B5EF4-FFF2-40B4-BE49-F238E27FC236}">
              <a16:creationId xmlns:a16="http://schemas.microsoft.com/office/drawing/2014/main" id="{00000000-0008-0000-0D00-000026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110</xdr:row>
      <xdr:rowOff>0</xdr:rowOff>
    </xdr:from>
    <xdr:to>
      <xdr:col>50</xdr:col>
      <xdr:colOff>0</xdr:colOff>
      <xdr:row>110</xdr:row>
      <xdr:rowOff>0</xdr:rowOff>
    </xdr:to>
    <xdr:sp macro="" textlink="">
      <xdr:nvSpPr>
        <xdr:cNvPr id="523047" name="Line 13">
          <a:extLst>
            <a:ext uri="{FF2B5EF4-FFF2-40B4-BE49-F238E27FC236}">
              <a16:creationId xmlns:a16="http://schemas.microsoft.com/office/drawing/2014/main" id="{00000000-0008-0000-0D00-000027FB0700}"/>
            </a:ext>
          </a:extLst>
        </xdr:cNvPr>
        <xdr:cNvSpPr>
          <a:spLocks noChangeShapeType="1"/>
        </xdr:cNvSpPr>
      </xdr:nvSpPr>
      <xdr:spPr bwMode="auto">
        <a:xfrm>
          <a:off x="24860250" y="21859875"/>
          <a:ext cx="0" cy="0"/>
        </a:xfrm>
        <a:prstGeom prst="line">
          <a:avLst/>
        </a:prstGeom>
        <a:noFill/>
        <a:ln w="9525">
          <a:solidFill>
            <a:srgbClr val="000000"/>
          </a:solidFill>
          <a:round/>
          <a:headEnd/>
          <a:tailEnd type="triangle" w="med" len="med"/>
        </a:ln>
      </xdr:spPr>
    </xdr:sp>
    <xdr:clientData/>
  </xdr:twoCellAnchor>
  <xdr:twoCellAnchor>
    <xdr:from>
      <xdr:col>1</xdr:col>
      <xdr:colOff>247650</xdr:colOff>
      <xdr:row>129</xdr:row>
      <xdr:rowOff>133350</xdr:rowOff>
    </xdr:from>
    <xdr:to>
      <xdr:col>2</xdr:col>
      <xdr:colOff>247650</xdr:colOff>
      <xdr:row>131</xdr:row>
      <xdr:rowOff>114300</xdr:rowOff>
    </xdr:to>
    <xdr:pic>
      <xdr:nvPicPr>
        <xdr:cNvPr id="523048" name="Picture 224">
          <a:extLst>
            <a:ext uri="{FF2B5EF4-FFF2-40B4-BE49-F238E27FC236}">
              <a16:creationId xmlns:a16="http://schemas.microsoft.com/office/drawing/2014/main" id="{00000000-0008-0000-0D00-000028FB07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438275" y="25612725"/>
          <a:ext cx="581025" cy="361950"/>
        </a:xfrm>
        <a:prstGeom prst="rect">
          <a:avLst/>
        </a:prstGeom>
        <a:noFill/>
        <a:ln w="1">
          <a:noFill/>
          <a:miter lim="800000"/>
          <a:headEnd/>
          <a:tailEnd/>
        </a:ln>
      </xdr:spPr>
    </xdr:pic>
    <xdr:clientData/>
  </xdr:twoCellAnchor>
  <xdr:twoCellAnchor>
    <xdr:from>
      <xdr:col>2</xdr:col>
      <xdr:colOff>9525</xdr:colOff>
      <xdr:row>114</xdr:row>
      <xdr:rowOff>0</xdr:rowOff>
    </xdr:from>
    <xdr:to>
      <xdr:col>3</xdr:col>
      <xdr:colOff>276225</xdr:colOff>
      <xdr:row>114</xdr:row>
      <xdr:rowOff>0</xdr:rowOff>
    </xdr:to>
    <xdr:pic>
      <xdr:nvPicPr>
        <xdr:cNvPr id="523049" name="Picture 225">
          <a:extLst>
            <a:ext uri="{FF2B5EF4-FFF2-40B4-BE49-F238E27FC236}">
              <a16:creationId xmlns:a16="http://schemas.microsoft.com/office/drawing/2014/main" id="{00000000-0008-0000-0D00-000029FB07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blip>
        <a:srcRect/>
        <a:stretch>
          <a:fillRect/>
        </a:stretch>
      </xdr:blipFill>
      <xdr:spPr bwMode="auto">
        <a:xfrm>
          <a:off x="1781175" y="22621875"/>
          <a:ext cx="581025" cy="0"/>
        </a:xfrm>
        <a:prstGeom prst="rect">
          <a:avLst/>
        </a:prstGeom>
        <a:noFill/>
        <a:ln w="1">
          <a:noFill/>
          <a:miter lim="800000"/>
          <a:headEnd/>
          <a:tailEnd/>
        </a:ln>
      </xdr:spPr>
    </xdr:pic>
    <xdr:clientData/>
  </xdr:twoCellAnchor>
  <xdr:twoCellAnchor>
    <xdr:from>
      <xdr:col>3</xdr:col>
      <xdr:colOff>257175</xdr:colOff>
      <xdr:row>24</xdr:row>
      <xdr:rowOff>76200</xdr:rowOff>
    </xdr:from>
    <xdr:to>
      <xdr:col>4</xdr:col>
      <xdr:colOff>295275</xdr:colOff>
      <xdr:row>26</xdr:row>
      <xdr:rowOff>38100</xdr:rowOff>
    </xdr:to>
    <xdr:pic>
      <xdr:nvPicPr>
        <xdr:cNvPr id="523050" name="Picture 232">
          <a:extLst>
            <a:ext uri="{FF2B5EF4-FFF2-40B4-BE49-F238E27FC236}">
              <a16:creationId xmlns:a16="http://schemas.microsoft.com/office/drawing/2014/main" id="{00000000-0008-0000-0D00-00002AFB07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2343150" y="5514975"/>
          <a:ext cx="314325" cy="34290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23051" name="Line 1">
          <a:extLst>
            <a:ext uri="{FF2B5EF4-FFF2-40B4-BE49-F238E27FC236}">
              <a16:creationId xmlns:a16="http://schemas.microsoft.com/office/drawing/2014/main" id="{00000000-0008-0000-0D00-00002BFB0700}"/>
            </a:ext>
          </a:extLst>
        </xdr:cNvPr>
        <xdr:cNvSpPr>
          <a:spLocks noChangeShapeType="1"/>
        </xdr:cNvSpPr>
      </xdr:nvSpPr>
      <xdr:spPr bwMode="auto">
        <a:xfrm>
          <a:off x="112776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23052" name="Line 4">
          <a:extLst>
            <a:ext uri="{FF2B5EF4-FFF2-40B4-BE49-F238E27FC236}">
              <a16:creationId xmlns:a16="http://schemas.microsoft.com/office/drawing/2014/main" id="{00000000-0008-0000-0D00-00002CFB0700}"/>
            </a:ext>
          </a:extLst>
        </xdr:cNvPr>
        <xdr:cNvSpPr>
          <a:spLocks noChangeShapeType="1"/>
        </xdr:cNvSpPr>
      </xdr:nvSpPr>
      <xdr:spPr bwMode="auto">
        <a:xfrm>
          <a:off x="11277600" y="876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23053" name="Line 10">
          <a:extLst>
            <a:ext uri="{FF2B5EF4-FFF2-40B4-BE49-F238E27FC236}">
              <a16:creationId xmlns:a16="http://schemas.microsoft.com/office/drawing/2014/main" id="{00000000-0008-0000-0D00-00002DFB0700}"/>
            </a:ext>
          </a:extLst>
        </xdr:cNvPr>
        <xdr:cNvSpPr>
          <a:spLocks noChangeShapeType="1"/>
        </xdr:cNvSpPr>
      </xdr:nvSpPr>
      <xdr:spPr bwMode="auto">
        <a:xfrm>
          <a:off x="112776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23054" name="Line 1">
          <a:extLst>
            <a:ext uri="{FF2B5EF4-FFF2-40B4-BE49-F238E27FC236}">
              <a16:creationId xmlns:a16="http://schemas.microsoft.com/office/drawing/2014/main" id="{00000000-0008-0000-0D00-00002EFB0700}"/>
            </a:ext>
          </a:extLst>
        </xdr:cNvPr>
        <xdr:cNvSpPr>
          <a:spLocks noChangeShapeType="1"/>
        </xdr:cNvSpPr>
      </xdr:nvSpPr>
      <xdr:spPr bwMode="auto">
        <a:xfrm>
          <a:off x="11277600" y="1123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23055" name="Line 4">
          <a:extLst>
            <a:ext uri="{FF2B5EF4-FFF2-40B4-BE49-F238E27FC236}">
              <a16:creationId xmlns:a16="http://schemas.microsoft.com/office/drawing/2014/main" id="{00000000-0008-0000-0D00-00002FFB0700}"/>
            </a:ext>
          </a:extLst>
        </xdr:cNvPr>
        <xdr:cNvSpPr>
          <a:spLocks noChangeShapeType="1"/>
        </xdr:cNvSpPr>
      </xdr:nvSpPr>
      <xdr:spPr bwMode="auto">
        <a:xfrm>
          <a:off x="11277600" y="1133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23056" name="Line 10">
          <a:extLst>
            <a:ext uri="{FF2B5EF4-FFF2-40B4-BE49-F238E27FC236}">
              <a16:creationId xmlns:a16="http://schemas.microsoft.com/office/drawing/2014/main" id="{00000000-0008-0000-0D00-000030FB0700}"/>
            </a:ext>
          </a:extLst>
        </xdr:cNvPr>
        <xdr:cNvSpPr>
          <a:spLocks noChangeShapeType="1"/>
        </xdr:cNvSpPr>
      </xdr:nvSpPr>
      <xdr:spPr bwMode="auto">
        <a:xfrm>
          <a:off x="11277600" y="11239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57" name="Line 2">
          <a:extLst>
            <a:ext uri="{FF2B5EF4-FFF2-40B4-BE49-F238E27FC236}">
              <a16:creationId xmlns:a16="http://schemas.microsoft.com/office/drawing/2014/main" id="{00000000-0008-0000-0D00-000031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107</xdr:row>
      <xdr:rowOff>104775</xdr:rowOff>
    </xdr:from>
    <xdr:to>
      <xdr:col>45</xdr:col>
      <xdr:colOff>0</xdr:colOff>
      <xdr:row>107</xdr:row>
      <xdr:rowOff>104775</xdr:rowOff>
    </xdr:to>
    <xdr:sp macro="" textlink="">
      <xdr:nvSpPr>
        <xdr:cNvPr id="523058" name="Line 3">
          <a:extLst>
            <a:ext uri="{FF2B5EF4-FFF2-40B4-BE49-F238E27FC236}">
              <a16:creationId xmlns:a16="http://schemas.microsoft.com/office/drawing/2014/main" id="{00000000-0008-0000-0D00-000032FB0700}"/>
            </a:ext>
          </a:extLst>
        </xdr:cNvPr>
        <xdr:cNvSpPr>
          <a:spLocks noChangeShapeType="1"/>
        </xdr:cNvSpPr>
      </xdr:nvSpPr>
      <xdr:spPr bwMode="auto">
        <a:xfrm>
          <a:off x="22783800" y="21393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85725</xdr:rowOff>
    </xdr:from>
    <xdr:to>
      <xdr:col>45</xdr:col>
      <xdr:colOff>0</xdr:colOff>
      <xdr:row>109</xdr:row>
      <xdr:rowOff>85725</xdr:rowOff>
    </xdr:to>
    <xdr:sp macro="" textlink="">
      <xdr:nvSpPr>
        <xdr:cNvPr id="523059" name="Line 5">
          <a:extLst>
            <a:ext uri="{FF2B5EF4-FFF2-40B4-BE49-F238E27FC236}">
              <a16:creationId xmlns:a16="http://schemas.microsoft.com/office/drawing/2014/main" id="{00000000-0008-0000-0D00-000033FB0700}"/>
            </a:ext>
          </a:extLst>
        </xdr:cNvPr>
        <xdr:cNvSpPr>
          <a:spLocks noChangeShapeType="1"/>
        </xdr:cNvSpPr>
      </xdr:nvSpPr>
      <xdr:spPr bwMode="auto">
        <a:xfrm>
          <a:off x="22783800" y="21755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60" name="Line 11">
          <a:extLst>
            <a:ext uri="{FF2B5EF4-FFF2-40B4-BE49-F238E27FC236}">
              <a16:creationId xmlns:a16="http://schemas.microsoft.com/office/drawing/2014/main" id="{00000000-0008-0000-0D00-000034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109</xdr:row>
      <xdr:rowOff>104775</xdr:rowOff>
    </xdr:from>
    <xdr:to>
      <xdr:col>50</xdr:col>
      <xdr:colOff>0</xdr:colOff>
      <xdr:row>109</xdr:row>
      <xdr:rowOff>104775</xdr:rowOff>
    </xdr:to>
    <xdr:sp macro="" textlink="">
      <xdr:nvSpPr>
        <xdr:cNvPr id="523061" name="Line 13">
          <a:extLst>
            <a:ext uri="{FF2B5EF4-FFF2-40B4-BE49-F238E27FC236}">
              <a16:creationId xmlns:a16="http://schemas.microsoft.com/office/drawing/2014/main" id="{00000000-0008-0000-0D00-000035FB0700}"/>
            </a:ext>
          </a:extLst>
        </xdr:cNvPr>
        <xdr:cNvSpPr>
          <a:spLocks noChangeShapeType="1"/>
        </xdr:cNvSpPr>
      </xdr:nvSpPr>
      <xdr:spPr bwMode="auto">
        <a:xfrm>
          <a:off x="2486025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108</xdr:row>
      <xdr:rowOff>104775</xdr:rowOff>
    </xdr:from>
    <xdr:to>
      <xdr:col>45</xdr:col>
      <xdr:colOff>0</xdr:colOff>
      <xdr:row>108</xdr:row>
      <xdr:rowOff>104775</xdr:rowOff>
    </xdr:to>
    <xdr:sp macro="" textlink="">
      <xdr:nvSpPr>
        <xdr:cNvPr id="523062" name="Line 268">
          <a:extLst>
            <a:ext uri="{FF2B5EF4-FFF2-40B4-BE49-F238E27FC236}">
              <a16:creationId xmlns:a16="http://schemas.microsoft.com/office/drawing/2014/main" id="{00000000-0008-0000-0D00-000036FB0700}"/>
            </a:ext>
          </a:extLst>
        </xdr:cNvPr>
        <xdr:cNvSpPr>
          <a:spLocks noChangeShapeType="1"/>
        </xdr:cNvSpPr>
      </xdr:nvSpPr>
      <xdr:spPr bwMode="auto">
        <a:xfrm>
          <a:off x="22783800" y="21583650"/>
          <a:ext cx="0" cy="0"/>
        </a:xfrm>
        <a:prstGeom prst="line">
          <a:avLst/>
        </a:prstGeom>
        <a:noFill/>
        <a:ln w="9525">
          <a:solidFill>
            <a:srgbClr val="000000"/>
          </a:solidFill>
          <a:round/>
          <a:headEnd/>
          <a:tailEnd type="triangle" w="med" len="med"/>
        </a:ln>
      </xdr:spPr>
    </xdr:sp>
    <xdr:clientData/>
  </xdr:twoCellAnchor>
  <xdr:twoCellAnchor>
    <xdr:from>
      <xdr:col>7</xdr:col>
      <xdr:colOff>180975</xdr:colOff>
      <xdr:row>162</xdr:row>
      <xdr:rowOff>295275</xdr:rowOff>
    </xdr:from>
    <xdr:to>
      <xdr:col>14</xdr:col>
      <xdr:colOff>333375</xdr:colOff>
      <xdr:row>173</xdr:row>
      <xdr:rowOff>28575</xdr:rowOff>
    </xdr:to>
    <xdr:grpSp>
      <xdr:nvGrpSpPr>
        <xdr:cNvPr id="523063" name="Group 274">
          <a:extLst>
            <a:ext uri="{FF2B5EF4-FFF2-40B4-BE49-F238E27FC236}">
              <a16:creationId xmlns:a16="http://schemas.microsoft.com/office/drawing/2014/main" id="{00000000-0008-0000-0D00-000037FB0700}"/>
            </a:ext>
          </a:extLst>
        </xdr:cNvPr>
        <xdr:cNvGrpSpPr>
          <a:grpSpLocks/>
        </xdr:cNvGrpSpPr>
      </xdr:nvGrpSpPr>
      <xdr:grpSpPr bwMode="auto">
        <a:xfrm>
          <a:off x="4952776" y="32095664"/>
          <a:ext cx="2808194" cy="1963271"/>
          <a:chOff x="396" y="106"/>
          <a:chExt cx="527" cy="348"/>
        </a:xfrm>
      </xdr:grpSpPr>
      <xdr:pic>
        <xdr:nvPicPr>
          <xdr:cNvPr id="523070" name="Picture 4">
            <a:extLst>
              <a:ext uri="{FF2B5EF4-FFF2-40B4-BE49-F238E27FC236}">
                <a16:creationId xmlns:a16="http://schemas.microsoft.com/office/drawing/2014/main" id="{00000000-0008-0000-0D00-00003EFB07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96" y="106"/>
            <a:ext cx="269" cy="347"/>
          </a:xfrm>
          <a:prstGeom prst="rect">
            <a:avLst/>
          </a:prstGeom>
          <a:noFill/>
          <a:ln w="9525">
            <a:noFill/>
            <a:miter lim="800000"/>
            <a:headEnd/>
            <a:tailEnd/>
          </a:ln>
        </xdr:spPr>
      </xdr:pic>
      <xdr:pic>
        <xdr:nvPicPr>
          <xdr:cNvPr id="523071" name="Picture 5">
            <a:extLst>
              <a:ext uri="{FF2B5EF4-FFF2-40B4-BE49-F238E27FC236}">
                <a16:creationId xmlns:a16="http://schemas.microsoft.com/office/drawing/2014/main" id="{00000000-0008-0000-0D00-00003FFB07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1</xdr:col>
      <xdr:colOff>200025</xdr:colOff>
      <xdr:row>70</xdr:row>
      <xdr:rowOff>38100</xdr:rowOff>
    </xdr:from>
    <xdr:to>
      <xdr:col>3</xdr:col>
      <xdr:colOff>0</xdr:colOff>
      <xdr:row>72</xdr:row>
      <xdr:rowOff>142875</xdr:rowOff>
    </xdr:to>
    <xdr:pic>
      <xdr:nvPicPr>
        <xdr:cNvPr id="523064" name="Picture 2590">
          <a:extLst>
            <a:ext uri="{FF2B5EF4-FFF2-40B4-BE49-F238E27FC236}">
              <a16:creationId xmlns:a16="http://schemas.microsoft.com/office/drawing/2014/main" id="{00000000-0008-0000-0D00-000038FB07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390650" y="14258925"/>
          <a:ext cx="695325" cy="485775"/>
        </a:xfrm>
        <a:prstGeom prst="rect">
          <a:avLst/>
        </a:prstGeom>
        <a:noFill/>
        <a:ln w="1">
          <a:noFill/>
          <a:miter lim="800000"/>
          <a:headEnd/>
          <a:tailEnd/>
        </a:ln>
      </xdr:spPr>
    </xdr:pic>
    <xdr:clientData/>
  </xdr:twoCellAnchor>
  <xdr:twoCellAnchor editAs="oneCell">
    <xdr:from>
      <xdr:col>1</xdr:col>
      <xdr:colOff>38100</xdr:colOff>
      <xdr:row>115</xdr:row>
      <xdr:rowOff>9525</xdr:rowOff>
    </xdr:from>
    <xdr:to>
      <xdr:col>2</xdr:col>
      <xdr:colOff>152400</xdr:colOff>
      <xdr:row>117</xdr:row>
      <xdr:rowOff>114300</xdr:rowOff>
    </xdr:to>
    <xdr:pic>
      <xdr:nvPicPr>
        <xdr:cNvPr id="523065" name="Picture 2592">
          <a:extLst>
            <a:ext uri="{FF2B5EF4-FFF2-40B4-BE49-F238E27FC236}">
              <a16:creationId xmlns:a16="http://schemas.microsoft.com/office/drawing/2014/main" id="{00000000-0008-0000-0D00-000039FB07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228725" y="22821900"/>
          <a:ext cx="695325" cy="485775"/>
        </a:xfrm>
        <a:prstGeom prst="rect">
          <a:avLst/>
        </a:prstGeom>
        <a:noFill/>
        <a:ln w="1">
          <a:noFill/>
          <a:miter lim="800000"/>
          <a:headEnd/>
          <a:tailEnd/>
        </a:ln>
      </xdr:spPr>
    </xdr:pic>
    <xdr:clientData/>
  </xdr:twoCellAnchor>
  <xdr:twoCellAnchor>
    <xdr:from>
      <xdr:col>1</xdr:col>
      <xdr:colOff>190500</xdr:colOff>
      <xdr:row>121</xdr:row>
      <xdr:rowOff>104775</xdr:rowOff>
    </xdr:from>
    <xdr:to>
      <xdr:col>2</xdr:col>
      <xdr:colOff>190500</xdr:colOff>
      <xdr:row>123</xdr:row>
      <xdr:rowOff>85725</xdr:rowOff>
    </xdr:to>
    <xdr:pic>
      <xdr:nvPicPr>
        <xdr:cNvPr id="523066" name="Picture 225">
          <a:extLst>
            <a:ext uri="{FF2B5EF4-FFF2-40B4-BE49-F238E27FC236}">
              <a16:creationId xmlns:a16="http://schemas.microsoft.com/office/drawing/2014/main" id="{00000000-0008-0000-0D00-00003AFB07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381125" y="24060150"/>
          <a:ext cx="581025" cy="361950"/>
        </a:xfrm>
        <a:prstGeom prst="rect">
          <a:avLst/>
        </a:prstGeom>
        <a:noFill/>
        <a:ln w="1">
          <a:noFill/>
          <a:miter lim="800000"/>
          <a:headEnd/>
          <a:tailEnd/>
        </a:ln>
      </xdr:spPr>
    </xdr:pic>
    <xdr:clientData/>
  </xdr:twoCellAnchor>
  <xdr:twoCellAnchor>
    <xdr:from>
      <xdr:col>2</xdr:col>
      <xdr:colOff>247650</xdr:colOff>
      <xdr:row>16</xdr:row>
      <xdr:rowOff>0</xdr:rowOff>
    </xdr:from>
    <xdr:to>
      <xdr:col>4</xdr:col>
      <xdr:colOff>352425</xdr:colOff>
      <xdr:row>18</xdr:row>
      <xdr:rowOff>95250</xdr:rowOff>
    </xdr:to>
    <xdr:pic>
      <xdr:nvPicPr>
        <xdr:cNvPr id="523067" name="Picture 5913">
          <a:extLst>
            <a:ext uri="{FF2B5EF4-FFF2-40B4-BE49-F238E27FC236}">
              <a16:creationId xmlns:a16="http://schemas.microsoft.com/office/drawing/2014/main" id="{00000000-0008-0000-0D00-00003B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3905250"/>
          <a:ext cx="695325" cy="476250"/>
        </a:xfrm>
        <a:prstGeom prst="rect">
          <a:avLst/>
        </a:prstGeom>
        <a:noFill/>
        <a:ln w="1">
          <a:noFill/>
          <a:miter lim="800000"/>
          <a:headEnd/>
          <a:tailEnd/>
        </a:ln>
      </xdr:spPr>
    </xdr:pic>
    <xdr:clientData/>
  </xdr:twoCellAnchor>
  <xdr:twoCellAnchor>
    <xdr:from>
      <xdr:col>2</xdr:col>
      <xdr:colOff>247650</xdr:colOff>
      <xdr:row>29</xdr:row>
      <xdr:rowOff>0</xdr:rowOff>
    </xdr:from>
    <xdr:to>
      <xdr:col>4</xdr:col>
      <xdr:colOff>352425</xdr:colOff>
      <xdr:row>31</xdr:row>
      <xdr:rowOff>95250</xdr:rowOff>
    </xdr:to>
    <xdr:pic>
      <xdr:nvPicPr>
        <xdr:cNvPr id="523068" name="Picture 5914">
          <a:extLst>
            <a:ext uri="{FF2B5EF4-FFF2-40B4-BE49-F238E27FC236}">
              <a16:creationId xmlns:a16="http://schemas.microsoft.com/office/drawing/2014/main" id="{00000000-0008-0000-0D00-00003C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6391275"/>
          <a:ext cx="695325" cy="476250"/>
        </a:xfrm>
        <a:prstGeom prst="rect">
          <a:avLst/>
        </a:prstGeom>
        <a:noFill/>
        <a:ln w="1">
          <a:noFill/>
          <a:miter lim="800000"/>
          <a:headEnd/>
          <a:tailEnd/>
        </a:ln>
      </xdr:spPr>
    </xdr:pic>
    <xdr:clientData/>
  </xdr:twoCellAnchor>
  <xdr:twoCellAnchor>
    <xdr:from>
      <xdr:col>2</xdr:col>
      <xdr:colOff>247650</xdr:colOff>
      <xdr:row>46</xdr:row>
      <xdr:rowOff>0</xdr:rowOff>
    </xdr:from>
    <xdr:to>
      <xdr:col>4</xdr:col>
      <xdr:colOff>352425</xdr:colOff>
      <xdr:row>48</xdr:row>
      <xdr:rowOff>95250</xdr:rowOff>
    </xdr:to>
    <xdr:pic>
      <xdr:nvPicPr>
        <xdr:cNvPr id="523069" name="Picture 5917">
          <a:extLst>
            <a:ext uri="{FF2B5EF4-FFF2-40B4-BE49-F238E27FC236}">
              <a16:creationId xmlns:a16="http://schemas.microsoft.com/office/drawing/2014/main" id="{00000000-0008-0000-0D00-00003D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9639300"/>
          <a:ext cx="695325" cy="476250"/>
        </a:xfrm>
        <a:prstGeom prst="rect">
          <a:avLst/>
        </a:prstGeom>
        <a:noFill/>
        <a:ln w="1">
          <a:noFill/>
          <a:miter lim="800000"/>
          <a:headEnd/>
          <a:tailEnd/>
        </a:ln>
      </xdr:spPr>
    </xdr:pic>
    <xdr:clientData/>
  </xdr:twoCellAnchor>
  <xdr:twoCellAnchor>
    <xdr:from>
      <xdr:col>33</xdr:col>
      <xdr:colOff>0</xdr:colOff>
      <xdr:row>2</xdr:row>
      <xdr:rowOff>0</xdr:rowOff>
    </xdr:from>
    <xdr:to>
      <xdr:col>36</xdr:col>
      <xdr:colOff>431426</xdr:colOff>
      <xdr:row>4</xdr:row>
      <xdr:rowOff>141754</xdr:rowOff>
    </xdr:to>
    <xdr:sp macro="" textlink="">
      <xdr:nvSpPr>
        <xdr:cNvPr id="82" name="TextBox 81">
          <a:extLst>
            <a:ext uri="{FF2B5EF4-FFF2-40B4-BE49-F238E27FC236}">
              <a16:creationId xmlns:a16="http://schemas.microsoft.com/office/drawing/2014/main" id="{00000000-0008-0000-0D00-000052000000}"/>
            </a:ext>
          </a:extLst>
        </xdr:cNvPr>
        <xdr:cNvSpPr txBox="1"/>
      </xdr:nvSpPr>
      <xdr:spPr>
        <a:xfrm>
          <a:off x="16338176" y="762000"/>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562"/>
  <sheetViews>
    <sheetView workbookViewId="0">
      <pane ySplit="2" topLeftCell="A3" activePane="bottomLeft" state="frozen"/>
      <selection pane="bottomLeft"/>
    </sheetView>
  </sheetViews>
  <sheetFormatPr defaultColWidth="9" defaultRowHeight="13.2" x14ac:dyDescent="0.25"/>
  <cols>
    <col min="1" max="1" width="4.8984375" style="289" bestFit="1" customWidth="1"/>
    <col min="2" max="2" width="9" style="317"/>
    <col min="3" max="3" width="10.3984375" style="317" customWidth="1"/>
    <col min="4" max="4" width="85.69921875" style="346" customWidth="1"/>
    <col min="5" max="5" width="9.09765625" style="317" bestFit="1" customWidth="1"/>
    <col min="6" max="7" width="9" style="318"/>
    <col min="8" max="16384" width="9" style="290"/>
  </cols>
  <sheetData>
    <row r="1" spans="1:7" x14ac:dyDescent="0.25">
      <c r="B1" s="1144" t="s">
        <v>0</v>
      </c>
      <c r="C1" s="1144" t="s">
        <v>1</v>
      </c>
      <c r="D1" s="1145" t="s">
        <v>2</v>
      </c>
      <c r="E1" s="1144" t="s">
        <v>3</v>
      </c>
      <c r="F1" s="1144" t="s">
        <v>4</v>
      </c>
      <c r="G1" s="1144" t="s">
        <v>5</v>
      </c>
    </row>
    <row r="2" spans="1:7" x14ac:dyDescent="0.25">
      <c r="D2" s="1524" t="s">
        <v>2091</v>
      </c>
    </row>
    <row r="3" spans="1:7" s="1493" customFormat="1" ht="24.6" x14ac:dyDescent="0.4">
      <c r="A3" s="1523">
        <v>1</v>
      </c>
      <c r="B3" s="1491" t="s">
        <v>6</v>
      </c>
      <c r="C3" s="1491"/>
      <c r="D3" s="1492"/>
      <c r="E3" s="1492"/>
      <c r="F3" s="1492"/>
      <c r="G3" s="1492"/>
    </row>
    <row r="4" spans="1:7" ht="13.8" thickBot="1" x14ac:dyDescent="0.3"/>
    <row r="5" spans="1:7" x14ac:dyDescent="0.25">
      <c r="B5" s="328" t="s">
        <v>0</v>
      </c>
      <c r="C5" s="329" t="s">
        <v>1</v>
      </c>
      <c r="D5" s="338" t="s">
        <v>2</v>
      </c>
      <c r="E5" s="329" t="s">
        <v>3</v>
      </c>
      <c r="F5" s="330" t="s">
        <v>4</v>
      </c>
      <c r="G5" s="331" t="s">
        <v>5</v>
      </c>
    </row>
    <row r="6" spans="1:7" x14ac:dyDescent="0.25">
      <c r="B6" s="333">
        <v>1</v>
      </c>
      <c r="C6" s="318">
        <v>20</v>
      </c>
      <c r="D6" s="346" t="s">
        <v>7</v>
      </c>
      <c r="E6" s="325">
        <v>40946</v>
      </c>
      <c r="F6" s="318" t="s">
        <v>8</v>
      </c>
      <c r="G6" s="332" t="s">
        <v>9</v>
      </c>
    </row>
    <row r="7" spans="1:7" x14ac:dyDescent="0.25">
      <c r="B7" s="333">
        <v>2</v>
      </c>
      <c r="C7" s="318">
        <v>20</v>
      </c>
      <c r="D7" s="346" t="s">
        <v>10</v>
      </c>
      <c r="E7" s="325"/>
      <c r="F7" s="326" t="s">
        <v>8</v>
      </c>
      <c r="G7" s="332" t="s">
        <v>9</v>
      </c>
    </row>
    <row r="8" spans="1:7" x14ac:dyDescent="0.25">
      <c r="B8" s="333">
        <v>3</v>
      </c>
      <c r="C8" s="318">
        <v>20</v>
      </c>
      <c r="D8" s="346" t="s">
        <v>11</v>
      </c>
      <c r="E8" s="325">
        <v>40984</v>
      </c>
      <c r="F8" s="326" t="s">
        <v>8</v>
      </c>
      <c r="G8" s="332" t="s">
        <v>12</v>
      </c>
    </row>
    <row r="9" spans="1:7" x14ac:dyDescent="0.25">
      <c r="B9" s="333">
        <v>4</v>
      </c>
      <c r="C9" s="318">
        <v>20</v>
      </c>
      <c r="D9" s="346" t="s">
        <v>13</v>
      </c>
      <c r="E9" s="325">
        <v>40991</v>
      </c>
      <c r="F9" s="326" t="s">
        <v>8</v>
      </c>
      <c r="G9" s="332" t="s">
        <v>12</v>
      </c>
    </row>
    <row r="10" spans="1:7" x14ac:dyDescent="0.25">
      <c r="B10" s="333">
        <v>5</v>
      </c>
      <c r="C10" s="318">
        <v>20</v>
      </c>
      <c r="D10" s="346" t="s">
        <v>14</v>
      </c>
      <c r="E10" s="325">
        <v>41001</v>
      </c>
      <c r="F10" s="326" t="s">
        <v>8</v>
      </c>
      <c r="G10" s="332" t="s">
        <v>12</v>
      </c>
    </row>
    <row r="11" spans="1:7" x14ac:dyDescent="0.25">
      <c r="B11" s="333">
        <v>6</v>
      </c>
      <c r="C11" s="318">
        <v>20</v>
      </c>
      <c r="D11" s="346" t="s">
        <v>15</v>
      </c>
      <c r="E11" s="325">
        <v>41005</v>
      </c>
      <c r="F11" s="326" t="s">
        <v>8</v>
      </c>
      <c r="G11" s="332" t="s">
        <v>12</v>
      </c>
    </row>
    <row r="12" spans="1:7" x14ac:dyDescent="0.25">
      <c r="B12" s="333">
        <v>7</v>
      </c>
      <c r="C12" s="318">
        <v>20</v>
      </c>
      <c r="D12" s="346" t="s">
        <v>16</v>
      </c>
      <c r="E12" s="325">
        <v>41009</v>
      </c>
      <c r="F12" s="326" t="s">
        <v>8</v>
      </c>
      <c r="G12" s="332" t="s">
        <v>12</v>
      </c>
    </row>
    <row r="13" spans="1:7" x14ac:dyDescent="0.25">
      <c r="B13" s="333"/>
      <c r="C13" s="318"/>
      <c r="D13" s="346" t="s">
        <v>17</v>
      </c>
      <c r="E13" s="325"/>
      <c r="F13" s="326"/>
      <c r="G13" s="332"/>
    </row>
    <row r="14" spans="1:7" x14ac:dyDescent="0.25">
      <c r="B14" s="333">
        <v>8</v>
      </c>
      <c r="C14" s="318">
        <v>20</v>
      </c>
      <c r="D14" s="346" t="s">
        <v>18</v>
      </c>
      <c r="E14" s="325">
        <v>41011</v>
      </c>
      <c r="F14" s="326" t="s">
        <v>8</v>
      </c>
      <c r="G14" s="332" t="s">
        <v>12</v>
      </c>
    </row>
    <row r="15" spans="1:7" x14ac:dyDescent="0.25">
      <c r="B15" s="333">
        <v>9</v>
      </c>
      <c r="C15" s="318">
        <v>20</v>
      </c>
      <c r="D15" s="346" t="s">
        <v>19</v>
      </c>
      <c r="E15" s="325">
        <v>41023</v>
      </c>
      <c r="F15" s="326" t="s">
        <v>8</v>
      </c>
      <c r="G15" s="332" t="s">
        <v>12</v>
      </c>
    </row>
    <row r="16" spans="1:7" x14ac:dyDescent="0.25">
      <c r="B16" s="333">
        <v>10</v>
      </c>
      <c r="C16" s="318">
        <v>20</v>
      </c>
      <c r="D16" s="346" t="s">
        <v>19</v>
      </c>
      <c r="E16" s="325">
        <v>41026</v>
      </c>
      <c r="F16" s="326" t="s">
        <v>8</v>
      </c>
      <c r="G16" s="332" t="s">
        <v>12</v>
      </c>
    </row>
    <row r="17" spans="2:7" x14ac:dyDescent="0.25">
      <c r="B17" s="333">
        <v>11</v>
      </c>
      <c r="C17" s="318">
        <v>20</v>
      </c>
      <c r="D17" s="346" t="s">
        <v>20</v>
      </c>
      <c r="E17" s="325">
        <v>41100</v>
      </c>
      <c r="F17" s="326" t="s">
        <v>8</v>
      </c>
      <c r="G17" s="332" t="s">
        <v>12</v>
      </c>
    </row>
    <row r="18" spans="2:7" x14ac:dyDescent="0.25">
      <c r="B18" s="333">
        <v>12</v>
      </c>
      <c r="C18" s="318">
        <v>20</v>
      </c>
      <c r="D18" s="346" t="s">
        <v>21</v>
      </c>
      <c r="E18" s="325">
        <v>41110</v>
      </c>
      <c r="F18" s="326" t="s">
        <v>8</v>
      </c>
      <c r="G18" s="332" t="s">
        <v>12</v>
      </c>
    </row>
    <row r="19" spans="2:7" x14ac:dyDescent="0.25">
      <c r="B19" s="333">
        <v>13</v>
      </c>
      <c r="C19" s="318">
        <v>20</v>
      </c>
      <c r="D19" s="346" t="s">
        <v>22</v>
      </c>
      <c r="E19" s="325">
        <v>41113</v>
      </c>
      <c r="F19" s="326" t="s">
        <v>8</v>
      </c>
      <c r="G19" s="332" t="s">
        <v>12</v>
      </c>
    </row>
    <row r="20" spans="2:7" x14ac:dyDescent="0.25">
      <c r="B20" s="333">
        <v>14</v>
      </c>
      <c r="C20" s="318">
        <v>20</v>
      </c>
      <c r="D20" s="346" t="s">
        <v>23</v>
      </c>
      <c r="E20" s="325">
        <v>41116</v>
      </c>
      <c r="F20" s="326" t="s">
        <v>8</v>
      </c>
      <c r="G20" s="332" t="s">
        <v>12</v>
      </c>
    </row>
    <row r="21" spans="2:7" x14ac:dyDescent="0.25">
      <c r="B21" s="333">
        <v>15</v>
      </c>
      <c r="C21" s="318">
        <v>20</v>
      </c>
      <c r="D21" s="346" t="s">
        <v>24</v>
      </c>
      <c r="E21" s="325">
        <v>41120</v>
      </c>
      <c r="F21" s="326" t="s">
        <v>8</v>
      </c>
      <c r="G21" s="332" t="s">
        <v>12</v>
      </c>
    </row>
    <row r="22" spans="2:7" x14ac:dyDescent="0.25">
      <c r="B22" s="333">
        <v>16</v>
      </c>
      <c r="C22" s="318">
        <v>20</v>
      </c>
      <c r="D22" s="346" t="s">
        <v>25</v>
      </c>
      <c r="E22" s="325">
        <v>41120</v>
      </c>
      <c r="F22" s="326" t="s">
        <v>8</v>
      </c>
      <c r="G22" s="332" t="s">
        <v>12</v>
      </c>
    </row>
    <row r="23" spans="2:7" x14ac:dyDescent="0.25">
      <c r="B23" s="333">
        <v>17</v>
      </c>
      <c r="C23" s="318">
        <v>20</v>
      </c>
      <c r="D23" s="346" t="s">
        <v>26</v>
      </c>
      <c r="E23" s="325">
        <v>41124</v>
      </c>
      <c r="F23" s="326" t="s">
        <v>8</v>
      </c>
      <c r="G23" s="332" t="s">
        <v>12</v>
      </c>
    </row>
    <row r="24" spans="2:7" x14ac:dyDescent="0.25">
      <c r="B24" s="333">
        <v>18</v>
      </c>
      <c r="C24" s="318">
        <v>20</v>
      </c>
      <c r="D24" s="346" t="s">
        <v>27</v>
      </c>
      <c r="E24" s="325">
        <v>41131</v>
      </c>
      <c r="F24" s="326" t="s">
        <v>8</v>
      </c>
      <c r="G24" s="332" t="s">
        <v>12</v>
      </c>
    </row>
    <row r="25" spans="2:7" x14ac:dyDescent="0.25">
      <c r="B25" s="1012"/>
      <c r="C25" s="1013"/>
      <c r="D25" s="1014" t="s">
        <v>28</v>
      </c>
      <c r="E25" s="1015"/>
      <c r="F25" s="1017"/>
      <c r="G25" s="1016"/>
    </row>
    <row r="26" spans="2:7" x14ac:dyDescent="0.25">
      <c r="B26" s="333">
        <v>19</v>
      </c>
      <c r="C26" s="318">
        <v>20</v>
      </c>
      <c r="D26" s="346" t="s">
        <v>29</v>
      </c>
      <c r="E26" s="325">
        <v>41145</v>
      </c>
      <c r="F26" s="326" t="s">
        <v>8</v>
      </c>
      <c r="G26" s="332" t="s">
        <v>12</v>
      </c>
    </row>
    <row r="27" spans="2:7" x14ac:dyDescent="0.25">
      <c r="B27" s="333"/>
      <c r="C27" s="318"/>
      <c r="D27" s="346" t="s">
        <v>30</v>
      </c>
      <c r="E27" s="325"/>
      <c r="F27" s="326"/>
      <c r="G27" s="332"/>
    </row>
    <row r="28" spans="2:7" x14ac:dyDescent="0.25">
      <c r="B28" s="333"/>
      <c r="C28" s="318"/>
      <c r="D28" s="346" t="s">
        <v>31</v>
      </c>
      <c r="E28" s="325"/>
      <c r="F28" s="326"/>
      <c r="G28" s="332"/>
    </row>
    <row r="29" spans="2:7" x14ac:dyDescent="0.25">
      <c r="B29" s="333"/>
      <c r="C29" s="318"/>
      <c r="D29" s="346" t="s">
        <v>32</v>
      </c>
      <c r="E29" s="325"/>
      <c r="F29" s="326"/>
      <c r="G29" s="332"/>
    </row>
    <row r="30" spans="2:7" x14ac:dyDescent="0.25">
      <c r="B30" s="333"/>
      <c r="C30" s="318"/>
      <c r="D30" s="346" t="s">
        <v>33</v>
      </c>
      <c r="E30" s="325"/>
      <c r="F30" s="326"/>
      <c r="G30" s="332"/>
    </row>
    <row r="31" spans="2:7" x14ac:dyDescent="0.25">
      <c r="B31" s="1012"/>
      <c r="C31" s="1013"/>
      <c r="D31" s="1014" t="s">
        <v>34</v>
      </c>
      <c r="E31" s="1015"/>
      <c r="F31" s="1017"/>
      <c r="G31" s="1016"/>
    </row>
    <row r="32" spans="2:7" x14ac:dyDescent="0.25">
      <c r="B32" s="333">
        <v>20</v>
      </c>
      <c r="C32" s="318">
        <v>20</v>
      </c>
      <c r="D32" s="346" t="s">
        <v>35</v>
      </c>
      <c r="E32" s="325">
        <v>41171</v>
      </c>
      <c r="F32" s="326"/>
      <c r="G32" s="332" t="s">
        <v>36</v>
      </c>
    </row>
    <row r="33" spans="2:7" x14ac:dyDescent="0.25">
      <c r="B33" s="333"/>
      <c r="C33" s="318"/>
      <c r="D33" s="346" t="s">
        <v>37</v>
      </c>
      <c r="E33" s="325"/>
      <c r="F33" s="326"/>
      <c r="G33" s="332"/>
    </row>
    <row r="34" spans="2:7" x14ac:dyDescent="0.25">
      <c r="B34" s="333"/>
      <c r="C34" s="318"/>
      <c r="D34" s="346" t="s">
        <v>38</v>
      </c>
      <c r="E34" s="325"/>
      <c r="F34" s="326"/>
      <c r="G34" s="332"/>
    </row>
    <row r="35" spans="2:7" x14ac:dyDescent="0.25">
      <c r="B35" s="1012"/>
      <c r="C35" s="1013"/>
      <c r="D35" s="1014" t="s">
        <v>39</v>
      </c>
      <c r="E35" s="1015"/>
      <c r="F35" s="1017"/>
      <c r="G35" s="1016" t="s">
        <v>40</v>
      </c>
    </row>
    <row r="36" spans="2:7" x14ac:dyDescent="0.25">
      <c r="B36" s="333">
        <v>21</v>
      </c>
      <c r="C36" s="318">
        <v>20</v>
      </c>
      <c r="D36" s="346" t="s">
        <v>41</v>
      </c>
      <c r="E36" s="325"/>
      <c r="F36" s="326"/>
      <c r="G36" s="332" t="s">
        <v>36</v>
      </c>
    </row>
    <row r="37" spans="2:7" x14ac:dyDescent="0.25">
      <c r="B37" s="333"/>
      <c r="C37" s="318"/>
      <c r="D37" s="346" t="s">
        <v>42</v>
      </c>
      <c r="E37" s="325">
        <v>41223</v>
      </c>
      <c r="F37" s="326"/>
      <c r="G37" s="332"/>
    </row>
    <row r="38" spans="2:7" ht="26.4" x14ac:dyDescent="0.25">
      <c r="B38" s="333"/>
      <c r="C38" s="318"/>
      <c r="D38" s="346" t="s">
        <v>43</v>
      </c>
      <c r="E38" s="325"/>
      <c r="F38" s="326"/>
      <c r="G38" s="332"/>
    </row>
    <row r="39" spans="2:7" x14ac:dyDescent="0.25">
      <c r="B39" s="333"/>
      <c r="C39" s="318"/>
      <c r="D39" s="346" t="s">
        <v>44</v>
      </c>
      <c r="E39" s="325">
        <v>41257</v>
      </c>
      <c r="F39" s="326"/>
      <c r="G39" s="332" t="s">
        <v>40</v>
      </c>
    </row>
    <row r="40" spans="2:7" x14ac:dyDescent="0.25">
      <c r="B40" s="333"/>
      <c r="C40" s="318"/>
      <c r="D40" s="346" t="s">
        <v>45</v>
      </c>
      <c r="E40" s="325"/>
      <c r="F40" s="326"/>
      <c r="G40" s="332"/>
    </row>
    <row r="41" spans="2:7" x14ac:dyDescent="0.25">
      <c r="B41" s="1012"/>
      <c r="C41" s="1013"/>
      <c r="D41" s="1014" t="s">
        <v>46</v>
      </c>
      <c r="E41" s="1015">
        <v>41269</v>
      </c>
      <c r="F41" s="1017"/>
      <c r="G41" s="1016" t="s">
        <v>40</v>
      </c>
    </row>
    <row r="42" spans="2:7" x14ac:dyDescent="0.25">
      <c r="B42" s="333">
        <v>22</v>
      </c>
      <c r="C42" s="318">
        <v>20</v>
      </c>
      <c r="D42" s="346" t="s">
        <v>47</v>
      </c>
      <c r="E42" s="325">
        <v>41278</v>
      </c>
      <c r="F42" s="326"/>
      <c r="G42" s="332" t="s">
        <v>12</v>
      </c>
    </row>
    <row r="43" spans="2:7" x14ac:dyDescent="0.25">
      <c r="B43" s="333"/>
      <c r="C43" s="318"/>
      <c r="D43" s="346" t="s">
        <v>48</v>
      </c>
      <c r="E43" s="325"/>
      <c r="F43" s="326"/>
      <c r="G43" s="332"/>
    </row>
    <row r="44" spans="2:7" x14ac:dyDescent="0.25">
      <c r="B44" s="333"/>
      <c r="C44" s="318"/>
      <c r="D44" s="346" t="s">
        <v>49</v>
      </c>
      <c r="E44" s="325"/>
      <c r="F44" s="326"/>
      <c r="G44" s="332"/>
    </row>
    <row r="45" spans="2:7" x14ac:dyDescent="0.25">
      <c r="B45" s="333"/>
      <c r="C45" s="318"/>
      <c r="D45" s="346" t="s">
        <v>50</v>
      </c>
      <c r="E45" s="325">
        <v>41282</v>
      </c>
      <c r="F45" s="326"/>
      <c r="G45" s="332"/>
    </row>
    <row r="46" spans="2:7" x14ac:dyDescent="0.25">
      <c r="B46" s="333"/>
      <c r="C46" s="318"/>
      <c r="D46" s="346" t="s">
        <v>51</v>
      </c>
      <c r="E46" s="325"/>
      <c r="F46" s="326"/>
      <c r="G46" s="332"/>
    </row>
    <row r="47" spans="2:7" x14ac:dyDescent="0.25">
      <c r="B47" s="333"/>
      <c r="C47" s="318"/>
      <c r="D47" s="346" t="s">
        <v>52</v>
      </c>
      <c r="E47" s="325"/>
      <c r="F47" s="326"/>
      <c r="G47" s="332"/>
    </row>
    <row r="48" spans="2:7" x14ac:dyDescent="0.25">
      <c r="B48" s="333"/>
      <c r="C48" s="318"/>
      <c r="D48" s="346" t="s">
        <v>53</v>
      </c>
      <c r="E48" s="325"/>
      <c r="F48" s="326"/>
      <c r="G48" s="332"/>
    </row>
    <row r="49" spans="2:7" x14ac:dyDescent="0.25">
      <c r="B49" s="1012"/>
      <c r="C49" s="1013"/>
      <c r="D49" s="1014" t="s">
        <v>54</v>
      </c>
      <c r="E49" s="1015"/>
      <c r="F49" s="1017"/>
      <c r="G49" s="1016"/>
    </row>
    <row r="50" spans="2:7" x14ac:dyDescent="0.25">
      <c r="B50" s="333">
        <v>23</v>
      </c>
      <c r="C50" s="318">
        <v>20</v>
      </c>
      <c r="D50" s="346" t="s">
        <v>55</v>
      </c>
      <c r="E50" s="325"/>
      <c r="F50" s="326"/>
      <c r="G50" s="332" t="s">
        <v>12</v>
      </c>
    </row>
    <row r="51" spans="2:7" x14ac:dyDescent="0.25">
      <c r="B51" s="333"/>
      <c r="C51" s="318"/>
      <c r="D51" s="346" t="s">
        <v>56</v>
      </c>
      <c r="E51" s="325"/>
      <c r="F51" s="326"/>
      <c r="G51" s="332"/>
    </row>
    <row r="52" spans="2:7" x14ac:dyDescent="0.25">
      <c r="B52" s="333"/>
      <c r="C52" s="318"/>
      <c r="D52" s="346" t="s">
        <v>57</v>
      </c>
      <c r="E52" s="325"/>
      <c r="F52" s="326"/>
      <c r="G52" s="332"/>
    </row>
    <row r="53" spans="2:7" x14ac:dyDescent="0.25">
      <c r="B53" s="333"/>
      <c r="C53" s="318"/>
      <c r="D53" s="346" t="s">
        <v>58</v>
      </c>
      <c r="E53" s="325">
        <v>41289</v>
      </c>
      <c r="F53" s="326"/>
      <c r="G53" s="332" t="s">
        <v>40</v>
      </c>
    </row>
    <row r="54" spans="2:7" x14ac:dyDescent="0.25">
      <c r="B54" s="333"/>
      <c r="C54" s="318"/>
      <c r="D54" s="346" t="s">
        <v>59</v>
      </c>
      <c r="E54" s="325"/>
      <c r="F54" s="326"/>
      <c r="G54" s="332"/>
    </row>
    <row r="55" spans="2:7" x14ac:dyDescent="0.25">
      <c r="B55" s="333"/>
      <c r="C55" s="318"/>
      <c r="D55" s="346" t="s">
        <v>60</v>
      </c>
      <c r="E55" s="325"/>
      <c r="F55" s="326"/>
      <c r="G55" s="332"/>
    </row>
    <row r="56" spans="2:7" x14ac:dyDescent="0.25">
      <c r="B56" s="1012"/>
      <c r="C56" s="1013"/>
      <c r="D56" s="1014" t="s">
        <v>61</v>
      </c>
      <c r="E56" s="1015">
        <v>41311</v>
      </c>
      <c r="F56" s="1017"/>
      <c r="G56" s="1016" t="s">
        <v>40</v>
      </c>
    </row>
    <row r="57" spans="2:7" x14ac:dyDescent="0.25">
      <c r="B57" s="333">
        <v>24</v>
      </c>
      <c r="C57" s="318">
        <v>20</v>
      </c>
      <c r="D57" s="346" t="s">
        <v>62</v>
      </c>
      <c r="E57" s="325">
        <v>41313</v>
      </c>
      <c r="F57" s="326"/>
      <c r="G57" s="332" t="s">
        <v>40</v>
      </c>
    </row>
    <row r="58" spans="2:7" x14ac:dyDescent="0.25">
      <c r="B58" s="333"/>
      <c r="C58" s="318"/>
      <c r="D58" s="346" t="s">
        <v>63</v>
      </c>
      <c r="E58" s="325"/>
      <c r="F58" s="326"/>
      <c r="G58" s="332"/>
    </row>
    <row r="59" spans="2:7" x14ac:dyDescent="0.25">
      <c r="B59" s="333"/>
      <c r="C59" s="318"/>
      <c r="D59" s="346" t="s">
        <v>64</v>
      </c>
      <c r="E59" s="325"/>
      <c r="F59" s="326"/>
      <c r="G59" s="332"/>
    </row>
    <row r="60" spans="2:7" x14ac:dyDescent="0.25">
      <c r="B60" s="333"/>
      <c r="C60" s="318"/>
      <c r="D60" s="346" t="s">
        <v>65</v>
      </c>
      <c r="E60" s="325"/>
      <c r="F60" s="326"/>
      <c r="G60" s="332"/>
    </row>
    <row r="61" spans="2:7" x14ac:dyDescent="0.25">
      <c r="B61" s="333"/>
      <c r="C61" s="318"/>
      <c r="D61" s="346" t="s">
        <v>66</v>
      </c>
      <c r="E61" s="325"/>
      <c r="F61" s="326"/>
      <c r="G61" s="332"/>
    </row>
    <row r="62" spans="2:7" x14ac:dyDescent="0.25">
      <c r="B62" s="333"/>
      <c r="C62" s="318"/>
      <c r="D62" s="346" t="s">
        <v>67</v>
      </c>
      <c r="E62" s="325"/>
      <c r="F62" s="326"/>
      <c r="G62" s="332"/>
    </row>
    <row r="63" spans="2:7" x14ac:dyDescent="0.25">
      <c r="B63" s="333"/>
      <c r="C63" s="318"/>
      <c r="D63" s="346" t="s">
        <v>68</v>
      </c>
      <c r="E63" s="325"/>
      <c r="F63" s="326"/>
      <c r="G63" s="332"/>
    </row>
    <row r="64" spans="2:7" x14ac:dyDescent="0.25">
      <c r="B64" s="1142"/>
      <c r="C64" s="1019"/>
      <c r="D64" s="1014" t="s">
        <v>69</v>
      </c>
      <c r="E64" s="1015"/>
      <c r="F64" s="1017"/>
      <c r="G64" s="1016"/>
    </row>
    <row r="65" spans="2:7" x14ac:dyDescent="0.25">
      <c r="B65" s="333" t="s">
        <v>70</v>
      </c>
      <c r="C65" s="318">
        <v>20</v>
      </c>
      <c r="D65" s="346" t="s">
        <v>71</v>
      </c>
      <c r="E65" s="325">
        <v>41344</v>
      </c>
      <c r="F65" s="318" t="s">
        <v>72</v>
      </c>
      <c r="G65" s="332" t="s">
        <v>40</v>
      </c>
    </row>
    <row r="66" spans="2:7" x14ac:dyDescent="0.25">
      <c r="B66" s="333"/>
      <c r="C66" s="318"/>
      <c r="D66" s="346" t="s">
        <v>73</v>
      </c>
      <c r="E66" s="325">
        <v>41353</v>
      </c>
      <c r="F66" s="326"/>
      <c r="G66" s="332"/>
    </row>
    <row r="67" spans="2:7" x14ac:dyDescent="0.25">
      <c r="B67" s="333"/>
      <c r="C67" s="318"/>
      <c r="D67" s="346" t="s">
        <v>74</v>
      </c>
      <c r="E67" s="325"/>
      <c r="F67" s="326"/>
      <c r="G67" s="332"/>
    </row>
    <row r="68" spans="2:7" x14ac:dyDescent="0.25">
      <c r="B68" s="333"/>
      <c r="C68" s="318"/>
      <c r="D68" s="346" t="s">
        <v>75</v>
      </c>
      <c r="E68" s="325"/>
      <c r="F68" s="326"/>
      <c r="G68" s="332"/>
    </row>
    <row r="69" spans="2:7" x14ac:dyDescent="0.25">
      <c r="B69" s="333"/>
      <c r="C69" s="318"/>
      <c r="D69" s="346" t="s">
        <v>76</v>
      </c>
      <c r="E69" s="325"/>
      <c r="F69" s="326"/>
      <c r="G69" s="332"/>
    </row>
    <row r="70" spans="2:7" x14ac:dyDescent="0.25">
      <c r="B70" s="333"/>
      <c r="C70" s="318"/>
      <c r="D70" s="346" t="s">
        <v>77</v>
      </c>
      <c r="E70" s="325"/>
      <c r="F70" s="326"/>
      <c r="G70" s="332"/>
    </row>
    <row r="71" spans="2:7" x14ac:dyDescent="0.25">
      <c r="B71" s="333"/>
      <c r="C71" s="318"/>
      <c r="D71" s="346" t="s">
        <v>78</v>
      </c>
      <c r="E71" s="325"/>
      <c r="F71" s="326"/>
      <c r="G71" s="332"/>
    </row>
    <row r="72" spans="2:7" x14ac:dyDescent="0.25">
      <c r="B72" s="333"/>
      <c r="C72" s="318"/>
      <c r="D72" s="346" t="s">
        <v>79</v>
      </c>
      <c r="E72" s="325"/>
      <c r="F72" s="326"/>
      <c r="G72" s="332"/>
    </row>
    <row r="73" spans="2:7" x14ac:dyDescent="0.25">
      <c r="B73" s="1012"/>
      <c r="C73" s="1013"/>
      <c r="D73" s="1014" t="s">
        <v>80</v>
      </c>
      <c r="E73" s="1015"/>
      <c r="F73" s="1017"/>
      <c r="G73" s="1016"/>
    </row>
    <row r="74" spans="2:7" x14ac:dyDescent="0.25">
      <c r="B74" s="333" t="s">
        <v>81</v>
      </c>
      <c r="C74" s="318"/>
      <c r="D74" s="346" t="s">
        <v>82</v>
      </c>
      <c r="E74" s="325">
        <v>41516</v>
      </c>
      <c r="F74" s="318" t="s">
        <v>83</v>
      </c>
      <c r="G74" s="332" t="s">
        <v>40</v>
      </c>
    </row>
    <row r="75" spans="2:7" x14ac:dyDescent="0.25">
      <c r="B75" s="333"/>
      <c r="C75" s="318"/>
      <c r="D75" s="346" t="s">
        <v>84</v>
      </c>
      <c r="E75" s="325"/>
      <c r="F75" s="326"/>
      <c r="G75" s="332"/>
    </row>
    <row r="76" spans="2:7" x14ac:dyDescent="0.25">
      <c r="B76" s="333"/>
      <c r="C76" s="318"/>
      <c r="D76" s="346" t="s">
        <v>85</v>
      </c>
      <c r="E76" s="325"/>
      <c r="F76" s="326"/>
      <c r="G76" s="332"/>
    </row>
    <row r="77" spans="2:7" x14ac:dyDescent="0.25">
      <c r="B77" s="333"/>
      <c r="C77" s="318"/>
      <c r="D77" s="346" t="s">
        <v>86</v>
      </c>
      <c r="E77" s="325"/>
      <c r="F77" s="326"/>
      <c r="G77" s="332"/>
    </row>
    <row r="78" spans="2:7" x14ac:dyDescent="0.25">
      <c r="B78" s="333"/>
      <c r="C78" s="318"/>
      <c r="D78" s="346" t="s">
        <v>87</v>
      </c>
      <c r="E78" s="325"/>
      <c r="F78" s="326"/>
      <c r="G78" s="332"/>
    </row>
    <row r="79" spans="2:7" x14ac:dyDescent="0.25">
      <c r="B79" s="333"/>
      <c r="C79" s="318"/>
      <c r="D79" s="346" t="s">
        <v>88</v>
      </c>
      <c r="E79" s="325"/>
      <c r="F79" s="326"/>
      <c r="G79" s="332"/>
    </row>
    <row r="80" spans="2:7" ht="26.4" x14ac:dyDescent="0.25">
      <c r="B80" s="333"/>
      <c r="C80" s="318"/>
      <c r="D80" s="346" t="s">
        <v>89</v>
      </c>
      <c r="E80" s="325"/>
      <c r="F80" s="326"/>
      <c r="G80" s="332"/>
    </row>
    <row r="81" spans="2:7" ht="26.4" x14ac:dyDescent="0.25">
      <c r="B81" s="333"/>
      <c r="C81" s="318"/>
      <c r="D81" s="346" t="s">
        <v>90</v>
      </c>
      <c r="E81" s="325"/>
      <c r="F81" s="326"/>
      <c r="G81" s="332"/>
    </row>
    <row r="82" spans="2:7" x14ac:dyDescent="0.25">
      <c r="B82" s="1012"/>
      <c r="C82" s="1013"/>
      <c r="D82" s="1014" t="s">
        <v>91</v>
      </c>
      <c r="E82" s="1141">
        <v>41591</v>
      </c>
      <c r="F82" s="1013" t="s">
        <v>92</v>
      </c>
      <c r="G82" s="1016" t="s">
        <v>93</v>
      </c>
    </row>
    <row r="83" spans="2:7" x14ac:dyDescent="0.25">
      <c r="B83" s="333" t="s">
        <v>94</v>
      </c>
      <c r="C83" s="318"/>
      <c r="D83" s="346" t="s">
        <v>95</v>
      </c>
      <c r="E83" s="325">
        <v>41537</v>
      </c>
      <c r="F83" s="318" t="s">
        <v>96</v>
      </c>
      <c r="G83" s="332" t="s">
        <v>40</v>
      </c>
    </row>
    <row r="84" spans="2:7" x14ac:dyDescent="0.25">
      <c r="B84" s="333"/>
      <c r="C84" s="318"/>
      <c r="D84" s="346" t="s">
        <v>97</v>
      </c>
      <c r="E84" s="325"/>
      <c r="F84" s="318" t="s">
        <v>96</v>
      </c>
      <c r="G84" s="332"/>
    </row>
    <row r="85" spans="2:7" x14ac:dyDescent="0.25">
      <c r="B85" s="333"/>
      <c r="C85" s="318"/>
      <c r="D85" s="346" t="s">
        <v>98</v>
      </c>
      <c r="E85" s="325">
        <v>41592</v>
      </c>
      <c r="F85" s="318" t="s">
        <v>99</v>
      </c>
      <c r="G85" s="332" t="s">
        <v>40</v>
      </c>
    </row>
    <row r="86" spans="2:7" x14ac:dyDescent="0.25">
      <c r="B86" s="333"/>
      <c r="C86" s="318"/>
      <c r="D86" s="346" t="s">
        <v>100</v>
      </c>
      <c r="E86" s="325"/>
      <c r="F86" s="318" t="s">
        <v>101</v>
      </c>
      <c r="G86" s="332" t="s">
        <v>40</v>
      </c>
    </row>
    <row r="87" spans="2:7" x14ac:dyDescent="0.25">
      <c r="B87" s="333"/>
      <c r="C87" s="318"/>
      <c r="D87" s="346" t="s">
        <v>102</v>
      </c>
      <c r="E87" s="325"/>
      <c r="F87" s="318" t="s">
        <v>101</v>
      </c>
      <c r="G87" s="332" t="s">
        <v>40</v>
      </c>
    </row>
    <row r="88" spans="2:7" x14ac:dyDescent="0.25">
      <c r="B88" s="333"/>
      <c r="C88" s="318"/>
      <c r="D88" s="346" t="s">
        <v>103</v>
      </c>
      <c r="E88" s="325"/>
      <c r="F88" s="318" t="s">
        <v>101</v>
      </c>
      <c r="G88" s="332" t="s">
        <v>40</v>
      </c>
    </row>
    <row r="89" spans="2:7" x14ac:dyDescent="0.25">
      <c r="B89" s="333"/>
      <c r="C89" s="318"/>
      <c r="D89" s="346" t="s">
        <v>104</v>
      </c>
      <c r="E89" s="325">
        <v>41649</v>
      </c>
      <c r="F89" s="318" t="s">
        <v>105</v>
      </c>
      <c r="G89" s="332" t="s">
        <v>106</v>
      </c>
    </row>
    <row r="90" spans="2:7" x14ac:dyDescent="0.25">
      <c r="B90" s="333"/>
      <c r="C90" s="318"/>
      <c r="D90" s="346" t="s">
        <v>107</v>
      </c>
      <c r="E90" s="325">
        <v>41652</v>
      </c>
      <c r="F90" s="318" t="s">
        <v>108</v>
      </c>
      <c r="G90" s="332" t="s">
        <v>106</v>
      </c>
    </row>
    <row r="91" spans="2:7" x14ac:dyDescent="0.25">
      <c r="B91" s="333"/>
      <c r="C91" s="318"/>
      <c r="D91" s="346" t="s">
        <v>109</v>
      </c>
      <c r="E91" s="325">
        <v>41659</v>
      </c>
      <c r="F91" s="318" t="s">
        <v>101</v>
      </c>
      <c r="G91" s="332" t="s">
        <v>40</v>
      </c>
    </row>
    <row r="92" spans="2:7" ht="26.4" x14ac:dyDescent="0.25">
      <c r="B92" s="333"/>
      <c r="C92" s="318"/>
      <c r="D92" s="346" t="s">
        <v>110</v>
      </c>
      <c r="E92" s="325">
        <v>41660</v>
      </c>
      <c r="F92" s="318" t="s">
        <v>101</v>
      </c>
      <c r="G92" s="332" t="s">
        <v>40</v>
      </c>
    </row>
    <row r="93" spans="2:7" x14ac:dyDescent="0.25">
      <c r="B93" s="1012"/>
      <c r="C93" s="1013"/>
      <c r="D93" s="1014" t="s">
        <v>111</v>
      </c>
      <c r="E93" s="1015">
        <v>41695</v>
      </c>
      <c r="F93" s="1013" t="s">
        <v>101</v>
      </c>
      <c r="G93" s="1016" t="s">
        <v>40</v>
      </c>
    </row>
    <row r="94" spans="2:7" x14ac:dyDescent="0.25">
      <c r="B94" s="333" t="s">
        <v>112</v>
      </c>
      <c r="C94" s="318"/>
      <c r="D94" s="346" t="s">
        <v>113</v>
      </c>
      <c r="E94" s="325">
        <v>41731</v>
      </c>
      <c r="F94" s="326" t="s">
        <v>8</v>
      </c>
      <c r="G94" s="332" t="s">
        <v>106</v>
      </c>
    </row>
    <row r="95" spans="2:7" x14ac:dyDescent="0.25">
      <c r="B95" s="333"/>
      <c r="C95" s="318"/>
      <c r="D95" s="346" t="s">
        <v>114</v>
      </c>
      <c r="E95" s="325">
        <v>41745</v>
      </c>
      <c r="F95" s="318" t="s">
        <v>115</v>
      </c>
      <c r="G95" s="332" t="s">
        <v>40</v>
      </c>
    </row>
    <row r="96" spans="2:7" x14ac:dyDescent="0.25">
      <c r="B96" s="333"/>
      <c r="C96" s="318"/>
      <c r="D96" s="346" t="s">
        <v>116</v>
      </c>
      <c r="E96" s="325" t="s">
        <v>117</v>
      </c>
      <c r="F96" s="318" t="s">
        <v>118</v>
      </c>
      <c r="G96" s="332" t="s">
        <v>9</v>
      </c>
    </row>
    <row r="97" spans="2:7" x14ac:dyDescent="0.25">
      <c r="B97" s="333"/>
      <c r="C97" s="318"/>
      <c r="D97" s="346" t="s">
        <v>119</v>
      </c>
      <c r="E97" s="325">
        <v>41767</v>
      </c>
      <c r="F97" s="318" t="s">
        <v>120</v>
      </c>
      <c r="G97" s="332" t="s">
        <v>40</v>
      </c>
    </row>
    <row r="98" spans="2:7" x14ac:dyDescent="0.25">
      <c r="B98" s="333"/>
      <c r="C98" s="318"/>
      <c r="D98" s="346" t="s">
        <v>121</v>
      </c>
      <c r="E98" s="325">
        <v>41778</v>
      </c>
      <c r="F98" s="318" t="s">
        <v>105</v>
      </c>
      <c r="G98" s="332" t="s">
        <v>106</v>
      </c>
    </row>
    <row r="99" spans="2:7" x14ac:dyDescent="0.25">
      <c r="B99" s="333"/>
      <c r="C99" s="318"/>
      <c r="D99" s="346" t="s">
        <v>122</v>
      </c>
      <c r="E99" s="325">
        <v>41841</v>
      </c>
      <c r="F99" s="326" t="s">
        <v>8</v>
      </c>
      <c r="G99" s="332" t="s">
        <v>106</v>
      </c>
    </row>
    <row r="100" spans="2:7" x14ac:dyDescent="0.25">
      <c r="B100" s="333"/>
      <c r="C100" s="318"/>
      <c r="D100" s="346" t="s">
        <v>123</v>
      </c>
      <c r="E100" s="325">
        <v>41933</v>
      </c>
      <c r="G100" s="332" t="s">
        <v>40</v>
      </c>
    </row>
    <row r="101" spans="2:7" x14ac:dyDescent="0.25">
      <c r="B101" s="333"/>
      <c r="C101" s="318"/>
      <c r="D101" s="346" t="s">
        <v>124</v>
      </c>
      <c r="E101" s="325">
        <v>41942</v>
      </c>
      <c r="F101" s="318" t="s">
        <v>125</v>
      </c>
      <c r="G101" s="332" t="s">
        <v>9</v>
      </c>
    </row>
    <row r="102" spans="2:7" x14ac:dyDescent="0.25">
      <c r="B102" s="1012"/>
      <c r="C102" s="1013"/>
      <c r="D102" s="1014" t="s">
        <v>126</v>
      </c>
      <c r="E102" s="1015">
        <v>41942</v>
      </c>
      <c r="F102" s="1013" t="s">
        <v>127</v>
      </c>
      <c r="G102" s="1016" t="s">
        <v>40</v>
      </c>
    </row>
    <row r="103" spans="2:7" x14ac:dyDescent="0.25">
      <c r="B103" s="333" t="s">
        <v>128</v>
      </c>
      <c r="C103" s="318"/>
      <c r="D103" s="346" t="s">
        <v>129</v>
      </c>
      <c r="E103" s="325">
        <v>41942</v>
      </c>
      <c r="F103" s="318" t="s">
        <v>130</v>
      </c>
      <c r="G103" s="332" t="s">
        <v>40</v>
      </c>
    </row>
    <row r="104" spans="2:7" x14ac:dyDescent="0.25">
      <c r="B104" s="333"/>
      <c r="C104" s="318"/>
      <c r="D104" s="346" t="s">
        <v>131</v>
      </c>
      <c r="E104" s="325">
        <v>41942</v>
      </c>
      <c r="F104" s="318" t="s">
        <v>130</v>
      </c>
      <c r="G104" s="332" t="s">
        <v>40</v>
      </c>
    </row>
    <row r="105" spans="2:7" x14ac:dyDescent="0.25">
      <c r="B105" s="333"/>
      <c r="C105" s="318"/>
      <c r="D105" s="346" t="s">
        <v>132</v>
      </c>
      <c r="E105" s="325">
        <v>42397</v>
      </c>
      <c r="F105" s="318" t="s">
        <v>130</v>
      </c>
      <c r="G105" s="332" t="s">
        <v>40</v>
      </c>
    </row>
    <row r="106" spans="2:7" ht="26.4" x14ac:dyDescent="0.25">
      <c r="B106" s="333"/>
      <c r="C106" s="318"/>
      <c r="D106" s="346" t="s">
        <v>133</v>
      </c>
      <c r="E106" s="325">
        <v>41962</v>
      </c>
      <c r="F106" s="318" t="s">
        <v>134</v>
      </c>
      <c r="G106" s="332" t="s">
        <v>106</v>
      </c>
    </row>
    <row r="107" spans="2:7" x14ac:dyDescent="0.25">
      <c r="B107" s="333"/>
      <c r="C107" s="318"/>
      <c r="D107" s="346" t="s">
        <v>71</v>
      </c>
      <c r="E107" s="325">
        <v>42057</v>
      </c>
      <c r="F107" s="318" t="s">
        <v>135</v>
      </c>
      <c r="G107" s="332" t="s">
        <v>40</v>
      </c>
    </row>
    <row r="108" spans="2:7" x14ac:dyDescent="0.25">
      <c r="B108" s="333"/>
      <c r="C108" s="318"/>
      <c r="D108" s="346" t="s">
        <v>136</v>
      </c>
      <c r="E108" s="325">
        <v>42073</v>
      </c>
      <c r="F108" s="326" t="s">
        <v>8</v>
      </c>
      <c r="G108" s="332" t="s">
        <v>106</v>
      </c>
    </row>
    <row r="109" spans="2:7" x14ac:dyDescent="0.25">
      <c r="B109" s="333"/>
      <c r="C109" s="318"/>
      <c r="D109" s="346" t="s">
        <v>137</v>
      </c>
      <c r="E109" s="325">
        <v>42080</v>
      </c>
      <c r="F109" s="318" t="s">
        <v>138</v>
      </c>
      <c r="G109" s="332" t="s">
        <v>93</v>
      </c>
    </row>
    <row r="110" spans="2:7" ht="39.6" x14ac:dyDescent="0.25">
      <c r="B110" s="333"/>
      <c r="C110" s="318"/>
      <c r="D110" s="346" t="s">
        <v>139</v>
      </c>
      <c r="E110" s="325">
        <v>42082</v>
      </c>
      <c r="F110" s="318" t="s">
        <v>140</v>
      </c>
      <c r="G110" s="332" t="s">
        <v>40</v>
      </c>
    </row>
    <row r="111" spans="2:7" x14ac:dyDescent="0.25">
      <c r="B111" s="333"/>
      <c r="C111" s="318"/>
      <c r="D111" s="346" t="s">
        <v>141</v>
      </c>
      <c r="E111" s="325">
        <v>42107</v>
      </c>
      <c r="F111" s="318" t="s">
        <v>142</v>
      </c>
      <c r="G111" s="332" t="s">
        <v>106</v>
      </c>
    </row>
    <row r="112" spans="2:7" x14ac:dyDescent="0.25">
      <c r="B112" s="333"/>
      <c r="C112" s="318"/>
      <c r="D112" s="346" t="s">
        <v>143</v>
      </c>
      <c r="E112" s="325">
        <v>42159</v>
      </c>
      <c r="F112" s="326" t="s">
        <v>8</v>
      </c>
      <c r="G112" s="332" t="s">
        <v>106</v>
      </c>
    </row>
    <row r="113" spans="2:7" x14ac:dyDescent="0.25">
      <c r="B113" s="333"/>
      <c r="C113" s="318"/>
      <c r="D113" s="346" t="s">
        <v>144</v>
      </c>
      <c r="E113" s="325">
        <v>42227</v>
      </c>
      <c r="F113" s="318" t="s">
        <v>145</v>
      </c>
      <c r="G113" s="332" t="s">
        <v>40</v>
      </c>
    </row>
    <row r="114" spans="2:7" x14ac:dyDescent="0.25">
      <c r="B114" s="333"/>
      <c r="C114" s="318"/>
      <c r="D114" s="346" t="s">
        <v>146</v>
      </c>
      <c r="E114" s="325">
        <v>42250</v>
      </c>
      <c r="F114" s="318" t="s">
        <v>147</v>
      </c>
      <c r="G114" s="332" t="s">
        <v>40</v>
      </c>
    </row>
    <row r="115" spans="2:7" x14ac:dyDescent="0.25">
      <c r="B115" s="333"/>
      <c r="C115" s="318"/>
      <c r="D115" s="346" t="s">
        <v>148</v>
      </c>
      <c r="E115" s="325">
        <v>42251</v>
      </c>
      <c r="F115" s="318" t="s">
        <v>147</v>
      </c>
      <c r="G115" s="332" t="s">
        <v>40</v>
      </c>
    </row>
    <row r="116" spans="2:7" x14ac:dyDescent="0.25">
      <c r="B116" s="333"/>
      <c r="C116" s="318"/>
      <c r="D116" s="346" t="s">
        <v>149</v>
      </c>
      <c r="E116" s="325">
        <v>42250</v>
      </c>
      <c r="F116" s="318" t="s">
        <v>150</v>
      </c>
      <c r="G116" s="332" t="s">
        <v>40</v>
      </c>
    </row>
    <row r="117" spans="2:7" x14ac:dyDescent="0.25">
      <c r="B117" s="333"/>
      <c r="C117" s="318"/>
      <c r="D117" s="346" t="s">
        <v>151</v>
      </c>
      <c r="E117" s="325">
        <v>42305</v>
      </c>
      <c r="F117" s="326" t="s">
        <v>8</v>
      </c>
      <c r="G117" s="332" t="s">
        <v>106</v>
      </c>
    </row>
    <row r="118" spans="2:7" x14ac:dyDescent="0.25">
      <c r="B118" s="333"/>
      <c r="C118" s="318"/>
      <c r="D118" s="346" t="s">
        <v>152</v>
      </c>
      <c r="E118" s="325">
        <v>42929</v>
      </c>
      <c r="F118" s="326" t="s">
        <v>153</v>
      </c>
      <c r="G118" s="332" t="s">
        <v>40</v>
      </c>
    </row>
    <row r="119" spans="2:7" x14ac:dyDescent="0.25">
      <c r="B119" s="1012"/>
      <c r="C119" s="1013"/>
      <c r="D119" s="1014" t="s">
        <v>154</v>
      </c>
      <c r="E119" s="1015">
        <v>42844</v>
      </c>
      <c r="F119" s="1017" t="s">
        <v>8</v>
      </c>
      <c r="G119" s="1016" t="s">
        <v>9</v>
      </c>
    </row>
    <row r="120" spans="2:7" x14ac:dyDescent="0.25">
      <c r="B120" s="333" t="s">
        <v>155</v>
      </c>
      <c r="C120" s="318"/>
      <c r="D120" s="346" t="s">
        <v>156</v>
      </c>
      <c r="E120" s="325">
        <v>42465</v>
      </c>
      <c r="F120" s="318" t="s">
        <v>157</v>
      </c>
      <c r="G120" s="332" t="s">
        <v>9</v>
      </c>
    </row>
    <row r="121" spans="2:7" x14ac:dyDescent="0.25">
      <c r="B121" s="333"/>
      <c r="C121" s="318"/>
      <c r="D121" s="346" t="s">
        <v>158</v>
      </c>
      <c r="E121" s="325">
        <v>42634</v>
      </c>
      <c r="F121" s="318" t="s">
        <v>159</v>
      </c>
      <c r="G121" s="332" t="s">
        <v>40</v>
      </c>
    </row>
    <row r="122" spans="2:7" ht="39.6" x14ac:dyDescent="0.25">
      <c r="B122" s="333"/>
      <c r="C122" s="318"/>
      <c r="D122" s="346" t="s">
        <v>160</v>
      </c>
      <c r="E122" s="325">
        <v>42682</v>
      </c>
      <c r="F122" s="318" t="s">
        <v>161</v>
      </c>
      <c r="G122" s="332" t="s">
        <v>40</v>
      </c>
    </row>
    <row r="123" spans="2:7" x14ac:dyDescent="0.25">
      <c r="B123" s="1012"/>
      <c r="C123" s="1013"/>
      <c r="D123" s="1014" t="s">
        <v>162</v>
      </c>
      <c r="E123" s="1015">
        <v>43041</v>
      </c>
      <c r="F123" s="1017" t="s">
        <v>153</v>
      </c>
      <c r="G123" s="1016" t="s">
        <v>9</v>
      </c>
    </row>
    <row r="124" spans="2:7" x14ac:dyDescent="0.25">
      <c r="B124" s="333" t="s">
        <v>163</v>
      </c>
      <c r="C124" s="318"/>
      <c r="D124" s="346" t="s">
        <v>164</v>
      </c>
      <c r="E124" s="325">
        <v>42949</v>
      </c>
      <c r="F124" s="318" t="s">
        <v>165</v>
      </c>
      <c r="G124" s="332" t="s">
        <v>40</v>
      </c>
    </row>
    <row r="125" spans="2:7" x14ac:dyDescent="0.25">
      <c r="B125" s="333"/>
      <c r="C125" s="318"/>
      <c r="D125" s="346" t="s">
        <v>166</v>
      </c>
      <c r="E125" s="325">
        <v>42999</v>
      </c>
      <c r="F125" s="318" t="s">
        <v>167</v>
      </c>
      <c r="G125" s="332" t="s">
        <v>40</v>
      </c>
    </row>
    <row r="126" spans="2:7" x14ac:dyDescent="0.25">
      <c r="B126" s="333"/>
      <c r="C126" s="318"/>
      <c r="D126" s="346" t="s">
        <v>168</v>
      </c>
      <c r="E126" s="325">
        <v>42999</v>
      </c>
      <c r="F126" s="318" t="s">
        <v>169</v>
      </c>
      <c r="G126" s="332" t="s">
        <v>40</v>
      </c>
    </row>
    <row r="127" spans="2:7" x14ac:dyDescent="0.25">
      <c r="B127" s="333"/>
      <c r="C127" s="318"/>
      <c r="D127" s="346" t="s">
        <v>170</v>
      </c>
      <c r="E127" s="325">
        <v>43007</v>
      </c>
      <c r="F127" s="318" t="s">
        <v>171</v>
      </c>
      <c r="G127" s="332" t="s">
        <v>40</v>
      </c>
    </row>
    <row r="128" spans="2:7" x14ac:dyDescent="0.25">
      <c r="B128" s="333"/>
      <c r="C128" s="318"/>
      <c r="D128" s="346" t="s">
        <v>1906</v>
      </c>
      <c r="E128" s="325">
        <v>43154</v>
      </c>
      <c r="F128" s="318" t="s">
        <v>1907</v>
      </c>
      <c r="G128" s="332" t="s">
        <v>219</v>
      </c>
    </row>
    <row r="129" spans="2:7" x14ac:dyDescent="0.25">
      <c r="B129" s="333"/>
      <c r="C129" s="318"/>
      <c r="D129" s="346" t="s">
        <v>172</v>
      </c>
      <c r="E129" s="325">
        <v>43214</v>
      </c>
      <c r="F129" s="318" t="s">
        <v>173</v>
      </c>
      <c r="G129" s="332" t="s">
        <v>174</v>
      </c>
    </row>
    <row r="130" spans="2:7" ht="26.4" x14ac:dyDescent="0.25">
      <c r="B130" s="341" t="s">
        <v>175</v>
      </c>
      <c r="C130" s="342"/>
      <c r="D130" s="348" t="s">
        <v>176</v>
      </c>
      <c r="E130" s="343">
        <v>43241</v>
      </c>
      <c r="F130" s="342" t="s">
        <v>177</v>
      </c>
      <c r="G130" s="345" t="s">
        <v>178</v>
      </c>
    </row>
    <row r="131" spans="2:7" x14ac:dyDescent="0.25">
      <c r="B131" s="333"/>
      <c r="C131" s="318"/>
      <c r="D131" s="346" t="s">
        <v>179</v>
      </c>
      <c r="E131" s="325">
        <v>43243</v>
      </c>
      <c r="F131" s="318" t="s">
        <v>180</v>
      </c>
      <c r="G131" s="332" t="s">
        <v>40</v>
      </c>
    </row>
    <row r="132" spans="2:7" x14ac:dyDescent="0.25">
      <c r="B132" s="1012"/>
      <c r="C132" s="1013"/>
      <c r="D132" s="1014" t="s">
        <v>181</v>
      </c>
      <c r="E132" s="1015">
        <v>43280</v>
      </c>
      <c r="F132" s="1013" t="s">
        <v>182</v>
      </c>
      <c r="G132" s="1016" t="s">
        <v>183</v>
      </c>
    </row>
    <row r="133" spans="2:7" x14ac:dyDescent="0.25">
      <c r="B133" s="341" t="s">
        <v>533</v>
      </c>
      <c r="C133" s="342"/>
      <c r="D133" s="348" t="s">
        <v>1851</v>
      </c>
      <c r="E133" s="343">
        <v>43567</v>
      </c>
      <c r="F133" s="342" t="s">
        <v>1852</v>
      </c>
      <c r="G133" s="345" t="s">
        <v>219</v>
      </c>
    </row>
    <row r="134" spans="2:7" x14ac:dyDescent="0.25">
      <c r="B134" s="333"/>
      <c r="C134" s="318"/>
      <c r="D134" s="346" t="s">
        <v>1854</v>
      </c>
      <c r="E134" s="325">
        <v>43754</v>
      </c>
      <c r="F134" s="326" t="s">
        <v>1853</v>
      </c>
      <c r="G134" s="332" t="s">
        <v>40</v>
      </c>
    </row>
    <row r="135" spans="2:7" x14ac:dyDescent="0.25">
      <c r="B135" s="333"/>
      <c r="C135" s="318"/>
      <c r="D135" s="346" t="s">
        <v>1859</v>
      </c>
      <c r="E135" s="325">
        <v>43754</v>
      </c>
      <c r="F135" s="326" t="s">
        <v>1858</v>
      </c>
      <c r="G135" s="332" t="s">
        <v>40</v>
      </c>
    </row>
    <row r="136" spans="2:7" x14ac:dyDescent="0.25">
      <c r="B136" s="333"/>
      <c r="C136" s="318"/>
      <c r="D136" s="346" t="s">
        <v>1856</v>
      </c>
      <c r="E136" s="325">
        <v>43754</v>
      </c>
      <c r="F136" s="318" t="s">
        <v>1857</v>
      </c>
      <c r="G136" s="332" t="s">
        <v>40</v>
      </c>
    </row>
    <row r="137" spans="2:7" x14ac:dyDescent="0.25">
      <c r="B137" s="333"/>
      <c r="C137" s="318"/>
      <c r="D137" s="346" t="s">
        <v>1873</v>
      </c>
      <c r="E137" s="325">
        <v>43814</v>
      </c>
      <c r="F137" s="318" t="s">
        <v>1874</v>
      </c>
      <c r="G137" s="332" t="s">
        <v>1875</v>
      </c>
    </row>
    <row r="138" spans="2:7" x14ac:dyDescent="0.25">
      <c r="B138" s="333"/>
      <c r="C138" s="318"/>
      <c r="D138" s="346" t="s">
        <v>1864</v>
      </c>
      <c r="E138" s="325">
        <v>43801</v>
      </c>
      <c r="F138" s="318" t="s">
        <v>1865</v>
      </c>
      <c r="G138" s="332" t="s">
        <v>1866</v>
      </c>
    </row>
    <row r="139" spans="2:7" x14ac:dyDescent="0.25">
      <c r="B139" s="333"/>
      <c r="C139" s="318"/>
      <c r="D139" s="346" t="s">
        <v>1894</v>
      </c>
      <c r="E139" s="325">
        <v>43817</v>
      </c>
      <c r="F139" s="318" t="s">
        <v>1895</v>
      </c>
      <c r="G139" s="332" t="s">
        <v>1866</v>
      </c>
    </row>
    <row r="140" spans="2:7" x14ac:dyDescent="0.25">
      <c r="B140" s="1140" t="s">
        <v>534</v>
      </c>
      <c r="C140" s="1138"/>
      <c r="D140" s="1136" t="s">
        <v>1900</v>
      </c>
      <c r="E140" s="1137">
        <v>43896</v>
      </c>
      <c r="F140" s="1138" t="s">
        <v>1896</v>
      </c>
      <c r="G140" s="1139" t="s">
        <v>40</v>
      </c>
    </row>
    <row r="141" spans="2:7" x14ac:dyDescent="0.25">
      <c r="B141" s="1140" t="s">
        <v>535</v>
      </c>
      <c r="C141" s="1138"/>
      <c r="D141" s="1136" t="s">
        <v>1905</v>
      </c>
      <c r="E141" s="1137">
        <v>43931</v>
      </c>
      <c r="F141" s="1138" t="s">
        <v>1901</v>
      </c>
      <c r="G141" s="1139" t="s">
        <v>1902</v>
      </c>
    </row>
    <row r="142" spans="2:7" x14ac:dyDescent="0.25">
      <c r="B142" s="1140" t="s">
        <v>536</v>
      </c>
      <c r="C142" s="1138">
        <v>25</v>
      </c>
      <c r="D142" s="1136" t="s">
        <v>1937</v>
      </c>
      <c r="E142" s="1137">
        <v>43965</v>
      </c>
      <c r="F142" s="1138" t="s">
        <v>1938</v>
      </c>
      <c r="G142" s="1139" t="s">
        <v>178</v>
      </c>
    </row>
    <row r="143" spans="2:7" x14ac:dyDescent="0.25">
      <c r="B143" s="1140" t="s">
        <v>537</v>
      </c>
      <c r="C143" s="1138"/>
      <c r="D143" s="1136" t="s">
        <v>1942</v>
      </c>
      <c r="E143" s="1137">
        <v>44106</v>
      </c>
      <c r="F143" s="1138" t="s">
        <v>1943</v>
      </c>
      <c r="G143" s="1139" t="s">
        <v>1902</v>
      </c>
    </row>
    <row r="144" spans="2:7" x14ac:dyDescent="0.25">
      <c r="B144" s="333" t="s">
        <v>371</v>
      </c>
      <c r="C144" s="318"/>
      <c r="D144" s="346" t="s">
        <v>1950</v>
      </c>
      <c r="E144" s="325">
        <v>44155</v>
      </c>
      <c r="F144" s="318" t="s">
        <v>1951</v>
      </c>
      <c r="G144" s="332" t="s">
        <v>178</v>
      </c>
    </row>
    <row r="145" spans="1:8" x14ac:dyDescent="0.25">
      <c r="B145" s="333"/>
      <c r="C145" s="318"/>
      <c r="D145" s="346" t="s">
        <v>2061</v>
      </c>
      <c r="E145" s="325">
        <v>44530</v>
      </c>
      <c r="F145" s="318" t="s">
        <v>2018</v>
      </c>
      <c r="G145" s="332" t="s">
        <v>2019</v>
      </c>
    </row>
    <row r="146" spans="1:8" x14ac:dyDescent="0.25">
      <c r="B146" s="1012"/>
      <c r="C146" s="1013"/>
      <c r="D146" s="1014" t="s">
        <v>2056</v>
      </c>
      <c r="E146" s="1015">
        <v>44530</v>
      </c>
      <c r="F146" s="1013" t="s">
        <v>2020</v>
      </c>
      <c r="G146" s="1016" t="s">
        <v>2019</v>
      </c>
    </row>
    <row r="147" spans="1:8" x14ac:dyDescent="0.25">
      <c r="B147" s="1012" t="s">
        <v>538</v>
      </c>
      <c r="C147" s="1013"/>
      <c r="D147" s="1014" t="s">
        <v>2057</v>
      </c>
      <c r="E147" s="1015">
        <v>44621</v>
      </c>
      <c r="F147" s="1201" t="s">
        <v>2058</v>
      </c>
      <c r="G147" s="1016" t="s">
        <v>40</v>
      </c>
    </row>
    <row r="148" spans="1:8" x14ac:dyDescent="0.25">
      <c r="B148" s="1012" t="s">
        <v>539</v>
      </c>
      <c r="C148" s="1013"/>
      <c r="D148" s="1014" t="s">
        <v>2081</v>
      </c>
      <c r="E148" s="1015">
        <v>44809</v>
      </c>
      <c r="F148" s="1489" t="s">
        <v>2080</v>
      </c>
      <c r="G148" s="1016" t="s">
        <v>106</v>
      </c>
    </row>
    <row r="149" spans="1:8" x14ac:dyDescent="0.25">
      <c r="B149" s="333" t="s">
        <v>540</v>
      </c>
      <c r="C149" s="318"/>
      <c r="D149" s="346" t="s">
        <v>2138</v>
      </c>
      <c r="E149" s="325">
        <v>44904</v>
      </c>
      <c r="F149" s="318" t="s">
        <v>2139</v>
      </c>
      <c r="G149" s="332" t="s">
        <v>40</v>
      </c>
      <c r="H149" s="1539"/>
    </row>
    <row r="150" spans="1:8" s="317" customFormat="1" x14ac:dyDescent="0.4">
      <c r="A150" s="318"/>
      <c r="B150" s="333"/>
      <c r="C150" s="318"/>
      <c r="D150" s="346" t="s">
        <v>2349</v>
      </c>
      <c r="E150" s="325">
        <v>44936</v>
      </c>
      <c r="F150" s="326" t="s">
        <v>8</v>
      </c>
      <c r="G150" s="332" t="s">
        <v>106</v>
      </c>
      <c r="H150" s="1549"/>
    </row>
    <row r="151" spans="1:8" x14ac:dyDescent="0.25">
      <c r="B151" s="333"/>
      <c r="C151" s="318"/>
      <c r="D151" s="290" t="s">
        <v>2332</v>
      </c>
      <c r="E151" s="325">
        <v>44938</v>
      </c>
      <c r="F151" s="326" t="s">
        <v>8</v>
      </c>
      <c r="G151" s="332" t="s">
        <v>106</v>
      </c>
      <c r="H151" s="1549"/>
    </row>
    <row r="152" spans="1:8" x14ac:dyDescent="0.25">
      <c r="B152" s="1012"/>
      <c r="C152" s="1013"/>
      <c r="D152" s="1014" t="s">
        <v>2331</v>
      </c>
      <c r="E152" s="1015">
        <v>44986</v>
      </c>
      <c r="F152" s="1017" t="s">
        <v>2348</v>
      </c>
      <c r="G152" s="1016" t="s">
        <v>106</v>
      </c>
      <c r="H152" s="1549"/>
    </row>
    <row r="153" spans="1:8" x14ac:dyDescent="0.25">
      <c r="B153" s="1140" t="s">
        <v>1448</v>
      </c>
      <c r="C153" s="1138"/>
      <c r="D153" s="1136" t="s">
        <v>2358</v>
      </c>
      <c r="E153" s="1137">
        <v>45001</v>
      </c>
      <c r="F153" s="1138" t="s">
        <v>2360</v>
      </c>
      <c r="G153" s="1139" t="s">
        <v>2359</v>
      </c>
    </row>
    <row r="154" spans="1:8" x14ac:dyDescent="0.25">
      <c r="B154" s="341" t="s">
        <v>1449</v>
      </c>
      <c r="C154" s="342"/>
      <c r="D154" s="348" t="s">
        <v>2375</v>
      </c>
      <c r="E154" s="343">
        <v>45467</v>
      </c>
      <c r="F154" s="342" t="s">
        <v>2380</v>
      </c>
      <c r="G154" s="345" t="s">
        <v>178</v>
      </c>
    </row>
    <row r="155" spans="1:8" x14ac:dyDescent="0.25">
      <c r="B155" s="333"/>
      <c r="C155" s="318"/>
      <c r="D155" s="346" t="s">
        <v>2379</v>
      </c>
      <c r="E155" s="325">
        <v>45467</v>
      </c>
      <c r="F155" s="318" t="s">
        <v>2392</v>
      </c>
      <c r="G155" s="332" t="s">
        <v>178</v>
      </c>
    </row>
    <row r="156" spans="1:8" x14ac:dyDescent="0.25">
      <c r="B156" s="333"/>
      <c r="C156" s="318"/>
      <c r="D156" s="346" t="s">
        <v>2383</v>
      </c>
      <c r="E156" s="325">
        <v>45467</v>
      </c>
      <c r="G156" s="332" t="s">
        <v>178</v>
      </c>
    </row>
    <row r="157" spans="1:8" x14ac:dyDescent="0.25">
      <c r="B157" s="333"/>
      <c r="C157" s="318"/>
      <c r="D157" s="346" t="s">
        <v>2378</v>
      </c>
      <c r="E157" s="325">
        <v>45467</v>
      </c>
      <c r="F157" s="318" t="s">
        <v>2376</v>
      </c>
      <c r="G157" s="332" t="s">
        <v>178</v>
      </c>
    </row>
    <row r="158" spans="1:8" x14ac:dyDescent="0.25">
      <c r="B158" s="333"/>
      <c r="C158" s="318"/>
      <c r="D158" s="346" t="s">
        <v>2395</v>
      </c>
      <c r="E158" s="325">
        <v>45720</v>
      </c>
      <c r="F158" s="318" t="s">
        <v>2399</v>
      </c>
      <c r="G158" s="332" t="s">
        <v>178</v>
      </c>
    </row>
    <row r="159" spans="1:8" x14ac:dyDescent="0.25">
      <c r="B159" s="333"/>
      <c r="C159" s="318"/>
      <c r="D159" s="346" t="s">
        <v>2396</v>
      </c>
      <c r="E159" s="325">
        <v>45721</v>
      </c>
      <c r="F159" s="318" t="s">
        <v>2399</v>
      </c>
      <c r="G159" s="332" t="s">
        <v>178</v>
      </c>
    </row>
    <row r="160" spans="1:8" x14ac:dyDescent="0.25">
      <c r="B160" s="1140"/>
      <c r="C160" s="1138"/>
      <c r="D160" s="1136"/>
      <c r="E160" s="1137"/>
      <c r="F160" s="1138"/>
      <c r="G160" s="1139"/>
    </row>
    <row r="161" spans="1:7" ht="13.8" thickBot="1" x14ac:dyDescent="0.3">
      <c r="B161" s="1129"/>
      <c r="C161" s="1130"/>
      <c r="D161" s="1131"/>
      <c r="E161" s="1132"/>
      <c r="F161" s="1130"/>
      <c r="G161" s="1133"/>
    </row>
    <row r="162" spans="1:7" x14ac:dyDescent="0.25">
      <c r="B162" s="318"/>
      <c r="C162" s="318"/>
      <c r="E162" s="325"/>
    </row>
    <row r="163" spans="1:7" x14ac:dyDescent="0.25">
      <c r="B163" s="318"/>
      <c r="C163" s="318"/>
      <c r="E163" s="325"/>
      <c r="F163" s="326"/>
    </row>
    <row r="164" spans="1:7" s="1493" customFormat="1" ht="24.6" x14ac:dyDescent="0.4">
      <c r="A164" s="1523">
        <f>A3+1</f>
        <v>2</v>
      </c>
      <c r="B164" s="1491" t="s">
        <v>184</v>
      </c>
      <c r="C164" s="1491"/>
      <c r="D164" s="1492"/>
      <c r="E164" s="1492"/>
      <c r="F164" s="1492"/>
      <c r="G164" s="1492"/>
    </row>
    <row r="165" spans="1:7" ht="13.8" thickBot="1" x14ac:dyDescent="0.3"/>
    <row r="166" spans="1:7" x14ac:dyDescent="0.25">
      <c r="B166" s="328" t="s">
        <v>0</v>
      </c>
      <c r="C166" s="329" t="s">
        <v>1</v>
      </c>
      <c r="D166" s="338" t="s">
        <v>2</v>
      </c>
      <c r="E166" s="329" t="s">
        <v>3</v>
      </c>
      <c r="F166" s="330" t="s">
        <v>4</v>
      </c>
      <c r="G166" s="331" t="s">
        <v>5</v>
      </c>
    </row>
    <row r="167" spans="1:7" x14ac:dyDescent="0.25">
      <c r="B167" s="333">
        <v>1</v>
      </c>
      <c r="C167" s="318">
        <v>20</v>
      </c>
      <c r="D167" s="346" t="s">
        <v>185</v>
      </c>
      <c r="E167" s="325">
        <v>41120</v>
      </c>
      <c r="F167" s="318" t="s">
        <v>8</v>
      </c>
      <c r="G167" s="332" t="s">
        <v>12</v>
      </c>
    </row>
    <row r="168" spans="1:7" x14ac:dyDescent="0.25">
      <c r="B168" s="333">
        <v>2</v>
      </c>
      <c r="C168" s="318">
        <v>20</v>
      </c>
      <c r="D168" s="346" t="s">
        <v>186</v>
      </c>
      <c r="E168" s="325">
        <v>41127</v>
      </c>
      <c r="F168" s="326" t="s">
        <v>8</v>
      </c>
      <c r="G168" s="332" t="s">
        <v>12</v>
      </c>
    </row>
    <row r="169" spans="1:7" x14ac:dyDescent="0.25">
      <c r="B169" s="333">
        <v>3</v>
      </c>
      <c r="C169" s="318">
        <v>20</v>
      </c>
      <c r="D169" s="346" t="s">
        <v>187</v>
      </c>
      <c r="E169" s="325">
        <v>41137</v>
      </c>
      <c r="F169" s="326" t="s">
        <v>8</v>
      </c>
      <c r="G169" s="332" t="s">
        <v>12</v>
      </c>
    </row>
    <row r="170" spans="1:7" x14ac:dyDescent="0.25">
      <c r="B170" s="333">
        <v>21</v>
      </c>
      <c r="C170" s="318">
        <v>20</v>
      </c>
      <c r="D170" s="346" t="s">
        <v>44</v>
      </c>
      <c r="E170" s="325">
        <v>41257</v>
      </c>
      <c r="F170" s="326"/>
      <c r="G170" s="332" t="s">
        <v>40</v>
      </c>
    </row>
    <row r="171" spans="1:7" x14ac:dyDescent="0.25">
      <c r="B171" s="333">
        <v>23</v>
      </c>
      <c r="C171" s="318"/>
      <c r="D171" s="346" t="s">
        <v>59</v>
      </c>
      <c r="E171" s="325">
        <v>41311</v>
      </c>
      <c r="F171" s="326"/>
      <c r="G171" s="332" t="s">
        <v>40</v>
      </c>
    </row>
    <row r="172" spans="1:7" x14ac:dyDescent="0.25">
      <c r="B172" s="1012"/>
      <c r="C172" s="1013"/>
      <c r="D172" s="1014" t="s">
        <v>61</v>
      </c>
      <c r="E172" s="1015"/>
      <c r="F172" s="1017"/>
      <c r="G172" s="1016"/>
    </row>
    <row r="173" spans="1:7" x14ac:dyDescent="0.25">
      <c r="B173" s="1012" t="s">
        <v>70</v>
      </c>
      <c r="C173" s="1013"/>
      <c r="D173" s="1014" t="s">
        <v>188</v>
      </c>
      <c r="E173" s="1015">
        <v>41396</v>
      </c>
      <c r="F173" s="1017"/>
      <c r="G173" s="1016" t="s">
        <v>12</v>
      </c>
    </row>
    <row r="174" spans="1:7" x14ac:dyDescent="0.25">
      <c r="B174" s="333" t="s">
        <v>94</v>
      </c>
      <c r="C174" s="318"/>
      <c r="D174" s="346" t="s">
        <v>100</v>
      </c>
      <c r="E174" s="325"/>
      <c r="F174" s="318" t="s">
        <v>101</v>
      </c>
      <c r="G174" s="332" t="s">
        <v>40</v>
      </c>
    </row>
    <row r="175" spans="1:7" x14ac:dyDescent="0.25">
      <c r="B175" s="333"/>
      <c r="C175" s="318"/>
      <c r="D175" s="346" t="s">
        <v>103</v>
      </c>
      <c r="E175" s="325"/>
      <c r="F175" s="318" t="s">
        <v>101</v>
      </c>
      <c r="G175" s="332" t="s">
        <v>40</v>
      </c>
    </row>
    <row r="176" spans="1:7" x14ac:dyDescent="0.25">
      <c r="B176" s="333"/>
      <c r="C176" s="318"/>
      <c r="D176" s="346" t="s">
        <v>104</v>
      </c>
      <c r="E176" s="325">
        <v>41649</v>
      </c>
      <c r="F176" s="318" t="s">
        <v>105</v>
      </c>
      <c r="G176" s="332" t="s">
        <v>106</v>
      </c>
    </row>
    <row r="177" spans="2:7" x14ac:dyDescent="0.25">
      <c r="B177" s="333"/>
      <c r="C177" s="318"/>
      <c r="D177" s="346" t="s">
        <v>107</v>
      </c>
      <c r="E177" s="325">
        <v>41652</v>
      </c>
      <c r="F177" s="318" t="s">
        <v>108</v>
      </c>
      <c r="G177" s="332" t="s">
        <v>106</v>
      </c>
    </row>
    <row r="178" spans="2:7" x14ac:dyDescent="0.25">
      <c r="B178" s="333"/>
      <c r="C178" s="318"/>
      <c r="D178" s="346" t="s">
        <v>189</v>
      </c>
      <c r="E178" s="325">
        <v>41668</v>
      </c>
      <c r="F178" s="318" t="s">
        <v>101</v>
      </c>
      <c r="G178" s="332" t="s">
        <v>40</v>
      </c>
    </row>
    <row r="179" spans="2:7" x14ac:dyDescent="0.25">
      <c r="B179" s="1012"/>
      <c r="C179" s="1013"/>
      <c r="D179" s="1014" t="s">
        <v>190</v>
      </c>
      <c r="E179" s="1015">
        <v>41701</v>
      </c>
      <c r="F179" s="1013" t="s">
        <v>101</v>
      </c>
      <c r="G179" s="1016" t="s">
        <v>40</v>
      </c>
    </row>
    <row r="180" spans="2:7" x14ac:dyDescent="0.25">
      <c r="B180" s="333" t="s">
        <v>112</v>
      </c>
      <c r="C180" s="318"/>
      <c r="D180" s="346" t="s">
        <v>113</v>
      </c>
      <c r="E180" s="325">
        <v>41731</v>
      </c>
      <c r="F180" s="326" t="s">
        <v>8</v>
      </c>
      <c r="G180" s="332" t="s">
        <v>106</v>
      </c>
    </row>
    <row r="181" spans="2:7" x14ac:dyDescent="0.25">
      <c r="B181" s="333"/>
      <c r="C181" s="318"/>
      <c r="D181" s="346" t="s">
        <v>191</v>
      </c>
      <c r="E181" s="325" t="s">
        <v>117</v>
      </c>
      <c r="F181" s="318" t="s">
        <v>118</v>
      </c>
      <c r="G181" s="332" t="s">
        <v>9</v>
      </c>
    </row>
    <row r="182" spans="2:7" x14ac:dyDescent="0.25">
      <c r="B182" s="333"/>
      <c r="C182" s="318"/>
      <c r="D182" s="346" t="s">
        <v>192</v>
      </c>
      <c r="E182" s="325">
        <v>41767</v>
      </c>
      <c r="F182" s="318" t="s">
        <v>120</v>
      </c>
      <c r="G182" s="332" t="s">
        <v>40</v>
      </c>
    </row>
    <row r="183" spans="2:7" ht="26.4" x14ac:dyDescent="0.25">
      <c r="B183" s="333"/>
      <c r="C183" s="318"/>
      <c r="D183" s="346" t="str">
        <f>D106</f>
        <v>Remove 251172 white foam boot, remove 100030 Beveled black boot, remove 100031 Brickmould black boot. Add 100041 white foam boot.</v>
      </c>
      <c r="E183" s="325">
        <f>E106</f>
        <v>41962</v>
      </c>
      <c r="F183" s="318" t="str">
        <f>F106</f>
        <v>14-056</v>
      </c>
      <c r="G183" s="332" t="s">
        <v>106</v>
      </c>
    </row>
    <row r="184" spans="2:7" x14ac:dyDescent="0.25">
      <c r="B184" s="1012"/>
      <c r="C184" s="1013"/>
      <c r="D184" s="1014" t="s">
        <v>193</v>
      </c>
      <c r="E184" s="1015">
        <v>42089</v>
      </c>
      <c r="F184" s="1017" t="s">
        <v>8</v>
      </c>
      <c r="G184" s="1016" t="s">
        <v>106</v>
      </c>
    </row>
    <row r="185" spans="2:7" x14ac:dyDescent="0.25">
      <c r="B185" s="333" t="s">
        <v>128</v>
      </c>
      <c r="C185" s="318"/>
      <c r="D185" s="346" t="s">
        <v>141</v>
      </c>
      <c r="E185" s="325">
        <v>42107</v>
      </c>
      <c r="F185" s="318" t="s">
        <v>142</v>
      </c>
      <c r="G185" s="332" t="s">
        <v>106</v>
      </c>
    </row>
    <row r="186" spans="2:7" x14ac:dyDescent="0.25">
      <c r="B186" s="1012"/>
      <c r="C186" s="1013"/>
      <c r="D186" s="1014" t="s">
        <v>151</v>
      </c>
      <c r="E186" s="1015">
        <v>42305</v>
      </c>
      <c r="F186" s="1017" t="s">
        <v>8</v>
      </c>
      <c r="G186" s="1016" t="s">
        <v>106</v>
      </c>
    </row>
    <row r="187" spans="2:7" x14ac:dyDescent="0.25">
      <c r="B187" s="1140" t="s">
        <v>155</v>
      </c>
      <c r="C187" s="1138"/>
      <c r="D187" s="1136" t="s">
        <v>156</v>
      </c>
      <c r="E187" s="1137">
        <v>42465</v>
      </c>
      <c r="F187" s="1138" t="s">
        <v>157</v>
      </c>
      <c r="G187" s="1139" t="s">
        <v>9</v>
      </c>
    </row>
    <row r="188" spans="2:7" x14ac:dyDescent="0.25">
      <c r="B188" s="1140" t="s">
        <v>175</v>
      </c>
      <c r="C188" s="1138"/>
      <c r="D188" s="1136" t="s">
        <v>194</v>
      </c>
      <c r="E188" s="1137">
        <v>43265</v>
      </c>
      <c r="F188" s="1138" t="s">
        <v>195</v>
      </c>
      <c r="G188" s="1139" t="s">
        <v>40</v>
      </c>
    </row>
    <row r="189" spans="2:7" x14ac:dyDescent="0.25">
      <c r="B189" s="341" t="s">
        <v>533</v>
      </c>
      <c r="C189" s="342"/>
      <c r="D189" s="348" t="s">
        <v>1851</v>
      </c>
      <c r="E189" s="343">
        <v>43567</v>
      </c>
      <c r="F189" s="342" t="s">
        <v>1852</v>
      </c>
      <c r="G189" s="345" t="s">
        <v>219</v>
      </c>
    </row>
    <row r="190" spans="2:7" x14ac:dyDescent="0.25">
      <c r="B190" s="333"/>
      <c r="C190" s="318"/>
      <c r="D190" s="346" t="s">
        <v>1871</v>
      </c>
      <c r="E190" s="325">
        <v>43497</v>
      </c>
      <c r="F190" s="318" t="s">
        <v>1872</v>
      </c>
      <c r="G190" s="332" t="s">
        <v>40</v>
      </c>
    </row>
    <row r="191" spans="2:7" x14ac:dyDescent="0.25">
      <c r="B191" s="1140" t="s">
        <v>534</v>
      </c>
      <c r="C191" s="1138"/>
      <c r="D191" s="1136" t="s">
        <v>1903</v>
      </c>
      <c r="E191" s="1137"/>
      <c r="F191" s="1138"/>
      <c r="G191" s="1139"/>
    </row>
    <row r="192" spans="2:7" x14ac:dyDescent="0.25">
      <c r="B192" s="1140" t="s">
        <v>535</v>
      </c>
      <c r="C192" s="1135"/>
      <c r="D192" s="1136" t="s">
        <v>1903</v>
      </c>
      <c r="E192" s="1135"/>
      <c r="F192" s="1138"/>
      <c r="G192" s="1139"/>
    </row>
    <row r="193" spans="2:8" x14ac:dyDescent="0.25">
      <c r="B193" s="1140" t="s">
        <v>536</v>
      </c>
      <c r="C193" s="1138"/>
      <c r="D193" s="1136" t="s">
        <v>1903</v>
      </c>
      <c r="E193" s="1137">
        <v>43965</v>
      </c>
      <c r="F193" s="1143" t="s">
        <v>1938</v>
      </c>
      <c r="G193" s="1139" t="s">
        <v>178</v>
      </c>
    </row>
    <row r="194" spans="2:8" x14ac:dyDescent="0.25">
      <c r="B194" s="1140" t="s">
        <v>537</v>
      </c>
      <c r="C194" s="1138"/>
      <c r="D194" s="1136" t="s">
        <v>1903</v>
      </c>
      <c r="E194" s="1137"/>
      <c r="F194" s="1143"/>
      <c r="G194" s="1139"/>
    </row>
    <row r="195" spans="2:8" x14ac:dyDescent="0.25">
      <c r="B195" s="1012" t="s">
        <v>371</v>
      </c>
      <c r="C195" s="1013"/>
      <c r="D195" s="1136" t="s">
        <v>1903</v>
      </c>
      <c r="E195" s="1015"/>
      <c r="F195" s="1013"/>
      <c r="G195" s="1016"/>
    </row>
    <row r="196" spans="2:8" x14ac:dyDescent="0.25">
      <c r="B196" s="1012" t="s">
        <v>538</v>
      </c>
      <c r="C196" s="1013"/>
      <c r="D196" s="1014" t="s">
        <v>2057</v>
      </c>
      <c r="E196" s="1015">
        <v>44621</v>
      </c>
      <c r="F196" s="1471" t="s">
        <v>2058</v>
      </c>
      <c r="G196" s="1016" t="s">
        <v>40</v>
      </c>
    </row>
    <row r="197" spans="2:8" x14ac:dyDescent="0.25">
      <c r="B197" s="1012" t="s">
        <v>539</v>
      </c>
      <c r="C197" s="1013"/>
      <c r="D197" s="1136" t="s">
        <v>1903</v>
      </c>
      <c r="E197" s="1015"/>
      <c r="F197" s="1201"/>
      <c r="G197" s="1016"/>
    </row>
    <row r="198" spans="2:8" x14ac:dyDescent="0.25">
      <c r="B198" s="1012" t="s">
        <v>540</v>
      </c>
      <c r="C198" s="1013"/>
      <c r="D198" s="1136" t="s">
        <v>2331</v>
      </c>
      <c r="E198" s="1137">
        <v>44986</v>
      </c>
      <c r="F198" s="1143" t="s">
        <v>2348</v>
      </c>
      <c r="G198" s="1139" t="s">
        <v>106</v>
      </c>
      <c r="H198" s="1549"/>
    </row>
    <row r="199" spans="2:8" x14ac:dyDescent="0.25">
      <c r="B199" s="1140" t="s">
        <v>1448</v>
      </c>
      <c r="C199" s="1138"/>
      <c r="D199" s="1136" t="s">
        <v>2358</v>
      </c>
      <c r="E199" s="1137">
        <v>45001</v>
      </c>
      <c r="F199" s="1138" t="s">
        <v>2360</v>
      </c>
      <c r="G199" s="1139" t="s">
        <v>2359</v>
      </c>
    </row>
    <row r="200" spans="2:8" x14ac:dyDescent="0.25">
      <c r="B200" s="341" t="s">
        <v>1449</v>
      </c>
      <c r="C200" s="342"/>
      <c r="D200" s="348" t="s">
        <v>2375</v>
      </c>
      <c r="E200" s="343">
        <v>45478</v>
      </c>
      <c r="F200" s="342" t="s">
        <v>2380</v>
      </c>
      <c r="G200" s="345" t="s">
        <v>178</v>
      </c>
    </row>
    <row r="201" spans="2:8" x14ac:dyDescent="0.25">
      <c r="B201" s="333"/>
      <c r="C201" s="318"/>
      <c r="D201" s="346" t="s">
        <v>2383</v>
      </c>
      <c r="E201" s="325">
        <v>45467</v>
      </c>
      <c r="G201" s="332" t="s">
        <v>178</v>
      </c>
    </row>
    <row r="202" spans="2:8" x14ac:dyDescent="0.25">
      <c r="B202" s="333"/>
      <c r="C202" s="318"/>
      <c r="D202" s="346" t="s">
        <v>2378</v>
      </c>
      <c r="E202" s="325">
        <v>45478</v>
      </c>
      <c r="F202" s="318" t="s">
        <v>2376</v>
      </c>
      <c r="G202" s="332" t="s">
        <v>178</v>
      </c>
    </row>
    <row r="203" spans="2:8" x14ac:dyDescent="0.25">
      <c r="B203" s="1012"/>
      <c r="C203" s="1013"/>
      <c r="D203" s="1014" t="s">
        <v>2395</v>
      </c>
      <c r="E203" s="1015">
        <v>45720</v>
      </c>
      <c r="F203" s="318" t="s">
        <v>2399</v>
      </c>
      <c r="G203" s="1016" t="s">
        <v>178</v>
      </c>
    </row>
    <row r="204" spans="2:8" x14ac:dyDescent="0.25">
      <c r="B204" s="1012"/>
      <c r="C204" s="1013"/>
      <c r="D204" s="1014"/>
      <c r="E204" s="1015"/>
      <c r="F204" s="1013"/>
      <c r="G204" s="1016"/>
    </row>
    <row r="205" spans="2:8" x14ac:dyDescent="0.25">
      <c r="B205" s="1012"/>
      <c r="C205" s="1013"/>
      <c r="D205" s="1014"/>
      <c r="E205" s="1015"/>
      <c r="F205" s="1013"/>
      <c r="G205" s="1016"/>
    </row>
    <row r="206" spans="2:8" ht="13.8" thickBot="1" x14ac:dyDescent="0.3">
      <c r="B206" s="1129"/>
      <c r="C206" s="1130"/>
      <c r="D206" s="1131"/>
      <c r="E206" s="1132"/>
      <c r="F206" s="1130"/>
      <c r="G206" s="1133"/>
    </row>
    <row r="207" spans="2:8" x14ac:dyDescent="0.25">
      <c r="B207" s="318"/>
      <c r="C207" s="318"/>
      <c r="E207" s="325"/>
      <c r="F207" s="326"/>
    </row>
    <row r="208" spans="2:8" x14ac:dyDescent="0.25">
      <c r="B208" s="340" t="s">
        <v>196</v>
      </c>
      <c r="C208" s="340"/>
      <c r="D208" s="347"/>
      <c r="E208" s="347"/>
      <c r="F208" s="347"/>
      <c r="G208" s="347"/>
    </row>
    <row r="209" spans="1:7" ht="13.8" thickBot="1" x14ac:dyDescent="0.3"/>
    <row r="210" spans="1:7" x14ac:dyDescent="0.25">
      <c r="B210" s="328" t="s">
        <v>0</v>
      </c>
      <c r="C210" s="329" t="s">
        <v>1</v>
      </c>
      <c r="D210" s="338" t="s">
        <v>2</v>
      </c>
      <c r="E210" s="329" t="s">
        <v>3</v>
      </c>
      <c r="F210" s="330" t="s">
        <v>4</v>
      </c>
      <c r="G210" s="331" t="s">
        <v>5</v>
      </c>
    </row>
    <row r="211" spans="1:7" x14ac:dyDescent="0.25">
      <c r="B211" s="333">
        <v>1</v>
      </c>
      <c r="C211" s="318">
        <v>20</v>
      </c>
      <c r="D211" s="346" t="s">
        <v>185</v>
      </c>
      <c r="E211" s="325">
        <v>41213</v>
      </c>
      <c r="F211" s="318" t="s">
        <v>8</v>
      </c>
      <c r="G211" s="332" t="s">
        <v>12</v>
      </c>
    </row>
    <row r="212" spans="1:7" x14ac:dyDescent="0.25">
      <c r="B212" s="333">
        <v>21</v>
      </c>
      <c r="C212" s="318">
        <v>20</v>
      </c>
      <c r="D212" s="346" t="s">
        <v>44</v>
      </c>
      <c r="E212" s="325">
        <v>41257</v>
      </c>
      <c r="F212" s="326"/>
      <c r="G212" s="332" t="s">
        <v>40</v>
      </c>
    </row>
    <row r="213" spans="1:7" x14ac:dyDescent="0.25">
      <c r="B213" s="333">
        <v>22</v>
      </c>
      <c r="C213" s="318">
        <v>20</v>
      </c>
      <c r="D213" s="346" t="s">
        <v>197</v>
      </c>
      <c r="E213" s="325">
        <v>41277</v>
      </c>
      <c r="F213" s="326" t="s">
        <v>8</v>
      </c>
      <c r="G213" s="332" t="s">
        <v>12</v>
      </c>
    </row>
    <row r="214" spans="1:7" x14ac:dyDescent="0.25">
      <c r="B214" s="333"/>
      <c r="C214" s="318"/>
      <c r="D214" s="346" t="s">
        <v>198</v>
      </c>
      <c r="E214" s="325">
        <v>41307</v>
      </c>
      <c r="F214" s="326"/>
      <c r="G214" s="332" t="s">
        <v>12</v>
      </c>
    </row>
    <row r="215" spans="1:7" ht="13.8" thickBot="1" x14ac:dyDescent="0.3">
      <c r="B215" s="1171" t="s">
        <v>199</v>
      </c>
      <c r="C215" s="1130"/>
      <c r="D215" s="1131"/>
      <c r="E215" s="1132"/>
      <c r="F215" s="1172"/>
      <c r="G215" s="1133"/>
    </row>
    <row r="217" spans="1:7" x14ac:dyDescent="0.25">
      <c r="B217" s="318"/>
      <c r="C217" s="318"/>
      <c r="E217" s="325"/>
      <c r="F217" s="326"/>
    </row>
    <row r="218" spans="1:7" s="1493" customFormat="1" ht="25.2" thickBot="1" x14ac:dyDescent="0.45">
      <c r="A218" s="1523">
        <f>A164+1</f>
        <v>3</v>
      </c>
      <c r="B218" s="1491" t="s">
        <v>200</v>
      </c>
      <c r="C218" s="1491"/>
      <c r="D218" s="1492"/>
      <c r="E218" s="1492"/>
      <c r="F218" s="1492"/>
      <c r="G218" s="1492"/>
    </row>
    <row r="219" spans="1:7" x14ac:dyDescent="0.25">
      <c r="B219" s="328" t="s">
        <v>0</v>
      </c>
      <c r="C219" s="329" t="s">
        <v>1</v>
      </c>
      <c r="D219" s="338" t="s">
        <v>2</v>
      </c>
      <c r="E219" s="329" t="s">
        <v>3</v>
      </c>
      <c r="F219" s="330" t="s">
        <v>4</v>
      </c>
      <c r="G219" s="331" t="s">
        <v>5</v>
      </c>
    </row>
    <row r="220" spans="1:7" x14ac:dyDescent="0.25">
      <c r="B220" s="333">
        <v>1</v>
      </c>
      <c r="C220" s="318">
        <v>20</v>
      </c>
      <c r="D220" s="346" t="s">
        <v>201</v>
      </c>
      <c r="E220" s="325">
        <v>41164</v>
      </c>
      <c r="F220" s="326" t="s">
        <v>8</v>
      </c>
      <c r="G220" s="332" t="s">
        <v>40</v>
      </c>
    </row>
    <row r="221" spans="1:7" x14ac:dyDescent="0.25">
      <c r="B221" s="333">
        <v>21</v>
      </c>
      <c r="C221" s="318"/>
      <c r="D221" s="346" t="s">
        <v>202</v>
      </c>
      <c r="E221" s="325">
        <v>41221</v>
      </c>
      <c r="F221" s="326"/>
      <c r="G221" s="332" t="s">
        <v>40</v>
      </c>
    </row>
    <row r="222" spans="1:7" x14ac:dyDescent="0.25">
      <c r="B222" s="333">
        <v>21</v>
      </c>
      <c r="C222" s="318">
        <v>20</v>
      </c>
      <c r="D222" s="346" t="s">
        <v>42</v>
      </c>
      <c r="E222" s="325">
        <v>41223</v>
      </c>
      <c r="F222" s="326"/>
      <c r="G222" s="332" t="s">
        <v>40</v>
      </c>
    </row>
    <row r="223" spans="1:7" ht="26.4" x14ac:dyDescent="0.25">
      <c r="B223" s="333">
        <v>21</v>
      </c>
      <c r="C223" s="318">
        <v>20</v>
      </c>
      <c r="D223" s="346" t="s">
        <v>203</v>
      </c>
      <c r="E223" s="325">
        <v>41257</v>
      </c>
      <c r="F223" s="326"/>
      <c r="G223" s="332" t="s">
        <v>40</v>
      </c>
    </row>
    <row r="224" spans="1:7" x14ac:dyDescent="0.25">
      <c r="B224" s="333">
        <v>22</v>
      </c>
      <c r="C224" s="318">
        <v>20</v>
      </c>
      <c r="D224" s="346" t="s">
        <v>62</v>
      </c>
      <c r="E224" s="325">
        <v>41281</v>
      </c>
      <c r="F224" s="326"/>
      <c r="G224" s="332" t="s">
        <v>40</v>
      </c>
    </row>
    <row r="225" spans="2:7" x14ac:dyDescent="0.25">
      <c r="B225" s="333">
        <v>23</v>
      </c>
      <c r="C225" s="318"/>
      <c r="D225" s="346" t="s">
        <v>59</v>
      </c>
      <c r="E225" s="325">
        <v>41311</v>
      </c>
      <c r="F225" s="326"/>
      <c r="G225" s="332" t="s">
        <v>40</v>
      </c>
    </row>
    <row r="226" spans="2:7" x14ac:dyDescent="0.25">
      <c r="B226" s="333"/>
      <c r="C226" s="318"/>
      <c r="D226" s="346" t="s">
        <v>61</v>
      </c>
      <c r="E226" s="325"/>
      <c r="F226" s="326"/>
      <c r="G226" s="332"/>
    </row>
    <row r="227" spans="2:7" x14ac:dyDescent="0.25">
      <c r="B227" s="1012">
        <v>24</v>
      </c>
      <c r="C227" s="1013"/>
      <c r="D227" s="1014" t="s">
        <v>204</v>
      </c>
      <c r="E227" s="1015">
        <v>41313</v>
      </c>
      <c r="F227" s="1017"/>
      <c r="G227" s="1016" t="s">
        <v>40</v>
      </c>
    </row>
    <row r="228" spans="2:7" x14ac:dyDescent="0.25">
      <c r="B228" s="333" t="s">
        <v>70</v>
      </c>
      <c r="C228" s="318">
        <v>20</v>
      </c>
      <c r="D228" s="346" t="s">
        <v>71</v>
      </c>
      <c r="E228" s="325">
        <v>41344</v>
      </c>
      <c r="F228" s="318" t="s">
        <v>72</v>
      </c>
      <c r="G228" s="332" t="s">
        <v>40</v>
      </c>
    </row>
    <row r="229" spans="2:7" x14ac:dyDescent="0.25">
      <c r="B229" s="333"/>
      <c r="C229" s="318"/>
      <c r="D229" s="346" t="s">
        <v>80</v>
      </c>
      <c r="E229" s="325"/>
      <c r="F229" s="326"/>
      <c r="G229" s="332"/>
    </row>
    <row r="230" spans="2:7" x14ac:dyDescent="0.25">
      <c r="B230" s="1012"/>
      <c r="C230" s="1013"/>
      <c r="D230" s="1014" t="s">
        <v>205</v>
      </c>
      <c r="E230" s="1015">
        <v>41498</v>
      </c>
      <c r="F230" s="1013"/>
      <c r="G230" s="1016" t="s">
        <v>40</v>
      </c>
    </row>
    <row r="231" spans="2:7" x14ac:dyDescent="0.25">
      <c r="B231" s="333" t="s">
        <v>81</v>
      </c>
      <c r="C231" s="318">
        <v>20</v>
      </c>
      <c r="D231" s="346" t="s">
        <v>206</v>
      </c>
      <c r="E231" s="325">
        <v>41516</v>
      </c>
      <c r="F231" s="318" t="s">
        <v>83</v>
      </c>
      <c r="G231" s="332" t="s">
        <v>40</v>
      </c>
    </row>
    <row r="232" spans="2:7" x14ac:dyDescent="0.25">
      <c r="B232" s="333"/>
      <c r="C232" s="318"/>
      <c r="D232" s="346" t="s">
        <v>207</v>
      </c>
      <c r="E232" s="325"/>
      <c r="F232" s="326"/>
      <c r="G232" s="332"/>
    </row>
    <row r="233" spans="2:7" x14ac:dyDescent="0.25">
      <c r="B233" s="1012"/>
      <c r="C233" s="1013"/>
      <c r="D233" s="1014" t="s">
        <v>91</v>
      </c>
      <c r="E233" s="1141">
        <v>41591</v>
      </c>
      <c r="F233" s="1013" t="s">
        <v>92</v>
      </c>
      <c r="G233" s="1016" t="s">
        <v>93</v>
      </c>
    </row>
    <row r="234" spans="2:7" x14ac:dyDescent="0.25">
      <c r="B234" s="333" t="s">
        <v>94</v>
      </c>
      <c r="C234" s="318"/>
      <c r="D234" s="346" t="s">
        <v>100</v>
      </c>
      <c r="E234" s="325"/>
      <c r="F234" s="318" t="s">
        <v>101</v>
      </c>
      <c r="G234" s="332" t="s">
        <v>40</v>
      </c>
    </row>
    <row r="235" spans="2:7" x14ac:dyDescent="0.25">
      <c r="B235" s="333"/>
      <c r="C235" s="318"/>
      <c r="D235" s="346" t="s">
        <v>103</v>
      </c>
      <c r="E235" s="325"/>
      <c r="F235" s="318" t="s">
        <v>101</v>
      </c>
      <c r="G235" s="332" t="s">
        <v>40</v>
      </c>
    </row>
    <row r="236" spans="2:7" x14ac:dyDescent="0.25">
      <c r="B236" s="333"/>
      <c r="C236" s="318"/>
      <c r="D236" s="346" t="s">
        <v>104</v>
      </c>
      <c r="E236" s="325">
        <v>41649</v>
      </c>
      <c r="F236" s="318" t="s">
        <v>105</v>
      </c>
      <c r="G236" s="332" t="s">
        <v>106</v>
      </c>
    </row>
    <row r="237" spans="2:7" x14ac:dyDescent="0.25">
      <c r="B237" s="333"/>
      <c r="C237" s="318"/>
      <c r="D237" s="346" t="s">
        <v>107</v>
      </c>
      <c r="E237" s="325">
        <v>41652</v>
      </c>
      <c r="F237" s="318" t="s">
        <v>108</v>
      </c>
      <c r="G237" s="332" t="s">
        <v>106</v>
      </c>
    </row>
    <row r="238" spans="2:7" x14ac:dyDescent="0.25">
      <c r="B238" s="1012"/>
      <c r="C238" s="1013"/>
      <c r="D238" s="1014" t="s">
        <v>208</v>
      </c>
      <c r="E238" s="1015"/>
      <c r="F238" s="1013" t="s">
        <v>209</v>
      </c>
      <c r="G238" s="1016" t="s">
        <v>40</v>
      </c>
    </row>
    <row r="239" spans="2:7" x14ac:dyDescent="0.25">
      <c r="B239" s="333" t="s">
        <v>112</v>
      </c>
      <c r="C239" s="318"/>
      <c r="D239" s="346" t="s">
        <v>113</v>
      </c>
      <c r="E239" s="325">
        <v>41731</v>
      </c>
      <c r="F239" s="326" t="s">
        <v>8</v>
      </c>
      <c r="G239" s="332" t="s">
        <v>106</v>
      </c>
    </row>
    <row r="240" spans="2:7" x14ac:dyDescent="0.25">
      <c r="B240" s="333"/>
      <c r="C240" s="318"/>
      <c r="D240" s="346" t="s">
        <v>121</v>
      </c>
      <c r="E240" s="325">
        <v>41778</v>
      </c>
      <c r="F240" s="318" t="s">
        <v>105</v>
      </c>
      <c r="G240" s="332" t="s">
        <v>106</v>
      </c>
    </row>
    <row r="241" spans="2:7" x14ac:dyDescent="0.25">
      <c r="B241" s="1012"/>
      <c r="C241" s="1013"/>
      <c r="D241" s="1014" t="s">
        <v>126</v>
      </c>
      <c r="E241" s="1015">
        <v>41942</v>
      </c>
      <c r="F241" s="1013" t="s">
        <v>127</v>
      </c>
      <c r="G241" s="1016" t="s">
        <v>40</v>
      </c>
    </row>
    <row r="242" spans="2:7" x14ac:dyDescent="0.25">
      <c r="B242" s="333" t="s">
        <v>128</v>
      </c>
      <c r="C242" s="318"/>
      <c r="D242" s="346" t="s">
        <v>210</v>
      </c>
      <c r="E242" s="325">
        <v>41750</v>
      </c>
      <c r="F242" s="318" t="s">
        <v>130</v>
      </c>
      <c r="G242" s="332" t="s">
        <v>40</v>
      </c>
    </row>
    <row r="243" spans="2:7" ht="26.4" x14ac:dyDescent="0.25">
      <c r="B243" s="333"/>
      <c r="C243" s="318"/>
      <c r="D243" s="346" t="s">
        <v>211</v>
      </c>
      <c r="E243" s="325">
        <v>41750</v>
      </c>
      <c r="F243" s="318" t="s">
        <v>130</v>
      </c>
      <c r="G243" s="332" t="s">
        <v>40</v>
      </c>
    </row>
    <row r="244" spans="2:7" x14ac:dyDescent="0.25">
      <c r="B244" s="333"/>
      <c r="C244" s="318"/>
      <c r="D244" s="346" t="s">
        <v>132</v>
      </c>
      <c r="E244" s="325">
        <v>42397</v>
      </c>
      <c r="F244" s="318" t="s">
        <v>130</v>
      </c>
      <c r="G244" s="332" t="s">
        <v>40</v>
      </c>
    </row>
    <row r="245" spans="2:7" ht="26.4" x14ac:dyDescent="0.25">
      <c r="B245" s="333"/>
      <c r="C245" s="318"/>
      <c r="D245" s="346" t="str">
        <f>D106</f>
        <v>Remove 251172 white foam boot, remove 100030 Beveled black boot, remove 100031 Brickmould black boot. Add 100041 white foam boot.</v>
      </c>
      <c r="E245" s="325">
        <f>E106</f>
        <v>41962</v>
      </c>
      <c r="F245" s="318" t="str">
        <f>F106</f>
        <v>14-056</v>
      </c>
      <c r="G245" s="332" t="str">
        <f>G183</f>
        <v>GDB</v>
      </c>
    </row>
    <row r="246" spans="2:7" x14ac:dyDescent="0.25">
      <c r="B246" s="333"/>
      <c r="C246" s="318"/>
      <c r="D246" s="346" t="s">
        <v>71</v>
      </c>
      <c r="E246" s="325">
        <v>42057</v>
      </c>
      <c r="F246" s="318" t="s">
        <v>135</v>
      </c>
      <c r="G246" s="332" t="s">
        <v>40</v>
      </c>
    </row>
    <row r="247" spans="2:7" x14ac:dyDescent="0.25">
      <c r="B247" s="333"/>
      <c r="C247" s="318"/>
      <c r="D247" s="346" t="s">
        <v>141</v>
      </c>
      <c r="E247" s="325">
        <v>42107</v>
      </c>
      <c r="F247" s="318" t="s">
        <v>142</v>
      </c>
      <c r="G247" s="332" t="s">
        <v>106</v>
      </c>
    </row>
    <row r="248" spans="2:7" x14ac:dyDescent="0.25">
      <c r="B248" s="333"/>
      <c r="C248" s="318"/>
      <c r="D248" s="346" t="s">
        <v>212</v>
      </c>
      <c r="E248" s="325">
        <v>42159</v>
      </c>
      <c r="F248" s="326" t="s">
        <v>8</v>
      </c>
      <c r="G248" s="332" t="s">
        <v>106</v>
      </c>
    </row>
    <row r="249" spans="2:7" x14ac:dyDescent="0.25">
      <c r="B249" s="1012"/>
      <c r="C249" s="1013"/>
      <c r="D249" s="1014" t="s">
        <v>151</v>
      </c>
      <c r="E249" s="1015">
        <v>42305</v>
      </c>
      <c r="F249" s="1017" t="s">
        <v>8</v>
      </c>
      <c r="G249" s="1016" t="s">
        <v>106</v>
      </c>
    </row>
    <row r="250" spans="2:7" x14ac:dyDescent="0.25">
      <c r="B250" s="333" t="s">
        <v>155</v>
      </c>
      <c r="C250" s="318"/>
      <c r="D250" s="346" t="s">
        <v>156</v>
      </c>
      <c r="E250" s="325">
        <v>42465</v>
      </c>
      <c r="F250" s="318" t="s">
        <v>157</v>
      </c>
      <c r="G250" s="332" t="s">
        <v>9</v>
      </c>
    </row>
    <row r="251" spans="2:7" x14ac:dyDescent="0.25">
      <c r="B251" s="1012"/>
      <c r="C251" s="1013"/>
      <c r="D251" s="1014" t="s">
        <v>213</v>
      </c>
      <c r="E251" s="1015">
        <v>42733</v>
      </c>
      <c r="F251" s="1017" t="s">
        <v>8</v>
      </c>
      <c r="G251" s="1016" t="s">
        <v>106</v>
      </c>
    </row>
    <row r="252" spans="2:7" x14ac:dyDescent="0.25">
      <c r="B252" s="333" t="s">
        <v>163</v>
      </c>
      <c r="C252" s="318"/>
      <c r="D252" s="346" t="s">
        <v>164</v>
      </c>
      <c r="E252" s="325">
        <v>42949</v>
      </c>
      <c r="F252" s="318" t="s">
        <v>165</v>
      </c>
      <c r="G252" s="332" t="s">
        <v>40</v>
      </c>
    </row>
    <row r="253" spans="2:7" x14ac:dyDescent="0.25">
      <c r="B253" s="333"/>
      <c r="C253" s="318"/>
      <c r="D253" s="346" t="s">
        <v>214</v>
      </c>
      <c r="E253" s="325">
        <v>42999</v>
      </c>
      <c r="F253" s="318" t="s">
        <v>169</v>
      </c>
      <c r="G253" s="332" t="s">
        <v>40</v>
      </c>
    </row>
    <row r="254" spans="2:7" x14ac:dyDescent="0.25">
      <c r="B254" s="1012"/>
      <c r="C254" s="1013"/>
      <c r="D254" s="1014" t="s">
        <v>170</v>
      </c>
      <c r="E254" s="1015">
        <v>43007</v>
      </c>
      <c r="F254" s="1013" t="s">
        <v>171</v>
      </c>
      <c r="G254" s="1016" t="s">
        <v>40</v>
      </c>
    </row>
    <row r="255" spans="2:7" ht="26.4" x14ac:dyDescent="0.25">
      <c r="B255" s="1140" t="s">
        <v>175</v>
      </c>
      <c r="C255" s="1138"/>
      <c r="D255" s="1136" t="s">
        <v>176</v>
      </c>
      <c r="E255" s="1137">
        <v>43241</v>
      </c>
      <c r="F255" s="1138" t="s">
        <v>177</v>
      </c>
      <c r="G255" s="1139" t="s">
        <v>178</v>
      </c>
    </row>
    <row r="256" spans="2:7" x14ac:dyDescent="0.25">
      <c r="B256" s="341" t="s">
        <v>533</v>
      </c>
      <c r="C256" s="342"/>
      <c r="D256" s="348" t="s">
        <v>1851</v>
      </c>
      <c r="E256" s="343">
        <v>43567</v>
      </c>
      <c r="F256" s="342" t="s">
        <v>1852</v>
      </c>
      <c r="G256" s="345" t="s">
        <v>219</v>
      </c>
    </row>
    <row r="257" spans="2:8" x14ac:dyDescent="0.25">
      <c r="B257" s="1012"/>
      <c r="C257" s="1013"/>
      <c r="D257" s="1014" t="s">
        <v>1864</v>
      </c>
      <c r="E257" s="1015">
        <v>43801</v>
      </c>
      <c r="F257" s="1013" t="s">
        <v>1865</v>
      </c>
      <c r="G257" s="1016" t="s">
        <v>1866</v>
      </c>
    </row>
    <row r="258" spans="2:8" x14ac:dyDescent="0.25">
      <c r="B258" s="333" t="s">
        <v>534</v>
      </c>
      <c r="C258" s="318"/>
      <c r="D258" s="346" t="s">
        <v>1897</v>
      </c>
      <c r="E258" s="325">
        <v>43896</v>
      </c>
      <c r="F258" s="318" t="s">
        <v>1896</v>
      </c>
      <c r="G258" s="332" t="s">
        <v>40</v>
      </c>
    </row>
    <row r="259" spans="2:8" x14ac:dyDescent="0.25">
      <c r="B259" s="1140" t="s">
        <v>535</v>
      </c>
      <c r="C259" s="1135"/>
      <c r="D259" s="1136" t="s">
        <v>1903</v>
      </c>
      <c r="E259" s="1135"/>
      <c r="F259" s="1138"/>
      <c r="G259" s="1139"/>
    </row>
    <row r="260" spans="2:8" x14ac:dyDescent="0.25">
      <c r="B260" s="1140" t="s">
        <v>536</v>
      </c>
      <c r="C260" s="1138"/>
      <c r="D260" s="1136" t="s">
        <v>1903</v>
      </c>
      <c r="E260" s="1137">
        <v>43965</v>
      </c>
      <c r="F260" s="1143" t="s">
        <v>1938</v>
      </c>
      <c r="G260" s="1139" t="s">
        <v>178</v>
      </c>
    </row>
    <row r="261" spans="2:8" x14ac:dyDescent="0.25">
      <c r="B261" s="1140" t="s">
        <v>537</v>
      </c>
      <c r="C261" s="1138"/>
      <c r="D261" s="1136" t="s">
        <v>1903</v>
      </c>
      <c r="E261" s="1137"/>
      <c r="F261" s="1143"/>
      <c r="G261" s="1139"/>
    </row>
    <row r="262" spans="2:8" x14ac:dyDescent="0.25">
      <c r="B262" s="1012" t="s">
        <v>371</v>
      </c>
      <c r="C262" s="1013"/>
      <c r="D262" s="1014" t="s">
        <v>2056</v>
      </c>
      <c r="E262" s="1015">
        <v>44530</v>
      </c>
      <c r="F262" s="1013" t="s">
        <v>2020</v>
      </c>
      <c r="G262" s="1016" t="s">
        <v>2019</v>
      </c>
    </row>
    <row r="263" spans="2:8" x14ac:dyDescent="0.25">
      <c r="B263" s="1012" t="s">
        <v>538</v>
      </c>
      <c r="C263" s="1013"/>
      <c r="D263" s="1014" t="s">
        <v>2057</v>
      </c>
      <c r="E263" s="1015">
        <v>44621</v>
      </c>
      <c r="F263" s="1471" t="s">
        <v>2058</v>
      </c>
      <c r="G263" s="1016" t="s">
        <v>40</v>
      </c>
    </row>
    <row r="264" spans="2:8" x14ac:dyDescent="0.25">
      <c r="B264" s="1012" t="s">
        <v>539</v>
      </c>
      <c r="C264" s="1013"/>
      <c r="D264" s="1136" t="s">
        <v>1903</v>
      </c>
      <c r="E264" s="1015"/>
      <c r="F264" s="1201"/>
      <c r="G264" s="1016"/>
    </row>
    <row r="265" spans="2:8" x14ac:dyDescent="0.25">
      <c r="B265" s="1012" t="s">
        <v>540</v>
      </c>
      <c r="C265" s="1013"/>
      <c r="D265" s="1136" t="s">
        <v>2331</v>
      </c>
      <c r="E265" s="1137">
        <v>44986</v>
      </c>
      <c r="F265" s="1143" t="s">
        <v>2348</v>
      </c>
      <c r="G265" s="1139" t="s">
        <v>106</v>
      </c>
      <c r="H265" s="1549"/>
    </row>
    <row r="266" spans="2:8" x14ac:dyDescent="0.25">
      <c r="B266" s="1140" t="s">
        <v>1448</v>
      </c>
      <c r="C266" s="1138"/>
      <c r="D266" s="1136" t="s">
        <v>2358</v>
      </c>
      <c r="E266" s="1137">
        <v>45001</v>
      </c>
      <c r="F266" s="1138" t="s">
        <v>2360</v>
      </c>
      <c r="G266" s="1139" t="s">
        <v>2359</v>
      </c>
    </row>
    <row r="267" spans="2:8" x14ac:dyDescent="0.25">
      <c r="B267" s="341" t="s">
        <v>1449</v>
      </c>
      <c r="C267" s="342"/>
      <c r="D267" s="348" t="s">
        <v>2375</v>
      </c>
      <c r="E267" s="1585"/>
      <c r="F267" s="342" t="s">
        <v>2380</v>
      </c>
      <c r="G267" s="345" t="s">
        <v>178</v>
      </c>
    </row>
    <row r="268" spans="2:8" x14ac:dyDescent="0.25">
      <c r="B268" s="333"/>
      <c r="C268" s="318"/>
      <c r="D268" s="346" t="s">
        <v>2379</v>
      </c>
      <c r="E268" s="325">
        <v>45467</v>
      </c>
      <c r="F268" s="318" t="s">
        <v>2392</v>
      </c>
      <c r="G268" s="332" t="s">
        <v>178</v>
      </c>
    </row>
    <row r="269" spans="2:8" x14ac:dyDescent="0.25">
      <c r="B269" s="333"/>
      <c r="C269" s="318"/>
      <c r="D269" s="346" t="s">
        <v>2378</v>
      </c>
      <c r="E269" s="325"/>
      <c r="F269" s="318" t="s">
        <v>2376</v>
      </c>
      <c r="G269" s="332" t="s">
        <v>178</v>
      </c>
    </row>
    <row r="270" spans="2:8" x14ac:dyDescent="0.25">
      <c r="B270" s="1012"/>
      <c r="C270" s="1013"/>
      <c r="D270" s="1014" t="s">
        <v>2395</v>
      </c>
      <c r="E270" s="1015">
        <v>45720</v>
      </c>
      <c r="F270" s="318" t="s">
        <v>2399</v>
      </c>
      <c r="G270" s="1016" t="s">
        <v>178</v>
      </c>
    </row>
    <row r="271" spans="2:8" x14ac:dyDescent="0.25">
      <c r="B271" s="1012"/>
      <c r="C271" s="1013"/>
      <c r="D271" s="1014"/>
      <c r="E271" s="1015"/>
      <c r="F271" s="1013"/>
      <c r="G271" s="1016"/>
    </row>
    <row r="272" spans="2:8" ht="13.8" thickBot="1" x14ac:dyDescent="0.3">
      <c r="B272" s="1129"/>
      <c r="C272" s="1130"/>
      <c r="D272" s="1131"/>
      <c r="E272" s="1132"/>
      <c r="F272" s="1130"/>
      <c r="G272" s="1133"/>
    </row>
    <row r="274" spans="1:7" s="1493" customFormat="1" ht="25.2" thickBot="1" x14ac:dyDescent="0.45">
      <c r="A274" s="1523">
        <f>A218+1</f>
        <v>4</v>
      </c>
      <c r="B274" s="1491" t="s">
        <v>215</v>
      </c>
      <c r="C274" s="1491"/>
      <c r="D274" s="1492"/>
      <c r="E274" s="1492"/>
      <c r="F274" s="1492"/>
      <c r="G274" s="1492"/>
    </row>
    <row r="275" spans="1:7" x14ac:dyDescent="0.25">
      <c r="B275" s="328" t="s">
        <v>0</v>
      </c>
      <c r="C275" s="329" t="s">
        <v>1</v>
      </c>
      <c r="D275" s="338" t="s">
        <v>2</v>
      </c>
      <c r="E275" s="329" t="s">
        <v>3</v>
      </c>
      <c r="F275" s="330" t="s">
        <v>4</v>
      </c>
      <c r="G275" s="331" t="s">
        <v>5</v>
      </c>
    </row>
    <row r="276" spans="1:7" x14ac:dyDescent="0.25">
      <c r="B276" s="341">
        <v>1</v>
      </c>
      <c r="C276" s="342">
        <v>20</v>
      </c>
      <c r="D276" s="348" t="s">
        <v>201</v>
      </c>
      <c r="E276" s="343">
        <v>41164</v>
      </c>
      <c r="F276" s="344" t="s">
        <v>8</v>
      </c>
      <c r="G276" s="345" t="s">
        <v>40</v>
      </c>
    </row>
    <row r="277" spans="1:7" x14ac:dyDescent="0.25">
      <c r="B277" s="333">
        <v>21</v>
      </c>
      <c r="C277" s="318">
        <v>20</v>
      </c>
      <c r="D277" s="346" t="s">
        <v>42</v>
      </c>
      <c r="E277" s="325">
        <v>41223</v>
      </c>
      <c r="F277" s="326"/>
      <c r="G277" s="332" t="s">
        <v>40</v>
      </c>
    </row>
    <row r="278" spans="1:7" ht="26.4" x14ac:dyDescent="0.25">
      <c r="B278" s="333">
        <v>21</v>
      </c>
      <c r="C278" s="318">
        <v>20</v>
      </c>
      <c r="D278" s="346" t="s">
        <v>203</v>
      </c>
      <c r="E278" s="325">
        <v>41257</v>
      </c>
      <c r="F278" s="326"/>
      <c r="G278" s="332" t="s">
        <v>40</v>
      </c>
    </row>
    <row r="279" spans="1:7" x14ac:dyDescent="0.25">
      <c r="B279" s="333">
        <v>22</v>
      </c>
      <c r="C279" s="318">
        <v>20</v>
      </c>
      <c r="D279" s="346" t="s">
        <v>62</v>
      </c>
      <c r="E279" s="325">
        <v>41281</v>
      </c>
      <c r="F279" s="326"/>
      <c r="G279" s="332" t="s">
        <v>40</v>
      </c>
    </row>
    <row r="280" spans="1:7" x14ac:dyDescent="0.25">
      <c r="B280" s="333">
        <v>22</v>
      </c>
      <c r="C280" s="318">
        <v>20</v>
      </c>
      <c r="D280" s="346" t="s">
        <v>216</v>
      </c>
      <c r="E280" s="325">
        <v>41281</v>
      </c>
      <c r="F280" s="326"/>
      <c r="G280" s="332" t="s">
        <v>40</v>
      </c>
    </row>
    <row r="281" spans="1:7" x14ac:dyDescent="0.25">
      <c r="B281" s="333">
        <v>23</v>
      </c>
      <c r="C281" s="318"/>
      <c r="D281" s="346" t="s">
        <v>59</v>
      </c>
      <c r="E281" s="325">
        <v>41311</v>
      </c>
      <c r="F281" s="326"/>
      <c r="G281" s="332" t="s">
        <v>40</v>
      </c>
    </row>
    <row r="282" spans="1:7" x14ac:dyDescent="0.25">
      <c r="B282" s="333"/>
      <c r="C282" s="318"/>
      <c r="D282" s="346" t="s">
        <v>61</v>
      </c>
      <c r="E282" s="325"/>
      <c r="F282" s="326"/>
      <c r="G282" s="332"/>
    </row>
    <row r="283" spans="1:7" x14ac:dyDescent="0.25">
      <c r="B283" s="1012">
        <v>24</v>
      </c>
      <c r="C283" s="1013"/>
      <c r="D283" s="1014" t="s">
        <v>204</v>
      </c>
      <c r="E283" s="1015">
        <v>41313</v>
      </c>
      <c r="F283" s="1017"/>
      <c r="G283" s="1016" t="s">
        <v>40</v>
      </c>
    </row>
    <row r="284" spans="1:7" x14ac:dyDescent="0.25">
      <c r="B284" s="333" t="s">
        <v>70</v>
      </c>
      <c r="C284" s="318">
        <v>20</v>
      </c>
      <c r="D284" s="346" t="s">
        <v>71</v>
      </c>
      <c r="E284" s="325">
        <v>41344</v>
      </c>
      <c r="F284" s="318" t="s">
        <v>72</v>
      </c>
      <c r="G284" s="332" t="s">
        <v>40</v>
      </c>
    </row>
    <row r="285" spans="1:7" x14ac:dyDescent="0.25">
      <c r="B285" s="333"/>
      <c r="C285" s="318"/>
      <c r="D285" s="346" t="s">
        <v>80</v>
      </c>
      <c r="E285" s="325"/>
      <c r="G285" s="332"/>
    </row>
    <row r="286" spans="1:7" x14ac:dyDescent="0.25">
      <c r="B286" s="1012"/>
      <c r="C286" s="1013"/>
      <c r="D286" s="1014" t="s">
        <v>205</v>
      </c>
      <c r="E286" s="1015">
        <v>41498</v>
      </c>
      <c r="F286" s="1013"/>
      <c r="G286" s="1016" t="s">
        <v>40</v>
      </c>
    </row>
    <row r="287" spans="1:7" x14ac:dyDescent="0.25">
      <c r="B287" s="333" t="s">
        <v>81</v>
      </c>
      <c r="C287" s="318">
        <v>20</v>
      </c>
      <c r="D287" s="346" t="s">
        <v>206</v>
      </c>
      <c r="E287" s="325">
        <v>41516</v>
      </c>
      <c r="F287" s="318" t="s">
        <v>83</v>
      </c>
      <c r="G287" s="332" t="s">
        <v>40</v>
      </c>
    </row>
    <row r="288" spans="1:7" x14ac:dyDescent="0.25">
      <c r="B288" s="1142"/>
      <c r="C288" s="1019"/>
      <c r="D288" s="1014" t="s">
        <v>207</v>
      </c>
      <c r="E288" s="1019"/>
      <c r="F288" s="1013"/>
      <c r="G288" s="1016"/>
    </row>
    <row r="289" spans="2:7" x14ac:dyDescent="0.25">
      <c r="B289" s="333" t="s">
        <v>94</v>
      </c>
      <c r="C289" s="318"/>
      <c r="D289" s="346" t="s">
        <v>100</v>
      </c>
      <c r="E289" s="325"/>
      <c r="F289" s="318" t="s">
        <v>101</v>
      </c>
      <c r="G289" s="332" t="s">
        <v>40</v>
      </c>
    </row>
    <row r="290" spans="2:7" x14ac:dyDescent="0.25">
      <c r="B290" s="333"/>
      <c r="C290" s="318"/>
      <c r="D290" s="346" t="s">
        <v>103</v>
      </c>
      <c r="E290" s="325"/>
      <c r="F290" s="318" t="s">
        <v>101</v>
      </c>
      <c r="G290" s="332" t="s">
        <v>40</v>
      </c>
    </row>
    <row r="291" spans="2:7" x14ac:dyDescent="0.25">
      <c r="B291" s="333"/>
      <c r="C291" s="318"/>
      <c r="D291" s="346" t="s">
        <v>104</v>
      </c>
      <c r="E291" s="325">
        <v>41649</v>
      </c>
      <c r="F291" s="318" t="s">
        <v>105</v>
      </c>
      <c r="G291" s="332" t="s">
        <v>106</v>
      </c>
    </row>
    <row r="292" spans="2:7" x14ac:dyDescent="0.25">
      <c r="B292" s="333"/>
      <c r="C292" s="318"/>
      <c r="D292" s="346" t="s">
        <v>107</v>
      </c>
      <c r="E292" s="325">
        <v>41652</v>
      </c>
      <c r="F292" s="318" t="s">
        <v>108</v>
      </c>
      <c r="G292" s="332" t="s">
        <v>106</v>
      </c>
    </row>
    <row r="293" spans="2:7" x14ac:dyDescent="0.25">
      <c r="B293" s="1012"/>
      <c r="C293" s="1013"/>
      <c r="D293" s="1014" t="s">
        <v>208</v>
      </c>
      <c r="E293" s="1015"/>
      <c r="F293" s="1013" t="s">
        <v>209</v>
      </c>
      <c r="G293" s="1016" t="s">
        <v>40</v>
      </c>
    </row>
    <row r="294" spans="2:7" x14ac:dyDescent="0.25">
      <c r="B294" s="333" t="s">
        <v>112</v>
      </c>
      <c r="C294" s="318"/>
      <c r="D294" s="346" t="s">
        <v>113</v>
      </c>
      <c r="E294" s="325">
        <v>41731</v>
      </c>
      <c r="F294" s="326" t="s">
        <v>8</v>
      </c>
      <c r="G294" s="332" t="s">
        <v>106</v>
      </c>
    </row>
    <row r="295" spans="2:7" x14ac:dyDescent="0.25">
      <c r="B295" s="1012"/>
      <c r="C295" s="1013"/>
      <c r="D295" s="1014" t="s">
        <v>126</v>
      </c>
      <c r="E295" s="1015">
        <v>41942</v>
      </c>
      <c r="F295" s="1013" t="s">
        <v>127</v>
      </c>
      <c r="G295" s="1016" t="s">
        <v>40</v>
      </c>
    </row>
    <row r="296" spans="2:7" x14ac:dyDescent="0.25">
      <c r="B296" s="333" t="s">
        <v>128</v>
      </c>
      <c r="C296" s="318"/>
      <c r="D296" s="346" t="s">
        <v>210</v>
      </c>
      <c r="E296" s="325">
        <v>41750</v>
      </c>
      <c r="F296" s="318" t="s">
        <v>130</v>
      </c>
      <c r="G296" s="332" t="s">
        <v>40</v>
      </c>
    </row>
    <row r="297" spans="2:7" ht="26.4" x14ac:dyDescent="0.25">
      <c r="B297" s="333"/>
      <c r="C297" s="318"/>
      <c r="D297" s="346" t="s">
        <v>211</v>
      </c>
      <c r="E297" s="325">
        <v>41750</v>
      </c>
      <c r="F297" s="318" t="s">
        <v>130</v>
      </c>
      <c r="G297" s="332" t="s">
        <v>40</v>
      </c>
    </row>
    <row r="298" spans="2:7" x14ac:dyDescent="0.25">
      <c r="B298" s="333"/>
      <c r="C298" s="318"/>
      <c r="D298" s="346" t="s">
        <v>132</v>
      </c>
      <c r="E298" s="325">
        <v>42397</v>
      </c>
      <c r="F298" s="318" t="s">
        <v>130</v>
      </c>
      <c r="G298" s="332" t="s">
        <v>40</v>
      </c>
    </row>
    <row r="299" spans="2:7" x14ac:dyDescent="0.25">
      <c r="B299" s="1012"/>
      <c r="C299" s="1013"/>
      <c r="D299" s="1014" t="s">
        <v>71</v>
      </c>
      <c r="E299" s="1015">
        <v>42057</v>
      </c>
      <c r="F299" s="1013" t="s">
        <v>135</v>
      </c>
      <c r="G299" s="1016" t="s">
        <v>40</v>
      </c>
    </row>
    <row r="300" spans="2:7" x14ac:dyDescent="0.25">
      <c r="B300" s="1140" t="s">
        <v>155</v>
      </c>
      <c r="C300" s="1138"/>
      <c r="D300" s="1136" t="s">
        <v>156</v>
      </c>
      <c r="E300" s="1137">
        <v>42465</v>
      </c>
      <c r="F300" s="1138" t="s">
        <v>157</v>
      </c>
      <c r="G300" s="1139" t="s">
        <v>9</v>
      </c>
    </row>
    <row r="301" spans="2:7" x14ac:dyDescent="0.25">
      <c r="B301" s="333" t="s">
        <v>163</v>
      </c>
      <c r="C301" s="318"/>
      <c r="D301" s="346" t="s">
        <v>164</v>
      </c>
      <c r="E301" s="325">
        <v>42949</v>
      </c>
      <c r="F301" s="318" t="s">
        <v>165</v>
      </c>
      <c r="G301" s="332" t="s">
        <v>40</v>
      </c>
    </row>
    <row r="302" spans="2:7" x14ac:dyDescent="0.25">
      <c r="B302" s="333"/>
      <c r="C302" s="318"/>
      <c r="D302" s="346" t="s">
        <v>214</v>
      </c>
      <c r="E302" s="325">
        <v>42999</v>
      </c>
      <c r="F302" s="318" t="s">
        <v>169</v>
      </c>
      <c r="G302" s="332" t="s">
        <v>40</v>
      </c>
    </row>
    <row r="303" spans="2:7" x14ac:dyDescent="0.25">
      <c r="B303" s="333"/>
      <c r="C303" s="318"/>
      <c r="D303" s="346" t="s">
        <v>170</v>
      </c>
      <c r="E303" s="325">
        <v>43007</v>
      </c>
      <c r="F303" s="318" t="s">
        <v>171</v>
      </c>
      <c r="G303" s="332" t="s">
        <v>40</v>
      </c>
    </row>
    <row r="304" spans="2:7" x14ac:dyDescent="0.25">
      <c r="B304" s="333"/>
      <c r="C304" s="318"/>
      <c r="D304" s="346" t="s">
        <v>217</v>
      </c>
      <c r="E304" s="325">
        <v>43125</v>
      </c>
      <c r="F304" s="318" t="s">
        <v>218</v>
      </c>
      <c r="G304" s="332" t="s">
        <v>219</v>
      </c>
    </row>
    <row r="305" spans="2:8" ht="26.4" x14ac:dyDescent="0.25">
      <c r="B305" s="1140" t="s">
        <v>175</v>
      </c>
      <c r="C305" s="1138"/>
      <c r="D305" s="1136" t="s">
        <v>176</v>
      </c>
      <c r="E305" s="1137">
        <v>43241</v>
      </c>
      <c r="F305" s="1138" t="s">
        <v>177</v>
      </c>
      <c r="G305" s="1139" t="s">
        <v>178</v>
      </c>
    </row>
    <row r="306" spans="2:8" x14ac:dyDescent="0.25">
      <c r="B306" s="341" t="s">
        <v>533</v>
      </c>
      <c r="C306" s="342"/>
      <c r="D306" s="348" t="s">
        <v>1851</v>
      </c>
      <c r="E306" s="343">
        <v>43567</v>
      </c>
      <c r="F306" s="342" t="s">
        <v>1852</v>
      </c>
      <c r="G306" s="345" t="s">
        <v>219</v>
      </c>
    </row>
    <row r="307" spans="2:8" x14ac:dyDescent="0.25">
      <c r="B307" s="1012"/>
      <c r="C307" s="1013"/>
      <c r="D307" s="1014" t="s">
        <v>1864</v>
      </c>
      <c r="E307" s="1015">
        <v>43801</v>
      </c>
      <c r="F307" s="1013" t="s">
        <v>1865</v>
      </c>
      <c r="G307" s="1016" t="s">
        <v>1866</v>
      </c>
    </row>
    <row r="308" spans="2:8" x14ac:dyDescent="0.25">
      <c r="B308" s="333" t="s">
        <v>534</v>
      </c>
      <c r="C308" s="318"/>
      <c r="D308" s="346" t="s">
        <v>1898</v>
      </c>
      <c r="E308" s="325">
        <v>43896</v>
      </c>
      <c r="F308" s="318" t="s">
        <v>1896</v>
      </c>
      <c r="G308" s="332" t="s">
        <v>40</v>
      </c>
    </row>
    <row r="309" spans="2:8" x14ac:dyDescent="0.25">
      <c r="B309" s="1140" t="s">
        <v>535</v>
      </c>
      <c r="C309" s="1135"/>
      <c r="D309" s="1136" t="s">
        <v>1903</v>
      </c>
      <c r="E309" s="1135"/>
      <c r="F309" s="1138"/>
      <c r="G309" s="1139"/>
    </row>
    <row r="310" spans="2:8" x14ac:dyDescent="0.25">
      <c r="B310" s="1140" t="s">
        <v>536</v>
      </c>
      <c r="C310" s="1138"/>
      <c r="D310" s="1136" t="s">
        <v>1903</v>
      </c>
      <c r="E310" s="1137">
        <v>43965</v>
      </c>
      <c r="F310" s="1143" t="s">
        <v>1938</v>
      </c>
      <c r="G310" s="1139" t="s">
        <v>178</v>
      </c>
    </row>
    <row r="311" spans="2:8" x14ac:dyDescent="0.25">
      <c r="B311" s="1140" t="s">
        <v>537</v>
      </c>
      <c r="C311" s="1138"/>
      <c r="D311" s="1136" t="s">
        <v>1903</v>
      </c>
      <c r="E311" s="1137"/>
      <c r="F311" s="1143"/>
      <c r="G311" s="1139"/>
    </row>
    <row r="312" spans="2:8" x14ac:dyDescent="0.25">
      <c r="B312" s="1012" t="s">
        <v>371</v>
      </c>
      <c r="C312" s="1013"/>
      <c r="D312" s="1014" t="s">
        <v>2056</v>
      </c>
      <c r="E312" s="1015">
        <v>44530</v>
      </c>
      <c r="F312" s="1013" t="s">
        <v>2020</v>
      </c>
      <c r="G312" s="1016" t="s">
        <v>2019</v>
      </c>
    </row>
    <row r="313" spans="2:8" x14ac:dyDescent="0.25">
      <c r="B313" s="1012" t="s">
        <v>538</v>
      </c>
      <c r="C313" s="1013"/>
      <c r="D313" s="1014" t="s">
        <v>2057</v>
      </c>
      <c r="E313" s="1015">
        <v>44621</v>
      </c>
      <c r="F313" s="1471" t="s">
        <v>2058</v>
      </c>
      <c r="G313" s="1016" t="s">
        <v>40</v>
      </c>
    </row>
    <row r="314" spans="2:8" x14ac:dyDescent="0.25">
      <c r="B314" s="1012" t="s">
        <v>539</v>
      </c>
      <c r="C314" s="1013"/>
      <c r="D314" s="1136" t="s">
        <v>1903</v>
      </c>
      <c r="E314" s="1015"/>
      <c r="F314" s="1201"/>
      <c r="G314" s="1016"/>
    </row>
    <row r="315" spans="2:8" x14ac:dyDescent="0.25">
      <c r="B315" s="1012" t="s">
        <v>540</v>
      </c>
      <c r="C315" s="1013"/>
      <c r="D315" s="1136" t="s">
        <v>2331</v>
      </c>
      <c r="E315" s="1137">
        <v>44986</v>
      </c>
      <c r="F315" s="1143" t="s">
        <v>2348</v>
      </c>
      <c r="G315" s="1139" t="s">
        <v>106</v>
      </c>
      <c r="H315" s="1549"/>
    </row>
    <row r="316" spans="2:8" x14ac:dyDescent="0.25">
      <c r="B316" s="1140" t="s">
        <v>1448</v>
      </c>
      <c r="C316" s="1138"/>
      <c r="D316" s="1136" t="s">
        <v>2358</v>
      </c>
      <c r="E316" s="1137">
        <v>45001</v>
      </c>
      <c r="F316" s="1138" t="s">
        <v>2360</v>
      </c>
      <c r="G316" s="1139" t="s">
        <v>2359</v>
      </c>
    </row>
    <row r="317" spans="2:8" x14ac:dyDescent="0.25">
      <c r="B317" s="341" t="s">
        <v>1449</v>
      </c>
      <c r="C317" s="342"/>
      <c r="D317" s="348" t="s">
        <v>2375</v>
      </c>
      <c r="E317" s="1585"/>
      <c r="F317" s="342" t="s">
        <v>2380</v>
      </c>
      <c r="G317" s="345" t="s">
        <v>178</v>
      </c>
    </row>
    <row r="318" spans="2:8" x14ac:dyDescent="0.25">
      <c r="B318" s="333"/>
      <c r="C318" s="318"/>
      <c r="D318" s="346" t="s">
        <v>2379</v>
      </c>
      <c r="E318" s="325">
        <v>45467</v>
      </c>
      <c r="F318" s="318" t="s">
        <v>2392</v>
      </c>
      <c r="G318" s="332" t="s">
        <v>178</v>
      </c>
    </row>
    <row r="319" spans="2:8" x14ac:dyDescent="0.25">
      <c r="B319" s="333"/>
      <c r="C319" s="318"/>
      <c r="D319" s="346" t="s">
        <v>2378</v>
      </c>
      <c r="E319" s="325"/>
      <c r="F319" s="318" t="s">
        <v>2376</v>
      </c>
      <c r="G319" s="332" t="s">
        <v>178</v>
      </c>
    </row>
    <row r="320" spans="2:8" x14ac:dyDescent="0.25">
      <c r="B320" s="1012"/>
      <c r="C320" s="1013"/>
      <c r="D320" s="1014" t="s">
        <v>2395</v>
      </c>
      <c r="E320" s="1015">
        <v>45720</v>
      </c>
      <c r="F320" s="318" t="s">
        <v>2399</v>
      </c>
      <c r="G320" s="1016" t="s">
        <v>178</v>
      </c>
    </row>
    <row r="321" spans="1:7" x14ac:dyDescent="0.25">
      <c r="B321" s="1012"/>
      <c r="C321" s="1013"/>
      <c r="D321" s="1014"/>
      <c r="E321" s="1015"/>
      <c r="F321" s="1013"/>
      <c r="G321" s="1016"/>
    </row>
    <row r="322" spans="1:7" ht="13.8" thickBot="1" x14ac:dyDescent="0.3">
      <c r="B322" s="1129"/>
      <c r="C322" s="1130"/>
      <c r="D322" s="1131"/>
      <c r="E322" s="1132"/>
      <c r="F322" s="1130"/>
      <c r="G322" s="1133"/>
    </row>
    <row r="324" spans="1:7" s="1493" customFormat="1" ht="25.2" thickBot="1" x14ac:dyDescent="0.45">
      <c r="A324" s="1523">
        <f>A274+1</f>
        <v>5</v>
      </c>
      <c r="B324" s="1491" t="s">
        <v>220</v>
      </c>
      <c r="C324" s="1491"/>
      <c r="D324" s="1492"/>
      <c r="E324" s="1492"/>
      <c r="F324" s="1492"/>
      <c r="G324" s="1492"/>
    </row>
    <row r="325" spans="1:7" x14ac:dyDescent="0.25">
      <c r="B325" s="328" t="s">
        <v>0</v>
      </c>
      <c r="C325" s="329" t="s">
        <v>1</v>
      </c>
      <c r="D325" s="338" t="s">
        <v>2</v>
      </c>
      <c r="E325" s="329" t="s">
        <v>3</v>
      </c>
      <c r="F325" s="330" t="s">
        <v>4</v>
      </c>
      <c r="G325" s="331" t="s">
        <v>5</v>
      </c>
    </row>
    <row r="326" spans="1:7" x14ac:dyDescent="0.25">
      <c r="B326" s="341">
        <v>1</v>
      </c>
      <c r="C326" s="342">
        <v>20</v>
      </c>
      <c r="D326" s="348" t="s">
        <v>201</v>
      </c>
      <c r="E326" s="343">
        <v>41164</v>
      </c>
      <c r="F326" s="344" t="s">
        <v>8</v>
      </c>
      <c r="G326" s="345" t="s">
        <v>40</v>
      </c>
    </row>
    <row r="327" spans="1:7" x14ac:dyDescent="0.25">
      <c r="B327" s="333">
        <v>21</v>
      </c>
      <c r="C327" s="318">
        <v>20</v>
      </c>
      <c r="D327" s="346" t="s">
        <v>42</v>
      </c>
      <c r="E327" s="325">
        <v>41223</v>
      </c>
      <c r="F327" s="326"/>
      <c r="G327" s="332" t="s">
        <v>40</v>
      </c>
    </row>
    <row r="328" spans="1:7" ht="26.4" x14ac:dyDescent="0.25">
      <c r="B328" s="333">
        <v>21</v>
      </c>
      <c r="C328" s="318">
        <v>20</v>
      </c>
      <c r="D328" s="346" t="s">
        <v>203</v>
      </c>
      <c r="E328" s="325">
        <v>41257</v>
      </c>
      <c r="F328" s="326"/>
      <c r="G328" s="332" t="s">
        <v>40</v>
      </c>
    </row>
    <row r="329" spans="1:7" x14ac:dyDescent="0.25">
      <c r="B329" s="333">
        <v>22</v>
      </c>
      <c r="C329" s="318">
        <v>20</v>
      </c>
      <c r="D329" s="346" t="s">
        <v>62</v>
      </c>
      <c r="E329" s="325">
        <v>41281</v>
      </c>
      <c r="F329" s="326"/>
      <c r="G329" s="332" t="s">
        <v>40</v>
      </c>
    </row>
    <row r="330" spans="1:7" x14ac:dyDescent="0.25">
      <c r="B330" s="333">
        <v>23</v>
      </c>
      <c r="C330" s="318"/>
      <c r="D330" s="346" t="s">
        <v>59</v>
      </c>
      <c r="E330" s="325">
        <v>41311</v>
      </c>
      <c r="F330" s="326"/>
      <c r="G330" s="332" t="s">
        <v>40</v>
      </c>
    </row>
    <row r="331" spans="1:7" x14ac:dyDescent="0.25">
      <c r="B331" s="333"/>
      <c r="C331" s="318"/>
      <c r="D331" s="346" t="s">
        <v>61</v>
      </c>
      <c r="E331" s="325"/>
      <c r="F331" s="326"/>
      <c r="G331" s="332"/>
    </row>
    <row r="332" spans="1:7" x14ac:dyDescent="0.25">
      <c r="B332" s="1012">
        <v>24</v>
      </c>
      <c r="C332" s="1013"/>
      <c r="D332" s="1014" t="s">
        <v>204</v>
      </c>
      <c r="E332" s="1015">
        <v>41313</v>
      </c>
      <c r="F332" s="1017"/>
      <c r="G332" s="1016" t="s">
        <v>40</v>
      </c>
    </row>
    <row r="333" spans="1:7" x14ac:dyDescent="0.25">
      <c r="B333" s="333" t="s">
        <v>70</v>
      </c>
      <c r="C333" s="318">
        <v>20</v>
      </c>
      <c r="D333" s="346" t="s">
        <v>71</v>
      </c>
      <c r="E333" s="325">
        <v>41344</v>
      </c>
      <c r="F333" s="318" t="s">
        <v>72</v>
      </c>
      <c r="G333" s="332" t="s">
        <v>40</v>
      </c>
    </row>
    <row r="334" spans="1:7" x14ac:dyDescent="0.25">
      <c r="B334" s="333"/>
      <c r="C334" s="318"/>
      <c r="D334" s="346" t="s">
        <v>80</v>
      </c>
      <c r="E334" s="325"/>
      <c r="G334" s="332"/>
    </row>
    <row r="335" spans="1:7" x14ac:dyDescent="0.25">
      <c r="B335" s="1012"/>
      <c r="C335" s="1013"/>
      <c r="D335" s="1014" t="s">
        <v>205</v>
      </c>
      <c r="E335" s="1015">
        <v>41498</v>
      </c>
      <c r="F335" s="1013"/>
      <c r="G335" s="1016" t="s">
        <v>40</v>
      </c>
    </row>
    <row r="336" spans="1:7" x14ac:dyDescent="0.25">
      <c r="B336" s="333" t="s">
        <v>81</v>
      </c>
      <c r="C336" s="318">
        <v>20</v>
      </c>
      <c r="D336" s="346" t="s">
        <v>206</v>
      </c>
      <c r="E336" s="325">
        <v>41516</v>
      </c>
      <c r="F336" s="318" t="s">
        <v>83</v>
      </c>
      <c r="G336" s="332" t="s">
        <v>40</v>
      </c>
    </row>
    <row r="337" spans="2:7" x14ac:dyDescent="0.25">
      <c r="B337" s="1142"/>
      <c r="C337" s="1019"/>
      <c r="D337" s="1014" t="s">
        <v>207</v>
      </c>
      <c r="E337" s="1019"/>
      <c r="F337" s="1013"/>
      <c r="G337" s="1016"/>
    </row>
    <row r="338" spans="2:7" x14ac:dyDescent="0.25">
      <c r="B338" s="333" t="s">
        <v>94</v>
      </c>
      <c r="C338" s="318"/>
      <c r="D338" s="346" t="s">
        <v>100</v>
      </c>
      <c r="E338" s="325"/>
      <c r="F338" s="318" t="s">
        <v>101</v>
      </c>
      <c r="G338" s="332" t="s">
        <v>40</v>
      </c>
    </row>
    <row r="339" spans="2:7" x14ac:dyDescent="0.25">
      <c r="B339" s="333"/>
      <c r="C339" s="318"/>
      <c r="D339" s="346" t="s">
        <v>103</v>
      </c>
      <c r="E339" s="325"/>
      <c r="F339" s="318" t="s">
        <v>101</v>
      </c>
      <c r="G339" s="332" t="s">
        <v>40</v>
      </c>
    </row>
    <row r="340" spans="2:7" x14ac:dyDescent="0.25">
      <c r="B340" s="333"/>
      <c r="C340" s="318"/>
      <c r="D340" s="346" t="s">
        <v>104</v>
      </c>
      <c r="E340" s="325">
        <v>41649</v>
      </c>
      <c r="F340" s="318" t="s">
        <v>105</v>
      </c>
      <c r="G340" s="332" t="s">
        <v>106</v>
      </c>
    </row>
    <row r="341" spans="2:7" x14ac:dyDescent="0.25">
      <c r="B341" s="333"/>
      <c r="C341" s="318"/>
      <c r="D341" s="346" t="s">
        <v>107</v>
      </c>
      <c r="E341" s="325">
        <v>41652</v>
      </c>
      <c r="F341" s="318" t="s">
        <v>108</v>
      </c>
      <c r="G341" s="332" t="s">
        <v>106</v>
      </c>
    </row>
    <row r="342" spans="2:7" x14ac:dyDescent="0.25">
      <c r="B342" s="1012"/>
      <c r="C342" s="1013"/>
      <c r="D342" s="1014" t="s">
        <v>208</v>
      </c>
      <c r="E342" s="1015"/>
      <c r="F342" s="1013" t="s">
        <v>209</v>
      </c>
      <c r="G342" s="1016" t="s">
        <v>40</v>
      </c>
    </row>
    <row r="343" spans="2:7" x14ac:dyDescent="0.25">
      <c r="B343" s="333" t="s">
        <v>112</v>
      </c>
      <c r="C343" s="318"/>
      <c r="D343" s="346" t="s">
        <v>113</v>
      </c>
      <c r="E343" s="325">
        <v>41731</v>
      </c>
      <c r="F343" s="326" t="s">
        <v>8</v>
      </c>
      <c r="G343" s="332" t="s">
        <v>106</v>
      </c>
    </row>
    <row r="344" spans="2:7" x14ac:dyDescent="0.25">
      <c r="B344" s="1012"/>
      <c r="C344" s="1013"/>
      <c r="D344" s="1014" t="s">
        <v>126</v>
      </c>
      <c r="E344" s="1015">
        <v>41942</v>
      </c>
      <c r="F344" s="1013" t="s">
        <v>127</v>
      </c>
      <c r="G344" s="1016" t="s">
        <v>40</v>
      </c>
    </row>
    <row r="345" spans="2:7" x14ac:dyDescent="0.25">
      <c r="B345" s="333" t="s">
        <v>128</v>
      </c>
      <c r="C345" s="318"/>
      <c r="D345" s="346" t="s">
        <v>210</v>
      </c>
      <c r="E345" s="325">
        <v>41750</v>
      </c>
      <c r="F345" s="318" t="s">
        <v>130</v>
      </c>
      <c r="G345" s="332" t="s">
        <v>40</v>
      </c>
    </row>
    <row r="346" spans="2:7" ht="26.4" x14ac:dyDescent="0.25">
      <c r="B346" s="333"/>
      <c r="C346" s="318"/>
      <c r="D346" s="346" t="s">
        <v>211</v>
      </c>
      <c r="E346" s="325">
        <v>41750</v>
      </c>
      <c r="F346" s="318" t="s">
        <v>130</v>
      </c>
      <c r="G346" s="332" t="s">
        <v>40</v>
      </c>
    </row>
    <row r="347" spans="2:7" x14ac:dyDescent="0.25">
      <c r="B347" s="333"/>
      <c r="C347" s="318"/>
      <c r="D347" s="346" t="s">
        <v>132</v>
      </c>
      <c r="E347" s="325">
        <v>42397</v>
      </c>
      <c r="F347" s="318" t="s">
        <v>130</v>
      </c>
      <c r="G347" s="332" t="s">
        <v>40</v>
      </c>
    </row>
    <row r="348" spans="2:7" x14ac:dyDescent="0.25">
      <c r="B348" s="1012"/>
      <c r="C348" s="1013"/>
      <c r="D348" s="1014" t="s">
        <v>71</v>
      </c>
      <c r="E348" s="1015">
        <v>42057</v>
      </c>
      <c r="F348" s="1013" t="s">
        <v>135</v>
      </c>
      <c r="G348" s="1016" t="s">
        <v>40</v>
      </c>
    </row>
    <row r="349" spans="2:7" x14ac:dyDescent="0.25">
      <c r="B349" s="1140" t="s">
        <v>155</v>
      </c>
      <c r="C349" s="1138"/>
      <c r="D349" s="1136" t="s">
        <v>156</v>
      </c>
      <c r="E349" s="1137">
        <v>42465</v>
      </c>
      <c r="F349" s="1138" t="s">
        <v>157</v>
      </c>
      <c r="G349" s="1139" t="s">
        <v>9</v>
      </c>
    </row>
    <row r="350" spans="2:7" x14ac:dyDescent="0.25">
      <c r="B350" s="333" t="s">
        <v>163</v>
      </c>
      <c r="C350" s="318"/>
      <c r="D350" s="346" t="s">
        <v>164</v>
      </c>
      <c r="E350" s="325">
        <v>42949</v>
      </c>
      <c r="F350" s="318" t="s">
        <v>165</v>
      </c>
      <c r="G350" s="332" t="s">
        <v>40</v>
      </c>
    </row>
    <row r="351" spans="2:7" x14ac:dyDescent="0.25">
      <c r="B351" s="333"/>
      <c r="C351" s="318"/>
      <c r="D351" s="346" t="s">
        <v>214</v>
      </c>
      <c r="E351" s="325">
        <v>42999</v>
      </c>
      <c r="F351" s="318" t="s">
        <v>169</v>
      </c>
      <c r="G351" s="332" t="s">
        <v>40</v>
      </c>
    </row>
    <row r="352" spans="2:7" x14ac:dyDescent="0.25">
      <c r="B352" s="333"/>
      <c r="C352" s="318"/>
      <c r="D352" s="346" t="s">
        <v>170</v>
      </c>
      <c r="E352" s="325">
        <v>43007</v>
      </c>
      <c r="F352" s="318" t="s">
        <v>171</v>
      </c>
      <c r="G352" s="332" t="s">
        <v>40</v>
      </c>
    </row>
    <row r="353" spans="2:7" ht="26.4" x14ac:dyDescent="0.25">
      <c r="B353" s="1140" t="s">
        <v>175</v>
      </c>
      <c r="C353" s="1138"/>
      <c r="D353" s="1136" t="s">
        <v>176</v>
      </c>
      <c r="E353" s="1137">
        <v>43241</v>
      </c>
      <c r="F353" s="1138" t="s">
        <v>177</v>
      </c>
      <c r="G353" s="1139" t="s">
        <v>178</v>
      </c>
    </row>
    <row r="354" spans="2:7" x14ac:dyDescent="0.25">
      <c r="B354" s="341" t="s">
        <v>533</v>
      </c>
      <c r="C354" s="342"/>
      <c r="D354" s="348" t="s">
        <v>1851</v>
      </c>
      <c r="E354" s="343">
        <v>43567</v>
      </c>
      <c r="F354" s="342" t="s">
        <v>1852</v>
      </c>
      <c r="G354" s="345" t="s">
        <v>219</v>
      </c>
    </row>
    <row r="355" spans="2:7" x14ac:dyDescent="0.25">
      <c r="B355" s="1012"/>
      <c r="C355" s="1013"/>
      <c r="D355" s="1014" t="s">
        <v>1864</v>
      </c>
      <c r="E355" s="1015">
        <v>43801</v>
      </c>
      <c r="F355" s="1013" t="s">
        <v>1865</v>
      </c>
      <c r="G355" s="1016" t="s">
        <v>1866</v>
      </c>
    </row>
    <row r="356" spans="2:7" x14ac:dyDescent="0.25">
      <c r="B356" s="333" t="s">
        <v>534</v>
      </c>
      <c r="C356" s="318"/>
      <c r="D356" s="346" t="s">
        <v>1899</v>
      </c>
      <c r="E356" s="325">
        <v>43896</v>
      </c>
      <c r="F356" s="318" t="s">
        <v>1896</v>
      </c>
      <c r="G356" s="332" t="s">
        <v>40</v>
      </c>
    </row>
    <row r="357" spans="2:7" x14ac:dyDescent="0.25">
      <c r="B357" s="1140" t="s">
        <v>535</v>
      </c>
      <c r="C357" s="1135"/>
      <c r="D357" s="1136" t="s">
        <v>1903</v>
      </c>
      <c r="E357" s="1135"/>
      <c r="F357" s="1138"/>
      <c r="G357" s="1139"/>
    </row>
    <row r="358" spans="2:7" x14ac:dyDescent="0.25">
      <c r="B358" s="1140" t="s">
        <v>536</v>
      </c>
      <c r="C358" s="1138"/>
      <c r="D358" s="1136" t="s">
        <v>1903</v>
      </c>
      <c r="E358" s="1137">
        <v>43965</v>
      </c>
      <c r="F358" s="1143" t="s">
        <v>1938</v>
      </c>
      <c r="G358" s="1139" t="s">
        <v>178</v>
      </c>
    </row>
    <row r="359" spans="2:7" x14ac:dyDescent="0.25">
      <c r="B359" s="1140" t="s">
        <v>537</v>
      </c>
      <c r="C359" s="1138"/>
      <c r="D359" s="1136" t="s">
        <v>1903</v>
      </c>
      <c r="E359" s="1137"/>
      <c r="F359" s="1143"/>
      <c r="G359" s="1139"/>
    </row>
    <row r="360" spans="2:7" x14ac:dyDescent="0.25">
      <c r="B360" s="1012" t="s">
        <v>371</v>
      </c>
      <c r="C360" s="1013"/>
      <c r="D360" s="1014" t="s">
        <v>2056</v>
      </c>
      <c r="E360" s="1015">
        <v>44530</v>
      </c>
      <c r="F360" s="1013" t="s">
        <v>2020</v>
      </c>
      <c r="G360" s="1016" t="s">
        <v>2019</v>
      </c>
    </row>
    <row r="361" spans="2:7" x14ac:dyDescent="0.25">
      <c r="B361" s="1012" t="s">
        <v>538</v>
      </c>
      <c r="C361" s="1013"/>
      <c r="D361" s="1014" t="s">
        <v>2057</v>
      </c>
      <c r="E361" s="1015">
        <v>44621</v>
      </c>
      <c r="F361" s="1471" t="s">
        <v>2058</v>
      </c>
      <c r="G361" s="1016" t="s">
        <v>40</v>
      </c>
    </row>
    <row r="362" spans="2:7" x14ac:dyDescent="0.25">
      <c r="B362" s="1012" t="s">
        <v>539</v>
      </c>
      <c r="C362" s="1013"/>
      <c r="D362" s="1136" t="s">
        <v>1903</v>
      </c>
      <c r="E362" s="1015"/>
      <c r="F362" s="1201"/>
      <c r="G362" s="1016"/>
    </row>
    <row r="363" spans="2:7" x14ac:dyDescent="0.25">
      <c r="B363" s="1012" t="s">
        <v>540</v>
      </c>
      <c r="C363" s="1013"/>
      <c r="D363" s="1136" t="s">
        <v>2331</v>
      </c>
      <c r="E363" s="1137">
        <v>44986</v>
      </c>
      <c r="F363" s="1143" t="s">
        <v>2348</v>
      </c>
      <c r="G363" s="1139" t="s">
        <v>106</v>
      </c>
    </row>
    <row r="364" spans="2:7" x14ac:dyDescent="0.25">
      <c r="B364" s="1140" t="s">
        <v>1448</v>
      </c>
      <c r="C364" s="1138"/>
      <c r="D364" s="1136" t="s">
        <v>2358</v>
      </c>
      <c r="E364" s="1137">
        <v>45001</v>
      </c>
      <c r="F364" s="1138" t="s">
        <v>2360</v>
      </c>
      <c r="G364" s="1139" t="s">
        <v>2359</v>
      </c>
    </row>
    <row r="365" spans="2:7" x14ac:dyDescent="0.25">
      <c r="B365" s="341" t="s">
        <v>1449</v>
      </c>
      <c r="C365" s="342"/>
      <c r="D365" s="348" t="s">
        <v>2375</v>
      </c>
      <c r="E365" s="1585"/>
      <c r="F365" s="342" t="s">
        <v>2380</v>
      </c>
      <c r="G365" s="345" t="s">
        <v>178</v>
      </c>
    </row>
    <row r="366" spans="2:7" x14ac:dyDescent="0.25">
      <c r="B366" s="333"/>
      <c r="C366" s="318"/>
      <c r="D366" s="346" t="s">
        <v>2379</v>
      </c>
      <c r="E366" s="325">
        <v>45467</v>
      </c>
      <c r="F366" s="318" t="s">
        <v>2392</v>
      </c>
      <c r="G366" s="332" t="s">
        <v>178</v>
      </c>
    </row>
    <row r="367" spans="2:7" x14ac:dyDescent="0.25">
      <c r="B367" s="333"/>
      <c r="C367" s="318"/>
      <c r="D367" s="346" t="s">
        <v>2378</v>
      </c>
      <c r="E367" s="325"/>
      <c r="F367" s="318" t="s">
        <v>2376</v>
      </c>
      <c r="G367" s="332" t="s">
        <v>178</v>
      </c>
    </row>
    <row r="368" spans="2:7" x14ac:dyDescent="0.25">
      <c r="B368" s="1012"/>
      <c r="C368" s="1013"/>
      <c r="D368" s="1014" t="s">
        <v>2395</v>
      </c>
      <c r="E368" s="1015">
        <v>45720</v>
      </c>
      <c r="F368" s="318" t="s">
        <v>2399</v>
      </c>
      <c r="G368" s="1016" t="s">
        <v>178</v>
      </c>
    </row>
    <row r="369" spans="1:7" x14ac:dyDescent="0.25">
      <c r="B369" s="1012"/>
      <c r="C369" s="1013"/>
      <c r="D369" s="1014"/>
      <c r="E369" s="1015"/>
      <c r="F369" s="1013"/>
      <c r="G369" s="1016"/>
    </row>
    <row r="370" spans="1:7" x14ac:dyDescent="0.25">
      <c r="B370" s="1012"/>
      <c r="C370" s="1013"/>
      <c r="D370" s="1014"/>
      <c r="E370" s="1015"/>
      <c r="F370" s="1013"/>
      <c r="G370" s="1016"/>
    </row>
    <row r="371" spans="1:7" ht="13.8" thickBot="1" x14ac:dyDescent="0.3">
      <c r="B371" s="1129"/>
      <c r="C371" s="1130"/>
      <c r="D371" s="1131"/>
      <c r="E371" s="1132"/>
      <c r="F371" s="1130"/>
      <c r="G371" s="1133"/>
    </row>
    <row r="373" spans="1:7" s="1493" customFormat="1" ht="25.2" thickBot="1" x14ac:dyDescent="0.45">
      <c r="A373" s="1523">
        <f>A324+1</f>
        <v>6</v>
      </c>
      <c r="B373" s="1491" t="s">
        <v>221</v>
      </c>
      <c r="C373" s="1491"/>
      <c r="D373" s="1492"/>
      <c r="E373" s="1492"/>
      <c r="F373" s="1492"/>
      <c r="G373" s="1492"/>
    </row>
    <row r="374" spans="1:7" x14ac:dyDescent="0.25">
      <c r="B374" s="328" t="s">
        <v>0</v>
      </c>
      <c r="C374" s="329" t="s">
        <v>1</v>
      </c>
      <c r="D374" s="338" t="s">
        <v>2</v>
      </c>
      <c r="E374" s="329" t="s">
        <v>3</v>
      </c>
      <c r="F374" s="330" t="s">
        <v>4</v>
      </c>
      <c r="G374" s="331" t="s">
        <v>5</v>
      </c>
    </row>
    <row r="375" spans="1:7" x14ac:dyDescent="0.25">
      <c r="B375" s="333">
        <v>1</v>
      </c>
      <c r="C375" s="318">
        <v>20</v>
      </c>
      <c r="D375" s="346" t="s">
        <v>222</v>
      </c>
      <c r="E375" s="325">
        <v>41131</v>
      </c>
      <c r="F375" s="326" t="s">
        <v>8</v>
      </c>
      <c r="G375" s="332" t="s">
        <v>12</v>
      </c>
    </row>
    <row r="376" spans="1:7" x14ac:dyDescent="0.25">
      <c r="B376" s="333">
        <v>21</v>
      </c>
      <c r="C376" s="318">
        <v>20</v>
      </c>
      <c r="D376" s="346" t="s">
        <v>42</v>
      </c>
      <c r="E376" s="325">
        <v>41223</v>
      </c>
      <c r="F376" s="326"/>
      <c r="G376" s="332" t="s">
        <v>40</v>
      </c>
    </row>
    <row r="377" spans="1:7" x14ac:dyDescent="0.25">
      <c r="B377" s="333">
        <v>21</v>
      </c>
      <c r="C377" s="318">
        <v>20</v>
      </c>
      <c r="D377" s="346" t="s">
        <v>223</v>
      </c>
      <c r="E377" s="325">
        <v>41225</v>
      </c>
      <c r="F377" s="326"/>
      <c r="G377" s="332" t="s">
        <v>40</v>
      </c>
    </row>
    <row r="378" spans="1:7" x14ac:dyDescent="0.25">
      <c r="B378" s="333">
        <v>21</v>
      </c>
      <c r="C378" s="318">
        <v>20</v>
      </c>
      <c r="D378" s="346" t="s">
        <v>224</v>
      </c>
      <c r="E378" s="325">
        <v>41257</v>
      </c>
      <c r="F378" s="326"/>
      <c r="G378" s="332" t="s">
        <v>40</v>
      </c>
    </row>
    <row r="379" spans="1:7" x14ac:dyDescent="0.25">
      <c r="B379" s="333"/>
      <c r="C379" s="318"/>
      <c r="D379" s="346" t="s">
        <v>225</v>
      </c>
      <c r="E379" s="325"/>
      <c r="F379" s="326"/>
      <c r="G379" s="332"/>
    </row>
    <row r="380" spans="1:7" x14ac:dyDescent="0.25">
      <c r="B380" s="333"/>
      <c r="C380" s="318"/>
      <c r="D380" s="346" t="s">
        <v>46</v>
      </c>
      <c r="E380" s="325">
        <v>41269</v>
      </c>
      <c r="F380" s="326"/>
      <c r="G380" s="332" t="s">
        <v>40</v>
      </c>
    </row>
    <row r="381" spans="1:7" x14ac:dyDescent="0.25">
      <c r="B381" s="1012">
        <v>24</v>
      </c>
      <c r="C381" s="1013"/>
      <c r="D381" s="1014" t="s">
        <v>226</v>
      </c>
      <c r="E381" s="1015">
        <v>41313</v>
      </c>
      <c r="F381" s="1017"/>
      <c r="G381" s="1016" t="s">
        <v>40</v>
      </c>
    </row>
    <row r="382" spans="1:7" x14ac:dyDescent="0.25">
      <c r="B382" s="333" t="s">
        <v>81</v>
      </c>
      <c r="C382" s="318"/>
      <c r="D382" s="346" t="s">
        <v>87</v>
      </c>
      <c r="E382" s="325">
        <v>41516</v>
      </c>
      <c r="F382" s="318" t="s">
        <v>83</v>
      </c>
      <c r="G382" s="332" t="s">
        <v>40</v>
      </c>
    </row>
    <row r="383" spans="1:7" x14ac:dyDescent="0.25">
      <c r="B383" s="333"/>
      <c r="C383" s="318"/>
      <c r="D383" s="346" t="s">
        <v>227</v>
      </c>
      <c r="E383" s="325"/>
      <c r="F383" s="326"/>
      <c r="G383" s="332"/>
    </row>
    <row r="384" spans="1:7" x14ac:dyDescent="0.25">
      <c r="B384" s="333"/>
      <c r="C384" s="318"/>
      <c r="D384" s="346" t="s">
        <v>228</v>
      </c>
      <c r="E384" s="325"/>
      <c r="F384" s="326"/>
      <c r="G384" s="332"/>
    </row>
    <row r="385" spans="2:7" x14ac:dyDescent="0.25">
      <c r="B385" s="1012"/>
      <c r="C385" s="1013"/>
      <c r="D385" s="1014" t="s">
        <v>229</v>
      </c>
      <c r="E385" s="1015"/>
      <c r="F385" s="1017"/>
      <c r="G385" s="1016"/>
    </row>
    <row r="386" spans="2:7" x14ac:dyDescent="0.25">
      <c r="B386" s="333" t="s">
        <v>94</v>
      </c>
      <c r="C386" s="318"/>
      <c r="D386" s="346" t="s">
        <v>230</v>
      </c>
      <c r="E386" s="325">
        <v>41556</v>
      </c>
      <c r="F386" s="318" t="s">
        <v>231</v>
      </c>
      <c r="G386" s="332" t="s">
        <v>40</v>
      </c>
    </row>
    <row r="387" spans="2:7" x14ac:dyDescent="0.25">
      <c r="B387" s="1012"/>
      <c r="C387" s="1013"/>
      <c r="D387" s="1014" t="s">
        <v>104</v>
      </c>
      <c r="E387" s="1015">
        <v>41649</v>
      </c>
      <c r="F387" s="1013" t="s">
        <v>105</v>
      </c>
      <c r="G387" s="1016" t="s">
        <v>106</v>
      </c>
    </row>
    <row r="388" spans="2:7" x14ac:dyDescent="0.25">
      <c r="B388" s="333" t="s">
        <v>112</v>
      </c>
      <c r="C388" s="318"/>
      <c r="D388" s="290" t="s">
        <v>232</v>
      </c>
      <c r="E388" s="841">
        <v>41743</v>
      </c>
      <c r="F388" s="408" t="s">
        <v>8</v>
      </c>
      <c r="G388" s="332" t="s">
        <v>106</v>
      </c>
    </row>
    <row r="389" spans="2:7" x14ac:dyDescent="0.25">
      <c r="B389" s="1012"/>
      <c r="C389" s="1013"/>
      <c r="D389" s="1014" t="s">
        <v>233</v>
      </c>
      <c r="E389" s="1015">
        <v>41775</v>
      </c>
      <c r="F389" s="1018" t="s">
        <v>8</v>
      </c>
      <c r="G389" s="1016" t="s">
        <v>106</v>
      </c>
    </row>
    <row r="390" spans="2:7" x14ac:dyDescent="0.25">
      <c r="B390" s="333" t="s">
        <v>128</v>
      </c>
      <c r="C390" s="318"/>
      <c r="D390" s="346" t="s">
        <v>234</v>
      </c>
      <c r="E390" s="325">
        <v>42108</v>
      </c>
      <c r="F390" s="318" t="s">
        <v>99</v>
      </c>
      <c r="G390" s="332" t="s">
        <v>40</v>
      </c>
    </row>
    <row r="391" spans="2:7" x14ac:dyDescent="0.25">
      <c r="B391" s="1012"/>
      <c r="C391" s="1013"/>
      <c r="D391" s="1014" t="s">
        <v>235</v>
      </c>
      <c r="E391" s="1015">
        <v>42174</v>
      </c>
      <c r="F391" s="1018" t="s">
        <v>8</v>
      </c>
      <c r="G391" s="1016" t="s">
        <v>106</v>
      </c>
    </row>
    <row r="392" spans="2:7" x14ac:dyDescent="0.25">
      <c r="B392" s="1012" t="s">
        <v>155</v>
      </c>
      <c r="C392" s="1013"/>
      <c r="D392" s="1014" t="s">
        <v>156</v>
      </c>
      <c r="E392" s="1015">
        <v>42465</v>
      </c>
      <c r="F392" s="1013" t="s">
        <v>157</v>
      </c>
      <c r="G392" s="1016" t="s">
        <v>9</v>
      </c>
    </row>
    <row r="393" spans="2:7" x14ac:dyDescent="0.25">
      <c r="B393" s="1140" t="s">
        <v>163</v>
      </c>
      <c r="C393" s="1138"/>
      <c r="D393" s="1136" t="s">
        <v>1903</v>
      </c>
      <c r="E393" s="1137"/>
      <c r="F393" s="1138"/>
      <c r="G393" s="1139"/>
    </row>
    <row r="394" spans="2:7" x14ac:dyDescent="0.25">
      <c r="B394" s="1140" t="s">
        <v>175</v>
      </c>
      <c r="C394" s="1138"/>
      <c r="D394" s="1136" t="s">
        <v>1903</v>
      </c>
      <c r="E394" s="1137"/>
      <c r="F394" s="1138"/>
      <c r="G394" s="1139"/>
    </row>
    <row r="395" spans="2:7" x14ac:dyDescent="0.25">
      <c r="B395" s="1140" t="s">
        <v>533</v>
      </c>
      <c r="C395" s="1138"/>
      <c r="D395" s="1136" t="s">
        <v>1851</v>
      </c>
      <c r="E395" s="1137">
        <v>43567</v>
      </c>
      <c r="F395" s="1138" t="s">
        <v>1852</v>
      </c>
      <c r="G395" s="1139" t="s">
        <v>219</v>
      </c>
    </row>
    <row r="396" spans="2:7" x14ac:dyDescent="0.25">
      <c r="B396" s="333" t="s">
        <v>534</v>
      </c>
      <c r="C396" s="318"/>
      <c r="D396" s="290" t="s">
        <v>1860</v>
      </c>
      <c r="E396" s="1391">
        <v>43801</v>
      </c>
      <c r="F396" s="289" t="s">
        <v>1861</v>
      </c>
      <c r="G396" s="1392" t="s">
        <v>40</v>
      </c>
    </row>
    <row r="397" spans="2:7" x14ac:dyDescent="0.25">
      <c r="B397" s="1140" t="s">
        <v>535</v>
      </c>
      <c r="C397" s="1135"/>
      <c r="D397" s="1136" t="s">
        <v>1903</v>
      </c>
      <c r="E397" s="1135"/>
      <c r="F397" s="1138"/>
      <c r="G397" s="1139"/>
    </row>
    <row r="398" spans="2:7" x14ac:dyDescent="0.25">
      <c r="B398" s="1140" t="s">
        <v>536</v>
      </c>
      <c r="C398" s="1138"/>
      <c r="D398" s="1136" t="s">
        <v>1903</v>
      </c>
      <c r="E398" s="1137"/>
      <c r="F398" s="1143"/>
      <c r="G398" s="1139"/>
    </row>
    <row r="399" spans="2:7" x14ac:dyDescent="0.25">
      <c r="B399" s="1140" t="s">
        <v>537</v>
      </c>
      <c r="C399" s="1138"/>
      <c r="D399" s="1136" t="s">
        <v>1903</v>
      </c>
      <c r="E399" s="1137"/>
      <c r="F399" s="1143"/>
      <c r="G399" s="1139"/>
    </row>
    <row r="400" spans="2:7" x14ac:dyDescent="0.25">
      <c r="B400" s="1012" t="s">
        <v>371</v>
      </c>
      <c r="C400" s="1013"/>
      <c r="D400" s="1136" t="s">
        <v>1903</v>
      </c>
      <c r="E400" s="1015"/>
      <c r="F400" s="1013"/>
      <c r="G400" s="1016"/>
    </row>
    <row r="401" spans="1:8" x14ac:dyDescent="0.25">
      <c r="B401" s="1012" t="s">
        <v>538</v>
      </c>
      <c r="C401" s="1013"/>
      <c r="D401" s="1136" t="s">
        <v>1903</v>
      </c>
      <c r="E401" s="1015"/>
      <c r="F401" s="1013"/>
      <c r="G401" s="1016"/>
    </row>
    <row r="402" spans="1:8" x14ac:dyDescent="0.25">
      <c r="B402" s="341" t="s">
        <v>539</v>
      </c>
      <c r="C402" s="342"/>
      <c r="D402" s="348" t="s">
        <v>1903</v>
      </c>
      <c r="E402" s="343"/>
      <c r="F402" s="1585"/>
      <c r="G402" s="345"/>
    </row>
    <row r="403" spans="1:8" x14ac:dyDescent="0.25">
      <c r="B403" s="1140" t="s">
        <v>540</v>
      </c>
      <c r="C403" s="1138"/>
      <c r="D403" s="1136" t="s">
        <v>2190</v>
      </c>
      <c r="E403" s="1137">
        <v>44953</v>
      </c>
      <c r="F403" s="1143" t="s">
        <v>8</v>
      </c>
      <c r="G403" s="1139" t="s">
        <v>106</v>
      </c>
      <c r="H403" s="1549"/>
    </row>
    <row r="404" spans="1:8" x14ac:dyDescent="0.25">
      <c r="B404" s="1012" t="s">
        <v>540</v>
      </c>
      <c r="C404" s="1013"/>
      <c r="D404" s="1136" t="s">
        <v>2331</v>
      </c>
      <c r="E404" s="1137">
        <v>44986</v>
      </c>
      <c r="F404" s="1143" t="s">
        <v>2348</v>
      </c>
      <c r="G404" s="1139" t="s">
        <v>106</v>
      </c>
    </row>
    <row r="405" spans="1:8" x14ac:dyDescent="0.25">
      <c r="B405" s="1140" t="s">
        <v>1448</v>
      </c>
      <c r="C405" s="1138"/>
      <c r="D405" s="1136" t="s">
        <v>2358</v>
      </c>
      <c r="E405" s="1137">
        <v>45001</v>
      </c>
      <c r="F405" s="1138" t="s">
        <v>2360</v>
      </c>
      <c r="G405" s="1139" t="s">
        <v>2359</v>
      </c>
    </row>
    <row r="406" spans="1:8" x14ac:dyDescent="0.25">
      <c r="B406" s="341" t="s">
        <v>1449</v>
      </c>
      <c r="C406" s="342"/>
      <c r="D406" s="348" t="s">
        <v>2375</v>
      </c>
      <c r="E406" s="1585"/>
      <c r="F406" s="342" t="s">
        <v>2380</v>
      </c>
      <c r="G406" s="345" t="s">
        <v>178</v>
      </c>
    </row>
    <row r="407" spans="1:8" x14ac:dyDescent="0.25">
      <c r="B407" s="1012"/>
      <c r="C407" s="1013"/>
      <c r="D407" s="1014" t="s">
        <v>2378</v>
      </c>
      <c r="E407" s="1015"/>
      <c r="F407" s="1013" t="s">
        <v>2376</v>
      </c>
      <c r="G407" s="1016" t="s">
        <v>178</v>
      </c>
    </row>
    <row r="408" spans="1:8" x14ac:dyDescent="0.25">
      <c r="B408" s="1012"/>
      <c r="C408" s="1013"/>
      <c r="D408" s="1014"/>
      <c r="E408" s="1015"/>
      <c r="F408" s="1013"/>
      <c r="G408" s="1016"/>
    </row>
    <row r="409" spans="1:8" x14ac:dyDescent="0.25">
      <c r="B409" s="1012"/>
      <c r="C409" s="1013"/>
      <c r="D409" s="1014"/>
      <c r="E409" s="1015"/>
      <c r="F409" s="1013"/>
      <c r="G409" s="1016"/>
    </row>
    <row r="410" spans="1:8" x14ac:dyDescent="0.25">
      <c r="B410" s="1012"/>
      <c r="C410" s="1013"/>
      <c r="D410" s="1014"/>
      <c r="E410" s="1015"/>
      <c r="F410" s="1013"/>
      <c r="G410" s="1016"/>
    </row>
    <row r="411" spans="1:8" ht="13.8" thickBot="1" x14ac:dyDescent="0.3">
      <c r="B411" s="1129"/>
      <c r="C411" s="1130"/>
      <c r="D411" s="1131"/>
      <c r="E411" s="1132"/>
      <c r="F411" s="1130"/>
      <c r="G411" s="1133"/>
    </row>
    <row r="412" spans="1:8" x14ac:dyDescent="0.25">
      <c r="B412" s="318"/>
      <c r="C412" s="318"/>
      <c r="E412" s="325"/>
      <c r="F412" s="326"/>
    </row>
    <row r="413" spans="1:8" s="1493" customFormat="1" ht="25.2" thickBot="1" x14ac:dyDescent="0.45">
      <c r="A413" s="1523">
        <f>A373+1</f>
        <v>7</v>
      </c>
      <c r="B413" s="1491" t="s">
        <v>237</v>
      </c>
      <c r="C413" s="1491"/>
      <c r="D413" s="1492"/>
      <c r="E413" s="1492"/>
      <c r="F413" s="1492"/>
      <c r="G413" s="1492"/>
    </row>
    <row r="414" spans="1:8" x14ac:dyDescent="0.25">
      <c r="B414" s="328" t="s">
        <v>0</v>
      </c>
      <c r="C414" s="329" t="s">
        <v>1</v>
      </c>
      <c r="D414" s="338" t="s">
        <v>2</v>
      </c>
      <c r="E414" s="329" t="s">
        <v>3</v>
      </c>
      <c r="F414" s="330" t="s">
        <v>4</v>
      </c>
      <c r="G414" s="331" t="s">
        <v>5</v>
      </c>
    </row>
    <row r="415" spans="1:8" x14ac:dyDescent="0.25">
      <c r="B415" s="1140">
        <v>21</v>
      </c>
      <c r="C415" s="1138">
        <v>20</v>
      </c>
      <c r="D415" s="1136" t="s">
        <v>238</v>
      </c>
      <c r="E415" s="1137">
        <v>41269</v>
      </c>
      <c r="F415" s="1143"/>
      <c r="G415" s="1139" t="s">
        <v>12</v>
      </c>
    </row>
    <row r="416" spans="1:8" x14ac:dyDescent="0.25">
      <c r="B416" s="333" t="s">
        <v>70</v>
      </c>
      <c r="C416" s="318">
        <v>20</v>
      </c>
      <c r="D416" s="346" t="s">
        <v>239</v>
      </c>
      <c r="E416" s="325">
        <v>41347</v>
      </c>
      <c r="F416" s="318" t="s">
        <v>72</v>
      </c>
      <c r="G416" s="332" t="s">
        <v>9</v>
      </c>
    </row>
    <row r="417" spans="2:7" x14ac:dyDescent="0.25">
      <c r="B417" s="1012"/>
      <c r="C417" s="1013"/>
      <c r="D417" s="1014" t="s">
        <v>240</v>
      </c>
      <c r="E417" s="1015">
        <v>41360</v>
      </c>
      <c r="F417" s="1017"/>
      <c r="G417" s="1016" t="s">
        <v>40</v>
      </c>
    </row>
    <row r="418" spans="2:7" x14ac:dyDescent="0.25">
      <c r="B418" s="333" t="s">
        <v>81</v>
      </c>
      <c r="C418" s="318"/>
      <c r="D418" s="346" t="s">
        <v>241</v>
      </c>
      <c r="E418" s="325">
        <v>41445</v>
      </c>
      <c r="F418" s="326"/>
      <c r="G418" s="332" t="s">
        <v>40</v>
      </c>
    </row>
    <row r="419" spans="2:7" x14ac:dyDescent="0.25">
      <c r="B419" s="1012"/>
      <c r="C419" s="1013"/>
      <c r="D419" s="1014" t="s">
        <v>104</v>
      </c>
      <c r="E419" s="1015">
        <v>41649</v>
      </c>
      <c r="F419" s="1013" t="s">
        <v>105</v>
      </c>
      <c r="G419" s="1016" t="s">
        <v>106</v>
      </c>
    </row>
    <row r="420" spans="2:7" x14ac:dyDescent="0.25">
      <c r="B420" s="333" t="s">
        <v>94</v>
      </c>
      <c r="C420" s="318"/>
      <c r="D420" s="346" t="s">
        <v>242</v>
      </c>
      <c r="E420" s="325">
        <v>41666</v>
      </c>
      <c r="F420" s="318" t="s">
        <v>243</v>
      </c>
      <c r="G420" s="332" t="s">
        <v>9</v>
      </c>
    </row>
    <row r="421" spans="2:7" x14ac:dyDescent="0.25">
      <c r="B421" s="1012"/>
      <c r="C421" s="1013"/>
      <c r="D421" s="1014" t="s">
        <v>244</v>
      </c>
      <c r="E421" s="1015">
        <v>41928</v>
      </c>
      <c r="F421" s="1013"/>
      <c r="G421" s="1016" t="s">
        <v>106</v>
      </c>
    </row>
    <row r="422" spans="2:7" x14ac:dyDescent="0.25">
      <c r="B422" s="1140" t="s">
        <v>112</v>
      </c>
      <c r="C422" s="1138"/>
      <c r="D422" s="1136" t="s">
        <v>236</v>
      </c>
      <c r="E422" s="1137"/>
      <c r="F422" s="1138"/>
      <c r="G422" s="1139"/>
    </row>
    <row r="423" spans="2:7" x14ac:dyDescent="0.25">
      <c r="B423" s="333" t="s">
        <v>128</v>
      </c>
      <c r="C423" s="318"/>
      <c r="D423" s="346" t="s">
        <v>245</v>
      </c>
      <c r="E423" s="325">
        <v>42024</v>
      </c>
      <c r="G423" s="332" t="s">
        <v>106</v>
      </c>
    </row>
    <row r="424" spans="2:7" x14ac:dyDescent="0.25">
      <c r="B424" s="1012"/>
      <c r="C424" s="1013"/>
      <c r="D424" s="1014" t="s">
        <v>246</v>
      </c>
      <c r="E424" s="1015">
        <v>42159</v>
      </c>
      <c r="F424" s="1018" t="s">
        <v>8</v>
      </c>
      <c r="G424" s="1016" t="s">
        <v>106</v>
      </c>
    </row>
    <row r="425" spans="2:7" x14ac:dyDescent="0.25">
      <c r="B425" s="1140" t="s">
        <v>155</v>
      </c>
      <c r="C425" s="1138"/>
      <c r="D425" s="1136" t="s">
        <v>156</v>
      </c>
      <c r="E425" s="1137">
        <v>42465</v>
      </c>
      <c r="F425" s="1138" t="s">
        <v>157</v>
      </c>
      <c r="G425" s="1139" t="s">
        <v>9</v>
      </c>
    </row>
    <row r="426" spans="2:7" x14ac:dyDescent="0.25">
      <c r="B426" s="1140" t="s">
        <v>163</v>
      </c>
      <c r="C426" s="1138"/>
      <c r="D426" s="1136" t="s">
        <v>1903</v>
      </c>
      <c r="E426" s="1137"/>
      <c r="F426" s="1138"/>
      <c r="G426" s="1139"/>
    </row>
    <row r="427" spans="2:7" x14ac:dyDescent="0.25">
      <c r="B427" s="1140" t="s">
        <v>175</v>
      </c>
      <c r="C427" s="1138"/>
      <c r="D427" s="1136" t="s">
        <v>1903</v>
      </c>
      <c r="E427" s="1137"/>
      <c r="F427" s="1138"/>
      <c r="G427" s="1139"/>
    </row>
    <row r="428" spans="2:7" x14ac:dyDescent="0.25">
      <c r="B428" s="341" t="s">
        <v>533</v>
      </c>
      <c r="C428" s="342"/>
      <c r="D428" s="348" t="s">
        <v>1851</v>
      </c>
      <c r="E428" s="343">
        <v>43567</v>
      </c>
      <c r="F428" s="342" t="s">
        <v>1852</v>
      </c>
      <c r="G428" s="345" t="s">
        <v>219</v>
      </c>
    </row>
    <row r="429" spans="2:7" x14ac:dyDescent="0.25">
      <c r="B429" s="1140" t="s">
        <v>534</v>
      </c>
      <c r="C429" s="1138"/>
      <c r="D429" s="1136" t="s">
        <v>1903</v>
      </c>
      <c r="E429" s="1137"/>
      <c r="F429" s="1138"/>
      <c r="G429" s="1139"/>
    </row>
    <row r="430" spans="2:7" x14ac:dyDescent="0.25">
      <c r="B430" s="1140" t="s">
        <v>535</v>
      </c>
      <c r="C430" s="1135"/>
      <c r="D430" s="1136" t="s">
        <v>1903</v>
      </c>
      <c r="E430" s="1135"/>
      <c r="F430" s="1138"/>
      <c r="G430" s="1139"/>
    </row>
    <row r="431" spans="2:7" x14ac:dyDescent="0.25">
      <c r="B431" s="1140" t="s">
        <v>536</v>
      </c>
      <c r="C431" s="1138"/>
      <c r="D431" s="1136" t="s">
        <v>1937</v>
      </c>
      <c r="E431" s="1137">
        <v>43965</v>
      </c>
      <c r="F431" s="1143" t="s">
        <v>1938</v>
      </c>
      <c r="G431" s="1139" t="s">
        <v>178</v>
      </c>
    </row>
    <row r="432" spans="2:7" x14ac:dyDescent="0.25">
      <c r="B432" s="1140" t="s">
        <v>537</v>
      </c>
      <c r="C432" s="1138"/>
      <c r="D432" s="1136" t="s">
        <v>1903</v>
      </c>
      <c r="E432" s="1137"/>
      <c r="F432" s="1143"/>
      <c r="G432" s="1139"/>
    </row>
    <row r="433" spans="1:7" x14ac:dyDescent="0.25">
      <c r="B433" s="1012" t="s">
        <v>371</v>
      </c>
      <c r="C433" s="1013"/>
      <c r="D433" s="1136" t="s">
        <v>1903</v>
      </c>
      <c r="E433" s="1015"/>
      <c r="F433" s="1013"/>
      <c r="G433" s="1016"/>
    </row>
    <row r="434" spans="1:7" x14ac:dyDescent="0.25">
      <c r="B434" s="1012" t="s">
        <v>538</v>
      </c>
      <c r="C434" s="1013"/>
      <c r="D434" s="1136" t="s">
        <v>1903</v>
      </c>
      <c r="E434" s="1015"/>
      <c r="F434" s="1013"/>
      <c r="G434" s="1016"/>
    </row>
    <row r="435" spans="1:7" x14ac:dyDescent="0.25">
      <c r="B435" s="1012" t="s">
        <v>539</v>
      </c>
      <c r="C435" s="1013"/>
      <c r="D435" s="1136" t="s">
        <v>1903</v>
      </c>
      <c r="E435" s="1015"/>
      <c r="F435" s="1201"/>
      <c r="G435" s="1016"/>
    </row>
    <row r="436" spans="1:7" x14ac:dyDescent="0.25">
      <c r="B436" s="1012" t="s">
        <v>540</v>
      </c>
      <c r="C436" s="1013"/>
      <c r="D436" s="1136" t="s">
        <v>2331</v>
      </c>
      <c r="E436" s="1137">
        <v>44986</v>
      </c>
      <c r="F436" s="1143" t="s">
        <v>2348</v>
      </c>
      <c r="G436" s="1139" t="s">
        <v>106</v>
      </c>
    </row>
    <row r="437" spans="1:7" x14ac:dyDescent="0.25">
      <c r="B437" s="1012" t="s">
        <v>1448</v>
      </c>
      <c r="C437" s="1013"/>
      <c r="D437" s="1014" t="s">
        <v>1903</v>
      </c>
      <c r="E437" s="1137">
        <v>45001</v>
      </c>
      <c r="F437" s="1138" t="s">
        <v>2360</v>
      </c>
      <c r="G437" s="1139" t="s">
        <v>2359</v>
      </c>
    </row>
    <row r="438" spans="1:7" x14ac:dyDescent="0.25">
      <c r="B438" s="1012" t="s">
        <v>1449</v>
      </c>
      <c r="C438" s="1013"/>
      <c r="D438" s="1014" t="s">
        <v>1903</v>
      </c>
      <c r="E438" s="1015"/>
      <c r="F438" s="1013" t="s">
        <v>2380</v>
      </c>
      <c r="G438" s="1016" t="s">
        <v>178</v>
      </c>
    </row>
    <row r="439" spans="1:7" x14ac:dyDescent="0.25">
      <c r="B439" s="1012"/>
      <c r="C439" s="1013"/>
      <c r="D439" s="1014"/>
      <c r="E439" s="1015"/>
      <c r="F439" s="1013"/>
      <c r="G439" s="1016"/>
    </row>
    <row r="440" spans="1:7" ht="13.8" thickBot="1" x14ac:dyDescent="0.3">
      <c r="B440" s="1129"/>
      <c r="C440" s="1130"/>
      <c r="D440" s="1131"/>
      <c r="E440" s="1132"/>
      <c r="F440" s="1130"/>
      <c r="G440" s="1133"/>
    </row>
    <row r="442" spans="1:7" s="1493" customFormat="1" ht="25.2" thickBot="1" x14ac:dyDescent="0.45">
      <c r="A442" s="1523">
        <f>A413+1</f>
        <v>8</v>
      </c>
      <c r="B442" s="1491" t="s">
        <v>247</v>
      </c>
      <c r="C442" s="1491"/>
      <c r="D442" s="1492"/>
      <c r="E442" s="1492"/>
      <c r="F442" s="1492"/>
      <c r="G442" s="1492"/>
    </row>
    <row r="443" spans="1:7" x14ac:dyDescent="0.25">
      <c r="B443" s="328" t="s">
        <v>0</v>
      </c>
      <c r="C443" s="329" t="s">
        <v>1</v>
      </c>
      <c r="D443" s="338" t="s">
        <v>2</v>
      </c>
      <c r="E443" s="329" t="s">
        <v>3</v>
      </c>
      <c r="F443" s="330" t="s">
        <v>4</v>
      </c>
      <c r="G443" s="331" t="s">
        <v>5</v>
      </c>
    </row>
    <row r="444" spans="1:7" x14ac:dyDescent="0.25">
      <c r="B444" s="1012" t="s">
        <v>70</v>
      </c>
      <c r="C444" s="1013">
        <v>20</v>
      </c>
      <c r="D444" s="1014" t="s">
        <v>248</v>
      </c>
      <c r="E444" s="1015">
        <v>41851</v>
      </c>
      <c r="F444" s="1017" t="s">
        <v>8</v>
      </c>
      <c r="G444" s="1016" t="s">
        <v>106</v>
      </c>
    </row>
    <row r="445" spans="1:7" x14ac:dyDescent="0.25">
      <c r="B445" s="1140" t="s">
        <v>81</v>
      </c>
      <c r="C445" s="1138"/>
      <c r="D445" s="1136" t="s">
        <v>1903</v>
      </c>
      <c r="E445" s="1137"/>
      <c r="F445" s="1143"/>
      <c r="G445" s="1139"/>
    </row>
    <row r="446" spans="1:7" x14ac:dyDescent="0.25">
      <c r="B446" s="1012" t="s">
        <v>94</v>
      </c>
      <c r="C446" s="1013"/>
      <c r="D446" s="1136" t="s">
        <v>1903</v>
      </c>
      <c r="E446" s="1015"/>
      <c r="F446" s="1017"/>
      <c r="G446" s="1016"/>
    </row>
    <row r="447" spans="1:7" x14ac:dyDescent="0.25">
      <c r="B447" s="1140" t="s">
        <v>112</v>
      </c>
      <c r="C447" s="1138"/>
      <c r="D447" s="1136" t="s">
        <v>1903</v>
      </c>
      <c r="E447" s="1137"/>
      <c r="F447" s="1143"/>
      <c r="G447" s="1139"/>
    </row>
    <row r="448" spans="1:7" x14ac:dyDescent="0.25">
      <c r="B448" s="1012" t="s">
        <v>128</v>
      </c>
      <c r="C448" s="1013"/>
      <c r="D448" s="1136" t="s">
        <v>1903</v>
      </c>
      <c r="E448" s="1015"/>
      <c r="F448" s="1017"/>
      <c r="G448" s="1016"/>
    </row>
    <row r="449" spans="2:7" x14ac:dyDescent="0.25">
      <c r="B449" s="1140" t="s">
        <v>155</v>
      </c>
      <c r="C449" s="1138"/>
      <c r="D449" s="1136" t="s">
        <v>1903</v>
      </c>
      <c r="E449" s="1137"/>
      <c r="F449" s="1143"/>
      <c r="G449" s="1139"/>
    </row>
    <row r="450" spans="2:7" x14ac:dyDescent="0.25">
      <c r="B450" s="1140" t="s">
        <v>163</v>
      </c>
      <c r="C450" s="1138"/>
      <c r="D450" s="1136" t="s">
        <v>1903</v>
      </c>
      <c r="E450" s="1137"/>
      <c r="F450" s="1143"/>
      <c r="G450" s="1139"/>
    </row>
    <row r="451" spans="2:7" x14ac:dyDescent="0.25">
      <c r="B451" s="1140" t="s">
        <v>175</v>
      </c>
      <c r="C451" s="1138"/>
      <c r="D451" s="1136" t="s">
        <v>1903</v>
      </c>
      <c r="E451" s="1137"/>
      <c r="F451" s="1138"/>
      <c r="G451" s="1139"/>
    </row>
    <row r="452" spans="2:7" x14ac:dyDescent="0.25">
      <c r="B452" s="333" t="s">
        <v>533</v>
      </c>
      <c r="C452" s="318"/>
      <c r="D452" s="1136" t="s">
        <v>1903</v>
      </c>
      <c r="E452" s="325"/>
      <c r="F452" s="326"/>
      <c r="G452" s="332"/>
    </row>
    <row r="453" spans="2:7" x14ac:dyDescent="0.25">
      <c r="B453" s="1140" t="s">
        <v>534</v>
      </c>
      <c r="C453" s="1138"/>
      <c r="D453" s="1136" t="s">
        <v>1903</v>
      </c>
      <c r="E453" s="1137"/>
      <c r="F453" s="1143"/>
      <c r="G453" s="1139"/>
    </row>
    <row r="454" spans="2:7" x14ac:dyDescent="0.25">
      <c r="B454" s="1140" t="s">
        <v>535</v>
      </c>
      <c r="C454" s="1135"/>
      <c r="D454" s="1136" t="s">
        <v>1903</v>
      </c>
      <c r="E454" s="1135"/>
      <c r="F454" s="1138"/>
      <c r="G454" s="1139"/>
    </row>
    <row r="455" spans="2:7" x14ac:dyDescent="0.25">
      <c r="B455" s="1140" t="s">
        <v>536</v>
      </c>
      <c r="C455" s="1138"/>
      <c r="D455" s="1136" t="s">
        <v>1939</v>
      </c>
      <c r="E455" s="1137">
        <v>43965</v>
      </c>
      <c r="F455" s="1143" t="s">
        <v>1938</v>
      </c>
      <c r="G455" s="1139" t="s">
        <v>178</v>
      </c>
    </row>
    <row r="456" spans="2:7" x14ac:dyDescent="0.25">
      <c r="B456" s="1140" t="s">
        <v>537</v>
      </c>
      <c r="C456" s="1138"/>
      <c r="D456" s="1136" t="s">
        <v>1903</v>
      </c>
      <c r="E456" s="1137"/>
      <c r="F456" s="1143"/>
      <c r="G456" s="1139"/>
    </row>
    <row r="457" spans="2:7" x14ac:dyDescent="0.25">
      <c r="B457" s="1012" t="s">
        <v>371</v>
      </c>
      <c r="C457" s="1013"/>
      <c r="D457" s="1136" t="s">
        <v>1903</v>
      </c>
      <c r="E457" s="1015"/>
      <c r="F457" s="1013"/>
      <c r="G457" s="1016"/>
    </row>
    <row r="458" spans="2:7" x14ac:dyDescent="0.25">
      <c r="B458" s="1012" t="s">
        <v>538</v>
      </c>
      <c r="C458" s="1013"/>
      <c r="D458" s="1136" t="s">
        <v>1903</v>
      </c>
      <c r="E458" s="1015"/>
      <c r="F458" s="1013"/>
      <c r="G458" s="1016"/>
    </row>
    <row r="459" spans="2:7" x14ac:dyDescent="0.25">
      <c r="B459" s="1012" t="s">
        <v>539</v>
      </c>
      <c r="C459" s="1013"/>
      <c r="D459" s="1136" t="s">
        <v>1903</v>
      </c>
      <c r="E459" s="1015"/>
      <c r="F459" s="1201"/>
      <c r="G459" s="1016"/>
    </row>
    <row r="460" spans="2:7" x14ac:dyDescent="0.25">
      <c r="B460" s="1012" t="s">
        <v>540</v>
      </c>
      <c r="C460" s="1013"/>
      <c r="D460" s="1136" t="s">
        <v>2331</v>
      </c>
      <c r="E460" s="1137">
        <v>44986</v>
      </c>
      <c r="F460" s="1143" t="s">
        <v>2348</v>
      </c>
      <c r="G460" s="1139" t="s">
        <v>106</v>
      </c>
    </row>
    <row r="461" spans="2:7" x14ac:dyDescent="0.25">
      <c r="B461" s="1012" t="s">
        <v>1448</v>
      </c>
      <c r="C461" s="1013"/>
      <c r="D461" s="1014" t="s">
        <v>1903</v>
      </c>
      <c r="E461" s="1137">
        <v>45001</v>
      </c>
      <c r="F461" s="1138" t="s">
        <v>2360</v>
      </c>
      <c r="G461" s="1139" t="s">
        <v>2359</v>
      </c>
    </row>
    <row r="462" spans="2:7" x14ac:dyDescent="0.25">
      <c r="B462" s="1012" t="s">
        <v>1449</v>
      </c>
      <c r="C462" s="1013"/>
      <c r="D462" s="1014" t="s">
        <v>1903</v>
      </c>
      <c r="E462" s="1015"/>
      <c r="F462" s="1013" t="s">
        <v>2380</v>
      </c>
      <c r="G462" s="1016" t="s">
        <v>178</v>
      </c>
    </row>
    <row r="463" spans="2:7" x14ac:dyDescent="0.25">
      <c r="B463" s="1012"/>
      <c r="C463" s="1013"/>
      <c r="D463" s="1014"/>
      <c r="E463" s="1015"/>
      <c r="F463" s="1013"/>
      <c r="G463" s="1016"/>
    </row>
    <row r="464" spans="2:7" ht="13.8" thickBot="1" x14ac:dyDescent="0.3">
      <c r="B464" s="1129"/>
      <c r="C464" s="1130"/>
      <c r="D464" s="1131"/>
      <c r="E464" s="1132"/>
      <c r="F464" s="1130"/>
      <c r="G464" s="1133"/>
    </row>
    <row r="466" spans="1:7" s="1493" customFormat="1" ht="25.2" thickBot="1" x14ac:dyDescent="0.45">
      <c r="A466" s="1523">
        <f>A442+1</f>
        <v>9</v>
      </c>
      <c r="B466" s="1491" t="s">
        <v>249</v>
      </c>
      <c r="C466" s="1491"/>
      <c r="D466" s="1492"/>
      <c r="E466" s="1492"/>
      <c r="F466" s="1492"/>
      <c r="G466" s="1492"/>
    </row>
    <row r="467" spans="1:7" x14ac:dyDescent="0.25">
      <c r="B467" s="334" t="s">
        <v>0</v>
      </c>
      <c r="C467" s="330" t="s">
        <v>1</v>
      </c>
      <c r="D467" s="339" t="s">
        <v>2</v>
      </c>
      <c r="E467" s="330" t="s">
        <v>3</v>
      </c>
      <c r="F467" s="330" t="s">
        <v>4</v>
      </c>
      <c r="G467" s="335" t="s">
        <v>5</v>
      </c>
    </row>
    <row r="468" spans="1:7" x14ac:dyDescent="0.25">
      <c r="B468" s="1140">
        <v>23</v>
      </c>
      <c r="C468" s="1138">
        <v>20</v>
      </c>
      <c r="D468" s="1136" t="s">
        <v>250</v>
      </c>
      <c r="E468" s="1137">
        <v>41311</v>
      </c>
      <c r="F468" s="1143" t="s">
        <v>8</v>
      </c>
      <c r="G468" s="1139" t="s">
        <v>9</v>
      </c>
    </row>
    <row r="469" spans="1:7" x14ac:dyDescent="0.25">
      <c r="B469" s="1012" t="s">
        <v>70</v>
      </c>
      <c r="C469" s="1013">
        <v>20</v>
      </c>
      <c r="D469" s="1014" t="s">
        <v>251</v>
      </c>
      <c r="E469" s="1015">
        <v>41347</v>
      </c>
      <c r="F469" s="1013" t="s">
        <v>72</v>
      </c>
      <c r="G469" s="1016" t="s">
        <v>9</v>
      </c>
    </row>
    <row r="470" spans="1:7" x14ac:dyDescent="0.25">
      <c r="B470" s="1012" t="s">
        <v>81</v>
      </c>
      <c r="C470" s="1013"/>
      <c r="D470" s="1014" t="s">
        <v>104</v>
      </c>
      <c r="E470" s="1015">
        <v>41649</v>
      </c>
      <c r="F470" s="1013" t="s">
        <v>105</v>
      </c>
      <c r="G470" s="1016" t="s">
        <v>106</v>
      </c>
    </row>
    <row r="471" spans="1:7" x14ac:dyDescent="0.25">
      <c r="B471" s="1012" t="s">
        <v>94</v>
      </c>
      <c r="C471" s="1013"/>
      <c r="D471" s="1136" t="s">
        <v>1903</v>
      </c>
      <c r="E471" s="1015"/>
      <c r="F471" s="1017"/>
      <c r="G471" s="1016"/>
    </row>
    <row r="472" spans="1:7" x14ac:dyDescent="0.25">
      <c r="B472" s="333" t="s">
        <v>112</v>
      </c>
      <c r="C472" s="318"/>
      <c r="D472" s="346" t="s">
        <v>252</v>
      </c>
      <c r="E472" s="325">
        <v>41779</v>
      </c>
      <c r="F472" s="326" t="s">
        <v>253</v>
      </c>
      <c r="G472" s="332" t="s">
        <v>93</v>
      </c>
    </row>
    <row r="473" spans="1:7" x14ac:dyDescent="0.25">
      <c r="B473" s="333"/>
      <c r="C473" s="318"/>
      <c r="D473" s="346" t="s">
        <v>254</v>
      </c>
      <c r="E473" s="325">
        <v>41786</v>
      </c>
      <c r="F473" s="326" t="s">
        <v>255</v>
      </c>
      <c r="G473" s="332" t="s">
        <v>93</v>
      </c>
    </row>
    <row r="474" spans="1:7" x14ac:dyDescent="0.25">
      <c r="B474" s="333"/>
      <c r="C474" s="318"/>
      <c r="D474" s="346" t="s">
        <v>256</v>
      </c>
      <c r="E474" s="325">
        <v>41863</v>
      </c>
      <c r="F474" s="318" t="s">
        <v>257</v>
      </c>
      <c r="G474" s="332" t="s">
        <v>40</v>
      </c>
    </row>
    <row r="475" spans="1:7" x14ac:dyDescent="0.25">
      <c r="B475" s="1012"/>
      <c r="C475" s="1013"/>
      <c r="D475" s="1014" t="s">
        <v>258</v>
      </c>
      <c r="E475" s="1015">
        <v>41928</v>
      </c>
      <c r="F475" s="1013"/>
      <c r="G475" s="1016" t="s">
        <v>106</v>
      </c>
    </row>
    <row r="476" spans="1:7" x14ac:dyDescent="0.25">
      <c r="B476" s="1012" t="s">
        <v>128</v>
      </c>
      <c r="C476" s="1013"/>
      <c r="D476" s="1136" t="s">
        <v>1903</v>
      </c>
      <c r="E476" s="1015"/>
      <c r="F476" s="1017"/>
      <c r="G476" s="1016"/>
    </row>
    <row r="477" spans="1:7" x14ac:dyDescent="0.25">
      <c r="B477" s="333" t="s">
        <v>155</v>
      </c>
      <c r="C477" s="318"/>
      <c r="D477" s="346" t="s">
        <v>156</v>
      </c>
      <c r="E477" s="325">
        <v>42465</v>
      </c>
      <c r="F477" s="318" t="s">
        <v>157</v>
      </c>
      <c r="G477" s="332" t="s">
        <v>9</v>
      </c>
    </row>
    <row r="478" spans="1:7" x14ac:dyDescent="0.25">
      <c r="B478" s="1012"/>
      <c r="C478" s="1013"/>
      <c r="D478" s="1014" t="s">
        <v>259</v>
      </c>
      <c r="E478" s="1015">
        <v>42522</v>
      </c>
      <c r="F478" s="1017" t="s">
        <v>260</v>
      </c>
      <c r="G478" s="1016" t="s">
        <v>261</v>
      </c>
    </row>
    <row r="479" spans="1:7" x14ac:dyDescent="0.25">
      <c r="B479" s="333" t="s">
        <v>163</v>
      </c>
      <c r="C479" s="318"/>
      <c r="D479" s="346" t="s">
        <v>262</v>
      </c>
      <c r="E479" s="325">
        <v>42949</v>
      </c>
      <c r="F479" s="318" t="s">
        <v>165</v>
      </c>
      <c r="G479" s="332" t="s">
        <v>40</v>
      </c>
    </row>
    <row r="480" spans="1:7" x14ac:dyDescent="0.25">
      <c r="B480" s="1012"/>
      <c r="C480" s="1013"/>
      <c r="D480" s="1014" t="s">
        <v>263</v>
      </c>
      <c r="E480" s="1015">
        <v>42949</v>
      </c>
      <c r="F480" s="1013" t="s">
        <v>264</v>
      </c>
      <c r="G480" s="1016" t="s">
        <v>40</v>
      </c>
    </row>
    <row r="481" spans="2:7" x14ac:dyDescent="0.25">
      <c r="B481" s="1140" t="s">
        <v>175</v>
      </c>
      <c r="C481" s="1138"/>
      <c r="D481" s="1136" t="s">
        <v>236</v>
      </c>
      <c r="E481" s="1137"/>
      <c r="F481" s="1138"/>
      <c r="G481" s="1139"/>
    </row>
    <row r="482" spans="2:7" x14ac:dyDescent="0.25">
      <c r="B482" s="1140" t="s">
        <v>533</v>
      </c>
      <c r="C482" s="1138"/>
      <c r="D482" s="1136" t="s">
        <v>1851</v>
      </c>
      <c r="E482" s="1137">
        <v>43567</v>
      </c>
      <c r="F482" s="1138" t="s">
        <v>1852</v>
      </c>
      <c r="G482" s="1139" t="s">
        <v>219</v>
      </c>
    </row>
    <row r="483" spans="2:7" x14ac:dyDescent="0.25">
      <c r="B483" s="1140" t="s">
        <v>534</v>
      </c>
      <c r="C483" s="1138"/>
      <c r="D483" s="1136" t="s">
        <v>1903</v>
      </c>
      <c r="E483" s="1137"/>
      <c r="F483" s="1143"/>
      <c r="G483" s="1139"/>
    </row>
    <row r="484" spans="2:7" x14ac:dyDescent="0.25">
      <c r="B484" s="1140" t="s">
        <v>535</v>
      </c>
      <c r="C484" s="1135"/>
      <c r="D484" s="1136" t="s">
        <v>1903</v>
      </c>
      <c r="E484" s="1135"/>
      <c r="F484" s="1138"/>
      <c r="G484" s="1139"/>
    </row>
    <row r="485" spans="2:7" x14ac:dyDescent="0.25">
      <c r="B485" s="1140" t="s">
        <v>536</v>
      </c>
      <c r="C485" s="1138"/>
      <c r="D485" s="1136" t="s">
        <v>1903</v>
      </c>
      <c r="E485" s="1137"/>
      <c r="F485" s="1143"/>
      <c r="G485" s="1139"/>
    </row>
    <row r="486" spans="2:7" x14ac:dyDescent="0.25">
      <c r="B486" s="1140" t="s">
        <v>537</v>
      </c>
      <c r="C486" s="1138"/>
      <c r="D486" s="1136" t="s">
        <v>1903</v>
      </c>
      <c r="E486" s="1137"/>
      <c r="F486" s="1143"/>
      <c r="G486" s="1139"/>
    </row>
    <row r="487" spans="2:7" x14ac:dyDescent="0.25">
      <c r="B487" s="1012" t="s">
        <v>371</v>
      </c>
      <c r="C487" s="1013"/>
      <c r="D487" s="1136" t="s">
        <v>1903</v>
      </c>
      <c r="E487" s="1015"/>
      <c r="F487" s="1013"/>
      <c r="G487" s="1016"/>
    </row>
    <row r="488" spans="2:7" x14ac:dyDescent="0.25">
      <c r="B488" s="1012" t="s">
        <v>538</v>
      </c>
      <c r="C488" s="1013"/>
      <c r="D488" s="1136" t="s">
        <v>1903</v>
      </c>
      <c r="E488" s="1015"/>
      <c r="F488" s="1013"/>
      <c r="G488" s="1016"/>
    </row>
    <row r="489" spans="2:7" x14ac:dyDescent="0.25">
      <c r="B489" s="1012" t="s">
        <v>539</v>
      </c>
      <c r="C489" s="1013"/>
      <c r="D489" s="1136" t="s">
        <v>1903</v>
      </c>
      <c r="E489" s="1015"/>
      <c r="F489" s="1201"/>
      <c r="G489" s="1016"/>
    </row>
    <row r="490" spans="2:7" x14ac:dyDescent="0.25">
      <c r="B490" s="1012" t="s">
        <v>540</v>
      </c>
      <c r="C490" s="1013"/>
      <c r="D490" s="1136" t="s">
        <v>2331</v>
      </c>
      <c r="E490" s="1137">
        <v>44986</v>
      </c>
      <c r="F490" s="1143" t="s">
        <v>2348</v>
      </c>
      <c r="G490" s="1139" t="s">
        <v>106</v>
      </c>
    </row>
    <row r="491" spans="2:7" x14ac:dyDescent="0.25">
      <c r="B491" s="1012" t="s">
        <v>1448</v>
      </c>
      <c r="C491" s="1013"/>
      <c r="D491" s="1014" t="s">
        <v>1903</v>
      </c>
      <c r="E491" s="1137">
        <v>45001</v>
      </c>
      <c r="F491" s="1138" t="s">
        <v>2360</v>
      </c>
      <c r="G491" s="1139" t="s">
        <v>2359</v>
      </c>
    </row>
    <row r="492" spans="2:7" x14ac:dyDescent="0.25">
      <c r="B492" s="341" t="s">
        <v>1449</v>
      </c>
      <c r="C492" s="342"/>
      <c r="D492" s="348" t="s">
        <v>2375</v>
      </c>
      <c r="E492" s="1946">
        <v>45656</v>
      </c>
      <c r="F492" s="342" t="s">
        <v>2380</v>
      </c>
      <c r="G492" s="345" t="s">
        <v>178</v>
      </c>
    </row>
    <row r="493" spans="2:7" x14ac:dyDescent="0.25">
      <c r="B493" s="1012"/>
      <c r="C493" s="1013"/>
      <c r="D493" s="1014" t="s">
        <v>2378</v>
      </c>
      <c r="E493" s="1015"/>
      <c r="F493" s="1013" t="s">
        <v>2376</v>
      </c>
      <c r="G493" s="1016" t="s">
        <v>178</v>
      </c>
    </row>
    <row r="494" spans="2:7" x14ac:dyDescent="0.25">
      <c r="B494" s="1012"/>
      <c r="C494" s="1013"/>
      <c r="D494" s="1014"/>
      <c r="E494" s="1015"/>
      <c r="F494" s="1013"/>
      <c r="G494" s="1016"/>
    </row>
    <row r="495" spans="2:7" x14ac:dyDescent="0.25">
      <c r="B495" s="1012"/>
      <c r="C495" s="1013"/>
      <c r="D495" s="1014"/>
      <c r="E495" s="1015"/>
      <c r="F495" s="1013"/>
      <c r="G495" s="1016"/>
    </row>
    <row r="496" spans="2:7" ht="13.8" thickBot="1" x14ac:dyDescent="0.3">
      <c r="B496" s="1129"/>
      <c r="C496" s="1130"/>
      <c r="D496" s="1131"/>
      <c r="E496" s="1132"/>
      <c r="F496" s="1130"/>
      <c r="G496" s="1133"/>
    </row>
    <row r="497" spans="1:7" x14ac:dyDescent="0.25">
      <c r="B497" s="318"/>
      <c r="C497" s="318"/>
      <c r="E497" s="325"/>
      <c r="F497" s="326"/>
    </row>
    <row r="498" spans="1:7" s="1493" customFormat="1" ht="25.2" thickBot="1" x14ac:dyDescent="0.45">
      <c r="A498" s="1523">
        <f>A466+1</f>
        <v>10</v>
      </c>
      <c r="B498" s="1491" t="s">
        <v>265</v>
      </c>
      <c r="C498" s="1491"/>
      <c r="D498" s="1492"/>
      <c r="E498" s="1492"/>
      <c r="F498" s="1492"/>
      <c r="G498" s="1492"/>
    </row>
    <row r="499" spans="1:7" x14ac:dyDescent="0.25">
      <c r="B499" s="328" t="s">
        <v>0</v>
      </c>
      <c r="C499" s="329" t="s">
        <v>1</v>
      </c>
      <c r="D499" s="338" t="s">
        <v>2</v>
      </c>
      <c r="E499" s="329" t="s">
        <v>3</v>
      </c>
      <c r="F499" s="330" t="s">
        <v>4</v>
      </c>
      <c r="G499" s="331" t="s">
        <v>5</v>
      </c>
    </row>
    <row r="500" spans="1:7" x14ac:dyDescent="0.25">
      <c r="B500" s="333">
        <v>23</v>
      </c>
      <c r="C500" s="318">
        <v>20</v>
      </c>
      <c r="D500" s="346" t="s">
        <v>266</v>
      </c>
      <c r="E500" s="325">
        <v>41309</v>
      </c>
      <c r="F500" s="326"/>
      <c r="G500" s="332" t="s">
        <v>12</v>
      </c>
    </row>
    <row r="501" spans="1:7" ht="39.6" x14ac:dyDescent="0.25">
      <c r="B501" s="333" t="s">
        <v>267</v>
      </c>
      <c r="C501" s="318"/>
      <c r="D501" s="346" t="s">
        <v>268</v>
      </c>
      <c r="E501" s="325">
        <v>41485</v>
      </c>
      <c r="F501" s="326"/>
      <c r="G501" s="332" t="s">
        <v>261</v>
      </c>
    </row>
    <row r="502" spans="1:7" x14ac:dyDescent="0.25">
      <c r="B502" s="1012"/>
      <c r="C502" s="1013"/>
      <c r="D502" s="1014" t="s">
        <v>269</v>
      </c>
      <c r="E502" s="1015">
        <v>41487</v>
      </c>
      <c r="F502" s="1017"/>
      <c r="G502" s="1016" t="s">
        <v>261</v>
      </c>
    </row>
    <row r="503" spans="1:7" x14ac:dyDescent="0.25">
      <c r="B503" s="333" t="s">
        <v>81</v>
      </c>
      <c r="C503" s="318"/>
      <c r="D503" s="346" t="s">
        <v>270</v>
      </c>
      <c r="E503" s="325">
        <v>41450</v>
      </c>
      <c r="F503" s="326"/>
      <c r="G503" s="332" t="s">
        <v>40</v>
      </c>
    </row>
    <row r="504" spans="1:7" x14ac:dyDescent="0.25">
      <c r="B504" s="333"/>
      <c r="C504" s="318"/>
      <c r="D504" s="346" t="s">
        <v>271</v>
      </c>
      <c r="E504" s="325"/>
      <c r="F504" s="326"/>
      <c r="G504" s="332"/>
    </row>
    <row r="505" spans="1:7" x14ac:dyDescent="0.25">
      <c r="B505" s="1012"/>
      <c r="C505" s="1013"/>
      <c r="D505" s="1014" t="s">
        <v>272</v>
      </c>
      <c r="E505" s="1015"/>
      <c r="F505" s="1017"/>
      <c r="G505" s="1016"/>
    </row>
    <row r="506" spans="1:7" x14ac:dyDescent="0.25">
      <c r="B506" s="333" t="s">
        <v>94</v>
      </c>
      <c r="C506" s="318"/>
      <c r="D506" s="346" t="s">
        <v>273</v>
      </c>
      <c r="E506" s="325">
        <v>41537</v>
      </c>
      <c r="F506" s="318" t="s">
        <v>274</v>
      </c>
      <c r="G506" s="332" t="s">
        <v>40</v>
      </c>
    </row>
    <row r="507" spans="1:7" x14ac:dyDescent="0.25">
      <c r="B507" s="333"/>
      <c r="C507" s="318"/>
      <c r="D507" s="346" t="s">
        <v>275</v>
      </c>
      <c r="E507" s="325">
        <v>41641</v>
      </c>
      <c r="F507" s="318" t="s">
        <v>276</v>
      </c>
      <c r="G507" s="332" t="s">
        <v>106</v>
      </c>
    </row>
    <row r="508" spans="1:7" x14ac:dyDescent="0.25">
      <c r="B508" s="1012"/>
      <c r="C508" s="1013"/>
      <c r="D508" s="1014" t="s">
        <v>104</v>
      </c>
      <c r="E508" s="1015">
        <v>41649</v>
      </c>
      <c r="F508" s="1013" t="s">
        <v>105</v>
      </c>
      <c r="G508" s="1016" t="s">
        <v>106</v>
      </c>
    </row>
    <row r="509" spans="1:7" x14ac:dyDescent="0.25">
      <c r="B509" s="333" t="s">
        <v>112</v>
      </c>
      <c r="C509" s="318"/>
      <c r="D509" s="346" t="s">
        <v>277</v>
      </c>
      <c r="E509" s="325">
        <v>41731</v>
      </c>
      <c r="G509" s="332" t="s">
        <v>40</v>
      </c>
    </row>
    <row r="510" spans="1:7" x14ac:dyDescent="0.25">
      <c r="B510" s="1012"/>
      <c r="C510" s="1013"/>
      <c r="D510" s="1014" t="s">
        <v>121</v>
      </c>
      <c r="E510" s="1015">
        <v>41778</v>
      </c>
      <c r="F510" s="1013" t="s">
        <v>105</v>
      </c>
      <c r="G510" s="1016" t="s">
        <v>106</v>
      </c>
    </row>
    <row r="511" spans="1:7" x14ac:dyDescent="0.25">
      <c r="B511" s="1149" t="s">
        <v>128</v>
      </c>
      <c r="C511" s="1150"/>
      <c r="D511" s="1151" t="s">
        <v>278</v>
      </c>
      <c r="E511" s="1152">
        <v>41946</v>
      </c>
      <c r="F511" s="1150" t="s">
        <v>279</v>
      </c>
      <c r="G511" s="1153" t="s">
        <v>9</v>
      </c>
    </row>
    <row r="512" spans="1:7" x14ac:dyDescent="0.25">
      <c r="B512" s="333"/>
      <c r="C512" s="318"/>
      <c r="D512" s="346" t="s">
        <v>280</v>
      </c>
      <c r="E512" s="325">
        <v>42058</v>
      </c>
      <c r="F512" s="318" t="s">
        <v>281</v>
      </c>
      <c r="G512" s="332" t="s">
        <v>106</v>
      </c>
    </row>
    <row r="513" spans="2:7" x14ac:dyDescent="0.25">
      <c r="B513" s="1012"/>
      <c r="C513" s="1013"/>
      <c r="D513" s="1014" t="s">
        <v>282</v>
      </c>
      <c r="E513" s="1015">
        <v>42242</v>
      </c>
      <c r="F513" s="1017" t="s">
        <v>8</v>
      </c>
      <c r="G513" s="1016" t="s">
        <v>106</v>
      </c>
    </row>
    <row r="514" spans="2:7" x14ac:dyDescent="0.25">
      <c r="B514" s="333" t="s">
        <v>155</v>
      </c>
      <c r="C514" s="318"/>
      <c r="D514" s="346" t="s">
        <v>156</v>
      </c>
      <c r="E514" s="325">
        <v>42465</v>
      </c>
      <c r="F514" s="318" t="s">
        <v>157</v>
      </c>
      <c r="G514" s="332" t="s">
        <v>9</v>
      </c>
    </row>
    <row r="515" spans="2:7" ht="26.4" x14ac:dyDescent="0.25">
      <c r="B515" s="333"/>
      <c r="C515" s="318"/>
      <c r="D515" s="346" t="s">
        <v>283</v>
      </c>
      <c r="E515" s="325">
        <v>42481</v>
      </c>
      <c r="F515" s="326" t="s">
        <v>284</v>
      </c>
      <c r="G515" s="332" t="s">
        <v>93</v>
      </c>
    </row>
    <row r="516" spans="2:7" x14ac:dyDescent="0.25">
      <c r="B516" s="1012"/>
      <c r="C516" s="1013"/>
      <c r="D516" s="1014" t="s">
        <v>285</v>
      </c>
      <c r="E516" s="1015">
        <v>42639</v>
      </c>
      <c r="F516" s="1017" t="s">
        <v>286</v>
      </c>
      <c r="G516" s="1016" t="s">
        <v>40</v>
      </c>
    </row>
    <row r="517" spans="2:7" x14ac:dyDescent="0.25">
      <c r="B517" s="333" t="s">
        <v>163</v>
      </c>
      <c r="C517" s="318"/>
      <c r="D517" s="346" t="s">
        <v>287</v>
      </c>
      <c r="E517" s="325">
        <v>42873</v>
      </c>
      <c r="F517" s="326" t="s">
        <v>8</v>
      </c>
      <c r="G517" s="332" t="s">
        <v>106</v>
      </c>
    </row>
    <row r="518" spans="2:7" x14ac:dyDescent="0.25">
      <c r="B518" s="1012"/>
      <c r="C518" s="1013"/>
      <c r="D518" s="1014" t="s">
        <v>288</v>
      </c>
      <c r="E518" s="1015">
        <v>43007</v>
      </c>
      <c r="F518" s="1013" t="s">
        <v>171</v>
      </c>
      <c r="G518" s="1016" t="s">
        <v>40</v>
      </c>
    </row>
    <row r="519" spans="2:7" x14ac:dyDescent="0.25">
      <c r="B519" s="1140" t="s">
        <v>175</v>
      </c>
      <c r="C519" s="1138"/>
      <c r="D519" s="1136" t="s">
        <v>1903</v>
      </c>
      <c r="E519" s="1137"/>
      <c r="F519" s="1138"/>
      <c r="G519" s="1139"/>
    </row>
    <row r="520" spans="2:7" x14ac:dyDescent="0.25">
      <c r="B520" s="1140" t="s">
        <v>533</v>
      </c>
      <c r="C520" s="1138"/>
      <c r="D520" s="1136" t="s">
        <v>1851</v>
      </c>
      <c r="E520" s="1137">
        <v>43567</v>
      </c>
      <c r="F520" s="1138" t="s">
        <v>1852</v>
      </c>
      <c r="G520" s="1139" t="s">
        <v>219</v>
      </c>
    </row>
    <row r="521" spans="2:7" x14ac:dyDescent="0.25">
      <c r="B521" s="1140" t="s">
        <v>1904</v>
      </c>
      <c r="C521" s="1138"/>
      <c r="D521" s="1136" t="s">
        <v>1903</v>
      </c>
      <c r="E521" s="1137"/>
      <c r="F521" s="1143"/>
      <c r="G521" s="1139"/>
    </row>
    <row r="522" spans="2:7" x14ac:dyDescent="0.25">
      <c r="B522" s="1140" t="s">
        <v>535</v>
      </c>
      <c r="C522" s="1135"/>
      <c r="D522" s="1136" t="s">
        <v>1903</v>
      </c>
      <c r="E522" s="1135"/>
      <c r="F522" s="1138"/>
      <c r="G522" s="1139"/>
    </row>
    <row r="523" spans="2:7" x14ac:dyDescent="0.25">
      <c r="B523" s="1140" t="s">
        <v>536</v>
      </c>
      <c r="C523" s="1138"/>
      <c r="D523" s="1136" t="s">
        <v>1903</v>
      </c>
      <c r="E523" s="1137"/>
      <c r="F523" s="1143"/>
      <c r="G523" s="1139"/>
    </row>
    <row r="524" spans="2:7" x14ac:dyDescent="0.25">
      <c r="B524" s="341" t="s">
        <v>537</v>
      </c>
      <c r="C524" s="342"/>
      <c r="D524" s="348" t="s">
        <v>1944</v>
      </c>
      <c r="E524" s="343">
        <v>44109</v>
      </c>
      <c r="F524" s="344" t="s">
        <v>1943</v>
      </c>
      <c r="G524" s="345" t="s">
        <v>1902</v>
      </c>
    </row>
    <row r="525" spans="2:7" x14ac:dyDescent="0.25">
      <c r="B525" s="341" t="s">
        <v>371</v>
      </c>
      <c r="C525" s="342"/>
      <c r="D525" s="348" t="s">
        <v>1962</v>
      </c>
      <c r="E525" s="343">
        <v>44175</v>
      </c>
      <c r="F525" s="344" t="s">
        <v>1963</v>
      </c>
      <c r="G525" s="345" t="s">
        <v>40</v>
      </c>
    </row>
    <row r="526" spans="2:7" x14ac:dyDescent="0.25">
      <c r="B526" s="1140" t="s">
        <v>538</v>
      </c>
      <c r="C526" s="1138"/>
      <c r="D526" s="1136" t="s">
        <v>1965</v>
      </c>
      <c r="E526" s="1137">
        <v>44288</v>
      </c>
      <c r="F526" s="1143"/>
      <c r="G526" s="1139" t="s">
        <v>219</v>
      </c>
    </row>
    <row r="527" spans="2:7" x14ac:dyDescent="0.25">
      <c r="B527" s="1012" t="s">
        <v>539</v>
      </c>
      <c r="C527" s="1013"/>
      <c r="D527" s="1136" t="s">
        <v>2083</v>
      </c>
      <c r="E527" s="1015">
        <v>44803</v>
      </c>
      <c r="F527" s="1489" t="s">
        <v>2082</v>
      </c>
      <c r="G527" s="1016" t="s">
        <v>40</v>
      </c>
    </row>
    <row r="528" spans="2:7" x14ac:dyDescent="0.25">
      <c r="B528" s="1012" t="s">
        <v>540</v>
      </c>
      <c r="C528" s="1013"/>
      <c r="D528" s="1136" t="s">
        <v>2331</v>
      </c>
      <c r="E528" s="1137">
        <v>44986</v>
      </c>
      <c r="F528" s="1143" t="s">
        <v>2348</v>
      </c>
      <c r="G528" s="1139" t="s">
        <v>106</v>
      </c>
    </row>
    <row r="529" spans="1:7" x14ac:dyDescent="0.25">
      <c r="B529" s="1012" t="s">
        <v>1448</v>
      </c>
      <c r="C529" s="1013"/>
      <c r="D529" s="1014" t="s">
        <v>1903</v>
      </c>
      <c r="E529" s="1137">
        <v>45001</v>
      </c>
      <c r="F529" s="1138" t="s">
        <v>2360</v>
      </c>
      <c r="G529" s="1139" t="s">
        <v>2359</v>
      </c>
    </row>
    <row r="530" spans="1:7" x14ac:dyDescent="0.25">
      <c r="B530" s="341" t="s">
        <v>1449</v>
      </c>
      <c r="C530" s="342"/>
      <c r="D530" s="348" t="s">
        <v>2375</v>
      </c>
      <c r="E530" s="1585"/>
      <c r="F530" s="342" t="s">
        <v>2380</v>
      </c>
      <c r="G530" s="345" t="s">
        <v>178</v>
      </c>
    </row>
    <row r="531" spans="1:7" x14ac:dyDescent="0.25">
      <c r="B531" s="1012"/>
      <c r="C531" s="1013"/>
      <c r="D531" s="1014" t="s">
        <v>2378</v>
      </c>
      <c r="E531" s="1015"/>
      <c r="F531" s="1013" t="s">
        <v>2376</v>
      </c>
      <c r="G531" s="1016" t="s">
        <v>178</v>
      </c>
    </row>
    <row r="532" spans="1:7" x14ac:dyDescent="0.25">
      <c r="B532" s="1012"/>
      <c r="C532" s="1013"/>
      <c r="D532" s="1014"/>
      <c r="E532" s="1015"/>
      <c r="F532" s="1013"/>
      <c r="G532" s="1016"/>
    </row>
    <row r="533" spans="1:7" x14ac:dyDescent="0.25">
      <c r="B533" s="1012"/>
      <c r="C533" s="1013"/>
      <c r="D533" s="1014"/>
      <c r="E533" s="1015"/>
      <c r="F533" s="1013"/>
      <c r="G533" s="1016"/>
    </row>
    <row r="534" spans="1:7" ht="13.8" thickBot="1" x14ac:dyDescent="0.3">
      <c r="B534" s="1129"/>
      <c r="C534" s="1130"/>
      <c r="D534" s="1131"/>
      <c r="E534" s="1132"/>
      <c r="F534" s="1130"/>
      <c r="G534" s="1133"/>
    </row>
    <row r="537" spans="1:7" s="1493" customFormat="1" ht="25.2" thickBot="1" x14ac:dyDescent="0.45">
      <c r="A537" s="1523">
        <f>A498+1</f>
        <v>11</v>
      </c>
      <c r="B537" s="1491" t="s">
        <v>289</v>
      </c>
      <c r="C537" s="1491"/>
      <c r="D537" s="1492"/>
      <c r="E537" s="1492"/>
      <c r="F537" s="1492"/>
      <c r="G537" s="1492"/>
    </row>
    <row r="538" spans="1:7" x14ac:dyDescent="0.25">
      <c r="B538" s="328" t="s">
        <v>0</v>
      </c>
      <c r="C538" s="329" t="s">
        <v>1</v>
      </c>
      <c r="D538" s="338" t="s">
        <v>2</v>
      </c>
      <c r="E538" s="329" t="s">
        <v>3</v>
      </c>
      <c r="F538" s="330" t="s">
        <v>4</v>
      </c>
      <c r="G538" s="331" t="s">
        <v>5</v>
      </c>
    </row>
    <row r="539" spans="1:7" x14ac:dyDescent="0.25">
      <c r="B539" s="1140" t="s">
        <v>81</v>
      </c>
      <c r="C539" s="1138"/>
      <c r="D539" s="1136" t="s">
        <v>290</v>
      </c>
      <c r="E539" s="1137">
        <v>41561</v>
      </c>
      <c r="F539" s="1138" t="s">
        <v>83</v>
      </c>
      <c r="G539" s="1139" t="s">
        <v>40</v>
      </c>
    </row>
    <row r="540" spans="1:7" x14ac:dyDescent="0.25">
      <c r="B540" s="333" t="s">
        <v>94</v>
      </c>
      <c r="D540" s="346" t="s">
        <v>291</v>
      </c>
      <c r="E540" s="327">
        <v>41604</v>
      </c>
      <c r="F540" s="318" t="s">
        <v>101</v>
      </c>
      <c r="G540" s="332" t="s">
        <v>40</v>
      </c>
    </row>
    <row r="541" spans="1:7" x14ac:dyDescent="0.25">
      <c r="B541" s="333"/>
      <c r="D541" s="346" t="s">
        <v>292</v>
      </c>
      <c r="F541" s="318" t="s">
        <v>101</v>
      </c>
      <c r="G541" s="332" t="s">
        <v>40</v>
      </c>
    </row>
    <row r="542" spans="1:7" x14ac:dyDescent="0.25">
      <c r="B542" s="333"/>
      <c r="D542" s="346" t="s">
        <v>293</v>
      </c>
      <c r="F542" s="318" t="s">
        <v>101</v>
      </c>
      <c r="G542" s="332" t="s">
        <v>40</v>
      </c>
    </row>
    <row r="543" spans="1:7" x14ac:dyDescent="0.25">
      <c r="B543" s="1012"/>
      <c r="C543" s="1019"/>
      <c r="D543" s="1014" t="s">
        <v>294</v>
      </c>
      <c r="E543" s="1019"/>
      <c r="F543" s="1013" t="s">
        <v>101</v>
      </c>
      <c r="G543" s="1016" t="s">
        <v>40</v>
      </c>
    </row>
    <row r="544" spans="1:7" x14ac:dyDescent="0.25">
      <c r="B544" s="1012" t="s">
        <v>112</v>
      </c>
      <c r="C544" s="1013"/>
      <c r="D544" s="1136" t="s">
        <v>1903</v>
      </c>
      <c r="E544" s="1015"/>
      <c r="F544" s="1017"/>
      <c r="G544" s="1016"/>
    </row>
    <row r="545" spans="2:7" x14ac:dyDescent="0.25">
      <c r="B545" s="1140" t="s">
        <v>128</v>
      </c>
      <c r="C545" s="1135"/>
      <c r="D545" s="1136" t="s">
        <v>295</v>
      </c>
      <c r="E545" s="1137">
        <v>42080</v>
      </c>
      <c r="F545" s="1138" t="s">
        <v>138</v>
      </c>
      <c r="G545" s="1139" t="s">
        <v>93</v>
      </c>
    </row>
    <row r="546" spans="2:7" x14ac:dyDescent="0.25">
      <c r="B546" s="1012" t="s">
        <v>155</v>
      </c>
      <c r="C546" s="1013"/>
      <c r="D546" s="1136" t="s">
        <v>1903</v>
      </c>
      <c r="E546" s="1015"/>
      <c r="F546" s="1017"/>
      <c r="G546" s="1016"/>
    </row>
    <row r="547" spans="2:7" x14ac:dyDescent="0.25">
      <c r="B547" s="1140" t="s">
        <v>163</v>
      </c>
      <c r="C547" s="1135"/>
      <c r="D547" s="1136" t="s">
        <v>1903</v>
      </c>
      <c r="E547" s="1135"/>
      <c r="F547" s="1138"/>
      <c r="G547" s="1139"/>
    </row>
    <row r="548" spans="2:7" x14ac:dyDescent="0.25">
      <c r="B548" s="1140" t="s">
        <v>175</v>
      </c>
      <c r="C548" s="1138"/>
      <c r="D548" s="1136" t="s">
        <v>1903</v>
      </c>
      <c r="E548" s="1137"/>
      <c r="F548" s="1138"/>
      <c r="G548" s="1139"/>
    </row>
    <row r="549" spans="2:7" x14ac:dyDescent="0.25">
      <c r="B549" s="1140" t="s">
        <v>533</v>
      </c>
      <c r="C549" s="1135"/>
      <c r="D549" s="1136" t="s">
        <v>1903</v>
      </c>
      <c r="E549" s="1135"/>
      <c r="F549" s="1138"/>
      <c r="G549" s="1139"/>
    </row>
    <row r="550" spans="2:7" x14ac:dyDescent="0.25">
      <c r="B550" s="1140" t="s">
        <v>534</v>
      </c>
      <c r="C550" s="1135"/>
      <c r="D550" s="1136" t="s">
        <v>1903</v>
      </c>
      <c r="E550" s="1135"/>
      <c r="F550" s="1138"/>
      <c r="G550" s="1139"/>
    </row>
    <row r="551" spans="2:7" x14ac:dyDescent="0.25">
      <c r="B551" s="1140" t="s">
        <v>535</v>
      </c>
      <c r="C551" s="1135"/>
      <c r="D551" s="1136" t="s">
        <v>1903</v>
      </c>
      <c r="E551" s="1135"/>
      <c r="F551" s="1138"/>
      <c r="G551" s="1139"/>
    </row>
    <row r="552" spans="2:7" x14ac:dyDescent="0.25">
      <c r="B552" s="1140" t="s">
        <v>536</v>
      </c>
      <c r="C552" s="1138"/>
      <c r="D552" s="1136" t="s">
        <v>1903</v>
      </c>
      <c r="E552" s="1135"/>
      <c r="F552" s="1138"/>
      <c r="G552" s="1139"/>
    </row>
    <row r="553" spans="2:7" x14ac:dyDescent="0.25">
      <c r="B553" s="1140" t="s">
        <v>537</v>
      </c>
      <c r="C553" s="1138"/>
      <c r="D553" s="1136" t="s">
        <v>1903</v>
      </c>
      <c r="E553" s="1137"/>
      <c r="F553" s="1143"/>
      <c r="G553" s="1139"/>
    </row>
    <row r="554" spans="2:7" x14ac:dyDescent="0.25">
      <c r="B554" s="1012" t="s">
        <v>371</v>
      </c>
      <c r="C554" s="342"/>
      <c r="D554" s="1136" t="s">
        <v>1903</v>
      </c>
      <c r="E554" s="343"/>
      <c r="F554" s="344"/>
      <c r="G554" s="345"/>
    </row>
    <row r="555" spans="2:7" x14ac:dyDescent="0.25">
      <c r="B555" s="1140" t="s">
        <v>538</v>
      </c>
      <c r="C555" s="1138"/>
      <c r="D555" s="1136" t="s">
        <v>1903</v>
      </c>
      <c r="E555" s="1137"/>
      <c r="F555" s="1143"/>
      <c r="G555" s="1139"/>
    </row>
    <row r="556" spans="2:7" x14ac:dyDescent="0.25">
      <c r="B556" s="1012" t="s">
        <v>539</v>
      </c>
      <c r="C556" s="1013"/>
      <c r="D556" s="1014" t="s">
        <v>1903</v>
      </c>
      <c r="E556" s="1015"/>
      <c r="F556" s="1201"/>
      <c r="G556" s="1016"/>
    </row>
    <row r="557" spans="2:7" x14ac:dyDescent="0.25">
      <c r="B557" s="1012" t="s">
        <v>540</v>
      </c>
      <c r="C557" s="1013"/>
      <c r="D557" s="1014" t="s">
        <v>2134</v>
      </c>
      <c r="E557" s="1015">
        <v>44936</v>
      </c>
      <c r="F557" s="1143" t="s">
        <v>8</v>
      </c>
      <c r="G557" s="1016" t="s">
        <v>106</v>
      </c>
    </row>
    <row r="558" spans="2:7" x14ac:dyDescent="0.25">
      <c r="B558" s="1012" t="s">
        <v>1448</v>
      </c>
      <c r="C558" s="1013"/>
      <c r="D558" s="1014" t="s">
        <v>1903</v>
      </c>
      <c r="E558" s="1137">
        <v>45001</v>
      </c>
      <c r="F558" s="1138" t="s">
        <v>2360</v>
      </c>
      <c r="G558" s="1139" t="s">
        <v>2359</v>
      </c>
    </row>
    <row r="559" spans="2:7" x14ac:dyDescent="0.25">
      <c r="B559" s="1012" t="s">
        <v>1449</v>
      </c>
      <c r="C559" s="1013"/>
      <c r="D559" s="1014" t="s">
        <v>1903</v>
      </c>
      <c r="E559" s="1015"/>
      <c r="F559" s="1013" t="s">
        <v>2380</v>
      </c>
      <c r="G559" s="1016" t="s">
        <v>178</v>
      </c>
    </row>
    <row r="560" spans="2:7" x14ac:dyDescent="0.25">
      <c r="B560" s="341"/>
      <c r="C560" s="342"/>
      <c r="D560" s="348"/>
      <c r="E560" s="343"/>
      <c r="F560" s="344"/>
      <c r="G560" s="345"/>
    </row>
    <row r="561" spans="2:7" x14ac:dyDescent="0.25">
      <c r="B561" s="341"/>
      <c r="C561" s="342"/>
      <c r="D561" s="348"/>
      <c r="E561" s="343"/>
      <c r="F561" s="344"/>
      <c r="G561" s="345"/>
    </row>
    <row r="562" spans="2:7" ht="13.8" thickBot="1" x14ac:dyDescent="0.3">
      <c r="B562" s="1398"/>
      <c r="C562" s="1399"/>
      <c r="D562" s="1400"/>
      <c r="E562" s="1401"/>
      <c r="F562" s="1402"/>
      <c r="G562" s="1403"/>
    </row>
  </sheetData>
  <sheetProtection algorithmName="SHA-512" hashValue="JME1e6wvT8uUX40ufyxQ+h7yWWBpwi5nIp/HIocdAPBD6UWkyspWsNloWvnzhbqVEKy7r6BqCzR6ItgZohsMyQ==" saltValue="sl/KNqZwHGBG4GGdsMY7Lg==" spinCount="100000" sheet="1" objects="1" scenarios="1"/>
  <phoneticPr fontId="27" type="noConversion"/>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BE1349"/>
  <sheetViews>
    <sheetView showGridLines="0" tabSelected="1" showOutlineSymbols="0" zoomScale="90" zoomScaleNormal="90" zoomScaleSheetLayoutView="85" workbookViewId="0">
      <selection activeCell="G5" sqref="G5"/>
    </sheetView>
  </sheetViews>
  <sheetFormatPr defaultColWidth="20.59765625" defaultRowHeight="15" customHeight="1" x14ac:dyDescent="0.4"/>
  <cols>
    <col min="1" max="1" width="15.59765625" bestFit="1" customWidth="1"/>
    <col min="2" max="2" width="7.59765625" customWidth="1"/>
    <col min="3" max="4" width="5.59765625" customWidth="1"/>
    <col min="5" max="5" width="10.69921875" customWidth="1"/>
    <col min="6" max="6" width="12.69921875" customWidth="1"/>
    <col min="7" max="7" width="10.69921875" customWidth="1"/>
    <col min="8" max="8" width="0.8984375" customWidth="1"/>
    <col min="9" max="9" width="8" customWidth="1"/>
    <col min="10" max="10" width="2.59765625" customWidth="1"/>
    <col min="11" max="11" width="7.59765625" customWidth="1"/>
    <col min="12" max="12" width="2.59765625" customWidth="1"/>
    <col min="13" max="13" width="8.09765625" customWidth="1"/>
    <col min="14" max="14" width="2.59765625" customWidth="1"/>
    <col min="15" max="15" width="6.59765625" customWidth="1"/>
    <col min="16" max="16" width="2.59765625" customWidth="1"/>
    <col min="17" max="17" width="8" customWidth="1"/>
    <col min="18" max="18" width="4.59765625" customWidth="1"/>
    <col min="19" max="19" width="8.09765625" customWidth="1"/>
    <col min="20" max="20" width="7.59765625" customWidth="1"/>
    <col min="21" max="21" width="1.59765625" customWidth="1"/>
    <col min="22" max="22" width="6.09765625" customWidth="1"/>
    <col min="23" max="23" width="5.09765625" customWidth="1"/>
    <col min="24" max="24" width="5.8984375" customWidth="1"/>
    <col min="25" max="25" width="15.09765625" customWidth="1"/>
    <col min="26" max="27" width="10.69921875" customWidth="1"/>
    <col min="28" max="28" width="0.8984375" customWidth="1"/>
    <col min="29" max="29" width="6.59765625" bestFit="1" customWidth="1"/>
    <col min="30" max="30" width="6.3984375" customWidth="1"/>
    <col min="31" max="31" width="7.59765625" customWidth="1"/>
    <col min="32" max="32" width="5.59765625" customWidth="1"/>
    <col min="33" max="33" width="6.59765625" customWidth="1"/>
    <col min="34" max="34" width="9.09765625" customWidth="1"/>
    <col min="35" max="35" width="8.59765625" customWidth="1"/>
    <col min="36" max="38" width="11" customWidth="1"/>
    <col min="39" max="39" width="8.69921875" customWidth="1"/>
    <col min="40" max="51" width="10.59765625" customWidth="1"/>
    <col min="52" max="56" width="5.5" customWidth="1"/>
  </cols>
  <sheetData>
    <row r="1" spans="1:57" ht="30.6" thickBot="1" x14ac:dyDescent="0.45">
      <c r="A1" s="592" t="s">
        <v>296</v>
      </c>
      <c r="B1" s="129"/>
      <c r="C1" s="290"/>
      <c r="D1" s="290"/>
      <c r="E1" s="4"/>
      <c r="F1" s="290"/>
      <c r="G1" s="290"/>
      <c r="H1" s="290"/>
      <c r="I1" s="290"/>
      <c r="J1" s="290"/>
      <c r="K1" s="3"/>
      <c r="L1" s="290"/>
      <c r="M1" s="290"/>
      <c r="N1" s="290"/>
      <c r="O1" s="290"/>
      <c r="P1" s="8"/>
      <c r="Q1" s="290"/>
      <c r="R1" s="290"/>
      <c r="S1" s="290"/>
      <c r="T1" s="290"/>
      <c r="U1" s="290"/>
      <c r="V1" s="290"/>
      <c r="W1" s="290"/>
      <c r="X1" s="290"/>
      <c r="Y1" s="290"/>
      <c r="Z1" s="290"/>
      <c r="AA1" s="290"/>
      <c r="AB1" s="290"/>
      <c r="AC1" s="290"/>
      <c r="AD1" s="290"/>
      <c r="AE1" s="290"/>
      <c r="AF1" s="290"/>
      <c r="AG1" s="290"/>
      <c r="AH1" s="290"/>
      <c r="AI1" s="1173"/>
      <c r="AJ1" s="290"/>
      <c r="AK1" s="290"/>
      <c r="AL1" s="290"/>
      <c r="AM1" s="290"/>
      <c r="AN1" s="290"/>
      <c r="AO1" s="290"/>
      <c r="AP1" s="290"/>
      <c r="AQ1" s="290"/>
      <c r="AR1" s="290"/>
      <c r="AS1" s="290"/>
      <c r="AT1" s="290"/>
      <c r="AU1" s="290"/>
      <c r="AV1" s="290"/>
      <c r="AW1" s="290"/>
      <c r="AX1" s="290"/>
      <c r="AY1" s="290"/>
      <c r="AZ1" s="290"/>
      <c r="BA1" s="290"/>
      <c r="BB1" s="290"/>
      <c r="BC1" s="290"/>
      <c r="BD1" s="290"/>
      <c r="BE1" s="290"/>
    </row>
    <row r="2" spans="1:57" ht="21.6" thickBot="1" x14ac:dyDescent="0.45">
      <c r="A2" s="3" t="s">
        <v>2044</v>
      </c>
      <c r="B2" s="1950" t="s">
        <v>297</v>
      </c>
      <c r="C2" s="1951"/>
      <c r="D2" s="1951"/>
      <c r="E2" s="1951"/>
      <c r="F2" s="1951"/>
      <c r="G2" s="1952"/>
      <c r="H2" s="1950" t="s">
        <v>297</v>
      </c>
      <c r="I2" s="1951"/>
      <c r="J2" s="1951"/>
      <c r="K2" s="1951"/>
      <c r="L2" s="1951"/>
      <c r="M2" s="1952"/>
      <c r="N2" s="1950" t="s">
        <v>297</v>
      </c>
      <c r="O2" s="1951"/>
      <c r="P2" s="1951"/>
      <c r="Q2" s="1951"/>
      <c r="R2" s="1951"/>
      <c r="S2" s="1952"/>
      <c r="T2" s="1950" t="s">
        <v>297</v>
      </c>
      <c r="U2" s="1951"/>
      <c r="V2" s="1951"/>
      <c r="W2" s="1951"/>
      <c r="X2" s="1951"/>
      <c r="Y2" s="1952"/>
      <c r="Z2" s="290"/>
      <c r="AA2" s="290"/>
      <c r="AB2" s="2"/>
      <c r="AC2" s="1"/>
      <c r="AD2" s="5"/>
      <c r="AE2" s="2"/>
      <c r="AF2" s="2"/>
      <c r="AG2" s="3"/>
      <c r="AH2" s="462"/>
      <c r="AI2" s="593"/>
      <c r="AJ2" s="2"/>
      <c r="AK2" s="2"/>
      <c r="AL2" s="2"/>
      <c r="AM2" s="3"/>
      <c r="AN2" s="2"/>
      <c r="AO2" s="2"/>
      <c r="AP2" s="2"/>
      <c r="AQ2" s="452" t="s">
        <v>1967</v>
      </c>
      <c r="AR2" s="812">
        <f>MATCH(E4,AP3:AP6,0)</f>
        <v>1</v>
      </c>
      <c r="AS2" s="2"/>
      <c r="AT2" s="2"/>
      <c r="AU2" s="2"/>
      <c r="AV2" s="2"/>
      <c r="AW2" s="2"/>
      <c r="AX2" s="2"/>
      <c r="AY2" s="2"/>
      <c r="AZ2" s="2"/>
      <c r="BA2" s="2"/>
      <c r="BB2" s="2"/>
      <c r="BC2" s="2"/>
      <c r="BD2" s="2"/>
      <c r="BE2" s="2"/>
    </row>
    <row r="3" spans="1:57" ht="20.25" customHeight="1" thickBot="1" x14ac:dyDescent="0.45">
      <c r="A3" s="1513" t="s">
        <v>2024</v>
      </c>
      <c r="B3" s="594"/>
      <c r="C3" s="595"/>
      <c r="D3" s="595" t="s">
        <v>299</v>
      </c>
      <c r="E3" s="1975" t="s">
        <v>1973</v>
      </c>
      <c r="F3" s="1976"/>
      <c r="G3" s="1977"/>
      <c r="H3" s="500"/>
      <c r="I3" s="2"/>
      <c r="J3" s="1959" t="s">
        <v>300</v>
      </c>
      <c r="K3" s="1960"/>
      <c r="L3" s="1960"/>
      <c r="M3" s="1960" t="s">
        <v>300</v>
      </c>
      <c r="N3" s="1963" t="str">
        <f>FIXED(SHWidth,3)&amp;" W x "&amp;FIXED(SHHeight,3)&amp;" H"</f>
        <v>38.563 W x 74.000 H</v>
      </c>
      <c r="O3" s="1963"/>
      <c r="P3" s="1963"/>
      <c r="Q3" s="1963"/>
      <c r="R3" s="283"/>
      <c r="S3" s="283"/>
      <c r="T3" s="283"/>
      <c r="U3" s="283"/>
      <c r="V3" s="121" t="s">
        <v>301</v>
      </c>
      <c r="W3" s="1955" t="str">
        <f>Y554</f>
        <v>253186-34C</v>
      </c>
      <c r="X3" s="1955"/>
      <c r="Y3" s="1956"/>
      <c r="Z3" s="290"/>
      <c r="AA3" s="290"/>
      <c r="AB3" s="317"/>
      <c r="AC3" s="2"/>
      <c r="AD3" s="2"/>
      <c r="AE3" s="2"/>
      <c r="AF3" s="5"/>
      <c r="AG3" s="596"/>
      <c r="AH3" s="596"/>
      <c r="AI3" s="596"/>
      <c r="AJ3" s="1982"/>
      <c r="AK3" s="1982"/>
      <c r="AL3" s="2"/>
      <c r="AM3" s="3"/>
      <c r="AN3" s="2"/>
      <c r="AO3" s="2"/>
      <c r="AP3" s="119" t="s">
        <v>302</v>
      </c>
      <c r="AQ3" s="66"/>
      <c r="AR3" s="1982" t="s">
        <v>303</v>
      </c>
      <c r="AS3" s="1982"/>
      <c r="AT3" s="2"/>
      <c r="AU3" s="2"/>
      <c r="AV3" s="2"/>
      <c r="AW3" s="2"/>
      <c r="AX3" s="2"/>
      <c r="AY3" s="2"/>
      <c r="AZ3" s="2"/>
      <c r="BA3" s="2"/>
      <c r="BB3" s="2"/>
      <c r="BC3" s="2"/>
      <c r="BD3" s="2"/>
      <c r="BE3" s="2"/>
    </row>
    <row r="4" spans="1:57" ht="20.25" customHeight="1" thickBot="1" x14ac:dyDescent="0.45">
      <c r="A4" s="3" t="s">
        <v>2043</v>
      </c>
      <c r="B4" s="1966" t="s">
        <v>304</v>
      </c>
      <c r="C4" s="1967"/>
      <c r="D4" s="1967"/>
      <c r="E4" s="1983" t="s">
        <v>302</v>
      </c>
      <c r="F4" s="1984"/>
      <c r="G4" s="1985"/>
      <c r="H4" s="500"/>
      <c r="I4" s="36"/>
      <c r="J4" s="1959" t="s">
        <v>305</v>
      </c>
      <c r="K4" s="1960"/>
      <c r="L4" s="1960"/>
      <c r="M4" s="1960"/>
      <c r="N4" s="1964" t="str">
        <f>FIXED(S1213,3)&amp;" W x "&amp;FIXED(S1214,3)&amp;" H"</f>
        <v>34.813 W x 34.625 H</v>
      </c>
      <c r="O4" s="1964"/>
      <c r="P4" s="1964"/>
      <c r="Q4" s="1964"/>
      <c r="R4" s="460"/>
      <c r="S4" s="284"/>
      <c r="T4" s="283"/>
      <c r="U4" s="283"/>
      <c r="V4" s="121" t="s">
        <v>306</v>
      </c>
      <c r="W4" s="1957">
        <f>Y708*1</f>
        <v>400019000150</v>
      </c>
      <c r="X4" s="1957"/>
      <c r="Y4" s="1958"/>
      <c r="Z4" s="290"/>
      <c r="AA4" s="290"/>
      <c r="AB4" s="2"/>
      <c r="AC4" s="1144"/>
      <c r="AD4" s="2"/>
      <c r="AE4" s="2"/>
      <c r="AF4" s="3"/>
      <c r="AG4" s="596"/>
      <c r="AH4" s="596"/>
      <c r="AI4" s="596"/>
      <c r="AJ4" s="1982"/>
      <c r="AK4" s="1982"/>
      <c r="AL4" s="462"/>
      <c r="AM4" s="3"/>
      <c r="AN4" s="2"/>
      <c r="AO4" s="2"/>
      <c r="AP4" s="120" t="s">
        <v>307</v>
      </c>
      <c r="AQ4" s="64"/>
      <c r="AR4" s="1982"/>
      <c r="AS4" s="1982"/>
      <c r="AT4" s="2"/>
      <c r="AU4" s="2"/>
      <c r="AV4" s="2"/>
      <c r="AW4" s="2"/>
      <c r="AX4" s="2"/>
      <c r="AY4" s="2"/>
      <c r="AZ4" s="2"/>
      <c r="BA4" s="2"/>
      <c r="BB4" s="2"/>
      <c r="BC4" s="2"/>
      <c r="BD4" s="2"/>
      <c r="BE4" s="2"/>
    </row>
    <row r="5" spans="1:57" ht="20.25" customHeight="1" thickBot="1" x14ac:dyDescent="0.45">
      <c r="A5" s="1506">
        <f>IF(A3*1&lt;&gt;0,LEFT(A3,1)*12+ABS(RIGHT(A3,LEN(A3)-1))-0.5,0)</f>
        <v>35.5</v>
      </c>
      <c r="B5" s="1966" t="s">
        <v>308</v>
      </c>
      <c r="C5" s="1967"/>
      <c r="D5" s="1968"/>
      <c r="E5" s="542">
        <v>38.5625</v>
      </c>
      <c r="F5" s="464" t="s">
        <v>309</v>
      </c>
      <c r="G5" s="816">
        <v>74</v>
      </c>
      <c r="H5" s="500"/>
      <c r="I5" s="3"/>
      <c r="J5" s="1959" t="s">
        <v>310</v>
      </c>
      <c r="K5" s="1965"/>
      <c r="L5" s="1965"/>
      <c r="M5" s="1965"/>
      <c r="N5" s="1964" t="str">
        <f>FIXED(S1221,3)&amp;" W x "&amp;FIXED(S1222,3)&amp;" H"</f>
        <v>33.500 W x 33.500 H</v>
      </c>
      <c r="O5" s="1964"/>
      <c r="P5" s="1964"/>
      <c r="Q5" s="1964"/>
      <c r="R5" s="460"/>
      <c r="S5" s="285"/>
      <c r="T5" s="284"/>
      <c r="U5" s="284"/>
      <c r="V5" s="121" t="s">
        <v>311</v>
      </c>
      <c r="W5" s="1961" t="str">
        <f>FIXED(SHTGdaywidth,3)&amp;" W x "&amp;FIXED(SHTGdayheight,3)&amp;" H = "&amp;FIXED(S1219,1)&amp;" "&amp;T1219</f>
        <v>33.938 W x 33.813 H = 8.0 sq ft</v>
      </c>
      <c r="X5" s="1961"/>
      <c r="Y5" s="1962"/>
      <c r="Z5" s="290"/>
      <c r="AA5" s="290"/>
      <c r="AB5" s="155"/>
      <c r="AC5" s="291"/>
      <c r="AD5" s="3"/>
      <c r="AE5" s="5"/>
      <c r="AF5" s="3"/>
      <c r="AG5" s="596"/>
      <c r="AH5" s="596"/>
      <c r="AI5" s="596"/>
      <c r="AJ5" s="1982"/>
      <c r="AK5" s="1982"/>
      <c r="AL5" s="462"/>
      <c r="AM5" s="3"/>
      <c r="AN5" s="3"/>
      <c r="AO5" s="3"/>
      <c r="AP5" s="117" t="s">
        <v>312</v>
      </c>
      <c r="AQ5" s="64"/>
      <c r="AR5" s="1982"/>
      <c r="AS5" s="1982"/>
      <c r="AT5" s="3"/>
      <c r="AU5" s="3"/>
      <c r="AV5" s="3"/>
      <c r="AW5" s="3"/>
      <c r="AX5" s="3"/>
      <c r="AY5" s="3"/>
      <c r="AZ5" s="3"/>
      <c r="BA5" s="3"/>
      <c r="BB5" s="3"/>
      <c r="BC5" s="3"/>
      <c r="BD5" s="3"/>
      <c r="BE5" s="3"/>
    </row>
    <row r="6" spans="1:57" ht="20.25" customHeight="1" thickBot="1" x14ac:dyDescent="0.45">
      <c r="A6" s="3" t="s">
        <v>2045</v>
      </c>
      <c r="B6" s="597"/>
      <c r="C6" s="598"/>
      <c r="D6" s="599" t="s">
        <v>313</v>
      </c>
      <c r="E6" s="1993" t="s">
        <v>314</v>
      </c>
      <c r="F6" s="1994"/>
      <c r="G6" s="1995"/>
      <c r="H6" s="500"/>
      <c r="I6" s="3"/>
      <c r="J6" s="1992" t="s">
        <v>315</v>
      </c>
      <c r="K6" s="1960"/>
      <c r="L6" s="1960"/>
      <c r="M6" s="1960"/>
      <c r="N6" s="1964" t="str">
        <f>FIXED(SHSashW,3)&amp;" W x "&amp;FIXED(SHSashH,3)&amp;" H"</f>
        <v>36.000 W x 36.000 H</v>
      </c>
      <c r="O6" s="1964"/>
      <c r="P6" s="1964"/>
      <c r="Q6" s="1964"/>
      <c r="R6" s="465"/>
      <c r="S6" s="286"/>
      <c r="T6" s="284"/>
      <c r="U6" s="284"/>
      <c r="V6" s="121" t="s">
        <v>316</v>
      </c>
      <c r="W6" s="1961" t="str">
        <f>FIXED(SHBGdaywidth,3)&amp;" W x "&amp;FIXED(SHBGdayheight,3)&amp;" H = "&amp;FIXED(S1227,1)&amp;" "&amp;T1227</f>
        <v>32.470 W x 32.470 H = 7.3 sq ft</v>
      </c>
      <c r="X6" s="1961"/>
      <c r="Y6" s="1962"/>
      <c r="Z6" s="290"/>
      <c r="AA6" s="290"/>
      <c r="AB6" s="155"/>
      <c r="AC6" s="291"/>
      <c r="AD6" s="461"/>
      <c r="AE6" s="5"/>
      <c r="AF6" s="5"/>
      <c r="AG6" s="5"/>
      <c r="AH6" s="457"/>
      <c r="AI6" s="600"/>
      <c r="AJ6" s="355"/>
      <c r="AK6" s="355"/>
      <c r="AL6" s="462"/>
      <c r="AM6" s="3"/>
      <c r="AN6" s="3"/>
      <c r="AO6" s="3"/>
      <c r="AP6" s="939" t="s">
        <v>317</v>
      </c>
      <c r="AQ6" s="940"/>
      <c r="AR6" s="1982"/>
      <c r="AS6" s="1982"/>
      <c r="AT6" s="3"/>
      <c r="AU6" s="3"/>
      <c r="AV6" s="3"/>
      <c r="AW6" s="3"/>
      <c r="AX6" s="3"/>
      <c r="AY6" s="3"/>
      <c r="AZ6" s="3"/>
      <c r="BA6" s="3"/>
      <c r="BB6" s="3"/>
      <c r="BC6" s="3"/>
      <c r="BD6" s="3"/>
      <c r="BE6" s="3"/>
    </row>
    <row r="7" spans="1:57" ht="20.25" customHeight="1" thickBot="1" x14ac:dyDescent="0.45">
      <c r="A7" s="1514" t="s">
        <v>2037</v>
      </c>
      <c r="B7" s="1480"/>
      <c r="C7" s="1498"/>
      <c r="D7" s="1499" t="s">
        <v>318</v>
      </c>
      <c r="E7" s="1988" t="s">
        <v>319</v>
      </c>
      <c r="F7" s="1989"/>
      <c r="G7" s="1990"/>
      <c r="H7" s="500"/>
      <c r="I7" s="3"/>
      <c r="J7" s="1992" t="s">
        <v>320</v>
      </c>
      <c r="K7" s="1960"/>
      <c r="L7" s="1960"/>
      <c r="M7" s="1960"/>
      <c r="N7" s="1964" t="str">
        <f>FIXED($S$1037,3)&amp;" W x "&amp;FIXED($S$1038,3)&amp;" H"</f>
        <v>34.563 W x 35.500 H</v>
      </c>
      <c r="O7" s="1964"/>
      <c r="P7" s="1964"/>
      <c r="Q7" s="1964"/>
      <c r="R7" s="287"/>
      <c r="S7" s="286"/>
      <c r="T7" s="284"/>
      <c r="U7" s="284"/>
      <c r="V7" s="1497" t="s">
        <v>321</v>
      </c>
      <c r="W7" s="1961" t="str">
        <f>FIXED($S$1206,3)&amp;" x "&amp;FIXED($S$1207,3)&amp;" = "&amp;FIXED($S$1208,2)&amp;"  sq ft"</f>
        <v>33.938 x 33.875 = 7.98  sq ft</v>
      </c>
      <c r="X7" s="1961"/>
      <c r="Y7" s="1962"/>
      <c r="Z7" s="290"/>
      <c r="AA7" s="290"/>
      <c r="AB7" s="155"/>
      <c r="AC7" s="291"/>
      <c r="AD7" s="437"/>
      <c r="AE7" s="5"/>
      <c r="AF7" s="5"/>
      <c r="AG7" s="5"/>
      <c r="AH7" s="457"/>
      <c r="AI7" s="600"/>
      <c r="AJ7" s="462"/>
      <c r="AK7" s="462"/>
      <c r="AL7" s="462"/>
      <c r="AM7" s="3"/>
      <c r="AN7" s="3"/>
      <c r="AO7" s="3"/>
      <c r="AP7" s="2001"/>
      <c r="AQ7" s="2002"/>
      <c r="AR7" s="2002"/>
      <c r="AS7" s="8"/>
      <c r="AT7" s="3"/>
      <c r="AU7" s="3"/>
      <c r="AV7" s="3"/>
      <c r="AW7" s="3"/>
      <c r="AX7" s="3"/>
      <c r="AY7" s="3"/>
      <c r="AZ7" s="3"/>
      <c r="BA7" s="3"/>
      <c r="BB7" s="3"/>
      <c r="BC7" s="3"/>
      <c r="BD7" s="3"/>
      <c r="BE7" s="3"/>
    </row>
    <row r="8" spans="1:57" ht="20.25" customHeight="1" thickBot="1" x14ac:dyDescent="0.45">
      <c r="A8" s="3" t="s">
        <v>2046</v>
      </c>
      <c r="B8" s="597"/>
      <c r="C8" s="601"/>
      <c r="D8" s="602" t="s">
        <v>322</v>
      </c>
      <c r="E8" s="785">
        <v>26</v>
      </c>
      <c r="F8" s="603" t="str">
        <f>IF(ISERR(FIND("DIM",$E$7)),"not needed","Required")</f>
        <v>not needed</v>
      </c>
      <c r="G8" s="604"/>
      <c r="H8" s="500"/>
      <c r="I8" s="470"/>
      <c r="J8" s="288"/>
      <c r="K8" s="1174"/>
      <c r="L8" s="284"/>
      <c r="M8" s="121" t="s">
        <v>323</v>
      </c>
      <c r="N8" s="1961" t="str">
        <f>FIXED($S$1044,3)&amp;" W x "&amp;FIXED($S$1045,3)&amp;" H"</f>
        <v>34.250 W x 36.375 H</v>
      </c>
      <c r="O8" s="1961"/>
      <c r="P8" s="1961"/>
      <c r="Q8" s="1961"/>
      <c r="R8" s="287"/>
      <c r="S8" s="286"/>
      <c r="T8" s="284"/>
      <c r="U8" s="284"/>
      <c r="V8" s="284"/>
      <c r="W8" s="284"/>
      <c r="X8" s="313" t="s">
        <v>324</v>
      </c>
      <c r="Y8" s="314">
        <f>SHCORnd</f>
        <v>0</v>
      </c>
      <c r="Z8" s="290"/>
      <c r="AA8" s="290"/>
      <c r="AB8" s="155"/>
      <c r="AC8" s="24"/>
      <c r="AD8" s="3"/>
      <c r="AE8" s="5"/>
      <c r="AF8" s="5"/>
      <c r="AG8" s="5"/>
      <c r="AH8" s="462"/>
      <c r="AI8" s="600"/>
      <c r="AJ8" s="462"/>
      <c r="AK8" s="462"/>
      <c r="AL8" s="462"/>
      <c r="AM8" s="318"/>
      <c r="AN8" s="3"/>
      <c r="AO8" s="3"/>
      <c r="AP8" s="3"/>
      <c r="AQ8" s="3"/>
      <c r="AR8" s="3"/>
      <c r="AS8" s="3"/>
      <c r="AT8" s="3"/>
      <c r="AU8" s="3"/>
      <c r="AV8" s="3"/>
      <c r="AW8" s="3"/>
      <c r="AX8" s="3"/>
      <c r="AY8" s="3"/>
      <c r="AZ8" s="3"/>
      <c r="BA8" s="3"/>
      <c r="BB8" s="3"/>
      <c r="BC8" s="3"/>
      <c r="BD8" s="3"/>
      <c r="BE8" s="3"/>
    </row>
    <row r="9" spans="1:57" ht="20.25" customHeight="1" thickBot="1" x14ac:dyDescent="0.45">
      <c r="A9" s="1507">
        <f>IF(A7&lt;&gt;0,LEFT(A7,1)*12+ABS(RIGHT(A7,LEN(A7)-1))-0.5,0)</f>
        <v>59.5</v>
      </c>
      <c r="B9" s="1175"/>
      <c r="C9" s="1176"/>
      <c r="D9" s="1177" t="s">
        <v>325</v>
      </c>
      <c r="E9" s="1178" t="s">
        <v>326</v>
      </c>
      <c r="F9" s="1179" t="s">
        <v>327</v>
      </c>
      <c r="G9" s="988" t="s">
        <v>326</v>
      </c>
      <c r="H9" s="500"/>
      <c r="I9" s="470"/>
      <c r="J9" s="1180"/>
      <c r="K9" s="1181"/>
      <c r="L9" s="1181"/>
      <c r="M9" s="1182"/>
      <c r="N9" s="1182"/>
      <c r="O9" s="1182"/>
      <c r="P9" s="1183"/>
      <c r="Q9" s="1183"/>
      <c r="R9" s="1184"/>
      <c r="S9" s="1182"/>
      <c r="T9" s="1182"/>
      <c r="U9" s="1182"/>
      <c r="V9" s="1182"/>
      <c r="W9" s="1182"/>
      <c r="X9" s="1185"/>
      <c r="Y9" s="1186"/>
      <c r="Z9" s="290"/>
      <c r="AA9" s="290"/>
      <c r="AB9" s="3"/>
      <c r="AC9" s="24"/>
      <c r="AD9" s="376"/>
      <c r="AE9" s="5"/>
      <c r="AF9" s="5"/>
      <c r="AG9" s="5"/>
      <c r="AH9" s="462"/>
      <c r="AI9" s="600"/>
      <c r="AJ9" s="462"/>
      <c r="AK9" s="462"/>
      <c r="AL9" s="462"/>
      <c r="AM9" s="318"/>
      <c r="AN9" s="3"/>
      <c r="AO9" s="3"/>
      <c r="AP9" s="3"/>
      <c r="AQ9" s="3"/>
      <c r="AR9" s="3"/>
      <c r="AS9" s="3"/>
      <c r="AT9" s="3"/>
      <c r="AU9" s="3"/>
      <c r="AV9" s="3"/>
      <c r="AW9" s="3"/>
      <c r="AX9" s="3"/>
      <c r="AY9" s="3"/>
      <c r="AZ9" s="3"/>
      <c r="BA9" s="3"/>
      <c r="BB9" s="3"/>
      <c r="BC9" s="3"/>
      <c r="BD9" s="3"/>
      <c r="BE9" s="3"/>
    </row>
    <row r="10" spans="1:57" ht="16.2" x14ac:dyDescent="0.4">
      <c r="A10" s="3"/>
      <c r="B10" s="4"/>
      <c r="C10" s="8"/>
      <c r="D10" s="4"/>
      <c r="E10" s="4"/>
      <c r="F10" s="4"/>
      <c r="G10" s="4"/>
      <c r="H10" s="500"/>
      <c r="I10" s="470"/>
      <c r="J10" s="3"/>
      <c r="K10" s="3"/>
      <c r="L10" s="3"/>
      <c r="M10" s="5"/>
      <c r="N10" s="5"/>
      <c r="O10" s="5"/>
      <c r="P10" s="5"/>
      <c r="Q10" s="5"/>
      <c r="R10" s="3"/>
      <c r="S10" s="5"/>
      <c r="T10" s="3"/>
      <c r="U10" s="14"/>
      <c r="V10" s="3"/>
      <c r="W10" s="3"/>
      <c r="X10" s="3"/>
      <c r="Y10" s="3"/>
      <c r="Z10" s="3"/>
      <c r="AA10" s="3"/>
      <c r="AB10" s="472"/>
      <c r="AC10" s="472"/>
      <c r="AD10" s="473"/>
      <c r="AE10" s="473"/>
      <c r="AF10" s="473"/>
      <c r="AG10" s="474"/>
      <c r="AH10" s="457"/>
      <c r="AI10" s="1187"/>
      <c r="AJ10" s="473"/>
      <c r="AK10" s="473"/>
      <c r="AL10" s="473"/>
      <c r="AM10" s="473"/>
      <c r="AN10" s="7" t="s">
        <v>2350</v>
      </c>
      <c r="AO10" s="7"/>
      <c r="AP10" s="7"/>
      <c r="AQ10" s="7"/>
      <c r="AR10" s="7"/>
      <c r="AS10" s="3"/>
      <c r="AT10" s="3"/>
      <c r="AU10" s="3"/>
      <c r="AV10" s="3"/>
      <c r="AW10" s="3"/>
      <c r="AX10" s="7" t="s">
        <v>2350</v>
      </c>
      <c r="AY10" s="3"/>
      <c r="AZ10" s="3"/>
      <c r="BA10" s="3"/>
      <c r="BB10" s="3"/>
      <c r="BC10" s="3"/>
      <c r="BD10" s="3"/>
      <c r="BE10" s="3"/>
    </row>
    <row r="11" spans="1:57" ht="6" customHeight="1" x14ac:dyDescent="0.4">
      <c r="A11" s="96"/>
      <c r="B11" s="97"/>
      <c r="C11" s="98"/>
      <c r="D11" s="99"/>
      <c r="E11" s="99"/>
      <c r="F11" s="99"/>
      <c r="G11" s="100"/>
      <c r="H11" s="96"/>
      <c r="I11" s="101"/>
      <c r="J11" s="102"/>
      <c r="K11" s="96"/>
      <c r="L11" s="102"/>
      <c r="M11" s="103"/>
      <c r="N11" s="103"/>
      <c r="O11" s="103"/>
      <c r="P11" s="103"/>
      <c r="Q11" s="103"/>
      <c r="R11" s="102"/>
      <c r="S11" s="103"/>
      <c r="T11" s="102"/>
      <c r="U11" s="104"/>
      <c r="V11" s="96"/>
      <c r="W11" s="105"/>
      <c r="X11" s="105"/>
      <c r="Y11" s="96"/>
      <c r="Z11" s="96"/>
      <c r="AA11" s="96"/>
      <c r="AB11" s="96"/>
      <c r="AC11" s="103"/>
      <c r="AD11" s="96"/>
      <c r="AE11" s="103"/>
      <c r="AF11" s="97"/>
      <c r="AG11" s="97"/>
      <c r="AH11" s="97"/>
      <c r="AI11" s="106"/>
      <c r="AJ11" s="106"/>
      <c r="AK11" s="106"/>
      <c r="AL11" s="106"/>
      <c r="AM11" s="107"/>
      <c r="AN11" s="14"/>
      <c r="AO11" s="14"/>
      <c r="AP11" s="14"/>
      <c r="AQ11" s="14"/>
      <c r="AR11" s="14"/>
      <c r="AS11" s="14"/>
      <c r="AT11" s="14"/>
      <c r="AU11" s="14"/>
      <c r="AV11" s="14"/>
      <c r="AW11" s="14"/>
      <c r="AX11" s="14"/>
      <c r="AY11" s="14"/>
      <c r="AZ11" s="14"/>
      <c r="BA11" s="14"/>
      <c r="BB11" s="14"/>
      <c r="BC11" s="14"/>
      <c r="BD11" s="14"/>
      <c r="BE11" s="14"/>
    </row>
    <row r="12" spans="1:57" ht="45" customHeight="1" x14ac:dyDescent="0.4">
      <c r="A12" s="23"/>
      <c r="B12" s="1991" t="s">
        <v>328</v>
      </c>
      <c r="C12" s="1991"/>
      <c r="D12" s="1991"/>
      <c r="E12" s="1991"/>
      <c r="F12" s="1991"/>
      <c r="G12" s="1991"/>
      <c r="H12" s="20"/>
      <c r="I12" s="1969" t="s">
        <v>329</v>
      </c>
      <c r="J12" s="1969"/>
      <c r="K12" s="1969"/>
      <c r="L12" s="1969"/>
      <c r="M12" s="1969"/>
      <c r="N12" s="500"/>
      <c r="O12" s="500"/>
      <c r="P12" s="500"/>
      <c r="Q12" s="500"/>
      <c r="R12" s="500"/>
      <c r="S12" s="21" t="s">
        <v>330</v>
      </c>
      <c r="T12" s="605" t="s">
        <v>331</v>
      </c>
      <c r="U12" s="82"/>
      <c r="V12" s="1969" t="s">
        <v>332</v>
      </c>
      <c r="W12" s="1969"/>
      <c r="X12" s="1969"/>
      <c r="Y12" s="1613" t="s">
        <v>2144</v>
      </c>
      <c r="Z12" s="1558" t="s">
        <v>2145</v>
      </c>
      <c r="AA12" s="500" t="s">
        <v>2146</v>
      </c>
      <c r="AB12" s="20"/>
      <c r="AC12" s="145" t="s">
        <v>333</v>
      </c>
      <c r="AD12" s="145" t="s">
        <v>334</v>
      </c>
      <c r="AE12" s="21" t="s">
        <v>335</v>
      </c>
      <c r="AF12" s="21" t="s">
        <v>336</v>
      </c>
      <c r="AG12" s="21" t="s">
        <v>337</v>
      </c>
      <c r="AH12" s="77">
        <v>0.63249999999999995</v>
      </c>
      <c r="AI12" s="49" t="s">
        <v>338</v>
      </c>
      <c r="AJ12" s="49" t="s">
        <v>339</v>
      </c>
      <c r="AK12" s="49" t="s">
        <v>340</v>
      </c>
      <c r="AL12" s="49" t="s">
        <v>341</v>
      </c>
      <c r="AM12" s="606" t="s">
        <v>342</v>
      </c>
      <c r="AN12" s="813" t="s">
        <v>1966</v>
      </c>
      <c r="AO12" s="813" t="s">
        <v>1974</v>
      </c>
      <c r="AP12" s="813" t="s">
        <v>1973</v>
      </c>
      <c r="AQ12" s="813" t="s">
        <v>1972</v>
      </c>
      <c r="AR12" s="813" t="s">
        <v>1971</v>
      </c>
      <c r="AS12" s="813" t="s">
        <v>1976</v>
      </c>
      <c r="AT12" s="813" t="s">
        <v>1970</v>
      </c>
      <c r="AU12" s="813" t="s">
        <v>1969</v>
      </c>
      <c r="AV12" s="813" t="s">
        <v>1968</v>
      </c>
      <c r="AW12" s="813" t="s">
        <v>1977</v>
      </c>
      <c r="AX12" s="1879" t="s">
        <v>2377</v>
      </c>
      <c r="AY12" s="813"/>
      <c r="AZ12" s="1996" t="s">
        <v>343</v>
      </c>
      <c r="BA12" s="1996"/>
      <c r="BB12" s="1996"/>
      <c r="BC12" s="31"/>
      <c r="BD12" s="31"/>
      <c r="BE12" s="31"/>
    </row>
    <row r="13" spans="1:57" ht="16.2" x14ac:dyDescent="0.4">
      <c r="A13" s="23" t="s">
        <v>344</v>
      </c>
      <c r="B13" s="23">
        <v>1</v>
      </c>
      <c r="C13" s="23">
        <v>2</v>
      </c>
      <c r="D13" s="23">
        <v>3</v>
      </c>
      <c r="E13" s="23"/>
      <c r="F13" s="23"/>
      <c r="G13" s="26">
        <v>4</v>
      </c>
      <c r="H13" s="27"/>
      <c r="I13" s="607" t="s">
        <v>345</v>
      </c>
      <c r="J13" s="608" t="s">
        <v>346</v>
      </c>
      <c r="K13" s="607" t="s">
        <v>347</v>
      </c>
      <c r="L13" s="438" t="s">
        <v>348</v>
      </c>
      <c r="M13" s="609" t="s">
        <v>347</v>
      </c>
      <c r="N13" s="609" t="s">
        <v>348</v>
      </c>
      <c r="O13" s="609" t="s">
        <v>349</v>
      </c>
      <c r="P13" s="610" t="s">
        <v>350</v>
      </c>
      <c r="Q13" s="609" t="s">
        <v>2211</v>
      </c>
      <c r="R13" s="30" t="s">
        <v>352</v>
      </c>
      <c r="S13" s="609"/>
      <c r="T13" s="23"/>
      <c r="U13" s="27"/>
      <c r="V13" s="31" t="s">
        <v>2361</v>
      </c>
      <c r="W13" s="31" t="s">
        <v>2369</v>
      </c>
      <c r="X13" s="31" t="s">
        <v>2362</v>
      </c>
      <c r="Y13" s="1559" t="s">
        <v>356</v>
      </c>
      <c r="Z13" s="1559" t="s">
        <v>356</v>
      </c>
      <c r="AA13" s="23" t="s">
        <v>356</v>
      </c>
      <c r="AB13" s="27"/>
      <c r="AC13" s="23"/>
      <c r="AD13" s="23"/>
      <c r="AE13" s="29"/>
      <c r="AF13" s="29"/>
      <c r="AG13" s="29"/>
      <c r="AH13" s="29" t="s">
        <v>357</v>
      </c>
      <c r="AI13" s="50"/>
      <c r="AJ13" s="50"/>
      <c r="AK13" s="50"/>
      <c r="AL13" s="50"/>
      <c r="AM13" s="32"/>
      <c r="AN13" s="31"/>
      <c r="AO13" s="31"/>
      <c r="AP13" s="23"/>
      <c r="AQ13" s="23"/>
      <c r="AR13" s="23"/>
      <c r="AS13" s="23"/>
      <c r="AT13" s="23"/>
      <c r="AU13" s="23"/>
      <c r="AV13" s="23"/>
      <c r="AW13" s="23"/>
      <c r="AX13" s="31"/>
      <c r="AY13" s="23"/>
      <c r="AZ13" s="23"/>
      <c r="BA13" s="23"/>
      <c r="BB13" s="23"/>
      <c r="BC13" s="23"/>
      <c r="BD13" s="23"/>
      <c r="BE13" s="23"/>
    </row>
    <row r="14" spans="1:57" ht="6" customHeight="1" x14ac:dyDescent="0.4">
      <c r="A14" s="14"/>
      <c r="B14" s="10"/>
      <c r="C14" s="11"/>
      <c r="D14" s="12"/>
      <c r="E14" s="12"/>
      <c r="F14" s="12"/>
      <c r="G14" s="13"/>
      <c r="H14" s="14"/>
      <c r="I14" s="15"/>
      <c r="J14" s="16"/>
      <c r="K14" s="14"/>
      <c r="L14" s="16"/>
      <c r="M14" s="17"/>
      <c r="N14" s="17"/>
      <c r="O14" s="17"/>
      <c r="P14" s="17"/>
      <c r="Q14" s="17"/>
      <c r="R14" s="16"/>
      <c r="S14" s="17"/>
      <c r="T14" s="16"/>
      <c r="U14" s="14"/>
      <c r="V14" s="14"/>
      <c r="W14" s="18"/>
      <c r="X14" s="18"/>
      <c r="Y14" s="14"/>
      <c r="Z14" s="14"/>
      <c r="AA14" s="14"/>
      <c r="AB14" s="14"/>
      <c r="AC14" s="17"/>
      <c r="AD14" s="14"/>
      <c r="AE14" s="17"/>
      <c r="AF14" s="10"/>
      <c r="AG14" s="10"/>
      <c r="AH14" s="10"/>
      <c r="AI14" s="48"/>
      <c r="AJ14" s="48"/>
      <c r="AK14" s="48"/>
      <c r="AL14" s="48"/>
      <c r="AM14" s="19"/>
      <c r="AN14" s="14"/>
      <c r="AO14" s="14"/>
      <c r="AP14" s="14"/>
      <c r="AQ14" s="14"/>
      <c r="AR14" s="14"/>
      <c r="AS14" s="14"/>
      <c r="AT14" s="14"/>
      <c r="AU14" s="14"/>
      <c r="AV14" s="14"/>
      <c r="AW14" s="14"/>
      <c r="AX14" s="14"/>
      <c r="AY14" s="14"/>
      <c r="AZ14" s="14"/>
      <c r="BA14" s="14"/>
      <c r="BB14" s="14"/>
      <c r="BC14" s="14"/>
      <c r="BD14" s="14"/>
      <c r="BE14" s="14"/>
    </row>
    <row r="15" spans="1:57" ht="20.25" customHeight="1" thickBot="1" x14ac:dyDescent="0.45">
      <c r="A15" s="3" t="s">
        <v>454</v>
      </c>
      <c r="B15" s="4"/>
      <c r="C15" s="8"/>
      <c r="D15" s="452"/>
      <c r="E15" s="452"/>
      <c r="F15" s="452"/>
      <c r="G15" s="453"/>
      <c r="H15" s="3"/>
      <c r="I15" s="443"/>
      <c r="J15" s="376"/>
      <c r="K15" s="3"/>
      <c r="L15" s="376"/>
      <c r="M15" s="5"/>
      <c r="N15" s="5"/>
      <c r="O15" s="5"/>
      <c r="P15" s="5"/>
      <c r="Q15" s="5"/>
      <c r="R15" s="376"/>
      <c r="S15" s="5"/>
      <c r="T15" s="376"/>
      <c r="U15" s="3"/>
      <c r="V15" s="3"/>
      <c r="W15" s="6"/>
      <c r="X15" s="6"/>
      <c r="Y15" s="3"/>
      <c r="Z15" s="3"/>
      <c r="AA15" s="3"/>
      <c r="AB15" s="3"/>
      <c r="AC15" s="5"/>
      <c r="AD15" s="3"/>
      <c r="AE15" s="5"/>
      <c r="AF15" s="4"/>
      <c r="AG15" s="4"/>
      <c r="AH15" s="4"/>
      <c r="AI15" s="51"/>
      <c r="AJ15" s="51"/>
      <c r="AK15" s="51"/>
      <c r="AL15" s="611" t="s">
        <v>358</v>
      </c>
      <c r="AM15" s="852">
        <f>AM16+AM217+AM364+AM794+AM1036+AM1043+AM1046+AM1131+AM1+AL6</f>
        <v>905.24722764810463</v>
      </c>
      <c r="AN15" s="3"/>
      <c r="AO15" s="3"/>
      <c r="AP15" s="3"/>
      <c r="AQ15" s="3"/>
      <c r="AR15" s="3"/>
      <c r="AS15" s="3"/>
      <c r="AT15" s="3"/>
      <c r="AU15" s="3"/>
      <c r="AV15" s="3"/>
      <c r="AW15" s="3"/>
      <c r="AX15" s="3"/>
      <c r="AY15" s="3"/>
      <c r="AZ15" s="3"/>
      <c r="BA15" s="3"/>
      <c r="BB15" s="3"/>
      <c r="BC15" s="3"/>
      <c r="BD15" s="3"/>
      <c r="BE15" s="3"/>
    </row>
    <row r="16" spans="1:57" ht="15" customHeight="1" thickBot="1" x14ac:dyDescent="0.45">
      <c r="A16" s="3"/>
      <c r="B16" s="612" t="s">
        <v>359</v>
      </c>
      <c r="C16" s="613"/>
      <c r="D16" s="614"/>
      <c r="E16" s="614"/>
      <c r="F16" s="614"/>
      <c r="G16" s="614"/>
      <c r="H16" s="615"/>
      <c r="I16" s="615"/>
      <c r="J16" s="615"/>
      <c r="K16" s="615"/>
      <c r="L16" s="616"/>
      <c r="M16" s="616"/>
      <c r="N16" s="616"/>
      <c r="O16" s="616"/>
      <c r="P16" s="616"/>
      <c r="Q16" s="616"/>
      <c r="R16" s="615"/>
      <c r="S16" s="616"/>
      <c r="T16" s="615"/>
      <c r="U16" s="615"/>
      <c r="V16" s="614"/>
      <c r="W16" s="614"/>
      <c r="X16" s="614"/>
      <c r="Y16" s="617"/>
      <c r="Z16" s="617"/>
      <c r="AA16" s="617"/>
      <c r="AB16" s="615"/>
      <c r="AC16" s="618"/>
      <c r="AD16" s="615"/>
      <c r="AE16" s="616"/>
      <c r="AF16" s="615"/>
      <c r="AG16" s="615"/>
      <c r="AH16" s="615"/>
      <c r="AI16" s="619"/>
      <c r="AJ16" s="619"/>
      <c r="AK16" s="619"/>
      <c r="AL16" s="620" t="s">
        <v>360</v>
      </c>
      <c r="AM16" s="621">
        <f>SUBTOTAL(109,AM18:AM216)</f>
        <v>317.87572042083326</v>
      </c>
      <c r="AN16" s="917" t="s">
        <v>81</v>
      </c>
      <c r="AO16" s="917" t="s">
        <v>81</v>
      </c>
      <c r="AP16" s="917" t="s">
        <v>81</v>
      </c>
      <c r="AQ16" s="917" t="s">
        <v>81</v>
      </c>
      <c r="AR16" s="917" t="s">
        <v>92</v>
      </c>
      <c r="AS16" s="917" t="s">
        <v>92</v>
      </c>
      <c r="AT16" s="917" t="s">
        <v>81</v>
      </c>
      <c r="AU16" s="917" t="s">
        <v>81</v>
      </c>
      <c r="AV16" s="917" t="s">
        <v>81</v>
      </c>
      <c r="AW16" s="917" t="s">
        <v>92</v>
      </c>
      <c r="AX16" s="917" t="s">
        <v>81</v>
      </c>
      <c r="AY16" s="917"/>
      <c r="AZ16" s="3"/>
      <c r="BA16" s="3"/>
      <c r="BB16" s="3"/>
      <c r="BC16" s="3"/>
      <c r="BD16" s="3"/>
      <c r="BE16" s="3"/>
    </row>
    <row r="17" spans="1:57" ht="15" customHeight="1" thickBot="1" x14ac:dyDescent="0.45">
      <c r="A17" s="3"/>
      <c r="B17" s="173" t="s">
        <v>361</v>
      </c>
      <c r="C17" s="173"/>
      <c r="D17" s="116"/>
      <c r="E17" s="116"/>
      <c r="F17" s="174"/>
      <c r="G17" s="173"/>
      <c r="H17" s="175"/>
      <c r="I17" s="116"/>
      <c r="J17" s="116"/>
      <c r="K17" s="116"/>
      <c r="L17" s="116"/>
      <c r="M17" s="177"/>
      <c r="N17" s="177"/>
      <c r="O17" s="177"/>
      <c r="P17" s="177"/>
      <c r="Q17" s="177"/>
      <c r="R17" s="116"/>
      <c r="S17" s="177"/>
      <c r="T17" s="116"/>
      <c r="U17" s="175"/>
      <c r="V17" s="173"/>
      <c r="W17" s="173"/>
      <c r="X17" s="173"/>
      <c r="Y17" s="116"/>
      <c r="Z17" s="116"/>
      <c r="AA17" s="116"/>
      <c r="AB17" s="175"/>
      <c r="AC17" s="116"/>
      <c r="AD17" s="116"/>
      <c r="AE17" s="177"/>
      <c r="AF17" s="116"/>
      <c r="AG17" s="179"/>
      <c r="AH17" s="177"/>
      <c r="AI17" s="185"/>
      <c r="AJ17" s="185"/>
      <c r="AK17" s="185"/>
      <c r="AL17" s="185"/>
      <c r="AM17" s="180"/>
      <c r="AN17" s="889" t="s">
        <v>81</v>
      </c>
      <c r="AO17" s="889" t="s">
        <v>81</v>
      </c>
      <c r="AP17" s="889" t="s">
        <v>81</v>
      </c>
      <c r="AQ17" s="889" t="s">
        <v>81</v>
      </c>
      <c r="AR17" s="889" t="s">
        <v>92</v>
      </c>
      <c r="AS17" s="889" t="s">
        <v>92</v>
      </c>
      <c r="AT17" s="889" t="s">
        <v>81</v>
      </c>
      <c r="AU17" s="889" t="s">
        <v>81</v>
      </c>
      <c r="AV17" s="889" t="s">
        <v>81</v>
      </c>
      <c r="AW17" s="889" t="s">
        <v>92</v>
      </c>
      <c r="AX17" s="1590" t="s">
        <v>81</v>
      </c>
      <c r="AY17" s="889"/>
      <c r="AZ17" s="139"/>
      <c r="BA17" s="139"/>
      <c r="BB17" s="139"/>
      <c r="BC17" s="139"/>
      <c r="BD17" s="139"/>
      <c r="BE17" s="3"/>
    </row>
    <row r="18" spans="1:57" ht="15" customHeight="1" x14ac:dyDescent="0.4">
      <c r="A18" s="3" t="s">
        <v>362</v>
      </c>
      <c r="B18" s="173"/>
      <c r="C18" s="173" t="s">
        <v>363</v>
      </c>
      <c r="D18" s="116"/>
      <c r="E18" s="116"/>
      <c r="F18" s="174" t="s">
        <v>364</v>
      </c>
      <c r="G18" s="173"/>
      <c r="H18" s="175"/>
      <c r="I18" s="116" t="s">
        <v>365</v>
      </c>
      <c r="J18" s="116"/>
      <c r="K18" s="116"/>
      <c r="L18" s="116" t="s">
        <v>348</v>
      </c>
      <c r="M18" s="177">
        <f>1.5+1.375*2</f>
        <v>4.25</v>
      </c>
      <c r="N18" s="177" t="s">
        <v>348</v>
      </c>
      <c r="O18" s="177">
        <f>0.125*2</f>
        <v>0.25</v>
      </c>
      <c r="P18" s="177"/>
      <c r="Q18" s="177"/>
      <c r="R18" s="116" t="s">
        <v>352</v>
      </c>
      <c r="S18" s="177">
        <f>SHHeight+M18+O18</f>
        <v>78.5</v>
      </c>
      <c r="T18" s="116" t="s">
        <v>366</v>
      </c>
      <c r="U18" s="175"/>
      <c r="V18" s="173"/>
      <c r="W18" s="173"/>
      <c r="X18" s="173"/>
      <c r="Y18" s="116"/>
      <c r="Z18" s="116"/>
      <c r="AA18" s="116"/>
      <c r="AB18" s="175"/>
      <c r="AC18" s="116">
        <v>45</v>
      </c>
      <c r="AD18" s="116">
        <v>2</v>
      </c>
      <c r="AE18" s="177">
        <f>S18*AD18/12</f>
        <v>13.083333333333334</v>
      </c>
      <c r="AF18" s="116" t="s">
        <v>367</v>
      </c>
      <c r="AG18" s="179">
        <v>1.075</v>
      </c>
      <c r="AH18" s="177">
        <f>AG18*AtolbperftSH</f>
        <v>0.67993749999999997</v>
      </c>
      <c r="AI18" s="185"/>
      <c r="AJ18" s="185"/>
      <c r="AK18" s="185"/>
      <c r="AL18" s="185"/>
      <c r="AM18" s="180"/>
      <c r="AN18" s="3" t="s">
        <v>81</v>
      </c>
      <c r="AO18" s="3" t="s">
        <v>81</v>
      </c>
      <c r="AP18" s="3" t="s">
        <v>81</v>
      </c>
      <c r="AQ18" s="3" t="s">
        <v>81</v>
      </c>
      <c r="AR18" s="3" t="s">
        <v>92</v>
      </c>
      <c r="AS18" s="3" t="s">
        <v>92</v>
      </c>
      <c r="AT18" s="3" t="s">
        <v>81</v>
      </c>
      <c r="AU18" s="3" t="s">
        <v>81</v>
      </c>
      <c r="AV18" s="3" t="s">
        <v>81</v>
      </c>
      <c r="AW18" s="3" t="s">
        <v>92</v>
      </c>
      <c r="AX18" s="1414" t="s">
        <v>81</v>
      </c>
      <c r="AY18" s="3"/>
      <c r="AZ18" s="3"/>
      <c r="BA18" s="3"/>
      <c r="BB18" s="3"/>
      <c r="BC18" s="3"/>
      <c r="BD18" s="3"/>
      <c r="BE18" s="3"/>
    </row>
    <row r="19" spans="1:57" ht="15" customHeight="1" x14ac:dyDescent="0.4">
      <c r="A19" s="3"/>
      <c r="B19" s="36"/>
      <c r="C19" s="36"/>
      <c r="D19" s="155"/>
      <c r="E19" s="4"/>
      <c r="F19" s="47" t="s">
        <v>368</v>
      </c>
      <c r="G19" s="7"/>
      <c r="H19" s="20"/>
      <c r="I19" s="3" t="s">
        <v>365</v>
      </c>
      <c r="J19" s="3"/>
      <c r="K19" s="3"/>
      <c r="L19" s="3" t="s">
        <v>348</v>
      </c>
      <c r="M19" s="5">
        <v>0</v>
      </c>
      <c r="N19" s="5" t="s">
        <v>348</v>
      </c>
      <c r="O19" s="5">
        <f>0.125*2</f>
        <v>0.25</v>
      </c>
      <c r="P19" s="24"/>
      <c r="Q19" s="24"/>
      <c r="R19" s="3" t="s">
        <v>352</v>
      </c>
      <c r="S19" s="5">
        <f>SHHeight+M19+O19</f>
        <v>74.25</v>
      </c>
      <c r="T19" s="3" t="s">
        <v>366</v>
      </c>
      <c r="U19" s="20"/>
      <c r="V19" s="38" t="s">
        <v>369</v>
      </c>
      <c r="W19" s="3" t="s">
        <v>370</v>
      </c>
      <c r="X19" s="38" t="s">
        <v>369</v>
      </c>
      <c r="Y19" s="1443">
        <v>200135003</v>
      </c>
      <c r="Z19" s="1443"/>
      <c r="AA19" s="1443"/>
      <c r="AB19" s="20"/>
      <c r="AC19" s="3"/>
      <c r="AD19" s="3"/>
      <c r="AE19" s="5"/>
      <c r="AF19" s="3"/>
      <c r="AG19" s="38"/>
      <c r="AH19" s="5"/>
      <c r="AI19" s="353">
        <v>0.6109</v>
      </c>
      <c r="AJ19" s="39"/>
      <c r="AK19" s="39"/>
      <c r="AL19" s="39"/>
      <c r="AM19" s="39">
        <f>AE$18*AI19+SUM(AJ19:AL19)</f>
        <v>7.992608333333334</v>
      </c>
      <c r="AN19" s="3" t="s">
        <v>81</v>
      </c>
      <c r="AO19" s="3" t="s">
        <v>81</v>
      </c>
      <c r="AP19" s="3" t="s">
        <v>81</v>
      </c>
      <c r="AQ19" s="3" t="s">
        <v>81</v>
      </c>
      <c r="AR19" s="3" t="s">
        <v>92</v>
      </c>
      <c r="AS19" s="3" t="s">
        <v>92</v>
      </c>
      <c r="AT19" s="3" t="s">
        <v>371</v>
      </c>
      <c r="AU19" s="3" t="s">
        <v>81</v>
      </c>
      <c r="AV19" s="3" t="s">
        <v>371</v>
      </c>
      <c r="AW19" s="3" t="s">
        <v>92</v>
      </c>
      <c r="AX19" s="1414" t="s">
        <v>371</v>
      </c>
      <c r="AY19" s="3"/>
      <c r="AZ19" s="139"/>
      <c r="BA19" s="139"/>
      <c r="BB19" s="139"/>
      <c r="BC19" s="139"/>
      <c r="BD19" s="139"/>
      <c r="BE19" s="3"/>
    </row>
    <row r="20" spans="1:57" ht="15" customHeight="1" x14ac:dyDescent="0.4">
      <c r="A20" s="3"/>
      <c r="B20" s="36"/>
      <c r="C20" s="36"/>
      <c r="D20" s="155"/>
      <c r="E20" s="4"/>
      <c r="F20" s="4"/>
      <c r="G20" s="4"/>
      <c r="H20" s="14"/>
      <c r="I20" s="3"/>
      <c r="J20" s="3"/>
      <c r="K20" s="3"/>
      <c r="L20" s="3"/>
      <c r="M20" s="5"/>
      <c r="N20" s="5"/>
      <c r="O20" s="5"/>
      <c r="P20" s="5"/>
      <c r="Q20" s="5"/>
      <c r="R20" s="3"/>
      <c r="S20" s="5"/>
      <c r="T20" s="3"/>
      <c r="U20" s="20"/>
      <c r="V20" s="38" t="s">
        <v>369</v>
      </c>
      <c r="W20" s="3" t="s">
        <v>372</v>
      </c>
      <c r="X20" s="38" t="s">
        <v>369</v>
      </c>
      <c r="Y20" s="1443">
        <v>200135021</v>
      </c>
      <c r="Z20" s="1443"/>
      <c r="AA20" s="1443"/>
      <c r="AB20" s="20"/>
      <c r="AC20" s="3"/>
      <c r="AD20" s="3"/>
      <c r="AE20" s="5"/>
      <c r="AF20" s="3"/>
      <c r="AG20" s="3"/>
      <c r="AH20" s="5"/>
      <c r="AI20" s="353">
        <v>0.65580000000000005</v>
      </c>
      <c r="AJ20" s="39"/>
      <c r="AK20" s="39"/>
      <c r="AL20" s="39"/>
      <c r="AM20" s="39">
        <f t="shared" ref="AM20:AM23" si="0">AE$18*AI20+SUM(AJ20:AL20)</f>
        <v>8.5800500000000017</v>
      </c>
      <c r="AN20" s="3" t="s">
        <v>371</v>
      </c>
      <c r="AO20" s="3" t="s">
        <v>371</v>
      </c>
      <c r="AP20" s="3" t="s">
        <v>371</v>
      </c>
      <c r="AQ20" s="3" t="s">
        <v>371</v>
      </c>
      <c r="AR20" s="3" t="s">
        <v>92</v>
      </c>
      <c r="AS20" s="3" t="s">
        <v>92</v>
      </c>
      <c r="AT20" s="3" t="s">
        <v>371</v>
      </c>
      <c r="AU20" s="3" t="s">
        <v>371</v>
      </c>
      <c r="AV20" s="3" t="s">
        <v>371</v>
      </c>
      <c r="AW20" s="3" t="s">
        <v>92</v>
      </c>
      <c r="AX20" s="1414" t="s">
        <v>371</v>
      </c>
      <c r="AY20" s="3"/>
      <c r="AZ20" s="139"/>
      <c r="BA20" s="139"/>
      <c r="BB20" s="139"/>
      <c r="BC20" s="139"/>
      <c r="BD20" s="139"/>
      <c r="BE20" s="3"/>
    </row>
    <row r="21" spans="1:57" ht="15.75" customHeight="1" x14ac:dyDescent="0.4">
      <c r="A21" s="3"/>
      <c r="B21" s="3"/>
      <c r="C21" s="36"/>
      <c r="D21" s="155"/>
      <c r="E21" s="155"/>
      <c r="F21" s="155"/>
      <c r="G21" s="7"/>
      <c r="H21" s="20"/>
      <c r="I21" s="3"/>
      <c r="J21" s="3"/>
      <c r="K21" s="3"/>
      <c r="L21" s="3"/>
      <c r="M21" s="5"/>
      <c r="N21" s="5"/>
      <c r="O21" s="5"/>
      <c r="P21" s="24"/>
      <c r="Q21" s="24"/>
      <c r="R21" s="3"/>
      <c r="S21" s="5"/>
      <c r="T21" s="3"/>
      <c r="U21" s="20"/>
      <c r="V21" s="38" t="s">
        <v>369</v>
      </c>
      <c r="W21" s="3" t="s">
        <v>373</v>
      </c>
      <c r="X21" s="38" t="s">
        <v>369</v>
      </c>
      <c r="Y21" s="1443">
        <v>200135033</v>
      </c>
      <c r="Z21" s="1443"/>
      <c r="AA21" s="1443"/>
      <c r="AB21" s="20"/>
      <c r="AC21" s="3"/>
      <c r="AD21" s="3"/>
      <c r="AE21" s="5"/>
      <c r="AF21" s="3"/>
      <c r="AG21" s="3"/>
      <c r="AH21" s="5"/>
      <c r="AI21" s="353">
        <v>0.71130000000000004</v>
      </c>
      <c r="AJ21" s="39"/>
      <c r="AK21" s="39"/>
      <c r="AL21" s="39"/>
      <c r="AM21" s="39">
        <f t="shared" si="0"/>
        <v>9.3061750000000014</v>
      </c>
      <c r="AN21" s="3" t="s">
        <v>371</v>
      </c>
      <c r="AO21" s="3" t="s">
        <v>371</v>
      </c>
      <c r="AP21" s="3" t="s">
        <v>371</v>
      </c>
      <c r="AQ21" s="3" t="s">
        <v>371</v>
      </c>
      <c r="AR21" s="3" t="s">
        <v>92</v>
      </c>
      <c r="AS21" s="3" t="s">
        <v>92</v>
      </c>
      <c r="AT21" s="3" t="s">
        <v>371</v>
      </c>
      <c r="AU21" s="3" t="s">
        <v>371</v>
      </c>
      <c r="AV21" s="3" t="s">
        <v>81</v>
      </c>
      <c r="AW21" s="3" t="s">
        <v>92</v>
      </c>
      <c r="AX21" s="1414" t="s">
        <v>371</v>
      </c>
      <c r="AY21" s="3"/>
      <c r="AZ21" s="139"/>
      <c r="BA21" s="139"/>
      <c r="BB21" s="139"/>
      <c r="BC21" s="139"/>
      <c r="BD21" s="139"/>
      <c r="BE21" s="3"/>
    </row>
    <row r="22" spans="1:57" ht="15.75" customHeight="1" x14ac:dyDescent="0.4">
      <c r="A22" s="3"/>
      <c r="B22" s="3"/>
      <c r="C22" s="36"/>
      <c r="D22" s="155"/>
      <c r="E22" s="155"/>
      <c r="F22" s="155"/>
      <c r="G22" s="7"/>
      <c r="H22" s="20"/>
      <c r="I22" s="3"/>
      <c r="J22" s="3"/>
      <c r="K22" s="3"/>
      <c r="L22" s="3"/>
      <c r="M22" s="3"/>
      <c r="N22" s="3"/>
      <c r="O22" s="3"/>
      <c r="P22" s="3"/>
      <c r="Q22" s="3"/>
      <c r="R22" s="3"/>
      <c r="S22" s="5"/>
      <c r="T22" s="3"/>
      <c r="U22" s="20"/>
      <c r="V22" s="3" t="s">
        <v>2363</v>
      </c>
      <c r="W22" s="3" t="s">
        <v>370</v>
      </c>
      <c r="X22" s="38" t="s">
        <v>369</v>
      </c>
      <c r="Y22" s="1443">
        <v>200135127</v>
      </c>
      <c r="Z22" s="1443"/>
      <c r="AA22" s="1443"/>
      <c r="AB22" s="20"/>
      <c r="AC22" s="3"/>
      <c r="AD22" s="3"/>
      <c r="AE22" s="5"/>
      <c r="AF22" s="3"/>
      <c r="AG22" s="3"/>
      <c r="AH22" s="5"/>
      <c r="AI22" s="353">
        <v>0.81010000000000004</v>
      </c>
      <c r="AJ22" s="39"/>
      <c r="AK22" s="39"/>
      <c r="AL22" s="39"/>
      <c r="AM22" s="39">
        <f t="shared" si="0"/>
        <v>10.598808333333334</v>
      </c>
      <c r="AN22" s="3" t="s">
        <v>371</v>
      </c>
      <c r="AO22" s="3" t="s">
        <v>371</v>
      </c>
      <c r="AP22" s="3" t="s">
        <v>371</v>
      </c>
      <c r="AQ22" s="3" t="s">
        <v>371</v>
      </c>
      <c r="AR22" s="3" t="s">
        <v>92</v>
      </c>
      <c r="AS22" s="3" t="s">
        <v>92</v>
      </c>
      <c r="AT22" s="3" t="s">
        <v>81</v>
      </c>
      <c r="AU22" s="3" t="s">
        <v>371</v>
      </c>
      <c r="AV22" s="3" t="s">
        <v>371</v>
      </c>
      <c r="AW22" s="3" t="s">
        <v>92</v>
      </c>
      <c r="AX22" s="1414" t="s">
        <v>371</v>
      </c>
      <c r="AY22" s="3"/>
      <c r="AZ22" s="139"/>
      <c r="BA22" s="139"/>
      <c r="BB22" s="139"/>
      <c r="BC22" s="139"/>
      <c r="BD22" s="139"/>
      <c r="BE22" s="3"/>
    </row>
    <row r="23" spans="1:57" ht="15.75" customHeight="1" x14ac:dyDescent="0.4">
      <c r="A23" s="3"/>
      <c r="B23" s="3"/>
      <c r="C23" s="36"/>
      <c r="D23" s="155"/>
      <c r="E23" s="155"/>
      <c r="F23" s="155"/>
      <c r="G23" s="7"/>
      <c r="H23" s="20"/>
      <c r="I23" s="3"/>
      <c r="J23" s="3"/>
      <c r="K23" s="3"/>
      <c r="L23" s="3"/>
      <c r="M23" s="5" t="str">
        <f>SHSelectedConfig</f>
        <v>3) BM, B&amp;T, White, 
Comp. tape</v>
      </c>
      <c r="N23" s="5"/>
      <c r="O23" s="5"/>
      <c r="P23" s="24"/>
      <c r="Q23" s="24"/>
      <c r="R23" s="3"/>
      <c r="S23" s="5"/>
      <c r="T23" s="3"/>
      <c r="U23" s="20"/>
      <c r="V23" s="112" t="s">
        <v>2366</v>
      </c>
      <c r="W23" s="112" t="s">
        <v>370</v>
      </c>
      <c r="X23" s="38" t="s">
        <v>369</v>
      </c>
      <c r="Y23" s="1871">
        <v>200135128</v>
      </c>
      <c r="Z23" s="1443"/>
      <c r="AA23" s="1443"/>
      <c r="AB23" s="20"/>
      <c r="AC23" s="3"/>
      <c r="AD23" s="3"/>
      <c r="AE23" s="5"/>
      <c r="AF23" s="3"/>
      <c r="AG23" s="3"/>
      <c r="AH23" s="5"/>
      <c r="AI23" s="353">
        <v>0.7792</v>
      </c>
      <c r="AJ23" s="39"/>
      <c r="AK23" s="39"/>
      <c r="AL23" s="39"/>
      <c r="AM23" s="39">
        <f t="shared" si="0"/>
        <v>10.194533333333334</v>
      </c>
      <c r="AN23" s="3" t="s">
        <v>371</v>
      </c>
      <c r="AO23" s="3" t="s">
        <v>371</v>
      </c>
      <c r="AP23" s="3" t="s">
        <v>371</v>
      </c>
      <c r="AQ23" s="3" t="s">
        <v>371</v>
      </c>
      <c r="AR23" s="3" t="s">
        <v>92</v>
      </c>
      <c r="AS23" s="3" t="s">
        <v>92</v>
      </c>
      <c r="AT23" s="3" t="s">
        <v>371</v>
      </c>
      <c r="AU23" s="3" t="s">
        <v>371</v>
      </c>
      <c r="AV23" s="3" t="s">
        <v>371</v>
      </c>
      <c r="AW23" s="3" t="s">
        <v>92</v>
      </c>
      <c r="AX23" s="1414" t="s">
        <v>371</v>
      </c>
      <c r="AY23" s="3"/>
      <c r="AZ23" s="139"/>
      <c r="BA23" s="139"/>
      <c r="BB23" s="139"/>
      <c r="BC23" s="139"/>
      <c r="BD23" s="139"/>
      <c r="BE23" s="3"/>
    </row>
    <row r="24" spans="1:57" ht="15.75" customHeight="1" x14ac:dyDescent="0.4">
      <c r="A24" s="3"/>
      <c r="B24" s="3"/>
      <c r="C24" s="36"/>
      <c r="D24" s="155"/>
      <c r="E24" s="155"/>
      <c r="F24" s="155"/>
      <c r="G24" s="7"/>
      <c r="H24" s="20"/>
      <c r="I24" s="3"/>
      <c r="J24" s="3"/>
      <c r="K24" s="3"/>
      <c r="L24" s="3"/>
      <c r="M24" s="5"/>
      <c r="N24" s="5"/>
      <c r="O24" s="5"/>
      <c r="P24" s="24"/>
      <c r="Q24" s="24"/>
      <c r="R24" s="3"/>
      <c r="S24" s="5"/>
      <c r="T24" s="3"/>
      <c r="U24" s="20"/>
      <c r="V24" s="3" t="s">
        <v>2364</v>
      </c>
      <c r="W24" s="3" t="s">
        <v>370</v>
      </c>
      <c r="X24" s="38" t="s">
        <v>369</v>
      </c>
      <c r="Y24" s="1443">
        <v>200135129</v>
      </c>
      <c r="Z24" s="1443"/>
      <c r="AA24" s="1443"/>
      <c r="AB24" s="20"/>
      <c r="AC24" s="3"/>
      <c r="AD24" s="3"/>
      <c r="AE24" s="5"/>
      <c r="AF24" s="3"/>
      <c r="AG24" s="3"/>
      <c r="AH24" s="5"/>
      <c r="AI24" s="353">
        <v>0.78490000000000004</v>
      </c>
      <c r="AJ24" s="39"/>
      <c r="AK24" s="39"/>
      <c r="AL24" s="39"/>
      <c r="AM24" s="39">
        <f>AE$18*AI24+SUM(AJ24:AL24)</f>
        <v>10.269108333333334</v>
      </c>
      <c r="AN24" s="3" t="s">
        <v>371</v>
      </c>
      <c r="AO24" s="3" t="s">
        <v>371</v>
      </c>
      <c r="AP24" s="3" t="s">
        <v>371</v>
      </c>
      <c r="AQ24" s="3" t="s">
        <v>371</v>
      </c>
      <c r="AR24" s="3" t="s">
        <v>92</v>
      </c>
      <c r="AS24" s="3" t="s">
        <v>92</v>
      </c>
      <c r="AT24" s="3" t="s">
        <v>371</v>
      </c>
      <c r="AU24" s="3" t="s">
        <v>371</v>
      </c>
      <c r="AV24" s="3" t="s">
        <v>371</v>
      </c>
      <c r="AW24" s="3" t="s">
        <v>92</v>
      </c>
      <c r="AX24" s="1414" t="s">
        <v>371</v>
      </c>
      <c r="AY24" s="3"/>
      <c r="AZ24" s="139"/>
      <c r="BA24" s="139"/>
      <c r="BB24" s="139"/>
      <c r="BC24" s="139"/>
      <c r="BD24" s="139"/>
      <c r="BE24" s="3"/>
    </row>
    <row r="25" spans="1:57" ht="15.75" customHeight="1" x14ac:dyDescent="0.4">
      <c r="A25" s="3"/>
      <c r="B25" s="3"/>
      <c r="C25" s="36"/>
      <c r="D25" s="155"/>
      <c r="E25" s="155"/>
      <c r="F25" s="155"/>
      <c r="G25" s="7"/>
      <c r="H25" s="20"/>
      <c r="I25" s="3"/>
      <c r="J25" s="3"/>
      <c r="K25" s="3"/>
      <c r="L25" s="3"/>
      <c r="M25" s="5"/>
      <c r="N25" s="5"/>
      <c r="O25" s="5"/>
      <c r="P25" s="24"/>
      <c r="Q25" s="24"/>
      <c r="R25" s="3"/>
      <c r="S25" s="5"/>
      <c r="T25" s="3"/>
      <c r="U25" s="20"/>
      <c r="V25" s="3" t="s">
        <v>2365</v>
      </c>
      <c r="W25" s="3" t="s">
        <v>370</v>
      </c>
      <c r="X25" s="38" t="s">
        <v>369</v>
      </c>
      <c r="Y25" s="1443">
        <v>200135180</v>
      </c>
      <c r="Z25" s="1443"/>
      <c r="AA25" s="1443"/>
      <c r="AB25" s="20"/>
      <c r="AC25" s="3"/>
      <c r="AD25" s="3"/>
      <c r="AE25" s="5"/>
      <c r="AF25" s="3"/>
      <c r="AG25" s="3"/>
      <c r="AH25" s="5"/>
      <c r="AI25" s="353">
        <v>0.88580000000000003</v>
      </c>
      <c r="AJ25" s="39"/>
      <c r="AK25" s="39"/>
      <c r="AL25" s="39"/>
      <c r="AM25" s="39">
        <f t="shared" ref="AM25" si="1">AE$18*AI25+SUM(AJ25:AL25)</f>
        <v>11.589216666666667</v>
      </c>
      <c r="AN25" s="3" t="s">
        <v>371</v>
      </c>
      <c r="AO25" s="3" t="s">
        <v>371</v>
      </c>
      <c r="AP25" s="3" t="s">
        <v>371</v>
      </c>
      <c r="AQ25" s="3" t="s">
        <v>371</v>
      </c>
      <c r="AR25" s="3" t="s">
        <v>92</v>
      </c>
      <c r="AS25" s="3" t="s">
        <v>92</v>
      </c>
      <c r="AT25" s="3" t="s">
        <v>371</v>
      </c>
      <c r="AU25" s="3" t="s">
        <v>371</v>
      </c>
      <c r="AV25" s="3" t="s">
        <v>371</v>
      </c>
      <c r="AW25" s="3" t="s">
        <v>92</v>
      </c>
      <c r="AX25" s="1414" t="s">
        <v>371</v>
      </c>
      <c r="AY25" s="3"/>
      <c r="AZ25" s="139"/>
      <c r="BA25" s="139"/>
      <c r="BB25" s="139"/>
      <c r="BC25" s="139"/>
      <c r="BD25" s="139"/>
      <c r="BE25" s="3"/>
    </row>
    <row r="26" spans="1:57" ht="15.75" customHeight="1" x14ac:dyDescent="0.4">
      <c r="A26" s="3"/>
      <c r="B26" s="3"/>
      <c r="C26" s="36"/>
      <c r="D26" s="155"/>
      <c r="E26" s="155"/>
      <c r="F26" s="155"/>
      <c r="G26" s="7"/>
      <c r="H26" s="20"/>
      <c r="I26" s="3"/>
      <c r="J26" s="3"/>
      <c r="K26" s="3"/>
      <c r="L26" s="3"/>
      <c r="M26" s="5"/>
      <c r="N26" s="5"/>
      <c r="O26" s="5"/>
      <c r="P26" s="24"/>
      <c r="Q26" s="24"/>
      <c r="R26" s="3"/>
      <c r="S26" s="5"/>
      <c r="T26" s="3"/>
      <c r="U26" s="20"/>
      <c r="V26" s="3" t="s">
        <v>2365</v>
      </c>
      <c r="W26" s="3" t="s">
        <v>370</v>
      </c>
      <c r="X26" s="38" t="s">
        <v>2365</v>
      </c>
      <c r="Y26" s="1443">
        <v>200135181</v>
      </c>
      <c r="Z26" s="1443"/>
      <c r="AA26" s="1443"/>
      <c r="AB26" s="20"/>
      <c r="AC26" s="3"/>
      <c r="AD26" s="3"/>
      <c r="AE26" s="5"/>
      <c r="AF26" s="3"/>
      <c r="AG26" s="3"/>
      <c r="AH26" s="5"/>
      <c r="AI26" s="353"/>
      <c r="AJ26" s="39"/>
      <c r="AK26" s="39"/>
      <c r="AL26" s="39"/>
      <c r="AM26" s="39"/>
      <c r="AN26" s="3" t="s">
        <v>371</v>
      </c>
      <c r="AO26" s="3" t="s">
        <v>371</v>
      </c>
      <c r="AP26" s="3" t="s">
        <v>371</v>
      </c>
      <c r="AQ26" s="3" t="s">
        <v>371</v>
      </c>
      <c r="AR26" s="3" t="s">
        <v>92</v>
      </c>
      <c r="AS26" s="3" t="s">
        <v>92</v>
      </c>
      <c r="AT26" s="3" t="s">
        <v>371</v>
      </c>
      <c r="AU26" s="3" t="s">
        <v>371</v>
      </c>
      <c r="AV26" s="3" t="s">
        <v>371</v>
      </c>
      <c r="AW26" s="3" t="s">
        <v>92</v>
      </c>
      <c r="AX26" s="1414" t="s">
        <v>81</v>
      </c>
      <c r="AY26" s="3"/>
      <c r="AZ26" s="139"/>
      <c r="BA26" s="139"/>
      <c r="BB26" s="139"/>
      <c r="BC26" s="139"/>
      <c r="BD26" s="139"/>
      <c r="BE26" s="3"/>
    </row>
    <row r="27" spans="1:57" ht="15.75" customHeight="1" x14ac:dyDescent="0.4">
      <c r="A27" s="3"/>
      <c r="B27" s="3"/>
      <c r="C27" s="1487" t="s">
        <v>2387</v>
      </c>
      <c r="D27" s="1933"/>
      <c r="E27" s="951"/>
      <c r="F27" s="951"/>
      <c r="G27" s="454"/>
      <c r="H27" s="1032"/>
      <c r="I27" s="130" t="s">
        <v>365</v>
      </c>
      <c r="J27" s="130"/>
      <c r="K27" s="130"/>
      <c r="L27" s="130"/>
      <c r="M27" s="584"/>
      <c r="N27" s="584"/>
      <c r="O27" s="584"/>
      <c r="P27" s="1034"/>
      <c r="Q27" s="1034"/>
      <c r="R27" s="130" t="s">
        <v>352</v>
      </c>
      <c r="S27" s="584">
        <f>SHHeight</f>
        <v>74</v>
      </c>
      <c r="T27" s="130" t="s">
        <v>366</v>
      </c>
      <c r="U27" s="1032"/>
      <c r="V27" s="587" t="s">
        <v>369</v>
      </c>
      <c r="W27" s="130" t="s">
        <v>370</v>
      </c>
      <c r="X27" s="587" t="s">
        <v>369</v>
      </c>
      <c r="Y27" s="1931">
        <v>120074014002</v>
      </c>
      <c r="Z27" s="1931"/>
      <c r="AA27" s="1931"/>
      <c r="AB27" s="1032"/>
      <c r="AC27" s="130"/>
      <c r="AD27" s="130">
        <v>2</v>
      </c>
      <c r="AE27" s="584">
        <f>S27*AD27/12</f>
        <v>12.333333333333334</v>
      </c>
      <c r="AF27" s="130" t="s">
        <v>367</v>
      </c>
      <c r="AG27" s="130"/>
      <c r="AH27" s="584"/>
      <c r="AI27" s="1046">
        <v>1.9449999999999999E-2</v>
      </c>
      <c r="AJ27" s="589"/>
      <c r="AK27" s="589"/>
      <c r="AL27" s="589"/>
      <c r="AM27" s="589">
        <f>AE27*AI27</f>
        <v>0.23988333333333334</v>
      </c>
      <c r="AN27" s="130" t="s">
        <v>92</v>
      </c>
      <c r="AO27" s="130" t="s">
        <v>92</v>
      </c>
      <c r="AP27" s="130" t="s">
        <v>92</v>
      </c>
      <c r="AQ27" s="130" t="s">
        <v>92</v>
      </c>
      <c r="AR27" s="130" t="s">
        <v>92</v>
      </c>
      <c r="AS27" s="130" t="s">
        <v>92</v>
      </c>
      <c r="AT27" s="130" t="s">
        <v>81</v>
      </c>
      <c r="AU27" s="130" t="s">
        <v>92</v>
      </c>
      <c r="AV27" s="130" t="s">
        <v>92</v>
      </c>
      <c r="AW27" s="130" t="s">
        <v>92</v>
      </c>
      <c r="AX27" s="1932" t="s">
        <v>81</v>
      </c>
      <c r="AY27" s="130"/>
      <c r="AZ27" s="139"/>
      <c r="BA27" s="139"/>
      <c r="BB27" s="139"/>
      <c r="BC27" s="139"/>
      <c r="BD27" s="139"/>
      <c r="BE27" s="3"/>
    </row>
    <row r="28" spans="1:57" ht="15.75" customHeight="1" thickBot="1" x14ac:dyDescent="0.45">
      <c r="A28" s="3"/>
      <c r="B28" s="3"/>
      <c r="C28" s="943" t="s">
        <v>2388</v>
      </c>
      <c r="D28" s="1068"/>
      <c r="E28" s="925"/>
      <c r="F28" s="925"/>
      <c r="G28" s="924"/>
      <c r="H28" s="887"/>
      <c r="I28" s="889" t="s">
        <v>365</v>
      </c>
      <c r="J28" s="889"/>
      <c r="K28" s="889"/>
      <c r="L28" s="889"/>
      <c r="M28" s="945"/>
      <c r="N28" s="945"/>
      <c r="O28" s="945"/>
      <c r="P28" s="1020"/>
      <c r="Q28" s="1020"/>
      <c r="R28" s="889" t="s">
        <v>352</v>
      </c>
      <c r="S28" s="945">
        <f>SHHeight</f>
        <v>74</v>
      </c>
      <c r="T28" s="889" t="s">
        <v>366</v>
      </c>
      <c r="U28" s="887"/>
      <c r="V28" s="888" t="s">
        <v>369</v>
      </c>
      <c r="W28" s="889" t="s">
        <v>370</v>
      </c>
      <c r="X28" s="888" t="s">
        <v>369</v>
      </c>
      <c r="Y28" s="1451">
        <v>120074014938</v>
      </c>
      <c r="Z28" s="1451"/>
      <c r="AA28" s="1451"/>
      <c r="AB28" s="887"/>
      <c r="AC28" s="889"/>
      <c r="AD28" s="889">
        <v>2</v>
      </c>
      <c r="AE28" s="945">
        <f>S28*AD28/12</f>
        <v>12.333333333333334</v>
      </c>
      <c r="AF28" s="889" t="s">
        <v>367</v>
      </c>
      <c r="AG28" s="889"/>
      <c r="AH28" s="945"/>
      <c r="AI28" s="937">
        <v>9.1199999999999996E-3</v>
      </c>
      <c r="AJ28" s="947"/>
      <c r="AK28" s="947"/>
      <c r="AL28" s="947"/>
      <c r="AM28" s="947">
        <f>AE28*AI28</f>
        <v>0.11248</v>
      </c>
      <c r="AN28" s="889" t="s">
        <v>92</v>
      </c>
      <c r="AO28" s="889" t="s">
        <v>92</v>
      </c>
      <c r="AP28" s="889" t="s">
        <v>92</v>
      </c>
      <c r="AQ28" s="889" t="s">
        <v>92</v>
      </c>
      <c r="AR28" s="889" t="s">
        <v>92</v>
      </c>
      <c r="AS28" s="889" t="s">
        <v>92</v>
      </c>
      <c r="AT28" s="889" t="s">
        <v>92</v>
      </c>
      <c r="AU28" s="889" t="s">
        <v>92</v>
      </c>
      <c r="AV28" s="889" t="s">
        <v>92</v>
      </c>
      <c r="AW28" s="889" t="s">
        <v>92</v>
      </c>
      <c r="AX28" s="1590" t="s">
        <v>81</v>
      </c>
      <c r="AY28" s="889"/>
      <c r="AZ28" s="139"/>
      <c r="BA28" s="139"/>
      <c r="BB28" s="139"/>
      <c r="BC28" s="139"/>
      <c r="BD28" s="139"/>
      <c r="BE28" s="3"/>
    </row>
    <row r="29" spans="1:57" ht="15.75" customHeight="1" x14ac:dyDescent="0.4">
      <c r="A29" s="3"/>
      <c r="B29" s="3"/>
      <c r="C29" s="36"/>
      <c r="D29" s="155"/>
      <c r="E29" s="155"/>
      <c r="F29" s="155"/>
      <c r="G29" s="7"/>
      <c r="H29" s="20"/>
      <c r="I29" s="3"/>
      <c r="J29" s="3"/>
      <c r="K29" s="3"/>
      <c r="L29" s="3"/>
      <c r="M29" s="5"/>
      <c r="N29" s="5"/>
      <c r="O29" s="5"/>
      <c r="P29" s="24"/>
      <c r="Q29" s="24"/>
      <c r="R29" s="3"/>
      <c r="S29" s="5"/>
      <c r="T29" s="3"/>
      <c r="U29" s="20"/>
      <c r="V29" s="3"/>
      <c r="W29" s="3"/>
      <c r="X29" s="38"/>
      <c r="Y29" s="1443"/>
      <c r="Z29" s="1443"/>
      <c r="AA29" s="1443"/>
      <c r="AB29" s="20"/>
      <c r="AC29" s="3"/>
      <c r="AD29" s="3"/>
      <c r="AE29" s="5"/>
      <c r="AF29" s="3"/>
      <c r="AG29" s="3"/>
      <c r="AH29" s="5"/>
      <c r="AI29" s="353"/>
      <c r="AJ29" s="39"/>
      <c r="AK29" s="39"/>
      <c r="AL29" s="39"/>
      <c r="AM29" s="39"/>
      <c r="AN29" s="3"/>
      <c r="AO29" s="3"/>
      <c r="AP29" s="3"/>
      <c r="AQ29" s="3"/>
      <c r="AR29" s="3"/>
      <c r="AS29" s="3"/>
      <c r="AT29" s="3"/>
      <c r="AU29" s="3"/>
      <c r="AV29" s="3"/>
      <c r="AW29" s="3"/>
      <c r="AX29" s="1414"/>
      <c r="AY29" s="3"/>
      <c r="AZ29" s="139"/>
      <c r="BA29" s="139"/>
      <c r="BB29" s="139"/>
      <c r="BC29" s="139"/>
      <c r="BD29" s="139"/>
      <c r="BE29" s="3"/>
    </row>
    <row r="30" spans="1:57" ht="15.75" customHeight="1" x14ac:dyDescent="0.4">
      <c r="A30" s="3"/>
      <c r="B30" s="3"/>
      <c r="C30" s="8" t="s">
        <v>1946</v>
      </c>
      <c r="D30" s="155"/>
      <c r="E30" s="155"/>
      <c r="F30" s="155"/>
      <c r="G30" s="7"/>
      <c r="H30" s="20"/>
      <c r="I30" s="3"/>
      <c r="J30" s="3"/>
      <c r="K30" s="3"/>
      <c r="L30" s="3"/>
      <c r="M30" s="5"/>
      <c r="N30" s="5"/>
      <c r="O30" s="5"/>
      <c r="P30" s="24"/>
      <c r="Q30" s="24"/>
      <c r="R30" s="3"/>
      <c r="S30" s="5"/>
      <c r="T30" s="3"/>
      <c r="U30" s="20"/>
      <c r="V30" s="38" t="s">
        <v>369</v>
      </c>
      <c r="W30" s="3" t="s">
        <v>370</v>
      </c>
      <c r="X30" s="38" t="s">
        <v>369</v>
      </c>
      <c r="Y30" s="1445">
        <v>200135003001</v>
      </c>
      <c r="Z30" s="1445"/>
      <c r="AA30" s="1445"/>
      <c r="AB30" s="20"/>
      <c r="AC30" s="3"/>
      <c r="AD30" s="3"/>
      <c r="AE30" s="5"/>
      <c r="AF30" s="3"/>
      <c r="AG30" s="3"/>
      <c r="AH30" s="5"/>
      <c r="AI30" s="353">
        <v>0.6109</v>
      </c>
      <c r="AJ30" s="39"/>
      <c r="AK30" s="39"/>
      <c r="AL30" s="39"/>
      <c r="AM30" s="39">
        <f>AE$18*AI30+SUM(AJ30:AL30)</f>
        <v>7.992608333333334</v>
      </c>
      <c r="AN30" s="3" t="s">
        <v>371</v>
      </c>
      <c r="AO30" s="3" t="s">
        <v>371</v>
      </c>
      <c r="AP30" s="3" t="s">
        <v>371</v>
      </c>
      <c r="AQ30" s="3" t="s">
        <v>371</v>
      </c>
      <c r="AR30" s="3" t="s">
        <v>92</v>
      </c>
      <c r="AS30" s="3" t="s">
        <v>92</v>
      </c>
      <c r="AT30" s="3" t="s">
        <v>371</v>
      </c>
      <c r="AU30" s="3" t="s">
        <v>371</v>
      </c>
      <c r="AV30" s="3" t="s">
        <v>371</v>
      </c>
      <c r="AW30" s="3" t="s">
        <v>92</v>
      </c>
      <c r="AX30" s="1414" t="s">
        <v>371</v>
      </c>
      <c r="AY30" s="3"/>
      <c r="AZ30" s="139"/>
      <c r="BA30" s="139"/>
      <c r="BB30" s="139"/>
      <c r="BC30" s="139"/>
      <c r="BD30" s="139"/>
      <c r="BE30" s="3"/>
    </row>
    <row r="31" spans="1:57" ht="15.75" customHeight="1" x14ac:dyDescent="0.4">
      <c r="A31" s="3"/>
      <c r="B31" s="3"/>
      <c r="C31" s="36"/>
      <c r="D31" s="155"/>
      <c r="E31" s="155"/>
      <c r="F31" s="155"/>
      <c r="G31" s="7"/>
      <c r="H31" s="20"/>
      <c r="I31" s="3"/>
      <c r="J31" s="3"/>
      <c r="K31" s="3"/>
      <c r="L31" s="3"/>
      <c r="M31" s="5"/>
      <c r="N31" s="5"/>
      <c r="O31" s="5"/>
      <c r="P31" s="24"/>
      <c r="Q31" s="24"/>
      <c r="R31" s="3"/>
      <c r="S31" s="5"/>
      <c r="T31" s="3"/>
      <c r="U31" s="20"/>
      <c r="V31" s="38" t="s">
        <v>369</v>
      </c>
      <c r="W31" s="3" t="s">
        <v>372</v>
      </c>
      <c r="X31" s="38" t="s">
        <v>369</v>
      </c>
      <c r="Y31" s="1445">
        <v>200135021001</v>
      </c>
      <c r="Z31" s="1445"/>
      <c r="AA31" s="1445"/>
      <c r="AB31" s="20"/>
      <c r="AC31" s="3"/>
      <c r="AD31" s="3"/>
      <c r="AE31" s="5"/>
      <c r="AF31" s="3"/>
      <c r="AG31" s="3"/>
      <c r="AH31" s="5"/>
      <c r="AI31" s="353">
        <v>0.65580000000000005</v>
      </c>
      <c r="AJ31" s="39"/>
      <c r="AK31" s="39"/>
      <c r="AL31" s="39"/>
      <c r="AM31" s="39">
        <f>AE$18*AI31+SUM(AJ31:AL31)</f>
        <v>8.5800500000000017</v>
      </c>
      <c r="AN31" s="3" t="s">
        <v>371</v>
      </c>
      <c r="AO31" s="3" t="s">
        <v>371</v>
      </c>
      <c r="AP31" s="3" t="s">
        <v>371</v>
      </c>
      <c r="AQ31" s="3" t="s">
        <v>371</v>
      </c>
      <c r="AR31" s="3" t="s">
        <v>92</v>
      </c>
      <c r="AS31" s="3" t="s">
        <v>92</v>
      </c>
      <c r="AT31" s="3" t="s">
        <v>371</v>
      </c>
      <c r="AU31" s="3" t="s">
        <v>371</v>
      </c>
      <c r="AV31" s="3" t="s">
        <v>371</v>
      </c>
      <c r="AW31" s="3" t="s">
        <v>92</v>
      </c>
      <c r="AX31" s="1414" t="s">
        <v>371</v>
      </c>
      <c r="AY31" s="3"/>
      <c r="AZ31" s="139"/>
      <c r="BA31" s="139"/>
      <c r="BB31" s="139"/>
      <c r="BC31" s="139"/>
      <c r="BD31" s="139"/>
      <c r="BE31" s="3"/>
    </row>
    <row r="32" spans="1:57" ht="15.75" customHeight="1" x14ac:dyDescent="0.4">
      <c r="A32" s="3"/>
      <c r="B32" s="3"/>
      <c r="C32" s="36"/>
      <c r="D32" s="155"/>
      <c r="E32" s="155"/>
      <c r="F32" s="155"/>
      <c r="G32" s="7"/>
      <c r="H32" s="20"/>
      <c r="I32" s="3"/>
      <c r="J32" s="3"/>
      <c r="K32" s="3"/>
      <c r="L32" s="3"/>
      <c r="M32" s="5"/>
      <c r="N32" s="5"/>
      <c r="O32" s="5"/>
      <c r="P32" s="24"/>
      <c r="Q32" s="24"/>
      <c r="R32" s="3"/>
      <c r="S32" s="5"/>
      <c r="T32" s="3"/>
      <c r="U32" s="20"/>
      <c r="V32" s="38" t="s">
        <v>369</v>
      </c>
      <c r="W32" s="3" t="s">
        <v>373</v>
      </c>
      <c r="X32" s="38" t="s">
        <v>369</v>
      </c>
      <c r="Y32" s="1445">
        <v>200135033001</v>
      </c>
      <c r="Z32" s="1445"/>
      <c r="AA32" s="1445"/>
      <c r="AB32" s="20"/>
      <c r="AC32" s="3"/>
      <c r="AD32" s="3"/>
      <c r="AE32" s="5"/>
      <c r="AF32" s="3"/>
      <c r="AG32" s="3"/>
      <c r="AH32" s="5"/>
      <c r="AI32" s="353">
        <v>0.71130000000000004</v>
      </c>
      <c r="AJ32" s="39"/>
      <c r="AK32" s="39"/>
      <c r="AL32" s="39"/>
      <c r="AM32" s="39"/>
      <c r="AN32" s="3" t="s">
        <v>371</v>
      </c>
      <c r="AO32" s="3" t="s">
        <v>371</v>
      </c>
      <c r="AP32" s="3" t="s">
        <v>371</v>
      </c>
      <c r="AQ32" s="3" t="s">
        <v>371</v>
      </c>
      <c r="AR32" s="3" t="s">
        <v>92</v>
      </c>
      <c r="AS32" s="3" t="s">
        <v>92</v>
      </c>
      <c r="AT32" s="3" t="s">
        <v>371</v>
      </c>
      <c r="AU32" s="3" t="s">
        <v>371</v>
      </c>
      <c r="AV32" s="3" t="s">
        <v>371</v>
      </c>
      <c r="AW32" s="3" t="s">
        <v>92</v>
      </c>
      <c r="AX32" s="1414" t="s">
        <v>371</v>
      </c>
      <c r="AY32" s="3"/>
      <c r="AZ32" s="139"/>
      <c r="BA32" s="139"/>
      <c r="BB32" s="139"/>
      <c r="BC32" s="139"/>
      <c r="BD32" s="139"/>
      <c r="BE32" s="3"/>
    </row>
    <row r="33" spans="1:57" ht="15.75" customHeight="1" x14ac:dyDescent="0.4">
      <c r="A33" s="3"/>
      <c r="B33" s="3"/>
      <c r="C33" s="36"/>
      <c r="D33" s="155"/>
      <c r="E33" s="155"/>
      <c r="F33" s="155"/>
      <c r="G33" s="7"/>
      <c r="H33" s="20"/>
      <c r="I33" s="3"/>
      <c r="J33" s="3"/>
      <c r="K33" s="3"/>
      <c r="L33" s="3"/>
      <c r="M33" s="5"/>
      <c r="N33" s="5"/>
      <c r="O33" s="5"/>
      <c r="P33" s="24"/>
      <c r="Q33" s="24"/>
      <c r="R33" s="3"/>
      <c r="S33" s="5"/>
      <c r="T33" s="3"/>
      <c r="U33" s="20"/>
      <c r="V33" s="3" t="s">
        <v>2363</v>
      </c>
      <c r="W33" s="3" t="s">
        <v>370</v>
      </c>
      <c r="X33" s="38" t="s">
        <v>369</v>
      </c>
      <c r="Y33" s="1445">
        <v>200135127001</v>
      </c>
      <c r="Z33" s="1445"/>
      <c r="AA33" s="1445"/>
      <c r="AB33" s="20"/>
      <c r="AC33" s="3"/>
      <c r="AD33" s="3"/>
      <c r="AE33" s="5"/>
      <c r="AF33" s="3"/>
      <c r="AG33" s="3"/>
      <c r="AH33" s="5"/>
      <c r="AI33" s="353">
        <v>0.81020000000000003</v>
      </c>
      <c r="AJ33" s="39"/>
      <c r="AK33" s="39"/>
      <c r="AL33" s="39"/>
      <c r="AM33" s="39"/>
      <c r="AN33" s="3" t="s">
        <v>371</v>
      </c>
      <c r="AO33" s="3" t="s">
        <v>371</v>
      </c>
      <c r="AP33" s="3" t="s">
        <v>371</v>
      </c>
      <c r="AQ33" s="3" t="s">
        <v>371</v>
      </c>
      <c r="AR33" s="3" t="s">
        <v>92</v>
      </c>
      <c r="AS33" s="3" t="s">
        <v>92</v>
      </c>
      <c r="AT33" s="3" t="s">
        <v>371</v>
      </c>
      <c r="AU33" s="3" t="s">
        <v>371</v>
      </c>
      <c r="AV33" s="3" t="s">
        <v>371</v>
      </c>
      <c r="AW33" s="3" t="s">
        <v>92</v>
      </c>
      <c r="AX33" s="1414" t="s">
        <v>371</v>
      </c>
      <c r="AY33" s="3"/>
      <c r="AZ33" s="139"/>
      <c r="BA33" s="139"/>
      <c r="BB33" s="139"/>
      <c r="BC33" s="139"/>
      <c r="BD33" s="139"/>
      <c r="BE33" s="3"/>
    </row>
    <row r="34" spans="1:57" ht="15.75" customHeight="1" x14ac:dyDescent="0.4">
      <c r="A34" s="3"/>
      <c r="B34" s="3"/>
      <c r="C34" s="36"/>
      <c r="D34" s="155"/>
      <c r="E34" s="155"/>
      <c r="F34" s="155"/>
      <c r="G34" s="7"/>
      <c r="H34" s="20"/>
      <c r="I34" s="3"/>
      <c r="J34" s="3"/>
      <c r="K34" s="3"/>
      <c r="L34" s="3"/>
      <c r="M34" s="5"/>
      <c r="N34" s="5"/>
      <c r="O34" s="5"/>
      <c r="P34" s="24"/>
      <c r="Q34" s="24"/>
      <c r="R34" s="3"/>
      <c r="S34" s="5"/>
      <c r="T34" s="3"/>
      <c r="U34" s="20"/>
      <c r="V34" s="3" t="s">
        <v>2364</v>
      </c>
      <c r="W34" s="3" t="s">
        <v>370</v>
      </c>
      <c r="X34" s="38" t="s">
        <v>369</v>
      </c>
      <c r="Y34" s="1445">
        <v>200135129001</v>
      </c>
      <c r="Z34" s="1445"/>
      <c r="AA34" s="1445"/>
      <c r="AB34" s="20"/>
      <c r="AC34" s="3"/>
      <c r="AD34" s="3"/>
      <c r="AE34" s="5"/>
      <c r="AF34" s="3"/>
      <c r="AG34" s="3"/>
      <c r="AH34" s="5"/>
      <c r="AI34" s="844"/>
      <c r="AJ34" s="39"/>
      <c r="AK34" s="39"/>
      <c r="AL34" s="39"/>
      <c r="AM34" s="39"/>
      <c r="AN34" s="3" t="s">
        <v>371</v>
      </c>
      <c r="AO34" s="3" t="s">
        <v>371</v>
      </c>
      <c r="AP34" s="3" t="s">
        <v>371</v>
      </c>
      <c r="AQ34" s="3" t="s">
        <v>371</v>
      </c>
      <c r="AR34" s="3" t="s">
        <v>92</v>
      </c>
      <c r="AS34" s="3" t="s">
        <v>92</v>
      </c>
      <c r="AT34" s="3" t="s">
        <v>371</v>
      </c>
      <c r="AU34" s="3" t="s">
        <v>371</v>
      </c>
      <c r="AV34" s="3" t="s">
        <v>371</v>
      </c>
      <c r="AW34" s="3" t="s">
        <v>92</v>
      </c>
      <c r="AX34" s="1414" t="s">
        <v>371</v>
      </c>
      <c r="AY34" s="3"/>
      <c r="AZ34" s="139"/>
      <c r="BA34" s="139"/>
      <c r="BB34" s="139"/>
      <c r="BC34" s="139"/>
      <c r="BD34" s="139"/>
      <c r="BE34" s="3"/>
    </row>
    <row r="35" spans="1:57" ht="15.75" customHeight="1" x14ac:dyDescent="0.4">
      <c r="A35" s="3"/>
      <c r="B35" s="3"/>
      <c r="C35" s="36"/>
      <c r="D35" s="155"/>
      <c r="E35" s="155"/>
      <c r="F35" s="155"/>
      <c r="G35" s="7"/>
      <c r="H35" s="20"/>
      <c r="I35" s="3"/>
      <c r="J35" s="3"/>
      <c r="K35" s="3"/>
      <c r="L35" s="3"/>
      <c r="M35" s="5"/>
      <c r="N35" s="5"/>
      <c r="O35" s="5"/>
      <c r="P35" s="24"/>
      <c r="Q35" s="24"/>
      <c r="R35" s="3"/>
      <c r="S35" s="5"/>
      <c r="T35" s="3"/>
      <c r="U35" s="20"/>
      <c r="V35" s="3" t="s">
        <v>2365</v>
      </c>
      <c r="W35" s="3" t="s">
        <v>370</v>
      </c>
      <c r="X35" s="38" t="s">
        <v>369</v>
      </c>
      <c r="Y35" s="1445">
        <v>200135180001</v>
      </c>
      <c r="Z35" s="1445"/>
      <c r="AA35" s="1445"/>
      <c r="AB35" s="20"/>
      <c r="AC35" s="3"/>
      <c r="AD35" s="3"/>
      <c r="AE35" s="5"/>
      <c r="AF35" s="3"/>
      <c r="AG35" s="3"/>
      <c r="AH35" s="5"/>
      <c r="AI35" s="353">
        <v>0.88580000000000003</v>
      </c>
      <c r="AJ35" s="39"/>
      <c r="AK35" s="39"/>
      <c r="AL35" s="39"/>
      <c r="AM35" s="39"/>
      <c r="AN35" s="3" t="s">
        <v>371</v>
      </c>
      <c r="AO35" s="3" t="s">
        <v>371</v>
      </c>
      <c r="AP35" s="3" t="s">
        <v>371</v>
      </c>
      <c r="AQ35" s="3" t="s">
        <v>371</v>
      </c>
      <c r="AR35" s="3" t="s">
        <v>92</v>
      </c>
      <c r="AS35" s="3" t="s">
        <v>92</v>
      </c>
      <c r="AT35" s="3" t="s">
        <v>371</v>
      </c>
      <c r="AU35" s="3" t="s">
        <v>371</v>
      </c>
      <c r="AV35" s="3" t="s">
        <v>371</v>
      </c>
      <c r="AW35" s="3" t="s">
        <v>92</v>
      </c>
      <c r="AX35" s="1414" t="s">
        <v>371</v>
      </c>
      <c r="AY35" s="3"/>
      <c r="AZ35" s="139"/>
      <c r="BA35" s="139"/>
      <c r="BB35" s="139"/>
      <c r="BC35" s="139"/>
      <c r="BD35" s="139"/>
      <c r="BE35" s="3"/>
    </row>
    <row r="36" spans="1:57" ht="15.75" customHeight="1" x14ac:dyDescent="0.4">
      <c r="A36" s="3"/>
      <c r="B36" s="3"/>
      <c r="C36" s="36"/>
      <c r="D36" s="155"/>
      <c r="E36" s="155"/>
      <c r="F36" s="155"/>
      <c r="G36" s="7"/>
      <c r="H36" s="20"/>
      <c r="I36" s="3"/>
      <c r="J36" s="3"/>
      <c r="K36" s="3"/>
      <c r="L36" s="3"/>
      <c r="M36" s="5"/>
      <c r="N36" s="5"/>
      <c r="O36" s="5"/>
      <c r="P36" s="24"/>
      <c r="Q36" s="24"/>
      <c r="R36" s="3"/>
      <c r="S36" s="5"/>
      <c r="T36" s="3"/>
      <c r="U36" s="20"/>
      <c r="V36" s="112" t="s">
        <v>2367</v>
      </c>
      <c r="W36" s="112" t="s">
        <v>370</v>
      </c>
      <c r="X36" s="38" t="s">
        <v>369</v>
      </c>
      <c r="Y36" s="1872">
        <v>200135152001</v>
      </c>
      <c r="Z36" s="1445"/>
      <c r="AA36" s="1445"/>
      <c r="AB36" s="20"/>
      <c r="AC36" s="3"/>
      <c r="AD36" s="3"/>
      <c r="AE36" s="5"/>
      <c r="AF36" s="3"/>
      <c r="AG36" s="3"/>
      <c r="AH36" s="5"/>
      <c r="AI36" s="844"/>
      <c r="AJ36" s="39"/>
      <c r="AK36" s="39"/>
      <c r="AL36" s="39"/>
      <c r="AM36" s="39"/>
      <c r="AN36" s="3" t="s">
        <v>371</v>
      </c>
      <c r="AO36" s="3" t="s">
        <v>371</v>
      </c>
      <c r="AP36" s="3" t="s">
        <v>371</v>
      </c>
      <c r="AQ36" s="3" t="s">
        <v>371</v>
      </c>
      <c r="AR36" s="3" t="s">
        <v>92</v>
      </c>
      <c r="AS36" s="3" t="s">
        <v>92</v>
      </c>
      <c r="AT36" s="3" t="s">
        <v>371</v>
      </c>
      <c r="AU36" s="3" t="s">
        <v>371</v>
      </c>
      <c r="AV36" s="3" t="s">
        <v>371</v>
      </c>
      <c r="AW36" s="3" t="s">
        <v>92</v>
      </c>
      <c r="AX36" s="1414" t="s">
        <v>371</v>
      </c>
      <c r="AY36" s="3"/>
      <c r="AZ36" s="139"/>
      <c r="BA36" s="139"/>
      <c r="BB36" s="139"/>
      <c r="BC36" s="139"/>
      <c r="BD36" s="139"/>
      <c r="BE36" s="3"/>
    </row>
    <row r="37" spans="1:57" ht="15.75" customHeight="1" x14ac:dyDescent="0.4">
      <c r="A37" s="3"/>
      <c r="B37" s="3"/>
      <c r="C37" s="36"/>
      <c r="D37" s="155"/>
      <c r="E37" s="155"/>
      <c r="F37" s="155"/>
      <c r="G37" s="7"/>
      <c r="H37" s="20"/>
      <c r="I37" s="3"/>
      <c r="J37" s="3"/>
      <c r="K37" s="3"/>
      <c r="L37" s="3"/>
      <c r="M37" s="5"/>
      <c r="N37" s="5"/>
      <c r="O37" s="5"/>
      <c r="P37" s="24"/>
      <c r="Q37" s="24"/>
      <c r="R37" s="3"/>
      <c r="S37" s="5"/>
      <c r="T37" s="3"/>
      <c r="U37" s="20"/>
      <c r="V37" s="3" t="s">
        <v>2365</v>
      </c>
      <c r="W37" s="3" t="s">
        <v>370</v>
      </c>
      <c r="X37" s="38" t="s">
        <v>2365</v>
      </c>
      <c r="Y37" s="1445">
        <v>200135181155</v>
      </c>
      <c r="Z37" s="1445"/>
      <c r="AA37" s="1445"/>
      <c r="AB37" s="20"/>
      <c r="AC37" s="3"/>
      <c r="AD37" s="3"/>
      <c r="AE37" s="5"/>
      <c r="AF37" s="3"/>
      <c r="AG37" s="3"/>
      <c r="AH37" s="5"/>
      <c r="AI37" s="844"/>
      <c r="AJ37" s="39"/>
      <c r="AK37" s="39"/>
      <c r="AL37" s="39"/>
      <c r="AM37" s="39"/>
      <c r="AN37" s="3" t="s">
        <v>371</v>
      </c>
      <c r="AO37" s="3" t="s">
        <v>371</v>
      </c>
      <c r="AP37" s="3" t="s">
        <v>371</v>
      </c>
      <c r="AQ37" s="3" t="s">
        <v>371</v>
      </c>
      <c r="AR37" s="3" t="s">
        <v>92</v>
      </c>
      <c r="AS37" s="3" t="s">
        <v>92</v>
      </c>
      <c r="AT37" s="3" t="s">
        <v>371</v>
      </c>
      <c r="AU37" s="3" t="s">
        <v>371</v>
      </c>
      <c r="AV37" s="3" t="s">
        <v>371</v>
      </c>
      <c r="AW37" s="3" t="s">
        <v>92</v>
      </c>
      <c r="AX37" s="1414" t="s">
        <v>81</v>
      </c>
      <c r="AY37" s="3"/>
      <c r="AZ37" s="139"/>
      <c r="BA37" s="139"/>
      <c r="BB37" s="139"/>
      <c r="BC37" s="139"/>
      <c r="BD37" s="139"/>
      <c r="BE37" s="3"/>
    </row>
    <row r="38" spans="1:57" ht="15.75" customHeight="1" x14ac:dyDescent="0.4">
      <c r="A38" s="3"/>
      <c r="B38" s="3"/>
      <c r="C38" s="1487" t="s">
        <v>2387</v>
      </c>
      <c r="D38" s="1933"/>
      <c r="E38" s="951"/>
      <c r="F38" s="951"/>
      <c r="G38" s="454"/>
      <c r="H38" s="1032"/>
      <c r="I38" s="130" t="s">
        <v>365</v>
      </c>
      <c r="J38" s="130"/>
      <c r="K38" s="130"/>
      <c r="L38" s="130"/>
      <c r="M38" s="584"/>
      <c r="N38" s="584"/>
      <c r="O38" s="584"/>
      <c r="P38" s="1034"/>
      <c r="Q38" s="1034"/>
      <c r="R38" s="130" t="s">
        <v>352</v>
      </c>
      <c r="S38" s="584">
        <f>SHHeight</f>
        <v>74</v>
      </c>
      <c r="T38" s="130" t="s">
        <v>366</v>
      </c>
      <c r="U38" s="1032"/>
      <c r="V38" s="587" t="s">
        <v>369</v>
      </c>
      <c r="W38" s="130" t="s">
        <v>370</v>
      </c>
      <c r="X38" s="587" t="s">
        <v>369</v>
      </c>
      <c r="Y38" s="1931">
        <v>120074014002</v>
      </c>
      <c r="Z38" s="1931"/>
      <c r="AA38" s="1931"/>
      <c r="AB38" s="1032"/>
      <c r="AC38" s="130"/>
      <c r="AD38" s="130">
        <v>2</v>
      </c>
      <c r="AE38" s="584">
        <f>S38*AD38/12</f>
        <v>12.333333333333334</v>
      </c>
      <c r="AF38" s="130" t="s">
        <v>367</v>
      </c>
      <c r="AG38" s="130"/>
      <c r="AH38" s="584"/>
      <c r="AI38" s="1046">
        <v>1.9449999999999999E-2</v>
      </c>
      <c r="AJ38" s="589"/>
      <c r="AK38" s="589"/>
      <c r="AL38" s="589"/>
      <c r="AM38" s="589">
        <f>AE38*AI38</f>
        <v>0.23988333333333334</v>
      </c>
      <c r="AN38" s="130" t="s">
        <v>92</v>
      </c>
      <c r="AO38" s="130" t="s">
        <v>92</v>
      </c>
      <c r="AP38" s="130" t="s">
        <v>92</v>
      </c>
      <c r="AQ38" s="130" t="s">
        <v>92</v>
      </c>
      <c r="AR38" s="130" t="s">
        <v>92</v>
      </c>
      <c r="AS38" s="130" t="s">
        <v>92</v>
      </c>
      <c r="AT38" s="130" t="s">
        <v>81</v>
      </c>
      <c r="AU38" s="130" t="s">
        <v>92</v>
      </c>
      <c r="AV38" s="130" t="s">
        <v>92</v>
      </c>
      <c r="AW38" s="130" t="s">
        <v>92</v>
      </c>
      <c r="AX38" s="1932" t="s">
        <v>81</v>
      </c>
      <c r="AY38" s="130"/>
      <c r="AZ38" s="139"/>
      <c r="BA38" s="139"/>
      <c r="BB38" s="139"/>
      <c r="BC38" s="139"/>
      <c r="BD38" s="139"/>
      <c r="BE38" s="3"/>
    </row>
    <row r="39" spans="1:57" ht="15.75" customHeight="1" thickBot="1" x14ac:dyDescent="0.45">
      <c r="A39" s="3"/>
      <c r="B39" s="3"/>
      <c r="C39" s="943" t="s">
        <v>2388</v>
      </c>
      <c r="D39" s="1068"/>
      <c r="E39" s="925"/>
      <c r="F39" s="925"/>
      <c r="G39" s="924"/>
      <c r="H39" s="887"/>
      <c r="I39" s="889" t="s">
        <v>365</v>
      </c>
      <c r="J39" s="889"/>
      <c r="K39" s="889"/>
      <c r="L39" s="889"/>
      <c r="M39" s="945"/>
      <c r="N39" s="945"/>
      <c r="O39" s="945"/>
      <c r="P39" s="1020"/>
      <c r="Q39" s="1020"/>
      <c r="R39" s="889" t="s">
        <v>352</v>
      </c>
      <c r="S39" s="945">
        <f>SHHeight</f>
        <v>74</v>
      </c>
      <c r="T39" s="889" t="s">
        <v>366</v>
      </c>
      <c r="U39" s="887"/>
      <c r="V39" s="888" t="s">
        <v>369</v>
      </c>
      <c r="W39" s="889" t="s">
        <v>370</v>
      </c>
      <c r="X39" s="888" t="s">
        <v>369</v>
      </c>
      <c r="Y39" s="1451">
        <v>120074014938</v>
      </c>
      <c r="Z39" s="1451"/>
      <c r="AA39" s="1451"/>
      <c r="AB39" s="887"/>
      <c r="AC39" s="889"/>
      <c r="AD39" s="889">
        <v>2</v>
      </c>
      <c r="AE39" s="945">
        <f>S39*AD39/12</f>
        <v>12.333333333333334</v>
      </c>
      <c r="AF39" s="889" t="s">
        <v>367</v>
      </c>
      <c r="AG39" s="889"/>
      <c r="AH39" s="945"/>
      <c r="AI39" s="937">
        <v>9.1199999999999996E-3</v>
      </c>
      <c r="AJ39" s="947"/>
      <c r="AK39" s="947"/>
      <c r="AL39" s="947"/>
      <c r="AM39" s="947">
        <f>AE39*AI39</f>
        <v>0.11248</v>
      </c>
      <c r="AN39" s="889" t="s">
        <v>92</v>
      </c>
      <c r="AO39" s="889" t="s">
        <v>92</v>
      </c>
      <c r="AP39" s="889" t="s">
        <v>92</v>
      </c>
      <c r="AQ39" s="889" t="s">
        <v>92</v>
      </c>
      <c r="AR39" s="889" t="s">
        <v>92</v>
      </c>
      <c r="AS39" s="889" t="s">
        <v>92</v>
      </c>
      <c r="AT39" s="889" t="s">
        <v>92</v>
      </c>
      <c r="AU39" s="889" t="s">
        <v>92</v>
      </c>
      <c r="AV39" s="889" t="s">
        <v>92</v>
      </c>
      <c r="AW39" s="889" t="s">
        <v>92</v>
      </c>
      <c r="AX39" s="1590" t="s">
        <v>81</v>
      </c>
      <c r="AY39" s="889"/>
      <c r="AZ39" s="139"/>
      <c r="BA39" s="139"/>
      <c r="BB39" s="139"/>
      <c r="BC39" s="139"/>
      <c r="BD39" s="139"/>
      <c r="BE39" s="3"/>
    </row>
    <row r="40" spans="1:57" ht="15" customHeight="1" x14ac:dyDescent="0.4">
      <c r="A40" s="3" t="s">
        <v>376</v>
      </c>
      <c r="B40" s="3"/>
      <c r="C40" s="173" t="s">
        <v>377</v>
      </c>
      <c r="D40" s="116"/>
      <c r="E40" s="116"/>
      <c r="F40" s="174" t="s">
        <v>364</v>
      </c>
      <c r="G40" s="173"/>
      <c r="H40" s="175"/>
      <c r="I40" s="116" t="s">
        <v>365</v>
      </c>
      <c r="J40" s="116"/>
      <c r="K40" s="116"/>
      <c r="L40" s="116" t="s">
        <v>348</v>
      </c>
      <c r="M40" s="177">
        <v>5.3129999999999997</v>
      </c>
      <c r="N40" s="177" t="s">
        <v>348</v>
      </c>
      <c r="O40" s="177">
        <v>0.125</v>
      </c>
      <c r="P40" s="178"/>
      <c r="Q40" s="178"/>
      <c r="R40" s="116" t="s">
        <v>352</v>
      </c>
      <c r="S40" s="177">
        <f>SHHeight+M40+O40</f>
        <v>79.438000000000002</v>
      </c>
      <c r="T40" s="116" t="s">
        <v>366</v>
      </c>
      <c r="U40" s="175"/>
      <c r="V40" s="173"/>
      <c r="W40" s="173"/>
      <c r="X40" s="173"/>
      <c r="Y40" s="116"/>
      <c r="Z40" s="116"/>
      <c r="AA40" s="116"/>
      <c r="AB40" s="175"/>
      <c r="AC40" s="116">
        <v>45</v>
      </c>
      <c r="AD40" s="116">
        <v>2</v>
      </c>
      <c r="AE40" s="177">
        <f>S40*AD40/12</f>
        <v>13.239666666666666</v>
      </c>
      <c r="AF40" s="116" t="s">
        <v>367</v>
      </c>
      <c r="AG40" s="179">
        <v>1.0449999999999999</v>
      </c>
      <c r="AH40" s="177">
        <f>AG40*AtolbperftSH</f>
        <v>0.6609624999999999</v>
      </c>
      <c r="AI40" s="51"/>
      <c r="AJ40" s="39"/>
      <c r="AK40" s="39"/>
      <c r="AL40" s="39"/>
      <c r="AM40" s="39"/>
      <c r="AN40" s="3" t="s">
        <v>371</v>
      </c>
      <c r="AO40" s="3" t="s">
        <v>371</v>
      </c>
      <c r="AP40" s="3" t="s">
        <v>371</v>
      </c>
      <c r="AQ40" s="3" t="s">
        <v>371</v>
      </c>
      <c r="AR40" s="3" t="s">
        <v>92</v>
      </c>
      <c r="AS40" s="3" t="s">
        <v>92</v>
      </c>
      <c r="AT40" s="3" t="s">
        <v>371</v>
      </c>
      <c r="AU40" s="3" t="s">
        <v>371</v>
      </c>
      <c r="AV40" s="3" t="s">
        <v>371</v>
      </c>
      <c r="AW40" s="3" t="s">
        <v>92</v>
      </c>
      <c r="AX40" s="1414" t="s">
        <v>371</v>
      </c>
      <c r="AY40" s="3"/>
      <c r="AZ40" s="139"/>
      <c r="BA40" s="139"/>
      <c r="BB40" s="139"/>
      <c r="BC40" s="139"/>
      <c r="BD40" s="139"/>
      <c r="BE40" s="3"/>
    </row>
    <row r="41" spans="1:57" ht="15" customHeight="1" x14ac:dyDescent="0.4">
      <c r="A41" s="3" t="s">
        <v>378</v>
      </c>
      <c r="B41" s="3"/>
      <c r="C41" s="36"/>
      <c r="D41" s="7"/>
      <c r="E41" s="3"/>
      <c r="F41" s="47" t="s">
        <v>379</v>
      </c>
      <c r="G41" s="7"/>
      <c r="H41" s="20"/>
      <c r="I41" s="3" t="s">
        <v>365</v>
      </c>
      <c r="J41" s="3"/>
      <c r="K41" s="3"/>
      <c r="L41" s="3" t="s">
        <v>348</v>
      </c>
      <c r="M41" s="5">
        <v>1.5629999999999999</v>
      </c>
      <c r="N41" s="5" t="s">
        <v>348</v>
      </c>
      <c r="O41" s="5">
        <v>0.125</v>
      </c>
      <c r="P41" s="5"/>
      <c r="Q41" s="5"/>
      <c r="R41" s="3" t="s">
        <v>352</v>
      </c>
      <c r="S41" s="5">
        <f>SHHeight+M41+O41</f>
        <v>75.688000000000002</v>
      </c>
      <c r="T41" s="3" t="s">
        <v>366</v>
      </c>
      <c r="U41" s="20"/>
      <c r="V41" s="38" t="s">
        <v>369</v>
      </c>
      <c r="W41" s="3" t="s">
        <v>370</v>
      </c>
      <c r="X41" s="38" t="s">
        <v>369</v>
      </c>
      <c r="Y41" s="1443">
        <v>200175003</v>
      </c>
      <c r="Z41" s="1443"/>
      <c r="AA41" s="1443"/>
      <c r="AB41" s="20"/>
      <c r="AC41" s="3"/>
      <c r="AD41" s="3"/>
      <c r="AE41" s="5"/>
      <c r="AF41" s="3"/>
      <c r="AG41" s="38"/>
      <c r="AH41" s="5"/>
      <c r="AI41" s="353">
        <v>0.62360000000000004</v>
      </c>
      <c r="AJ41" s="39"/>
      <c r="AK41" s="39"/>
      <c r="AL41" s="39"/>
      <c r="AM41" s="39">
        <f t="shared" ref="AM41:AM46" si="2">AE$40*AI41+SUM(AJ41:AL41)</f>
        <v>8.2562561333333342</v>
      </c>
      <c r="AN41" s="3" t="s">
        <v>371</v>
      </c>
      <c r="AO41" s="3" t="s">
        <v>371</v>
      </c>
      <c r="AP41" s="3" t="s">
        <v>371</v>
      </c>
      <c r="AQ41" s="3" t="s">
        <v>371</v>
      </c>
      <c r="AR41" s="3" t="s">
        <v>92</v>
      </c>
      <c r="AS41" s="3" t="s">
        <v>92</v>
      </c>
      <c r="AT41" s="3" t="s">
        <v>371</v>
      </c>
      <c r="AU41" s="3" t="s">
        <v>371</v>
      </c>
      <c r="AV41" s="3" t="s">
        <v>371</v>
      </c>
      <c r="AW41" s="3" t="s">
        <v>92</v>
      </c>
      <c r="AX41" s="1414" t="s">
        <v>371</v>
      </c>
      <c r="AY41" s="3"/>
      <c r="AZ41" s="139"/>
      <c r="BA41" s="139"/>
      <c r="BB41" s="139"/>
      <c r="BC41" s="139"/>
      <c r="BD41" s="139"/>
      <c r="BE41" s="3"/>
    </row>
    <row r="42" spans="1:57" ht="15" customHeight="1" x14ac:dyDescent="0.4">
      <c r="A42" s="3"/>
      <c r="B42" s="3"/>
      <c r="C42" s="36"/>
      <c r="D42" s="36"/>
      <c r="E42" s="155"/>
      <c r="F42" s="155" t="s">
        <v>380</v>
      </c>
      <c r="G42" s="7"/>
      <c r="H42" s="20"/>
      <c r="I42" s="3" t="s">
        <v>365</v>
      </c>
      <c r="J42" s="3"/>
      <c r="K42" s="3"/>
      <c r="L42" s="3" t="s">
        <v>348</v>
      </c>
      <c r="M42" s="5">
        <f>M41</f>
        <v>1.5629999999999999</v>
      </c>
      <c r="N42" s="5" t="s">
        <v>348</v>
      </c>
      <c r="O42" s="5">
        <v>0</v>
      </c>
      <c r="P42" s="24"/>
      <c r="Q42" s="24"/>
      <c r="R42" s="3" t="s">
        <v>352</v>
      </c>
      <c r="S42" s="5">
        <f>SHHeight+M42+O42</f>
        <v>75.563000000000002</v>
      </c>
      <c r="T42" s="3" t="s">
        <v>366</v>
      </c>
      <c r="U42" s="20"/>
      <c r="V42" s="38" t="s">
        <v>369</v>
      </c>
      <c r="W42" s="3" t="s">
        <v>372</v>
      </c>
      <c r="X42" s="38" t="s">
        <v>369</v>
      </c>
      <c r="Y42" s="1443">
        <v>200175021</v>
      </c>
      <c r="Z42" s="1443"/>
      <c r="AA42" s="1443"/>
      <c r="AB42" s="20"/>
      <c r="AC42" s="3"/>
      <c r="AD42" s="3"/>
      <c r="AE42" s="5"/>
      <c r="AF42" s="3"/>
      <c r="AG42" s="3"/>
      <c r="AH42" s="5"/>
      <c r="AI42" s="353">
        <v>0.66090000000000004</v>
      </c>
      <c r="AJ42" s="39"/>
      <c r="AK42" s="39"/>
      <c r="AL42" s="39"/>
      <c r="AM42" s="39">
        <f t="shared" si="2"/>
        <v>8.750095700000001</v>
      </c>
      <c r="AN42" s="3" t="s">
        <v>371</v>
      </c>
      <c r="AO42" s="3" t="s">
        <v>371</v>
      </c>
      <c r="AP42" s="3" t="s">
        <v>371</v>
      </c>
      <c r="AQ42" s="3" t="s">
        <v>371</v>
      </c>
      <c r="AR42" s="3" t="s">
        <v>92</v>
      </c>
      <c r="AS42" s="3" t="s">
        <v>92</v>
      </c>
      <c r="AT42" s="3" t="s">
        <v>371</v>
      </c>
      <c r="AU42" s="3" t="s">
        <v>371</v>
      </c>
      <c r="AV42" s="3" t="s">
        <v>371</v>
      </c>
      <c r="AW42" s="3" t="s">
        <v>92</v>
      </c>
      <c r="AX42" s="1414" t="s">
        <v>371</v>
      </c>
      <c r="AY42" s="3"/>
      <c r="AZ42" s="139"/>
      <c r="BA42" s="139"/>
      <c r="BB42" s="139"/>
      <c r="BC42" s="139"/>
      <c r="BD42" s="139"/>
      <c r="BE42" s="3"/>
    </row>
    <row r="43" spans="1:57" ht="15" customHeight="1" x14ac:dyDescent="0.4">
      <c r="A43" s="3"/>
      <c r="B43" s="3"/>
      <c r="C43" s="36"/>
      <c r="D43" s="36"/>
      <c r="E43" s="155"/>
      <c r="F43" s="155"/>
      <c r="G43" s="7"/>
      <c r="H43" s="20"/>
      <c r="I43" s="3"/>
      <c r="J43" s="3"/>
      <c r="K43" s="3"/>
      <c r="L43" s="3"/>
      <c r="M43" s="5"/>
      <c r="N43" s="5"/>
      <c r="O43" s="5"/>
      <c r="P43" s="24"/>
      <c r="Q43" s="24"/>
      <c r="R43" s="3"/>
      <c r="S43" s="5"/>
      <c r="T43" s="3"/>
      <c r="U43" s="20"/>
      <c r="V43" s="38" t="s">
        <v>369</v>
      </c>
      <c r="W43" s="3" t="s">
        <v>373</v>
      </c>
      <c r="X43" s="38" t="s">
        <v>369</v>
      </c>
      <c r="Y43" s="1443">
        <v>200175033</v>
      </c>
      <c r="Z43" s="1443"/>
      <c r="AA43" s="1443"/>
      <c r="AB43" s="20"/>
      <c r="AC43" s="3"/>
      <c r="AD43" s="3"/>
      <c r="AE43" s="5"/>
      <c r="AF43" s="3"/>
      <c r="AG43" s="3"/>
      <c r="AH43" s="5"/>
      <c r="AI43" s="353">
        <v>0.71260000000000001</v>
      </c>
      <c r="AJ43" s="39"/>
      <c r="AK43" s="39"/>
      <c r="AL43" s="39"/>
      <c r="AM43" s="39">
        <f t="shared" si="2"/>
        <v>9.4345864666666674</v>
      </c>
      <c r="AN43" s="3" t="s">
        <v>371</v>
      </c>
      <c r="AO43" s="3" t="s">
        <v>371</v>
      </c>
      <c r="AP43" s="3" t="s">
        <v>371</v>
      </c>
      <c r="AQ43" s="3" t="s">
        <v>371</v>
      </c>
      <c r="AR43" s="3" t="s">
        <v>92</v>
      </c>
      <c r="AS43" s="3" t="s">
        <v>92</v>
      </c>
      <c r="AT43" s="3" t="s">
        <v>371</v>
      </c>
      <c r="AU43" s="3" t="s">
        <v>371</v>
      </c>
      <c r="AV43" s="3" t="s">
        <v>81</v>
      </c>
      <c r="AW43" s="3" t="s">
        <v>92</v>
      </c>
      <c r="AX43" s="1414" t="s">
        <v>371</v>
      </c>
      <c r="AY43" s="3"/>
      <c r="AZ43" s="139"/>
      <c r="BA43" s="139"/>
      <c r="BB43" s="139"/>
      <c r="BC43" s="139"/>
      <c r="BD43" s="139"/>
      <c r="BE43" s="3"/>
    </row>
    <row r="44" spans="1:57" ht="15" customHeight="1" x14ac:dyDescent="0.4">
      <c r="A44" s="3"/>
      <c r="B44" s="3"/>
      <c r="C44" s="36"/>
      <c r="D44" s="4"/>
      <c r="E44" s="36"/>
      <c r="F44" s="155"/>
      <c r="G44" s="7"/>
      <c r="H44" s="20"/>
      <c r="I44" s="3"/>
      <c r="J44" s="3"/>
      <c r="K44" s="3"/>
      <c r="L44" s="3"/>
      <c r="M44" s="5"/>
      <c r="N44" s="5"/>
      <c r="O44" s="5"/>
      <c r="P44" s="24"/>
      <c r="Q44" s="24"/>
      <c r="R44" s="3"/>
      <c r="S44" s="5"/>
      <c r="T44" s="3"/>
      <c r="U44" s="20"/>
      <c r="V44" s="3" t="s">
        <v>2363</v>
      </c>
      <c r="W44" s="3" t="s">
        <v>370</v>
      </c>
      <c r="X44" s="38" t="s">
        <v>369</v>
      </c>
      <c r="Y44" s="1443">
        <v>200175127</v>
      </c>
      <c r="Z44" s="1443"/>
      <c r="AA44" s="1443"/>
      <c r="AB44" s="20"/>
      <c r="AC44" s="3"/>
      <c r="AD44" s="3"/>
      <c r="AE44" s="5"/>
      <c r="AF44" s="3"/>
      <c r="AG44" s="3"/>
      <c r="AH44" s="5"/>
      <c r="AI44" s="353">
        <v>0.83289999999999997</v>
      </c>
      <c r="AJ44" s="39"/>
      <c r="AK44" s="39"/>
      <c r="AL44" s="39"/>
      <c r="AM44" s="39">
        <f>AE$40*AI44+SUM(AJ44:AL44)</f>
        <v>11.027318366666666</v>
      </c>
      <c r="AN44" s="3" t="s">
        <v>371</v>
      </c>
      <c r="AO44" s="3" t="s">
        <v>371</v>
      </c>
      <c r="AP44" s="3" t="s">
        <v>371</v>
      </c>
      <c r="AQ44" s="3" t="s">
        <v>371</v>
      </c>
      <c r="AR44" s="3" t="s">
        <v>92</v>
      </c>
      <c r="AS44" s="3" t="s">
        <v>92</v>
      </c>
      <c r="AT44" s="3" t="s">
        <v>371</v>
      </c>
      <c r="AU44" s="3" t="s">
        <v>371</v>
      </c>
      <c r="AV44" s="3" t="s">
        <v>371</v>
      </c>
      <c r="AW44" s="3" t="s">
        <v>92</v>
      </c>
      <c r="AX44" s="1414" t="s">
        <v>371</v>
      </c>
      <c r="AY44" s="3"/>
      <c r="AZ44" s="139"/>
      <c r="BA44" s="139"/>
      <c r="BB44" s="139"/>
      <c r="BC44" s="139"/>
      <c r="BD44" s="139"/>
      <c r="BE44" s="3"/>
    </row>
    <row r="45" spans="1:57" ht="15" customHeight="1" x14ac:dyDescent="0.4">
      <c r="A45" s="3"/>
      <c r="B45" s="3"/>
      <c r="C45" s="36"/>
      <c r="D45" s="4"/>
      <c r="E45" s="155"/>
      <c r="F45" s="155"/>
      <c r="G45" s="7"/>
      <c r="H45" s="20"/>
      <c r="I45" s="3"/>
      <c r="J45" s="3"/>
      <c r="K45" s="3"/>
      <c r="L45" s="3"/>
      <c r="M45" s="5"/>
      <c r="N45" s="5"/>
      <c r="O45" s="5"/>
      <c r="P45" s="24"/>
      <c r="Q45" s="24"/>
      <c r="R45" s="3"/>
      <c r="S45" s="5"/>
      <c r="T45" s="3"/>
      <c r="U45" s="20"/>
      <c r="V45" s="3" t="s">
        <v>2365</v>
      </c>
      <c r="W45" s="3" t="s">
        <v>370</v>
      </c>
      <c r="X45" s="38" t="s">
        <v>369</v>
      </c>
      <c r="Y45" s="1443">
        <v>200175180</v>
      </c>
      <c r="Z45" s="1443"/>
      <c r="AA45" s="1443"/>
      <c r="AB45" s="20"/>
      <c r="AC45" s="3"/>
      <c r="AD45" s="3"/>
      <c r="AE45" s="5"/>
      <c r="AF45" s="3"/>
      <c r="AG45" s="3"/>
      <c r="AH45" s="5"/>
      <c r="AI45" s="353">
        <v>0.89339999999999997</v>
      </c>
      <c r="AJ45" s="39"/>
      <c r="AK45" s="39"/>
      <c r="AL45" s="39"/>
      <c r="AM45" s="39">
        <f t="shared" si="2"/>
        <v>11.8283182</v>
      </c>
      <c r="AN45" s="3" t="s">
        <v>371</v>
      </c>
      <c r="AO45" s="3" t="s">
        <v>371</v>
      </c>
      <c r="AP45" s="3" t="s">
        <v>371</v>
      </c>
      <c r="AQ45" s="3" t="s">
        <v>371</v>
      </c>
      <c r="AR45" s="3" t="s">
        <v>92</v>
      </c>
      <c r="AS45" s="3" t="s">
        <v>92</v>
      </c>
      <c r="AT45" s="3" t="s">
        <v>371</v>
      </c>
      <c r="AU45" s="3" t="s">
        <v>371</v>
      </c>
      <c r="AV45" s="3" t="s">
        <v>371</v>
      </c>
      <c r="AW45" s="3" t="s">
        <v>92</v>
      </c>
      <c r="AX45" s="1414" t="s">
        <v>371</v>
      </c>
      <c r="AY45" s="3"/>
      <c r="AZ45" s="139"/>
      <c r="BA45" s="139"/>
      <c r="BB45" s="139"/>
      <c r="BC45" s="139"/>
      <c r="BD45" s="139"/>
      <c r="BE45" s="3"/>
    </row>
    <row r="46" spans="1:57" ht="15" customHeight="1" x14ac:dyDescent="0.4">
      <c r="A46" s="3"/>
      <c r="B46" s="3"/>
      <c r="C46" s="36"/>
      <c r="D46" s="622"/>
      <c r="E46" s="623"/>
      <c r="F46" s="623"/>
      <c r="G46" s="221"/>
      <c r="H46" s="624"/>
      <c r="I46" s="577"/>
      <c r="J46" s="577"/>
      <c r="K46" s="577"/>
      <c r="L46" s="577"/>
      <c r="M46" s="575"/>
      <c r="N46" s="575"/>
      <c r="O46" s="575"/>
      <c r="P46" s="625"/>
      <c r="Q46" s="625"/>
      <c r="R46" s="577"/>
      <c r="S46" s="575"/>
      <c r="T46" s="577"/>
      <c r="U46" s="624"/>
      <c r="V46" s="1873" t="s">
        <v>2367</v>
      </c>
      <c r="W46" s="1873" t="s">
        <v>370</v>
      </c>
      <c r="X46" s="1874" t="s">
        <v>369</v>
      </c>
      <c r="Y46" s="1875">
        <v>200175152</v>
      </c>
      <c r="Z46" s="1446"/>
      <c r="AA46" s="1446"/>
      <c r="AB46" s="624"/>
      <c r="AC46" s="577"/>
      <c r="AD46" s="577"/>
      <c r="AE46" s="575"/>
      <c r="AF46" s="577"/>
      <c r="AG46" s="577"/>
      <c r="AH46" s="575"/>
      <c r="AI46" s="1425">
        <v>0.82969999999999999</v>
      </c>
      <c r="AJ46" s="581"/>
      <c r="AK46" s="581"/>
      <c r="AL46" s="581"/>
      <c r="AM46" s="581">
        <f t="shared" si="2"/>
        <v>10.984951433333332</v>
      </c>
      <c r="AN46" s="577" t="s">
        <v>371</v>
      </c>
      <c r="AO46" s="577" t="s">
        <v>371</v>
      </c>
      <c r="AP46" s="577" t="s">
        <v>371</v>
      </c>
      <c r="AQ46" s="577" t="s">
        <v>371</v>
      </c>
      <c r="AR46" s="577" t="s">
        <v>92</v>
      </c>
      <c r="AS46" s="577" t="s">
        <v>92</v>
      </c>
      <c r="AT46" s="577" t="s">
        <v>371</v>
      </c>
      <c r="AU46" s="577" t="s">
        <v>371</v>
      </c>
      <c r="AV46" s="577" t="s">
        <v>371</v>
      </c>
      <c r="AW46" s="577" t="s">
        <v>92</v>
      </c>
      <c r="AX46" s="1881" t="s">
        <v>371</v>
      </c>
      <c r="AY46" s="577"/>
      <c r="AZ46" s="139"/>
      <c r="BA46" s="139"/>
      <c r="BB46" s="139"/>
      <c r="BC46" s="139"/>
      <c r="BD46" s="139"/>
      <c r="BE46" s="3"/>
    </row>
    <row r="47" spans="1:57" ht="15" customHeight="1" thickBot="1" x14ac:dyDescent="0.45">
      <c r="A47" s="3"/>
      <c r="B47" s="3"/>
      <c r="C47" s="36"/>
      <c r="D47" s="36" t="s">
        <v>381</v>
      </c>
      <c r="E47" s="155"/>
      <c r="F47" s="155"/>
      <c r="G47" s="7"/>
      <c r="H47" s="20"/>
      <c r="I47" s="3" t="s">
        <v>365</v>
      </c>
      <c r="J47" s="3"/>
      <c r="K47" s="3"/>
      <c r="L47" s="3" t="s">
        <v>348</v>
      </c>
      <c r="M47" s="5">
        <f>M40</f>
        <v>5.3129999999999997</v>
      </c>
      <c r="N47" s="5" t="s">
        <v>348</v>
      </c>
      <c r="O47" s="5">
        <f>O40</f>
        <v>0.125</v>
      </c>
      <c r="P47" s="24"/>
      <c r="Q47" s="24"/>
      <c r="R47" s="3" t="s">
        <v>352</v>
      </c>
      <c r="S47" s="5">
        <f>SHHeight+M47+O47</f>
        <v>79.438000000000002</v>
      </c>
      <c r="T47" s="3" t="s">
        <v>366</v>
      </c>
      <c r="U47" s="20"/>
      <c r="V47" s="38"/>
      <c r="W47" s="3"/>
      <c r="X47" s="38"/>
      <c r="Y47" s="1443">
        <v>610025061</v>
      </c>
      <c r="Z47" s="41">
        <v>251882</v>
      </c>
      <c r="AA47" s="41"/>
      <c r="AB47" s="20"/>
      <c r="AC47" s="3">
        <v>45</v>
      </c>
      <c r="AD47" s="3">
        <v>2</v>
      </c>
      <c r="AE47" s="945">
        <f>S47*AD47/12</f>
        <v>13.239666666666666</v>
      </c>
      <c r="AF47" s="3" t="s">
        <v>367</v>
      </c>
      <c r="AG47" s="3"/>
      <c r="AH47" s="5"/>
      <c r="AI47" s="353">
        <v>1.8599999999999998E-2</v>
      </c>
      <c r="AJ47" s="39"/>
      <c r="AK47" s="39"/>
      <c r="AL47" s="39"/>
      <c r="AM47" s="947">
        <f>AE47*AI47+SUM(AJ47:AL47)</f>
        <v>0.24625779999999997</v>
      </c>
      <c r="AN47" s="889" t="s">
        <v>371</v>
      </c>
      <c r="AO47" s="889" t="s">
        <v>371</v>
      </c>
      <c r="AP47" s="889" t="s">
        <v>371</v>
      </c>
      <c r="AQ47" s="889" t="s">
        <v>371</v>
      </c>
      <c r="AR47" s="889" t="s">
        <v>92</v>
      </c>
      <c r="AS47" s="889" t="s">
        <v>92</v>
      </c>
      <c r="AT47" s="889" t="s">
        <v>371</v>
      </c>
      <c r="AU47" s="889" t="s">
        <v>371</v>
      </c>
      <c r="AV47" s="889" t="s">
        <v>371</v>
      </c>
      <c r="AW47" s="889" t="s">
        <v>92</v>
      </c>
      <c r="AX47" s="1590" t="s">
        <v>371</v>
      </c>
      <c r="AY47" s="889"/>
      <c r="AZ47" s="139"/>
      <c r="BA47" s="139"/>
      <c r="BB47" s="139"/>
      <c r="BC47" s="139"/>
      <c r="BD47" s="139"/>
      <c r="BE47" s="3"/>
    </row>
    <row r="48" spans="1:57" ht="15" customHeight="1" x14ac:dyDescent="0.4">
      <c r="A48" s="3"/>
      <c r="B48" s="3"/>
      <c r="C48" s="173" t="s">
        <v>382</v>
      </c>
      <c r="D48" s="181"/>
      <c r="E48" s="182"/>
      <c r="F48" s="182"/>
      <c r="G48" s="430" t="s">
        <v>383</v>
      </c>
      <c r="H48" s="175"/>
      <c r="I48" s="116" t="s">
        <v>365</v>
      </c>
      <c r="J48" s="116"/>
      <c r="K48" s="116"/>
      <c r="L48" s="116" t="s">
        <v>348</v>
      </c>
      <c r="M48" s="177">
        <f>1.625+1.375*2</f>
        <v>4.375</v>
      </c>
      <c r="N48" s="177" t="s">
        <v>348</v>
      </c>
      <c r="O48" s="177">
        <f>0.125*2</f>
        <v>0.25</v>
      </c>
      <c r="P48" s="178"/>
      <c r="Q48" s="178"/>
      <c r="R48" s="116" t="s">
        <v>352</v>
      </c>
      <c r="S48" s="177">
        <f>SHHeight+M48+O48</f>
        <v>78.625</v>
      </c>
      <c r="T48" s="116" t="s">
        <v>366</v>
      </c>
      <c r="U48" s="175"/>
      <c r="V48" s="179"/>
      <c r="W48" s="116"/>
      <c r="X48" s="179"/>
      <c r="Y48" s="184"/>
      <c r="Z48" s="184"/>
      <c r="AA48" s="184"/>
      <c r="AB48" s="175"/>
      <c r="AC48" s="116">
        <v>45</v>
      </c>
      <c r="AD48" s="116">
        <v>2</v>
      </c>
      <c r="AE48" s="177">
        <f>S48*AD48/12</f>
        <v>13.104166666666666</v>
      </c>
      <c r="AF48" s="116" t="s">
        <v>367</v>
      </c>
      <c r="AG48" s="116">
        <v>0.10199999999999999</v>
      </c>
      <c r="AH48" s="177">
        <f>AG48*AtolbperftSH</f>
        <v>6.4514999999999989E-2</v>
      </c>
      <c r="AI48" s="185"/>
      <c r="AJ48" s="185"/>
      <c r="AK48" s="185"/>
      <c r="AL48" s="185"/>
      <c r="AM48" s="39"/>
      <c r="AN48" s="3" t="s">
        <v>371</v>
      </c>
      <c r="AO48" s="3" t="s">
        <v>371</v>
      </c>
      <c r="AP48" s="3" t="s">
        <v>371</v>
      </c>
      <c r="AQ48" s="3" t="s">
        <v>371</v>
      </c>
      <c r="AR48" s="3" t="s">
        <v>92</v>
      </c>
      <c r="AS48" s="3" t="s">
        <v>92</v>
      </c>
      <c r="AT48" s="3" t="s">
        <v>371</v>
      </c>
      <c r="AU48" s="3" t="s">
        <v>371</v>
      </c>
      <c r="AV48" s="3" t="s">
        <v>371</v>
      </c>
      <c r="AW48" s="3" t="s">
        <v>92</v>
      </c>
      <c r="AX48" s="1414" t="s">
        <v>371</v>
      </c>
      <c r="AY48" s="3"/>
      <c r="AZ48" s="139"/>
      <c r="BA48" s="139"/>
      <c r="BB48" s="139"/>
      <c r="BC48" s="139"/>
      <c r="BD48" s="139"/>
      <c r="BE48" s="3"/>
    </row>
    <row r="49" spans="1:57" ht="15" customHeight="1" x14ac:dyDescent="0.4">
      <c r="A49" s="3"/>
      <c r="B49" s="36"/>
      <c r="C49" s="36"/>
      <c r="D49" s="155"/>
      <c r="E49" s="155"/>
      <c r="F49" s="155"/>
      <c r="G49" s="7"/>
      <c r="H49" s="20"/>
      <c r="I49" s="3"/>
      <c r="J49" s="3"/>
      <c r="K49" s="3"/>
      <c r="L49" s="3"/>
      <c r="M49" s="5"/>
      <c r="N49" s="5"/>
      <c r="O49" s="5"/>
      <c r="P49" s="24"/>
      <c r="Q49" s="24"/>
      <c r="R49" s="3"/>
      <c r="S49" s="5"/>
      <c r="T49" s="3"/>
      <c r="U49" s="20"/>
      <c r="V49" s="38" t="s">
        <v>369</v>
      </c>
      <c r="W49" s="3" t="s">
        <v>370</v>
      </c>
      <c r="X49" s="38" t="s">
        <v>369</v>
      </c>
      <c r="Y49" s="1443">
        <v>200169003</v>
      </c>
      <c r="Z49" s="1443"/>
      <c r="AA49" s="1443"/>
      <c r="AB49" s="20"/>
      <c r="AC49" s="3"/>
      <c r="AD49" s="3"/>
      <c r="AE49" s="5"/>
      <c r="AF49" s="3"/>
      <c r="AG49" s="38"/>
      <c r="AH49" s="5"/>
      <c r="AI49" s="353">
        <v>0.11799999999999999</v>
      </c>
      <c r="AJ49" s="39"/>
      <c r="AK49" s="39"/>
      <c r="AL49" s="39"/>
      <c r="AM49" s="39">
        <f>AE$48*AI49+SUM(AJ49:AL49)</f>
        <v>1.5462916666666666</v>
      </c>
      <c r="AN49" s="3" t="s">
        <v>371</v>
      </c>
      <c r="AO49" s="3" t="s">
        <v>371</v>
      </c>
      <c r="AP49" s="3" t="s">
        <v>371</v>
      </c>
      <c r="AQ49" s="3" t="s">
        <v>371</v>
      </c>
      <c r="AR49" s="3" t="s">
        <v>92</v>
      </c>
      <c r="AS49" s="3" t="s">
        <v>92</v>
      </c>
      <c r="AT49" s="3" t="s">
        <v>371</v>
      </c>
      <c r="AU49" s="3" t="s">
        <v>371</v>
      </c>
      <c r="AV49" s="3" t="s">
        <v>371</v>
      </c>
      <c r="AW49" s="3" t="s">
        <v>92</v>
      </c>
      <c r="AX49" s="1414" t="s">
        <v>371</v>
      </c>
      <c r="AY49" s="3"/>
      <c r="AZ49" s="139"/>
      <c r="BA49" s="139"/>
      <c r="BB49" s="139"/>
      <c r="BC49" s="139"/>
      <c r="BD49" s="139"/>
      <c r="BE49" s="3"/>
    </row>
    <row r="50" spans="1:57" ht="15" customHeight="1" x14ac:dyDescent="0.4">
      <c r="A50" s="3"/>
      <c r="B50" s="36"/>
      <c r="C50" s="36"/>
      <c r="D50" s="155"/>
      <c r="E50" s="155"/>
      <c r="F50" s="155"/>
      <c r="G50" s="7"/>
      <c r="H50" s="20"/>
      <c r="I50" s="3"/>
      <c r="J50" s="3"/>
      <c r="K50" s="3"/>
      <c r="L50" s="3"/>
      <c r="M50" s="5"/>
      <c r="N50" s="5"/>
      <c r="O50" s="5"/>
      <c r="P50" s="24"/>
      <c r="Q50" s="24"/>
      <c r="R50" s="3"/>
      <c r="S50" s="5"/>
      <c r="T50" s="3"/>
      <c r="U50" s="20"/>
      <c r="V50" s="38" t="s">
        <v>369</v>
      </c>
      <c r="W50" s="3" t="s">
        <v>372</v>
      </c>
      <c r="X50" s="38" t="s">
        <v>369</v>
      </c>
      <c r="Y50" s="1443">
        <v>200169021</v>
      </c>
      <c r="Z50" s="1443"/>
      <c r="AA50" s="1443"/>
      <c r="AB50" s="20"/>
      <c r="AC50" s="3"/>
      <c r="AD50" s="3"/>
      <c r="AE50" s="5"/>
      <c r="AF50" s="3"/>
      <c r="AG50" s="3"/>
      <c r="AH50" s="5"/>
      <c r="AI50" s="353">
        <v>0.12640000000000001</v>
      </c>
      <c r="AJ50" s="39"/>
      <c r="AK50" s="39"/>
      <c r="AL50" s="39"/>
      <c r="AM50" s="39">
        <f t="shared" ref="AM50:AM51" si="3">AE$48*AI50+SUM(AJ50:AL50)</f>
        <v>1.6563666666666668</v>
      </c>
      <c r="AN50" s="3" t="s">
        <v>371</v>
      </c>
      <c r="AO50" s="3" t="s">
        <v>371</v>
      </c>
      <c r="AP50" s="3" t="s">
        <v>371</v>
      </c>
      <c r="AQ50" s="3" t="s">
        <v>371</v>
      </c>
      <c r="AR50" s="3" t="s">
        <v>92</v>
      </c>
      <c r="AS50" s="3" t="s">
        <v>92</v>
      </c>
      <c r="AT50" s="3" t="s">
        <v>371</v>
      </c>
      <c r="AU50" s="3" t="s">
        <v>371</v>
      </c>
      <c r="AV50" s="3" t="s">
        <v>371</v>
      </c>
      <c r="AW50" s="3" t="s">
        <v>92</v>
      </c>
      <c r="AX50" s="1414" t="s">
        <v>371</v>
      </c>
      <c r="AY50" s="3"/>
      <c r="AZ50" s="139"/>
      <c r="BA50" s="139"/>
      <c r="BB50" s="139"/>
      <c r="BC50" s="139"/>
      <c r="BD50" s="139"/>
      <c r="BE50" s="3"/>
    </row>
    <row r="51" spans="1:57" ht="15" customHeight="1" x14ac:dyDescent="0.4">
      <c r="A51" s="3"/>
      <c r="B51" s="36"/>
      <c r="C51" s="36"/>
      <c r="D51" s="155"/>
      <c r="E51" s="155"/>
      <c r="F51" s="155"/>
      <c r="G51" s="7"/>
      <c r="H51" s="20"/>
      <c r="I51" s="3"/>
      <c r="J51" s="3"/>
      <c r="K51" s="3"/>
      <c r="L51" s="3"/>
      <c r="M51" s="5"/>
      <c r="N51" s="5"/>
      <c r="O51" s="5"/>
      <c r="P51" s="24"/>
      <c r="Q51" s="24"/>
      <c r="R51" s="3"/>
      <c r="S51" s="5"/>
      <c r="T51" s="3"/>
      <c r="U51" s="20"/>
      <c r="V51" s="38" t="s">
        <v>369</v>
      </c>
      <c r="W51" s="3" t="s">
        <v>373</v>
      </c>
      <c r="X51" s="38" t="s">
        <v>369</v>
      </c>
      <c r="Y51" s="1443">
        <v>200169033</v>
      </c>
      <c r="Z51" s="1443"/>
      <c r="AA51" s="1443"/>
      <c r="AB51" s="20"/>
      <c r="AC51" s="3"/>
      <c r="AD51" s="3"/>
      <c r="AE51" s="5"/>
      <c r="AF51" s="3"/>
      <c r="AG51" s="3"/>
      <c r="AH51" s="5"/>
      <c r="AI51" s="353">
        <v>0.1283</v>
      </c>
      <c r="AJ51" s="39"/>
      <c r="AK51" s="39"/>
      <c r="AL51" s="39"/>
      <c r="AM51" s="39">
        <f t="shared" si="3"/>
        <v>1.6812645833333333</v>
      </c>
      <c r="AN51" s="3" t="s">
        <v>371</v>
      </c>
      <c r="AO51" s="3" t="s">
        <v>371</v>
      </c>
      <c r="AP51" s="3" t="s">
        <v>371</v>
      </c>
      <c r="AQ51" s="3" t="s">
        <v>371</v>
      </c>
      <c r="AR51" s="3" t="s">
        <v>92</v>
      </c>
      <c r="AS51" s="3" t="s">
        <v>92</v>
      </c>
      <c r="AT51" s="3" t="s">
        <v>371</v>
      </c>
      <c r="AU51" s="3" t="s">
        <v>371</v>
      </c>
      <c r="AV51" s="3" t="s">
        <v>371</v>
      </c>
      <c r="AW51" s="3" t="s">
        <v>92</v>
      </c>
      <c r="AX51" s="1414" t="s">
        <v>371</v>
      </c>
      <c r="AY51" s="3"/>
      <c r="AZ51" s="139"/>
      <c r="BA51" s="139"/>
      <c r="BB51" s="139"/>
      <c r="BC51" s="139"/>
      <c r="BD51" s="139"/>
      <c r="BE51" s="3"/>
    </row>
    <row r="52" spans="1:57" ht="15" customHeight="1" x14ac:dyDescent="0.4">
      <c r="A52" s="3"/>
      <c r="B52" s="36"/>
      <c r="C52" s="36"/>
      <c r="D52" s="155"/>
      <c r="E52" s="155"/>
      <c r="F52" s="155"/>
      <c r="G52" s="7"/>
      <c r="H52" s="20"/>
      <c r="I52" s="3"/>
      <c r="J52" s="3"/>
      <c r="K52" s="3"/>
      <c r="L52" s="3"/>
      <c r="M52" s="5"/>
      <c r="N52" s="5"/>
      <c r="O52" s="5"/>
      <c r="P52" s="24"/>
      <c r="Q52" s="24"/>
      <c r="R52" s="3"/>
      <c r="S52" s="5"/>
      <c r="T52" s="3"/>
      <c r="U52" s="20"/>
      <c r="V52" s="38" t="s">
        <v>369</v>
      </c>
      <c r="W52" s="3" t="s">
        <v>374</v>
      </c>
      <c r="X52" s="38" t="s">
        <v>369</v>
      </c>
      <c r="Y52" s="1443">
        <v>200169090</v>
      </c>
      <c r="Z52" s="1443"/>
      <c r="AA52" s="1443"/>
      <c r="AB52" s="20"/>
      <c r="AC52" s="3"/>
      <c r="AD52" s="3"/>
      <c r="AE52" s="5"/>
      <c r="AF52" s="3"/>
      <c r="AG52" s="3"/>
      <c r="AH52" s="5"/>
      <c r="AI52" s="353">
        <v>0.22900000000000001</v>
      </c>
      <c r="AJ52" s="39"/>
      <c r="AK52" s="39"/>
      <c r="AL52" s="39"/>
      <c r="AM52" s="39">
        <f>AE$48*AI52+SUM(AJ52:AL52)</f>
        <v>3.0008541666666666</v>
      </c>
      <c r="AN52" s="3" t="s">
        <v>371</v>
      </c>
      <c r="AO52" s="3" t="s">
        <v>371</v>
      </c>
      <c r="AP52" s="3" t="s">
        <v>371</v>
      </c>
      <c r="AQ52" s="3" t="s">
        <v>371</v>
      </c>
      <c r="AR52" s="3" t="s">
        <v>92</v>
      </c>
      <c r="AS52" s="3" t="s">
        <v>92</v>
      </c>
      <c r="AT52" s="3" t="s">
        <v>371</v>
      </c>
      <c r="AU52" s="3" t="s">
        <v>371</v>
      </c>
      <c r="AV52" s="3" t="s">
        <v>371</v>
      </c>
      <c r="AW52" s="3" t="s">
        <v>92</v>
      </c>
      <c r="AX52" s="1414" t="s">
        <v>371</v>
      </c>
      <c r="AY52" s="3"/>
      <c r="AZ52" s="139"/>
      <c r="BA52" s="139"/>
      <c r="BB52" s="139"/>
      <c r="BC52" s="139"/>
      <c r="BD52" s="139"/>
      <c r="BE52" s="3"/>
    </row>
    <row r="53" spans="1:57" ht="15" customHeight="1" x14ac:dyDescent="0.4">
      <c r="A53" s="3"/>
      <c r="B53" s="36"/>
      <c r="C53" s="36"/>
      <c r="D53" s="155"/>
      <c r="E53" s="155"/>
      <c r="F53" s="155"/>
      <c r="G53" s="7"/>
      <c r="H53" s="20"/>
      <c r="I53" s="3"/>
      <c r="J53" s="3"/>
      <c r="K53" s="3"/>
      <c r="L53" s="3"/>
      <c r="M53" s="5"/>
      <c r="N53" s="5"/>
      <c r="O53" s="5"/>
      <c r="P53" s="24"/>
      <c r="Q53" s="24"/>
      <c r="R53" s="3"/>
      <c r="S53" s="5"/>
      <c r="T53" s="3"/>
      <c r="U53" s="20"/>
      <c r="V53" s="38" t="s">
        <v>369</v>
      </c>
      <c r="W53" s="3" t="s">
        <v>375</v>
      </c>
      <c r="X53" s="38" t="s">
        <v>369</v>
      </c>
      <c r="Y53" s="1443">
        <v>200169133</v>
      </c>
      <c r="Z53" s="1443"/>
      <c r="AA53" s="1443"/>
      <c r="AB53" s="20"/>
      <c r="AC53" s="3"/>
      <c r="AD53" s="3"/>
      <c r="AE53" s="5"/>
      <c r="AF53" s="3"/>
      <c r="AG53" s="3"/>
      <c r="AH53" s="5"/>
      <c r="AI53" s="353">
        <v>0.2414</v>
      </c>
      <c r="AJ53" s="39"/>
      <c r="AK53" s="39"/>
      <c r="AL53" s="39"/>
      <c r="AM53" s="39">
        <f t="shared" ref="AM53" si="4">AE$48*AI53+SUM(AJ53:AL53)</f>
        <v>3.1633458333333331</v>
      </c>
      <c r="AN53" s="3" t="s">
        <v>371</v>
      </c>
      <c r="AO53" s="3" t="s">
        <v>371</v>
      </c>
      <c r="AP53" s="3" t="s">
        <v>371</v>
      </c>
      <c r="AQ53" s="3" t="s">
        <v>371</v>
      </c>
      <c r="AR53" s="3" t="s">
        <v>92</v>
      </c>
      <c r="AS53" s="3" t="s">
        <v>92</v>
      </c>
      <c r="AT53" s="3" t="s">
        <v>371</v>
      </c>
      <c r="AU53" s="3" t="s">
        <v>371</v>
      </c>
      <c r="AV53" s="3" t="s">
        <v>371</v>
      </c>
      <c r="AW53" s="3" t="s">
        <v>92</v>
      </c>
      <c r="AX53" s="1414" t="s">
        <v>371</v>
      </c>
      <c r="AY53" s="3"/>
      <c r="AZ53" s="139"/>
      <c r="BA53" s="139"/>
      <c r="BB53" s="139"/>
      <c r="BC53" s="139"/>
      <c r="BD53" s="139"/>
      <c r="BE53" s="3"/>
    </row>
    <row r="54" spans="1:57" ht="15" customHeight="1" thickBot="1" x14ac:dyDescent="0.45">
      <c r="A54" s="3"/>
      <c r="B54" s="36"/>
      <c r="C54" s="943"/>
      <c r="D54" s="925"/>
      <c r="E54" s="925"/>
      <c r="F54" s="925"/>
      <c r="G54" s="924"/>
      <c r="H54" s="887"/>
      <c r="I54" s="889"/>
      <c r="J54" s="889"/>
      <c r="K54" s="889"/>
      <c r="L54" s="889"/>
      <c r="M54" s="945"/>
      <c r="N54" s="945"/>
      <c r="O54" s="945"/>
      <c r="P54" s="1020"/>
      <c r="Q54" s="1020"/>
      <c r="R54" s="889"/>
      <c r="S54" s="945"/>
      <c r="T54" s="889"/>
      <c r="U54" s="887"/>
      <c r="V54" s="1876" t="s">
        <v>369</v>
      </c>
      <c r="W54" s="1877" t="s">
        <v>1849</v>
      </c>
      <c r="X54" s="1876" t="s">
        <v>369</v>
      </c>
      <c r="Y54" s="1878">
        <v>200169148</v>
      </c>
      <c r="Z54" s="1444"/>
      <c r="AA54" s="1444"/>
      <c r="AB54" s="887"/>
      <c r="AC54" s="889"/>
      <c r="AD54" s="889"/>
      <c r="AE54" s="945"/>
      <c r="AF54" s="889"/>
      <c r="AG54" s="889"/>
      <c r="AH54" s="945"/>
      <c r="AI54" s="1424">
        <v>0.249</v>
      </c>
      <c r="AJ54" s="947"/>
      <c r="AK54" s="947"/>
      <c r="AL54" s="947"/>
      <c r="AM54" s="947">
        <f>AE$48*AI54+SUM(AJ54:AL54)</f>
        <v>3.2629375</v>
      </c>
      <c r="AN54" s="889" t="s">
        <v>371</v>
      </c>
      <c r="AO54" s="889" t="s">
        <v>371</v>
      </c>
      <c r="AP54" s="889" t="s">
        <v>371</v>
      </c>
      <c r="AQ54" s="889" t="s">
        <v>371</v>
      </c>
      <c r="AR54" s="889" t="s">
        <v>92</v>
      </c>
      <c r="AS54" s="889" t="s">
        <v>92</v>
      </c>
      <c r="AT54" s="889" t="s">
        <v>371</v>
      </c>
      <c r="AU54" s="889" t="s">
        <v>371</v>
      </c>
      <c r="AV54" s="889" t="s">
        <v>371</v>
      </c>
      <c r="AW54" s="889" t="s">
        <v>92</v>
      </c>
      <c r="AX54" s="1590" t="s">
        <v>371</v>
      </c>
      <c r="AY54" s="889"/>
      <c r="AZ54" s="139"/>
      <c r="BA54" s="139"/>
      <c r="BB54" s="139"/>
      <c r="BC54" s="139"/>
      <c r="BD54" s="139"/>
      <c r="BE54" s="3"/>
    </row>
    <row r="55" spans="1:57" ht="15" customHeight="1" x14ac:dyDescent="0.4">
      <c r="A55" s="3"/>
      <c r="B55" s="3"/>
      <c r="C55" s="7" t="s">
        <v>384</v>
      </c>
      <c r="D55" s="36"/>
      <c r="E55" s="155"/>
      <c r="F55" s="155"/>
      <c r="G55" s="7"/>
      <c r="H55" s="20"/>
      <c r="I55" s="3"/>
      <c r="J55" s="3"/>
      <c r="K55" s="3"/>
      <c r="L55" s="3"/>
      <c r="M55" s="5"/>
      <c r="N55" s="5"/>
      <c r="O55" s="5"/>
      <c r="P55" s="24"/>
      <c r="Q55" s="24"/>
      <c r="R55" s="3"/>
      <c r="S55" s="56">
        <v>1</v>
      </c>
      <c r="T55" s="3" t="s">
        <v>385</v>
      </c>
      <c r="U55" s="20"/>
      <c r="V55" s="38"/>
      <c r="W55" s="3"/>
      <c r="X55" s="38"/>
      <c r="Y55" s="41"/>
      <c r="Z55" s="41"/>
      <c r="AA55" s="41"/>
      <c r="AB55" s="20"/>
      <c r="AC55" s="3">
        <v>45</v>
      </c>
      <c r="AD55" s="3">
        <v>2</v>
      </c>
      <c r="AE55" s="56">
        <f>S55*AD55</f>
        <v>2</v>
      </c>
      <c r="AF55" s="3" t="s">
        <v>385</v>
      </c>
      <c r="AG55" s="3">
        <v>0.19800000000000001</v>
      </c>
      <c r="AH55" s="5">
        <f>AG55*AtolbperftSH</f>
        <v>0.12523499999999999</v>
      </c>
      <c r="AI55" s="51"/>
      <c r="AJ55" s="51"/>
      <c r="AK55" s="51"/>
      <c r="AL55" s="51"/>
      <c r="AM55" s="39"/>
      <c r="AN55" s="3" t="s">
        <v>81</v>
      </c>
      <c r="AO55" s="3" t="s">
        <v>81</v>
      </c>
      <c r="AP55" s="3" t="s">
        <v>81</v>
      </c>
      <c r="AQ55" s="3" t="s">
        <v>81</v>
      </c>
      <c r="AR55" s="3" t="s">
        <v>92</v>
      </c>
      <c r="AS55" s="3" t="s">
        <v>92</v>
      </c>
      <c r="AT55" s="3" t="s">
        <v>81</v>
      </c>
      <c r="AU55" s="3" t="s">
        <v>81</v>
      </c>
      <c r="AV55" s="3" t="s">
        <v>81</v>
      </c>
      <c r="AW55" s="3" t="s">
        <v>92</v>
      </c>
      <c r="AX55" s="1414" t="s">
        <v>81</v>
      </c>
      <c r="AY55" s="3"/>
      <c r="AZ55" s="139"/>
      <c r="BA55" s="139"/>
      <c r="BB55" s="139"/>
      <c r="BC55" s="139"/>
      <c r="BD55" s="139"/>
      <c r="BE55" s="3"/>
    </row>
    <row r="56" spans="1:57" ht="15" customHeight="1" x14ac:dyDescent="0.4">
      <c r="A56" s="3"/>
      <c r="B56" s="36"/>
      <c r="C56" s="36"/>
      <c r="D56" s="155"/>
      <c r="E56" s="155"/>
      <c r="F56" s="155"/>
      <c r="G56" s="7"/>
      <c r="H56" s="20"/>
      <c r="I56" s="3"/>
      <c r="J56" s="3"/>
      <c r="K56" s="3"/>
      <c r="L56" s="3"/>
      <c r="M56" s="5"/>
      <c r="N56" s="5"/>
      <c r="O56" s="5"/>
      <c r="P56" s="24"/>
      <c r="Q56" s="24"/>
      <c r="R56" s="3"/>
      <c r="S56" s="5"/>
      <c r="T56" s="3"/>
      <c r="U56" s="20"/>
      <c r="V56" s="38" t="s">
        <v>369</v>
      </c>
      <c r="W56" s="3" t="s">
        <v>386</v>
      </c>
      <c r="X56" s="38" t="s">
        <v>369</v>
      </c>
      <c r="Y56" s="1443">
        <v>200162008</v>
      </c>
      <c r="Z56" s="1443"/>
      <c r="AA56" s="1443"/>
      <c r="AB56" s="20"/>
      <c r="AC56" s="3"/>
      <c r="AD56" s="3"/>
      <c r="AE56" s="5"/>
      <c r="AF56" s="3"/>
      <c r="AG56" s="38"/>
      <c r="AH56" s="5"/>
      <c r="AI56" s="353">
        <v>7.0099999999999996E-2</v>
      </c>
      <c r="AJ56" s="39"/>
      <c r="AK56" s="39"/>
      <c r="AL56" s="39"/>
      <c r="AM56" s="39">
        <f>AE$55*AI56+SUM(AJ56:AL56)</f>
        <v>0.14019999999999999</v>
      </c>
      <c r="AN56" s="3" t="s">
        <v>81</v>
      </c>
      <c r="AO56" s="3" t="s">
        <v>81</v>
      </c>
      <c r="AP56" s="3" t="s">
        <v>81</v>
      </c>
      <c r="AQ56" s="3" t="s">
        <v>81</v>
      </c>
      <c r="AR56" s="3" t="s">
        <v>92</v>
      </c>
      <c r="AS56" s="3" t="s">
        <v>92</v>
      </c>
      <c r="AT56" s="3" t="s">
        <v>81</v>
      </c>
      <c r="AU56" s="3" t="s">
        <v>81</v>
      </c>
      <c r="AV56" s="3" t="s">
        <v>81</v>
      </c>
      <c r="AW56" s="3" t="s">
        <v>92</v>
      </c>
      <c r="AX56" s="1414" t="s">
        <v>81</v>
      </c>
      <c r="AY56" s="3"/>
      <c r="AZ56" s="139"/>
      <c r="BA56" s="139"/>
      <c r="BB56" s="139"/>
      <c r="BC56" s="139"/>
      <c r="BD56" s="139"/>
      <c r="BE56" s="3"/>
    </row>
    <row r="57" spans="1:57" ht="15" customHeight="1" x14ac:dyDescent="0.4">
      <c r="A57" s="3"/>
      <c r="B57" s="36"/>
      <c r="C57" s="36"/>
      <c r="D57" s="155"/>
      <c r="E57" s="155"/>
      <c r="F57" s="155"/>
      <c r="G57" s="7"/>
      <c r="H57" s="20"/>
      <c r="I57" s="3"/>
      <c r="J57" s="3"/>
      <c r="K57" s="3"/>
      <c r="L57" s="3"/>
      <c r="M57" s="5"/>
      <c r="N57" s="5"/>
      <c r="O57" s="5"/>
      <c r="P57" s="24"/>
      <c r="Q57" s="24"/>
      <c r="R57" s="3"/>
      <c r="S57" s="5"/>
      <c r="T57" s="3"/>
      <c r="U57" s="20"/>
      <c r="V57" s="571"/>
      <c r="W57" s="572"/>
      <c r="X57" s="571"/>
      <c r="Y57" s="1447"/>
      <c r="Z57" s="1447"/>
      <c r="AA57" s="1447"/>
      <c r="AB57" s="20"/>
      <c r="AC57" s="3"/>
      <c r="AD57" s="3"/>
      <c r="AE57" s="5"/>
      <c r="AF57" s="3"/>
      <c r="AG57" s="3"/>
      <c r="AH57" s="5"/>
      <c r="AI57" s="51"/>
      <c r="AJ57" s="39"/>
      <c r="AK57" s="39"/>
      <c r="AL57" s="39"/>
      <c r="AM57" s="39"/>
      <c r="AN57" s="3" t="s">
        <v>81</v>
      </c>
      <c r="AO57" s="3" t="s">
        <v>81</v>
      </c>
      <c r="AP57" s="3" t="s">
        <v>81</v>
      </c>
      <c r="AQ57" s="3" t="s">
        <v>81</v>
      </c>
      <c r="AR57" s="3" t="s">
        <v>92</v>
      </c>
      <c r="AS57" s="3" t="s">
        <v>92</v>
      </c>
      <c r="AT57" s="3" t="s">
        <v>81</v>
      </c>
      <c r="AU57" s="3" t="s">
        <v>81</v>
      </c>
      <c r="AV57" s="3" t="s">
        <v>81</v>
      </c>
      <c r="AW57" s="3" t="s">
        <v>92</v>
      </c>
      <c r="AX57" s="1414" t="s">
        <v>81</v>
      </c>
      <c r="AY57" s="3"/>
      <c r="AZ57" s="139"/>
      <c r="BA57" s="139"/>
      <c r="BB57" s="139"/>
      <c r="BC57" s="139"/>
      <c r="BD57" s="139"/>
      <c r="BE57" s="3"/>
    </row>
    <row r="58" spans="1:57" ht="15" customHeight="1" thickBot="1" x14ac:dyDescent="0.45">
      <c r="A58" s="3"/>
      <c r="B58" s="943"/>
      <c r="C58" s="943"/>
      <c r="D58" s="925"/>
      <c r="E58" s="925"/>
      <c r="F58" s="925"/>
      <c r="G58" s="924"/>
      <c r="H58" s="887"/>
      <c r="I58" s="889"/>
      <c r="J58" s="889"/>
      <c r="K58" s="889"/>
      <c r="L58" s="889"/>
      <c r="M58" s="945"/>
      <c r="N58" s="945"/>
      <c r="O58" s="945"/>
      <c r="P58" s="1020"/>
      <c r="Q58" s="1020"/>
      <c r="R58" s="889"/>
      <c r="S58" s="945"/>
      <c r="T58" s="889"/>
      <c r="U58" s="887"/>
      <c r="V58" s="1188"/>
      <c r="W58" s="1189"/>
      <c r="X58" s="1188"/>
      <c r="Y58" s="1448"/>
      <c r="Z58" s="1448"/>
      <c r="AA58" s="1448"/>
      <c r="AB58" s="887"/>
      <c r="AC58" s="889"/>
      <c r="AD58" s="889"/>
      <c r="AE58" s="945"/>
      <c r="AF58" s="889"/>
      <c r="AG58" s="889"/>
      <c r="AH58" s="945"/>
      <c r="AI58" s="937"/>
      <c r="AJ58" s="947"/>
      <c r="AK58" s="947"/>
      <c r="AL58" s="947"/>
      <c r="AM58" s="947"/>
      <c r="AN58" s="889" t="s">
        <v>81</v>
      </c>
      <c r="AO58" s="889" t="s">
        <v>81</v>
      </c>
      <c r="AP58" s="889" t="s">
        <v>81</v>
      </c>
      <c r="AQ58" s="889" t="s">
        <v>81</v>
      </c>
      <c r="AR58" s="889" t="s">
        <v>92</v>
      </c>
      <c r="AS58" s="889" t="s">
        <v>92</v>
      </c>
      <c r="AT58" s="889" t="s">
        <v>81</v>
      </c>
      <c r="AU58" s="889" t="s">
        <v>81</v>
      </c>
      <c r="AV58" s="889" t="s">
        <v>81</v>
      </c>
      <c r="AW58" s="889" t="s">
        <v>92</v>
      </c>
      <c r="AX58" s="1590" t="s">
        <v>81</v>
      </c>
      <c r="AY58" s="889"/>
      <c r="AZ58" s="139"/>
      <c r="BA58" s="139"/>
      <c r="BB58" s="139"/>
      <c r="BC58" s="139"/>
      <c r="BD58" s="139"/>
      <c r="BE58" s="3"/>
    </row>
    <row r="59" spans="1:57" ht="15" customHeight="1" x14ac:dyDescent="0.4">
      <c r="A59" s="3"/>
      <c r="B59" s="3"/>
      <c r="C59" s="173" t="s">
        <v>387</v>
      </c>
      <c r="D59" s="181"/>
      <c r="E59" s="182"/>
      <c r="F59" s="182"/>
      <c r="G59" s="173"/>
      <c r="H59" s="175"/>
      <c r="I59" s="116" t="s">
        <v>365</v>
      </c>
      <c r="J59" s="116"/>
      <c r="K59" s="116"/>
      <c r="L59" s="116" t="s">
        <v>348</v>
      </c>
      <c r="M59" s="177">
        <v>0.438</v>
      </c>
      <c r="N59" s="177"/>
      <c r="O59" s="177"/>
      <c r="P59" s="178"/>
      <c r="Q59" s="178"/>
      <c r="R59" s="116" t="s">
        <v>352</v>
      </c>
      <c r="S59" s="177">
        <f>SHHeight+M59+O59</f>
        <v>74.438000000000002</v>
      </c>
      <c r="T59" s="116" t="s">
        <v>366</v>
      </c>
      <c r="U59" s="175"/>
      <c r="V59" s="179"/>
      <c r="W59" s="116"/>
      <c r="X59" s="179"/>
      <c r="Y59" s="1449"/>
      <c r="Z59" s="1449"/>
      <c r="AA59" s="1449"/>
      <c r="AB59" s="175"/>
      <c r="AC59" s="116">
        <v>45</v>
      </c>
      <c r="AD59" s="116">
        <v>2</v>
      </c>
      <c r="AE59" s="177">
        <f>S59*AD59/12</f>
        <v>12.406333333333334</v>
      </c>
      <c r="AF59" s="116" t="s">
        <v>367</v>
      </c>
      <c r="AG59" s="116">
        <v>9.4E-2</v>
      </c>
      <c r="AH59" s="177">
        <f>AG59*AtolbperftSH</f>
        <v>5.9454999999999994E-2</v>
      </c>
      <c r="AI59" s="185"/>
      <c r="AJ59" s="185"/>
      <c r="AK59" s="185"/>
      <c r="AL59" s="185"/>
      <c r="AM59" s="180"/>
      <c r="AN59" s="3" t="s">
        <v>371</v>
      </c>
      <c r="AO59" s="3" t="s">
        <v>371</v>
      </c>
      <c r="AP59" s="3" t="s">
        <v>371</v>
      </c>
      <c r="AQ59" s="3" t="s">
        <v>371</v>
      </c>
      <c r="AR59" s="3" t="s">
        <v>92</v>
      </c>
      <c r="AS59" s="3" t="s">
        <v>92</v>
      </c>
      <c r="AT59" s="3" t="s">
        <v>371</v>
      </c>
      <c r="AU59" s="3" t="s">
        <v>371</v>
      </c>
      <c r="AV59" s="3" t="s">
        <v>371</v>
      </c>
      <c r="AW59" s="3" t="s">
        <v>92</v>
      </c>
      <c r="AX59" s="1414" t="s">
        <v>371</v>
      </c>
      <c r="AY59" s="3"/>
      <c r="AZ59" s="139"/>
      <c r="BA59" s="139"/>
      <c r="BB59" s="139"/>
      <c r="BC59" s="139"/>
      <c r="BD59" s="139"/>
      <c r="BE59" s="3"/>
    </row>
    <row r="60" spans="1:57" ht="15" customHeight="1" x14ac:dyDescent="0.4">
      <c r="A60" s="3"/>
      <c r="B60" s="36"/>
      <c r="C60" s="36"/>
      <c r="D60" s="155"/>
      <c r="E60" s="155"/>
      <c r="F60" s="155"/>
      <c r="G60" s="7"/>
      <c r="H60" s="20"/>
      <c r="I60" s="3"/>
      <c r="J60" s="3"/>
      <c r="K60" s="3"/>
      <c r="L60" s="3"/>
      <c r="M60" s="5"/>
      <c r="N60" s="5"/>
      <c r="O60" s="5"/>
      <c r="P60" s="24"/>
      <c r="Q60" s="24"/>
      <c r="R60" s="3"/>
      <c r="S60" s="5"/>
      <c r="T60" s="3"/>
      <c r="U60" s="20"/>
      <c r="V60" s="38" t="s">
        <v>369</v>
      </c>
      <c r="W60" s="3" t="s">
        <v>370</v>
      </c>
      <c r="X60" s="38" t="s">
        <v>369</v>
      </c>
      <c r="Y60" s="1443">
        <v>200178003</v>
      </c>
      <c r="Z60" s="1443"/>
      <c r="AA60" s="1443"/>
      <c r="AB60" s="20"/>
      <c r="AC60" s="3"/>
      <c r="AD60" s="3"/>
      <c r="AE60" s="5"/>
      <c r="AF60" s="3"/>
      <c r="AG60" s="38"/>
      <c r="AH60" s="5"/>
      <c r="AI60" s="353">
        <v>0.10290000000000001</v>
      </c>
      <c r="AJ60" s="39"/>
      <c r="AK60" s="39"/>
      <c r="AL60" s="39"/>
      <c r="AM60" s="39">
        <f>AE$59*AI60+SUM(AJ60:AL60)</f>
        <v>1.2766117000000001</v>
      </c>
      <c r="AN60" s="3" t="s">
        <v>371</v>
      </c>
      <c r="AO60" s="3" t="s">
        <v>371</v>
      </c>
      <c r="AP60" s="3" t="s">
        <v>371</v>
      </c>
      <c r="AQ60" s="3" t="s">
        <v>371</v>
      </c>
      <c r="AR60" s="3" t="s">
        <v>92</v>
      </c>
      <c r="AS60" s="3" t="s">
        <v>92</v>
      </c>
      <c r="AT60" s="3" t="s">
        <v>371</v>
      </c>
      <c r="AU60" s="3" t="s">
        <v>371</v>
      </c>
      <c r="AV60" s="3" t="s">
        <v>371</v>
      </c>
      <c r="AW60" s="3" t="s">
        <v>92</v>
      </c>
      <c r="AX60" s="1414" t="s">
        <v>371</v>
      </c>
      <c r="AY60" s="3"/>
      <c r="AZ60" s="139"/>
      <c r="BA60" s="139"/>
      <c r="BB60" s="139"/>
      <c r="BC60" s="139"/>
      <c r="BD60" s="139"/>
      <c r="BE60" s="3"/>
    </row>
    <row r="61" spans="1:57" ht="15" customHeight="1" x14ac:dyDescent="0.4">
      <c r="A61" s="3"/>
      <c r="B61" s="36"/>
      <c r="C61" s="36"/>
      <c r="D61" s="155"/>
      <c r="E61" s="155"/>
      <c r="F61" s="155"/>
      <c r="G61" s="7"/>
      <c r="H61" s="20"/>
      <c r="I61" s="3"/>
      <c r="J61" s="3"/>
      <c r="K61" s="3"/>
      <c r="L61" s="3"/>
      <c r="M61" s="5"/>
      <c r="N61" s="5"/>
      <c r="O61" s="5"/>
      <c r="P61" s="24"/>
      <c r="Q61" s="24"/>
      <c r="R61" s="3"/>
      <c r="S61" s="5"/>
      <c r="T61" s="3"/>
      <c r="U61" s="20"/>
      <c r="V61" s="38" t="s">
        <v>369</v>
      </c>
      <c r="W61" s="3" t="s">
        <v>372</v>
      </c>
      <c r="X61" s="38" t="s">
        <v>369</v>
      </c>
      <c r="Y61" s="1443">
        <v>200178021</v>
      </c>
      <c r="Z61" s="1443"/>
      <c r="AA61" s="1443"/>
      <c r="AB61" s="20"/>
      <c r="AC61" s="3"/>
      <c r="AD61" s="3"/>
      <c r="AE61" s="5"/>
      <c r="AF61" s="3"/>
      <c r="AG61" s="3"/>
      <c r="AH61" s="5"/>
      <c r="AI61" s="353">
        <v>0.112</v>
      </c>
      <c r="AJ61" s="39"/>
      <c r="AK61" s="39"/>
      <c r="AL61" s="39"/>
      <c r="AM61" s="39">
        <f>AE$59*AI61+SUM(AJ61:AL61)</f>
        <v>1.3895093333333335</v>
      </c>
      <c r="AN61" s="3" t="s">
        <v>371</v>
      </c>
      <c r="AO61" s="3" t="s">
        <v>371</v>
      </c>
      <c r="AP61" s="3" t="s">
        <v>371</v>
      </c>
      <c r="AQ61" s="3" t="s">
        <v>371</v>
      </c>
      <c r="AR61" s="3" t="s">
        <v>92</v>
      </c>
      <c r="AS61" s="3" t="s">
        <v>92</v>
      </c>
      <c r="AT61" s="3" t="s">
        <v>371</v>
      </c>
      <c r="AU61" s="3" t="s">
        <v>371</v>
      </c>
      <c r="AV61" s="3" t="s">
        <v>371</v>
      </c>
      <c r="AW61" s="3" t="s">
        <v>92</v>
      </c>
      <c r="AX61" s="1414" t="s">
        <v>371</v>
      </c>
      <c r="AY61" s="3"/>
      <c r="AZ61" s="139"/>
      <c r="BA61" s="139"/>
      <c r="BB61" s="139"/>
      <c r="BC61" s="139"/>
      <c r="BD61" s="139"/>
      <c r="BE61" s="3"/>
    </row>
    <row r="62" spans="1:57" ht="15" customHeight="1" x14ac:dyDescent="0.4">
      <c r="A62" s="3"/>
      <c r="B62" s="36"/>
      <c r="C62" s="36"/>
      <c r="D62" s="155"/>
      <c r="E62" s="155"/>
      <c r="F62" s="155"/>
      <c r="G62" s="7"/>
      <c r="H62" s="20"/>
      <c r="I62" s="3"/>
      <c r="J62" s="3"/>
      <c r="K62" s="3"/>
      <c r="L62" s="3"/>
      <c r="M62" s="5"/>
      <c r="N62" s="5"/>
      <c r="O62" s="5"/>
      <c r="P62" s="24"/>
      <c r="Q62" s="24"/>
      <c r="R62" s="3"/>
      <c r="S62" s="5"/>
      <c r="T62" s="3"/>
      <c r="U62" s="20"/>
      <c r="V62" s="38" t="s">
        <v>369</v>
      </c>
      <c r="W62" s="3" t="s">
        <v>373</v>
      </c>
      <c r="X62" s="38" t="s">
        <v>369</v>
      </c>
      <c r="Y62" s="1443">
        <v>200178033</v>
      </c>
      <c r="Z62" s="1443"/>
      <c r="AA62" s="1443"/>
      <c r="AB62" s="20"/>
      <c r="AC62" s="3"/>
      <c r="AD62" s="3"/>
      <c r="AE62" s="5"/>
      <c r="AF62" s="3"/>
      <c r="AG62" s="3"/>
      <c r="AH62" s="5"/>
      <c r="AI62" s="353">
        <v>0.1135</v>
      </c>
      <c r="AJ62" s="39"/>
      <c r="AK62" s="39"/>
      <c r="AL62" s="39"/>
      <c r="AM62" s="39">
        <f t="shared" ref="AM62:AM65" si="5">AE$59*AI62+SUM(AJ62:AL62)</f>
        <v>1.4081188333333334</v>
      </c>
      <c r="AN62" s="3" t="s">
        <v>371</v>
      </c>
      <c r="AO62" s="3" t="s">
        <v>371</v>
      </c>
      <c r="AP62" s="3" t="s">
        <v>371</v>
      </c>
      <c r="AQ62" s="3" t="s">
        <v>371</v>
      </c>
      <c r="AR62" s="3" t="s">
        <v>92</v>
      </c>
      <c r="AS62" s="3" t="s">
        <v>92</v>
      </c>
      <c r="AT62" s="3" t="s">
        <v>371</v>
      </c>
      <c r="AU62" s="3" t="s">
        <v>371</v>
      </c>
      <c r="AV62" s="3" t="s">
        <v>371</v>
      </c>
      <c r="AW62" s="3" t="s">
        <v>92</v>
      </c>
      <c r="AX62" s="1414" t="s">
        <v>371</v>
      </c>
      <c r="AY62" s="3"/>
      <c r="AZ62" s="139"/>
      <c r="BA62" s="139"/>
      <c r="BB62" s="139"/>
      <c r="BC62" s="139"/>
      <c r="BD62" s="139"/>
      <c r="BE62" s="3"/>
    </row>
    <row r="63" spans="1:57" ht="15" customHeight="1" x14ac:dyDescent="0.4">
      <c r="A63" s="3"/>
      <c r="B63" s="36"/>
      <c r="C63" s="36"/>
      <c r="D63" s="155"/>
      <c r="E63" s="155"/>
      <c r="F63" s="155"/>
      <c r="G63" s="7"/>
      <c r="H63" s="20"/>
      <c r="I63" s="3"/>
      <c r="J63" s="3"/>
      <c r="K63" s="3"/>
      <c r="L63" s="3"/>
      <c r="M63" s="5"/>
      <c r="N63" s="5"/>
      <c r="O63" s="5"/>
      <c r="P63" s="24"/>
      <c r="Q63" s="24"/>
      <c r="R63" s="3"/>
      <c r="S63" s="5"/>
      <c r="T63" s="3"/>
      <c r="U63" s="20"/>
      <c r="V63" s="38" t="s">
        <v>369</v>
      </c>
      <c r="W63" s="3" t="s">
        <v>374</v>
      </c>
      <c r="X63" s="38" t="s">
        <v>369</v>
      </c>
      <c r="Y63" s="1443">
        <v>200178090</v>
      </c>
      <c r="Z63" s="1443"/>
      <c r="AA63" s="1443"/>
      <c r="AB63" s="20"/>
      <c r="AC63" s="3"/>
      <c r="AD63" s="3"/>
      <c r="AE63" s="5"/>
      <c r="AF63" s="3"/>
      <c r="AG63" s="3"/>
      <c r="AH63" s="5"/>
      <c r="AI63" s="353">
        <v>0.22839999999999999</v>
      </c>
      <c r="AJ63" s="39"/>
      <c r="AK63" s="39"/>
      <c r="AL63" s="39"/>
      <c r="AM63" s="39">
        <f>AE$59*AI63+SUM(AJ63:AL63)</f>
        <v>2.8336065333333336</v>
      </c>
      <c r="AN63" s="3" t="s">
        <v>371</v>
      </c>
      <c r="AO63" s="3" t="s">
        <v>371</v>
      </c>
      <c r="AP63" s="3" t="s">
        <v>371</v>
      </c>
      <c r="AQ63" s="3" t="s">
        <v>371</v>
      </c>
      <c r="AR63" s="3" t="s">
        <v>92</v>
      </c>
      <c r="AS63" s="3" t="s">
        <v>92</v>
      </c>
      <c r="AT63" s="3" t="s">
        <v>371</v>
      </c>
      <c r="AU63" s="3" t="s">
        <v>371</v>
      </c>
      <c r="AV63" s="3" t="s">
        <v>371</v>
      </c>
      <c r="AW63" s="3" t="s">
        <v>92</v>
      </c>
      <c r="AX63" s="1414" t="s">
        <v>371</v>
      </c>
      <c r="AY63" s="3"/>
      <c r="AZ63" s="139"/>
      <c r="BA63" s="139"/>
      <c r="BB63" s="139"/>
      <c r="BC63" s="139"/>
      <c r="BD63" s="139"/>
      <c r="BE63" s="3"/>
    </row>
    <row r="64" spans="1:57" ht="15" customHeight="1" x14ac:dyDescent="0.4">
      <c r="A64" s="3"/>
      <c r="B64" s="36"/>
      <c r="C64" s="36"/>
      <c r="D64" s="155"/>
      <c r="E64" s="155"/>
      <c r="F64" s="155"/>
      <c r="G64" s="7"/>
      <c r="H64" s="20"/>
      <c r="I64" s="3"/>
      <c r="J64" s="3"/>
      <c r="K64" s="3"/>
      <c r="L64" s="3"/>
      <c r="M64" s="5"/>
      <c r="N64" s="5"/>
      <c r="O64" s="5"/>
      <c r="P64" s="24"/>
      <c r="Q64" s="24"/>
      <c r="R64" s="3"/>
      <c r="S64" s="5"/>
      <c r="T64" s="3"/>
      <c r="U64" s="20"/>
      <c r="V64" s="38" t="s">
        <v>369</v>
      </c>
      <c r="W64" s="3" t="s">
        <v>375</v>
      </c>
      <c r="X64" s="38" t="s">
        <v>369</v>
      </c>
      <c r="Y64" s="1443">
        <v>200178133</v>
      </c>
      <c r="Z64" s="1443"/>
      <c r="AA64" s="1443"/>
      <c r="AB64" s="20"/>
      <c r="AC64" s="3"/>
      <c r="AD64" s="3"/>
      <c r="AE64" s="5"/>
      <c r="AF64" s="3"/>
      <c r="AG64" s="3"/>
      <c r="AH64" s="5"/>
      <c r="AI64" s="353">
        <v>0.254</v>
      </c>
      <c r="AJ64" s="39"/>
      <c r="AK64" s="39"/>
      <c r="AL64" s="39"/>
      <c r="AM64" s="39">
        <f t="shared" ref="AM64" si="6">AE$59*AI64+SUM(AJ64:AL64)</f>
        <v>3.1512086666666668</v>
      </c>
      <c r="AN64" s="3" t="s">
        <v>371</v>
      </c>
      <c r="AO64" s="3" t="s">
        <v>371</v>
      </c>
      <c r="AP64" s="3" t="s">
        <v>371</v>
      </c>
      <c r="AQ64" s="3" t="s">
        <v>371</v>
      </c>
      <c r="AR64" s="3" t="s">
        <v>92</v>
      </c>
      <c r="AS64" s="3" t="s">
        <v>92</v>
      </c>
      <c r="AT64" s="3" t="s">
        <v>371</v>
      </c>
      <c r="AU64" s="3" t="s">
        <v>371</v>
      </c>
      <c r="AV64" s="3" t="s">
        <v>371</v>
      </c>
      <c r="AW64" s="3" t="s">
        <v>92</v>
      </c>
      <c r="AX64" s="1414" t="s">
        <v>371</v>
      </c>
      <c r="AY64" s="3"/>
      <c r="AZ64" s="139"/>
      <c r="BA64" s="139"/>
      <c r="BB64" s="139"/>
      <c r="BC64" s="139"/>
      <c r="BD64" s="139"/>
      <c r="BE64" s="3"/>
    </row>
    <row r="65" spans="1:57" ht="15" customHeight="1" thickBot="1" x14ac:dyDescent="0.45">
      <c r="A65" s="3"/>
      <c r="B65" s="36"/>
      <c r="C65" s="36"/>
      <c r="D65" s="155"/>
      <c r="E65" s="155"/>
      <c r="F65" s="155"/>
      <c r="G65" s="7"/>
      <c r="H65" s="20"/>
      <c r="I65" s="3"/>
      <c r="J65" s="3"/>
      <c r="K65" s="3"/>
      <c r="L65" s="3"/>
      <c r="M65" s="5"/>
      <c r="N65" s="5"/>
      <c r="O65" s="5"/>
      <c r="P65" s="24"/>
      <c r="Q65" s="24"/>
      <c r="R65" s="3"/>
      <c r="S65" s="5"/>
      <c r="T65" s="3"/>
      <c r="U65" s="20"/>
      <c r="V65" s="279" t="s">
        <v>369</v>
      </c>
      <c r="W65" s="112" t="s">
        <v>1849</v>
      </c>
      <c r="X65" s="279" t="s">
        <v>369</v>
      </c>
      <c r="Y65" s="1871">
        <v>200178148</v>
      </c>
      <c r="Z65" s="1443"/>
      <c r="AA65" s="1443"/>
      <c r="AB65" s="20"/>
      <c r="AC65" s="3"/>
      <c r="AD65" s="3"/>
      <c r="AE65" s="5"/>
      <c r="AF65" s="3"/>
      <c r="AG65" s="3"/>
      <c r="AH65" s="5"/>
      <c r="AI65" s="353">
        <v>0.23</v>
      </c>
      <c r="AJ65" s="39"/>
      <c r="AK65" s="39"/>
      <c r="AL65" s="39"/>
      <c r="AM65" s="947">
        <f t="shared" si="5"/>
        <v>2.8534566666666672</v>
      </c>
      <c r="AN65" s="889" t="s">
        <v>371</v>
      </c>
      <c r="AO65" s="889" t="s">
        <v>371</v>
      </c>
      <c r="AP65" s="889" t="s">
        <v>371</v>
      </c>
      <c r="AQ65" s="889" t="s">
        <v>371</v>
      </c>
      <c r="AR65" s="889" t="s">
        <v>92</v>
      </c>
      <c r="AS65" s="889" t="s">
        <v>92</v>
      </c>
      <c r="AT65" s="889" t="s">
        <v>371</v>
      </c>
      <c r="AU65" s="889" t="s">
        <v>371</v>
      </c>
      <c r="AV65" s="889" t="s">
        <v>371</v>
      </c>
      <c r="AW65" s="889" t="s">
        <v>92</v>
      </c>
      <c r="AX65" s="1590" t="s">
        <v>371</v>
      </c>
      <c r="AY65" s="889"/>
      <c r="AZ65" s="139"/>
      <c r="BA65" s="139"/>
      <c r="BB65" s="139"/>
      <c r="BC65" s="139"/>
      <c r="BD65" s="139"/>
      <c r="BE65" s="3"/>
    </row>
    <row r="66" spans="1:57" ht="15" customHeight="1" thickBot="1" x14ac:dyDescent="0.45">
      <c r="A66" s="3"/>
      <c r="B66" s="173" t="s">
        <v>388</v>
      </c>
      <c r="C66" s="173"/>
      <c r="D66" s="116"/>
      <c r="E66" s="116"/>
      <c r="F66" s="174"/>
      <c r="G66" s="173"/>
      <c r="H66" s="175"/>
      <c r="I66" s="116"/>
      <c r="J66" s="116"/>
      <c r="K66" s="116"/>
      <c r="L66" s="116"/>
      <c r="M66" s="116"/>
      <c r="N66" s="177"/>
      <c r="O66" s="177"/>
      <c r="P66" s="177"/>
      <c r="Q66" s="177"/>
      <c r="R66" s="116"/>
      <c r="S66" s="177"/>
      <c r="T66" s="116"/>
      <c r="U66" s="175"/>
      <c r="V66" s="173"/>
      <c r="W66" s="173"/>
      <c r="X66" s="173"/>
      <c r="Y66" s="1449"/>
      <c r="Z66" s="1449"/>
      <c r="AA66" s="1449"/>
      <c r="AB66" s="175"/>
      <c r="AC66" s="116"/>
      <c r="AD66" s="116"/>
      <c r="AE66" s="177"/>
      <c r="AF66" s="116"/>
      <c r="AG66" s="179"/>
      <c r="AH66" s="177"/>
      <c r="AI66" s="185"/>
      <c r="AJ66" s="185"/>
      <c r="AK66" s="185"/>
      <c r="AL66" s="185"/>
      <c r="AM66" s="39"/>
      <c r="AN66" s="889" t="s">
        <v>81</v>
      </c>
      <c r="AO66" s="889" t="s">
        <v>81</v>
      </c>
      <c r="AP66" s="889" t="s">
        <v>81</v>
      </c>
      <c r="AQ66" s="889" t="s">
        <v>81</v>
      </c>
      <c r="AR66" s="889" t="s">
        <v>92</v>
      </c>
      <c r="AS66" s="889" t="s">
        <v>92</v>
      </c>
      <c r="AT66" s="889" t="s">
        <v>81</v>
      </c>
      <c r="AU66" s="889" t="s">
        <v>81</v>
      </c>
      <c r="AV66" s="889" t="s">
        <v>81</v>
      </c>
      <c r="AW66" s="889" t="s">
        <v>92</v>
      </c>
      <c r="AX66" s="1590" t="s">
        <v>81</v>
      </c>
      <c r="AY66" s="889"/>
      <c r="AZ66" s="139"/>
      <c r="BA66" s="139"/>
      <c r="BB66" s="139"/>
      <c r="BC66" s="139"/>
      <c r="BD66" s="139"/>
      <c r="BE66" s="3"/>
    </row>
    <row r="67" spans="1:57" ht="15" customHeight="1" x14ac:dyDescent="0.4">
      <c r="A67" s="3" t="s">
        <v>389</v>
      </c>
      <c r="B67" s="173"/>
      <c r="C67" s="173" t="s">
        <v>390</v>
      </c>
      <c r="D67" s="116"/>
      <c r="E67" s="182"/>
      <c r="F67" s="182" t="s">
        <v>391</v>
      </c>
      <c r="G67" s="173"/>
      <c r="H67" s="175"/>
      <c r="I67" s="116" t="s">
        <v>392</v>
      </c>
      <c r="J67" s="116"/>
      <c r="K67" s="116"/>
      <c r="L67" s="116" t="s">
        <v>348</v>
      </c>
      <c r="M67" s="177">
        <f>1.375*2</f>
        <v>2.75</v>
      </c>
      <c r="N67" s="177" t="s">
        <v>348</v>
      </c>
      <c r="O67" s="177">
        <f>0.125*2</f>
        <v>0.25</v>
      </c>
      <c r="P67" s="177"/>
      <c r="Q67" s="177"/>
      <c r="R67" s="116" t="s">
        <v>352</v>
      </c>
      <c r="S67" s="177">
        <f>SHWidth+M67+O67</f>
        <v>41.5625</v>
      </c>
      <c r="T67" s="116" t="s">
        <v>366</v>
      </c>
      <c r="U67" s="175"/>
      <c r="V67" s="179"/>
      <c r="W67" s="116"/>
      <c r="X67" s="179"/>
      <c r="Y67" s="1449"/>
      <c r="Z67" s="1449"/>
      <c r="AA67" s="1449"/>
      <c r="AB67" s="175"/>
      <c r="AC67" s="116">
        <v>45</v>
      </c>
      <c r="AD67" s="116">
        <v>1</v>
      </c>
      <c r="AE67" s="177">
        <f>S67*AD67/12</f>
        <v>3.4635416666666665</v>
      </c>
      <c r="AF67" s="116" t="s">
        <v>367</v>
      </c>
      <c r="AG67" s="179">
        <f>AG18</f>
        <v>1.075</v>
      </c>
      <c r="AH67" s="177">
        <f>AG67*AtolbperftSH</f>
        <v>0.67993749999999997</v>
      </c>
      <c r="AI67" s="185"/>
      <c r="AJ67" s="185"/>
      <c r="AK67" s="185"/>
      <c r="AL67" s="185"/>
      <c r="AM67" s="180"/>
      <c r="AN67" s="3" t="s">
        <v>81</v>
      </c>
      <c r="AO67" s="3" t="s">
        <v>81</v>
      </c>
      <c r="AP67" s="3" t="s">
        <v>81</v>
      </c>
      <c r="AQ67" s="3" t="s">
        <v>81</v>
      </c>
      <c r="AR67" s="3" t="s">
        <v>92</v>
      </c>
      <c r="AS67" s="3" t="s">
        <v>92</v>
      </c>
      <c r="AT67" s="3" t="s">
        <v>81</v>
      </c>
      <c r="AU67" s="3" t="s">
        <v>81</v>
      </c>
      <c r="AV67" s="3" t="s">
        <v>81</v>
      </c>
      <c r="AW67" s="3" t="s">
        <v>92</v>
      </c>
      <c r="AX67" s="1414" t="s">
        <v>81</v>
      </c>
      <c r="AY67" s="3"/>
      <c r="AZ67" s="139"/>
      <c r="BA67" s="139"/>
      <c r="BB67" s="139"/>
      <c r="BC67" s="139"/>
      <c r="BD67" s="139"/>
      <c r="BE67" s="3"/>
    </row>
    <row r="68" spans="1:57" ht="15" customHeight="1" x14ac:dyDescent="0.4">
      <c r="A68" s="3"/>
      <c r="B68" s="3"/>
      <c r="C68" s="36"/>
      <c r="D68" s="155"/>
      <c r="E68" s="155"/>
      <c r="F68" s="47" t="s">
        <v>393</v>
      </c>
      <c r="G68" s="7"/>
      <c r="H68" s="20"/>
      <c r="I68" s="3" t="s">
        <v>392</v>
      </c>
      <c r="J68" s="3"/>
      <c r="K68" s="3"/>
      <c r="L68" s="3" t="s">
        <v>348</v>
      </c>
      <c r="M68" s="5">
        <f>0</f>
        <v>0</v>
      </c>
      <c r="N68" s="5" t="s">
        <v>348</v>
      </c>
      <c r="O68" s="5">
        <f>0.125*2</f>
        <v>0.25</v>
      </c>
      <c r="P68" s="5"/>
      <c r="Q68" s="5"/>
      <c r="R68" s="3" t="s">
        <v>352</v>
      </c>
      <c r="S68" s="5">
        <f>SHWidth+M68+O68</f>
        <v>38.8125</v>
      </c>
      <c r="T68" s="3" t="s">
        <v>366</v>
      </c>
      <c r="U68" s="20"/>
      <c r="V68" s="38" t="s">
        <v>369</v>
      </c>
      <c r="W68" s="3" t="s">
        <v>370</v>
      </c>
      <c r="X68" s="38" t="s">
        <v>369</v>
      </c>
      <c r="Y68" s="1443">
        <v>200135003</v>
      </c>
      <c r="Z68" s="1443"/>
      <c r="AA68" s="1443"/>
      <c r="AB68" s="20"/>
      <c r="AC68" s="3"/>
      <c r="AD68" s="3"/>
      <c r="AE68" s="5"/>
      <c r="AF68" s="3"/>
      <c r="AG68" s="38"/>
      <c r="AH68" s="5"/>
      <c r="AI68" s="51">
        <f t="shared" ref="AI68:AI74" si="7">AI19</f>
        <v>0.6109</v>
      </c>
      <c r="AJ68" s="39"/>
      <c r="AK68" s="39"/>
      <c r="AL68" s="39"/>
      <c r="AM68" s="39">
        <f>AE$67*AI68+SUM(AJ68:AL68)</f>
        <v>2.1158776041666667</v>
      </c>
      <c r="AN68" s="3" t="s">
        <v>81</v>
      </c>
      <c r="AO68" s="3" t="s">
        <v>81</v>
      </c>
      <c r="AP68" s="3" t="s">
        <v>81</v>
      </c>
      <c r="AQ68" s="3" t="s">
        <v>81</v>
      </c>
      <c r="AR68" s="3" t="s">
        <v>92</v>
      </c>
      <c r="AS68" s="3" t="s">
        <v>92</v>
      </c>
      <c r="AT68" s="3" t="s">
        <v>371</v>
      </c>
      <c r="AU68" s="3" t="s">
        <v>81</v>
      </c>
      <c r="AV68" s="3" t="s">
        <v>371</v>
      </c>
      <c r="AW68" s="3" t="s">
        <v>92</v>
      </c>
      <c r="AX68" s="1414" t="s">
        <v>81</v>
      </c>
      <c r="AY68" s="3"/>
      <c r="AZ68" s="139"/>
      <c r="BA68" s="139"/>
      <c r="BB68" s="139"/>
      <c r="BC68" s="139"/>
      <c r="BD68" s="139"/>
      <c r="BE68" s="3"/>
    </row>
    <row r="69" spans="1:57" ht="15" customHeight="1" x14ac:dyDescent="0.4">
      <c r="A69" s="3"/>
      <c r="B69" s="3"/>
      <c r="C69" s="36"/>
      <c r="D69" s="155"/>
      <c r="E69" s="155"/>
      <c r="F69" s="155"/>
      <c r="G69" s="7"/>
      <c r="H69" s="20"/>
      <c r="I69" s="3"/>
      <c r="J69" s="3"/>
      <c r="K69" s="3"/>
      <c r="L69" s="3"/>
      <c r="M69" s="5"/>
      <c r="N69" s="5"/>
      <c r="O69" s="5"/>
      <c r="P69" s="5"/>
      <c r="Q69" s="5"/>
      <c r="R69" s="3"/>
      <c r="S69" s="5"/>
      <c r="T69" s="3"/>
      <c r="U69" s="20"/>
      <c r="V69" s="38" t="s">
        <v>369</v>
      </c>
      <c r="W69" s="3" t="s">
        <v>372</v>
      </c>
      <c r="X69" s="38" t="s">
        <v>369</v>
      </c>
      <c r="Y69" s="1443">
        <v>200135021</v>
      </c>
      <c r="Z69" s="1443"/>
      <c r="AA69" s="1443"/>
      <c r="AB69" s="20"/>
      <c r="AC69" s="3"/>
      <c r="AD69" s="3"/>
      <c r="AE69" s="5"/>
      <c r="AF69" s="3"/>
      <c r="AG69" s="38"/>
      <c r="AH69" s="5"/>
      <c r="AI69" s="51">
        <f t="shared" si="7"/>
        <v>0.65580000000000005</v>
      </c>
      <c r="AJ69" s="39"/>
      <c r="AK69" s="39"/>
      <c r="AL69" s="39"/>
      <c r="AM69" s="39">
        <f>AE$67*AI69+SUM(AJ69:AL69)</f>
        <v>2.271390625</v>
      </c>
      <c r="AN69" s="3" t="s">
        <v>371</v>
      </c>
      <c r="AO69" s="3" t="s">
        <v>371</v>
      </c>
      <c r="AP69" s="3" t="s">
        <v>371</v>
      </c>
      <c r="AQ69" s="3" t="s">
        <v>371</v>
      </c>
      <c r="AR69" s="3" t="s">
        <v>92</v>
      </c>
      <c r="AS69" s="3" t="s">
        <v>92</v>
      </c>
      <c r="AT69" s="3" t="s">
        <v>371</v>
      </c>
      <c r="AU69" s="3" t="s">
        <v>371</v>
      </c>
      <c r="AV69" s="3" t="s">
        <v>371</v>
      </c>
      <c r="AW69" s="3" t="s">
        <v>92</v>
      </c>
      <c r="AX69" s="1414" t="s">
        <v>371</v>
      </c>
      <c r="AY69" s="3"/>
      <c r="AZ69" s="139"/>
      <c r="BA69" s="139"/>
      <c r="BB69" s="139"/>
      <c r="BC69" s="139"/>
      <c r="BD69" s="139"/>
      <c r="BE69" s="3"/>
    </row>
    <row r="70" spans="1:57" ht="15" customHeight="1" x14ac:dyDescent="0.4">
      <c r="A70" s="3"/>
      <c r="B70" s="3"/>
      <c r="C70" s="36"/>
      <c r="D70" s="155"/>
      <c r="E70" s="155"/>
      <c r="F70" s="155"/>
      <c r="G70" s="7"/>
      <c r="H70" s="20"/>
      <c r="I70" s="3"/>
      <c r="J70" s="3"/>
      <c r="K70" s="3"/>
      <c r="L70" s="3"/>
      <c r="M70" s="5"/>
      <c r="N70" s="5"/>
      <c r="O70" s="5"/>
      <c r="P70" s="5"/>
      <c r="Q70" s="5"/>
      <c r="R70" s="3"/>
      <c r="S70" s="5"/>
      <c r="T70" s="3"/>
      <c r="U70" s="20"/>
      <c r="V70" s="38" t="s">
        <v>369</v>
      </c>
      <c r="W70" s="3" t="s">
        <v>373</v>
      </c>
      <c r="X70" s="38" t="s">
        <v>369</v>
      </c>
      <c r="Y70" s="1443">
        <v>200135033</v>
      </c>
      <c r="Z70" s="1443"/>
      <c r="AA70" s="1443"/>
      <c r="AB70" s="20"/>
      <c r="AC70" s="3"/>
      <c r="AD70" s="3"/>
      <c r="AE70" s="5"/>
      <c r="AF70" s="3"/>
      <c r="AG70" s="38"/>
      <c r="AH70" s="5"/>
      <c r="AI70" s="51">
        <f t="shared" si="7"/>
        <v>0.71130000000000004</v>
      </c>
      <c r="AJ70" s="39"/>
      <c r="AK70" s="39"/>
      <c r="AL70" s="39"/>
      <c r="AM70" s="39">
        <f t="shared" ref="AM70:AM79" si="8">AE$67*AI70+SUM(AJ70:AL70)</f>
        <v>2.4636171875000001</v>
      </c>
      <c r="AN70" s="3" t="s">
        <v>371</v>
      </c>
      <c r="AO70" s="3" t="s">
        <v>371</v>
      </c>
      <c r="AP70" s="3" t="s">
        <v>371</v>
      </c>
      <c r="AQ70" s="3" t="s">
        <v>371</v>
      </c>
      <c r="AR70" s="3" t="s">
        <v>92</v>
      </c>
      <c r="AS70" s="3" t="s">
        <v>92</v>
      </c>
      <c r="AT70" s="3" t="s">
        <v>371</v>
      </c>
      <c r="AU70" s="3" t="s">
        <v>371</v>
      </c>
      <c r="AV70" s="3" t="s">
        <v>81</v>
      </c>
      <c r="AW70" s="3" t="s">
        <v>92</v>
      </c>
      <c r="AX70" s="1414" t="s">
        <v>371</v>
      </c>
      <c r="AY70" s="3"/>
      <c r="AZ70" s="139"/>
      <c r="BA70" s="139"/>
      <c r="BB70" s="139"/>
      <c r="BC70" s="139"/>
      <c r="BD70" s="139"/>
      <c r="BE70" s="3"/>
    </row>
    <row r="71" spans="1:57" ht="15" customHeight="1" x14ac:dyDescent="0.4">
      <c r="A71" s="3"/>
      <c r="B71" s="3"/>
      <c r="C71" s="36"/>
      <c r="D71" s="155"/>
      <c r="E71" s="155"/>
      <c r="F71" s="155"/>
      <c r="G71" s="7"/>
      <c r="H71" s="20"/>
      <c r="I71" s="3"/>
      <c r="J71" s="3"/>
      <c r="K71" s="3"/>
      <c r="L71" s="3"/>
      <c r="M71" s="5"/>
      <c r="N71" s="5"/>
      <c r="O71" s="5"/>
      <c r="P71" s="5"/>
      <c r="Q71" s="5"/>
      <c r="R71" s="3"/>
      <c r="S71" s="5"/>
      <c r="T71" s="3"/>
      <c r="U71" s="20"/>
      <c r="V71" s="3" t="s">
        <v>2363</v>
      </c>
      <c r="W71" s="3" t="s">
        <v>370</v>
      </c>
      <c r="X71" s="38" t="s">
        <v>369</v>
      </c>
      <c r="Y71" s="1443">
        <v>200135127</v>
      </c>
      <c r="Z71" s="1443"/>
      <c r="AA71" s="1443"/>
      <c r="AB71" s="20"/>
      <c r="AC71" s="3"/>
      <c r="AD71" s="3"/>
      <c r="AE71" s="5"/>
      <c r="AF71" s="3"/>
      <c r="AG71" s="38"/>
      <c r="AH71" s="5"/>
      <c r="AI71" s="51">
        <f t="shared" si="7"/>
        <v>0.81010000000000004</v>
      </c>
      <c r="AJ71" s="39"/>
      <c r="AK71" s="39"/>
      <c r="AL71" s="39"/>
      <c r="AM71" s="39">
        <f t="shared" si="8"/>
        <v>2.8058151041666668</v>
      </c>
      <c r="AN71" s="3" t="s">
        <v>371</v>
      </c>
      <c r="AO71" s="3" t="s">
        <v>371</v>
      </c>
      <c r="AP71" s="3" t="s">
        <v>371</v>
      </c>
      <c r="AQ71" s="3" t="s">
        <v>371</v>
      </c>
      <c r="AR71" s="3" t="s">
        <v>92</v>
      </c>
      <c r="AS71" s="3" t="s">
        <v>92</v>
      </c>
      <c r="AT71" s="3" t="s">
        <v>81</v>
      </c>
      <c r="AU71" s="3" t="s">
        <v>371</v>
      </c>
      <c r="AV71" s="3" t="s">
        <v>371</v>
      </c>
      <c r="AW71" s="3" t="s">
        <v>92</v>
      </c>
      <c r="AX71" s="1414" t="s">
        <v>371</v>
      </c>
      <c r="AY71" s="3"/>
      <c r="AZ71" s="139"/>
      <c r="BA71" s="139"/>
      <c r="BB71" s="139"/>
      <c r="BC71" s="139"/>
      <c r="BD71" s="139"/>
      <c r="BE71" s="3"/>
    </row>
    <row r="72" spans="1:57" ht="15" customHeight="1" x14ac:dyDescent="0.4">
      <c r="A72" s="3"/>
      <c r="B72" s="3"/>
      <c r="C72" s="36"/>
      <c r="D72" s="155"/>
      <c r="E72" s="155"/>
      <c r="F72" s="155"/>
      <c r="G72" s="7"/>
      <c r="H72" s="20"/>
      <c r="I72" s="3"/>
      <c r="J72" s="3"/>
      <c r="K72" s="3"/>
      <c r="L72" s="3"/>
      <c r="M72" s="5"/>
      <c r="N72" s="5"/>
      <c r="O72" s="5"/>
      <c r="P72" s="5"/>
      <c r="Q72" s="5"/>
      <c r="R72" s="3"/>
      <c r="S72" s="5"/>
      <c r="T72" s="3"/>
      <c r="U72" s="20"/>
      <c r="V72" s="112" t="s">
        <v>2366</v>
      </c>
      <c r="W72" s="112" t="s">
        <v>370</v>
      </c>
      <c r="X72" s="38" t="s">
        <v>369</v>
      </c>
      <c r="Y72" s="1871">
        <v>200135128</v>
      </c>
      <c r="Z72" s="1443"/>
      <c r="AA72" s="1443"/>
      <c r="AB72" s="20"/>
      <c r="AC72" s="3"/>
      <c r="AD72" s="3"/>
      <c r="AE72" s="5"/>
      <c r="AF72" s="3"/>
      <c r="AG72" s="38"/>
      <c r="AH72" s="5"/>
      <c r="AI72" s="51">
        <f t="shared" si="7"/>
        <v>0.7792</v>
      </c>
      <c r="AJ72" s="39"/>
      <c r="AK72" s="39"/>
      <c r="AL72" s="39"/>
      <c r="AM72" s="39">
        <f t="shared" si="8"/>
        <v>2.6987916666666667</v>
      </c>
      <c r="AN72" s="3" t="s">
        <v>371</v>
      </c>
      <c r="AO72" s="3" t="s">
        <v>371</v>
      </c>
      <c r="AP72" s="3" t="s">
        <v>371</v>
      </c>
      <c r="AQ72" s="3" t="s">
        <v>371</v>
      </c>
      <c r="AR72" s="3" t="s">
        <v>92</v>
      </c>
      <c r="AS72" s="3" t="s">
        <v>92</v>
      </c>
      <c r="AT72" s="3" t="s">
        <v>371</v>
      </c>
      <c r="AU72" s="3" t="s">
        <v>371</v>
      </c>
      <c r="AV72" s="3" t="s">
        <v>371</v>
      </c>
      <c r="AW72" s="3" t="s">
        <v>92</v>
      </c>
      <c r="AX72" s="1414" t="s">
        <v>371</v>
      </c>
      <c r="AY72" s="3"/>
      <c r="AZ72" s="139"/>
      <c r="BA72" s="139"/>
      <c r="BB72" s="139"/>
      <c r="BC72" s="139"/>
      <c r="BD72" s="139"/>
      <c r="BE72" s="3"/>
    </row>
    <row r="73" spans="1:57" ht="15" customHeight="1" x14ac:dyDescent="0.4">
      <c r="A73" s="3"/>
      <c r="B73" s="3"/>
      <c r="C73" s="36"/>
      <c r="D73" s="155"/>
      <c r="E73" s="155"/>
      <c r="F73" s="155"/>
      <c r="G73" s="7"/>
      <c r="H73" s="20"/>
      <c r="I73" s="3"/>
      <c r="J73" s="3"/>
      <c r="K73" s="3"/>
      <c r="L73" s="3"/>
      <c r="M73" s="5"/>
      <c r="N73" s="5"/>
      <c r="O73" s="5"/>
      <c r="P73" s="5"/>
      <c r="Q73" s="5"/>
      <c r="R73" s="3"/>
      <c r="S73" s="5"/>
      <c r="T73" s="3"/>
      <c r="U73" s="20"/>
      <c r="V73" s="3" t="s">
        <v>2364</v>
      </c>
      <c r="W73" s="3" t="s">
        <v>370</v>
      </c>
      <c r="X73" s="38" t="s">
        <v>369</v>
      </c>
      <c r="Y73" s="1443">
        <v>200135129</v>
      </c>
      <c r="Z73" s="1443"/>
      <c r="AA73" s="1443"/>
      <c r="AB73" s="20"/>
      <c r="AC73" s="3"/>
      <c r="AD73" s="3"/>
      <c r="AE73" s="5"/>
      <c r="AF73" s="3"/>
      <c r="AG73" s="38"/>
      <c r="AH73" s="5"/>
      <c r="AI73" s="51">
        <f t="shared" si="7"/>
        <v>0.78490000000000004</v>
      </c>
      <c r="AJ73" s="39"/>
      <c r="AK73" s="39"/>
      <c r="AL73" s="39"/>
      <c r="AM73" s="39">
        <f>AE$67*AI73+SUM(AJ73:AL73)</f>
        <v>2.7185338541666666</v>
      </c>
      <c r="AN73" s="3" t="s">
        <v>371</v>
      </c>
      <c r="AO73" s="3" t="s">
        <v>371</v>
      </c>
      <c r="AP73" s="3" t="s">
        <v>371</v>
      </c>
      <c r="AQ73" s="3" t="s">
        <v>371</v>
      </c>
      <c r="AR73" s="3" t="s">
        <v>92</v>
      </c>
      <c r="AS73" s="3" t="s">
        <v>92</v>
      </c>
      <c r="AT73" s="3" t="s">
        <v>371</v>
      </c>
      <c r="AU73" s="3" t="s">
        <v>371</v>
      </c>
      <c r="AV73" s="3" t="s">
        <v>371</v>
      </c>
      <c r="AW73" s="3" t="s">
        <v>92</v>
      </c>
      <c r="AX73" s="1414" t="s">
        <v>371</v>
      </c>
      <c r="AY73" s="3"/>
      <c r="AZ73" s="139"/>
      <c r="BA73" s="139"/>
      <c r="BB73" s="139"/>
      <c r="BC73" s="139"/>
      <c r="BD73" s="139"/>
      <c r="BE73" s="3"/>
    </row>
    <row r="74" spans="1:57" ht="15" customHeight="1" x14ac:dyDescent="0.4">
      <c r="A74" s="3"/>
      <c r="B74" s="3"/>
      <c r="C74" s="36"/>
      <c r="D74" s="155"/>
      <c r="E74" s="155"/>
      <c r="F74" s="155"/>
      <c r="G74" s="7"/>
      <c r="H74" s="20"/>
      <c r="I74" s="3"/>
      <c r="J74" s="3"/>
      <c r="K74" s="3"/>
      <c r="L74" s="3"/>
      <c r="M74" s="5"/>
      <c r="N74" s="5"/>
      <c r="O74" s="5"/>
      <c r="P74" s="5"/>
      <c r="Q74" s="5"/>
      <c r="R74" s="3"/>
      <c r="S74" s="5"/>
      <c r="T74" s="3"/>
      <c r="U74" s="20"/>
      <c r="V74" s="3" t="s">
        <v>2365</v>
      </c>
      <c r="W74" s="3" t="s">
        <v>370</v>
      </c>
      <c r="X74" s="38" t="s">
        <v>369</v>
      </c>
      <c r="Y74" s="1443">
        <v>200135180</v>
      </c>
      <c r="Z74" s="1443"/>
      <c r="AA74" s="1443"/>
      <c r="AB74" s="20"/>
      <c r="AC74" s="3"/>
      <c r="AD74" s="3"/>
      <c r="AE74" s="5"/>
      <c r="AF74" s="3"/>
      <c r="AG74" s="38"/>
      <c r="AH74" s="5"/>
      <c r="AI74" s="51">
        <f t="shared" si="7"/>
        <v>0.88580000000000003</v>
      </c>
      <c r="AJ74" s="39"/>
      <c r="AK74" s="39"/>
      <c r="AL74" s="39"/>
      <c r="AM74" s="39">
        <f t="shared" ref="AM74" si="9">AE$67*AI74+SUM(AJ74:AL74)</f>
        <v>3.0680052083333331</v>
      </c>
      <c r="AN74" s="3" t="s">
        <v>371</v>
      </c>
      <c r="AO74" s="3" t="s">
        <v>371</v>
      </c>
      <c r="AP74" s="3" t="s">
        <v>371</v>
      </c>
      <c r="AQ74" s="3" t="s">
        <v>371</v>
      </c>
      <c r="AR74" s="3" t="s">
        <v>92</v>
      </c>
      <c r="AS74" s="3" t="s">
        <v>92</v>
      </c>
      <c r="AT74" s="3" t="s">
        <v>371</v>
      </c>
      <c r="AU74" s="3" t="s">
        <v>371</v>
      </c>
      <c r="AV74" s="3" t="s">
        <v>371</v>
      </c>
      <c r="AW74" s="3" t="s">
        <v>92</v>
      </c>
      <c r="AX74" s="1414" t="s">
        <v>371</v>
      </c>
      <c r="AY74" s="3"/>
      <c r="AZ74" s="139"/>
      <c r="BA74" s="139"/>
      <c r="BB74" s="139"/>
      <c r="BC74" s="139"/>
      <c r="BD74" s="139"/>
      <c r="BE74" s="3"/>
    </row>
    <row r="75" spans="1:57" ht="15" customHeight="1" x14ac:dyDescent="0.4">
      <c r="A75" s="3"/>
      <c r="B75" s="3"/>
      <c r="C75" s="36"/>
      <c r="D75" s="155"/>
      <c r="E75" s="155"/>
      <c r="F75" s="155"/>
      <c r="G75" s="7"/>
      <c r="H75" s="20"/>
      <c r="I75" s="3"/>
      <c r="J75" s="3"/>
      <c r="K75" s="3"/>
      <c r="L75" s="3"/>
      <c r="M75" s="5"/>
      <c r="N75" s="5"/>
      <c r="O75" s="5"/>
      <c r="P75" s="5"/>
      <c r="Q75" s="5"/>
      <c r="R75" s="3"/>
      <c r="S75" s="5"/>
      <c r="T75" s="3"/>
      <c r="U75" s="20"/>
      <c r="V75" s="112" t="s">
        <v>2367</v>
      </c>
      <c r="W75" s="112" t="s">
        <v>370</v>
      </c>
      <c r="X75" s="38" t="s">
        <v>369</v>
      </c>
      <c r="Y75" s="1871">
        <v>200135152</v>
      </c>
      <c r="Z75" s="1443"/>
      <c r="AA75" s="1443"/>
      <c r="AB75" s="20"/>
      <c r="AC75" s="3"/>
      <c r="AD75" s="3"/>
      <c r="AE75" s="5"/>
      <c r="AF75" s="3"/>
      <c r="AG75" s="38"/>
      <c r="AH75" s="5"/>
      <c r="AI75" s="51">
        <f t="shared" ref="AI75" si="10">AI28</f>
        <v>9.1199999999999996E-3</v>
      </c>
      <c r="AJ75" s="39"/>
      <c r="AK75" s="39"/>
      <c r="AL75" s="39"/>
      <c r="AM75" s="39">
        <f t="shared" si="8"/>
        <v>3.1587499999999998E-2</v>
      </c>
      <c r="AN75" s="3" t="s">
        <v>371</v>
      </c>
      <c r="AO75" s="3" t="s">
        <v>371</v>
      </c>
      <c r="AP75" s="3" t="s">
        <v>371</v>
      </c>
      <c r="AQ75" s="3" t="s">
        <v>371</v>
      </c>
      <c r="AR75" s="3" t="s">
        <v>92</v>
      </c>
      <c r="AS75" s="3" t="s">
        <v>92</v>
      </c>
      <c r="AT75" s="3" t="s">
        <v>371</v>
      </c>
      <c r="AU75" s="3" t="s">
        <v>371</v>
      </c>
      <c r="AV75" s="3" t="s">
        <v>371</v>
      </c>
      <c r="AW75" s="3" t="s">
        <v>92</v>
      </c>
      <c r="AX75" s="1414" t="s">
        <v>371</v>
      </c>
      <c r="AY75" s="3"/>
      <c r="AZ75" s="139"/>
      <c r="BA75" s="139"/>
      <c r="BB75" s="139"/>
      <c r="BC75" s="139"/>
      <c r="BD75" s="139"/>
      <c r="BE75" s="3"/>
    </row>
    <row r="76" spans="1:57" ht="15" customHeight="1" x14ac:dyDescent="0.4">
      <c r="A76" s="3"/>
      <c r="B76" s="3"/>
      <c r="C76" s="36"/>
      <c r="D76" s="155"/>
      <c r="E76" s="155"/>
      <c r="F76" s="155"/>
      <c r="G76" s="7"/>
      <c r="H76" s="20"/>
      <c r="I76" s="3"/>
      <c r="J76" s="3"/>
      <c r="K76" s="3"/>
      <c r="L76" s="3"/>
      <c r="M76" s="5"/>
      <c r="N76" s="5"/>
      <c r="O76" s="5"/>
      <c r="P76" s="5"/>
      <c r="Q76" s="5"/>
      <c r="R76" s="3"/>
      <c r="S76" s="5"/>
      <c r="T76" s="3"/>
      <c r="U76" s="20"/>
      <c r="V76" s="3" t="s">
        <v>2365</v>
      </c>
      <c r="W76" s="3" t="s">
        <v>370</v>
      </c>
      <c r="X76" s="38" t="s">
        <v>2365</v>
      </c>
      <c r="Y76" s="1443">
        <v>200135181</v>
      </c>
      <c r="Z76" s="1443"/>
      <c r="AA76" s="1443"/>
      <c r="AB76" s="20"/>
      <c r="AC76" s="3"/>
      <c r="AD76" s="3"/>
      <c r="AE76" s="5"/>
      <c r="AF76" s="3"/>
      <c r="AG76" s="38"/>
      <c r="AH76" s="5"/>
      <c r="AI76" s="51"/>
      <c r="AJ76" s="39"/>
      <c r="AK76" s="39"/>
      <c r="AL76" s="39"/>
      <c r="AM76" s="39"/>
      <c r="AN76" s="3" t="s">
        <v>371</v>
      </c>
      <c r="AO76" s="3" t="s">
        <v>371</v>
      </c>
      <c r="AP76" s="3" t="s">
        <v>371</v>
      </c>
      <c r="AQ76" s="3" t="s">
        <v>371</v>
      </c>
      <c r="AR76" s="3" t="s">
        <v>92</v>
      </c>
      <c r="AS76" s="3" t="s">
        <v>92</v>
      </c>
      <c r="AT76" s="3" t="s">
        <v>371</v>
      </c>
      <c r="AU76" s="3" t="s">
        <v>371</v>
      </c>
      <c r="AV76" s="3" t="s">
        <v>371</v>
      </c>
      <c r="AW76" s="3" t="s">
        <v>92</v>
      </c>
      <c r="AX76" s="1414" t="s">
        <v>81</v>
      </c>
      <c r="AY76" s="3"/>
      <c r="AZ76" s="139"/>
      <c r="BA76" s="139"/>
      <c r="BB76" s="139"/>
      <c r="BC76" s="139"/>
      <c r="BD76" s="139"/>
      <c r="BE76" s="3"/>
    </row>
    <row r="77" spans="1:57" ht="15.75" customHeight="1" x14ac:dyDescent="0.4">
      <c r="A77" s="3"/>
      <c r="B77" s="3"/>
      <c r="C77" s="1487" t="s">
        <v>2387</v>
      </c>
      <c r="D77" s="1933"/>
      <c r="E77" s="951"/>
      <c r="F77" s="951"/>
      <c r="G77" s="454"/>
      <c r="H77" s="1032"/>
      <c r="I77" s="130" t="s">
        <v>392</v>
      </c>
      <c r="J77" s="130"/>
      <c r="K77" s="130"/>
      <c r="L77" s="130"/>
      <c r="M77" s="584"/>
      <c r="N77" s="584"/>
      <c r="O77" s="584"/>
      <c r="P77" s="1034"/>
      <c r="Q77" s="1034"/>
      <c r="R77" s="130" t="s">
        <v>352</v>
      </c>
      <c r="S77" s="584">
        <f>SHWidth</f>
        <v>38.5625</v>
      </c>
      <c r="T77" s="130" t="s">
        <v>366</v>
      </c>
      <c r="U77" s="1032"/>
      <c r="V77" s="587" t="s">
        <v>369</v>
      </c>
      <c r="W77" s="130" t="s">
        <v>370</v>
      </c>
      <c r="X77" s="587" t="s">
        <v>369</v>
      </c>
      <c r="Y77" s="1931">
        <v>120074014002</v>
      </c>
      <c r="Z77" s="1931"/>
      <c r="AA77" s="1931"/>
      <c r="AB77" s="1032"/>
      <c r="AC77" s="130"/>
      <c r="AD77" s="130">
        <v>2</v>
      </c>
      <c r="AE77" s="584">
        <f>S77*AD77/12</f>
        <v>6.427083333333333</v>
      </c>
      <c r="AF77" s="130" t="s">
        <v>367</v>
      </c>
      <c r="AG77" s="130"/>
      <c r="AH77" s="584"/>
      <c r="AI77" s="1046">
        <v>1.9449999999999999E-2</v>
      </c>
      <c r="AJ77" s="589"/>
      <c r="AK77" s="589"/>
      <c r="AL77" s="589"/>
      <c r="AM77" s="589">
        <f>AE77*AI77</f>
        <v>0.12500677083333331</v>
      </c>
      <c r="AN77" s="130" t="s">
        <v>92</v>
      </c>
      <c r="AO77" s="130" t="s">
        <v>92</v>
      </c>
      <c r="AP77" s="130" t="s">
        <v>92</v>
      </c>
      <c r="AQ77" s="130" t="s">
        <v>92</v>
      </c>
      <c r="AR77" s="130" t="s">
        <v>92</v>
      </c>
      <c r="AS77" s="130" t="s">
        <v>92</v>
      </c>
      <c r="AT77" s="130" t="s">
        <v>81</v>
      </c>
      <c r="AU77" s="130" t="s">
        <v>92</v>
      </c>
      <c r="AV77" s="130" t="s">
        <v>92</v>
      </c>
      <c r="AW77" s="130" t="s">
        <v>92</v>
      </c>
      <c r="AX77" s="1932" t="s">
        <v>81</v>
      </c>
      <c r="AY77" s="130"/>
      <c r="AZ77" s="139"/>
      <c r="BA77" s="139"/>
      <c r="BB77" s="139"/>
      <c r="BC77" s="139"/>
      <c r="BD77" s="139"/>
      <c r="BE77" s="3"/>
    </row>
    <row r="78" spans="1:57" ht="15.75" customHeight="1" thickBot="1" x14ac:dyDescent="0.45">
      <c r="A78" s="3"/>
      <c r="B78" s="3"/>
      <c r="C78" s="943" t="s">
        <v>2388</v>
      </c>
      <c r="D78" s="1068"/>
      <c r="E78" s="925"/>
      <c r="F78" s="925"/>
      <c r="G78" s="924"/>
      <c r="H78" s="887"/>
      <c r="I78" s="889" t="s">
        <v>392</v>
      </c>
      <c r="J78" s="889"/>
      <c r="K78" s="889"/>
      <c r="L78" s="889"/>
      <c r="M78" s="945"/>
      <c r="N78" s="945"/>
      <c r="O78" s="945"/>
      <c r="P78" s="1020"/>
      <c r="Q78" s="1020"/>
      <c r="R78" s="889" t="s">
        <v>352</v>
      </c>
      <c r="S78" s="945">
        <f>SHWidth</f>
        <v>38.5625</v>
      </c>
      <c r="T78" s="889" t="s">
        <v>366</v>
      </c>
      <c r="U78" s="887"/>
      <c r="V78" s="888" t="s">
        <v>369</v>
      </c>
      <c r="W78" s="889" t="s">
        <v>370</v>
      </c>
      <c r="X78" s="888" t="s">
        <v>369</v>
      </c>
      <c r="Y78" s="1451">
        <v>120074014938</v>
      </c>
      <c r="Z78" s="1451"/>
      <c r="AA78" s="1451"/>
      <c r="AB78" s="887"/>
      <c r="AC78" s="889"/>
      <c r="AD78" s="889">
        <v>2</v>
      </c>
      <c r="AE78" s="945">
        <f>S78*AD78/12</f>
        <v>6.427083333333333</v>
      </c>
      <c r="AF78" s="889" t="s">
        <v>367</v>
      </c>
      <c r="AG78" s="889"/>
      <c r="AH78" s="945"/>
      <c r="AI78" s="937">
        <v>9.1199999999999996E-3</v>
      </c>
      <c r="AJ78" s="947"/>
      <c r="AK78" s="947"/>
      <c r="AL78" s="947"/>
      <c r="AM78" s="947">
        <f>AE78*AI78</f>
        <v>5.8614999999999993E-2</v>
      </c>
      <c r="AN78" s="889" t="s">
        <v>92</v>
      </c>
      <c r="AO78" s="889" t="s">
        <v>92</v>
      </c>
      <c r="AP78" s="889" t="s">
        <v>92</v>
      </c>
      <c r="AQ78" s="889" t="s">
        <v>92</v>
      </c>
      <c r="AR78" s="889" t="s">
        <v>92</v>
      </c>
      <c r="AS78" s="889" t="s">
        <v>92</v>
      </c>
      <c r="AT78" s="889" t="s">
        <v>92</v>
      </c>
      <c r="AU78" s="889" t="s">
        <v>92</v>
      </c>
      <c r="AV78" s="889" t="s">
        <v>92</v>
      </c>
      <c r="AW78" s="889" t="s">
        <v>92</v>
      </c>
      <c r="AX78" s="1590" t="s">
        <v>81</v>
      </c>
      <c r="AY78" s="889"/>
      <c r="AZ78" s="139"/>
      <c r="BA78" s="139"/>
      <c r="BB78" s="139"/>
      <c r="BC78" s="139"/>
      <c r="BD78" s="139"/>
      <c r="BE78" s="3"/>
    </row>
    <row r="79" spans="1:57" ht="15.75" customHeight="1" x14ac:dyDescent="0.4">
      <c r="A79" s="3"/>
      <c r="B79" s="3"/>
      <c r="C79" s="114" t="s">
        <v>1946</v>
      </c>
      <c r="D79" s="182"/>
      <c r="E79" s="182"/>
      <c r="F79" s="182"/>
      <c r="G79" s="173"/>
      <c r="H79" s="175"/>
      <c r="I79" s="116"/>
      <c r="J79" s="116"/>
      <c r="K79" s="116"/>
      <c r="L79" s="116"/>
      <c r="M79" s="177"/>
      <c r="N79" s="177"/>
      <c r="O79" s="177"/>
      <c r="P79" s="178"/>
      <c r="Q79" s="178"/>
      <c r="R79" s="116"/>
      <c r="S79" s="177"/>
      <c r="T79" s="116"/>
      <c r="U79" s="175"/>
      <c r="V79" s="179" t="s">
        <v>369</v>
      </c>
      <c r="W79" s="116" t="s">
        <v>370</v>
      </c>
      <c r="X79" s="179" t="s">
        <v>369</v>
      </c>
      <c r="Y79" s="1450">
        <v>200135003001</v>
      </c>
      <c r="Z79" s="1450"/>
      <c r="AA79" s="1450"/>
      <c r="AB79" s="175"/>
      <c r="AC79" s="116"/>
      <c r="AD79" s="116"/>
      <c r="AE79" s="177"/>
      <c r="AF79" s="116"/>
      <c r="AG79" s="116"/>
      <c r="AH79" s="177"/>
      <c r="AI79" s="185">
        <f t="shared" ref="AI79:AI85" si="11">AI30</f>
        <v>0.6109</v>
      </c>
      <c r="AJ79" s="180"/>
      <c r="AK79" s="180"/>
      <c r="AL79" s="180"/>
      <c r="AM79" s="180">
        <f t="shared" si="8"/>
        <v>2.1158776041666667</v>
      </c>
      <c r="AN79" s="3" t="s">
        <v>371</v>
      </c>
      <c r="AO79" s="3" t="s">
        <v>371</v>
      </c>
      <c r="AP79" s="3" t="s">
        <v>371</v>
      </c>
      <c r="AQ79" s="3" t="s">
        <v>371</v>
      </c>
      <c r="AR79" s="3" t="s">
        <v>92</v>
      </c>
      <c r="AS79" s="3" t="s">
        <v>92</v>
      </c>
      <c r="AT79" s="3" t="s">
        <v>371</v>
      </c>
      <c r="AU79" s="3" t="s">
        <v>371</v>
      </c>
      <c r="AV79" s="3" t="s">
        <v>371</v>
      </c>
      <c r="AW79" s="3" t="s">
        <v>92</v>
      </c>
      <c r="AX79" s="1414" t="s">
        <v>371</v>
      </c>
      <c r="AY79" s="3"/>
      <c r="AZ79" s="139"/>
      <c r="BA79" s="139"/>
      <c r="BB79" s="139"/>
      <c r="BC79" s="139"/>
      <c r="BD79" s="139"/>
      <c r="BE79" s="3"/>
    </row>
    <row r="80" spans="1:57" ht="15.75" customHeight="1" x14ac:dyDescent="0.4">
      <c r="A80" s="3"/>
      <c r="B80" s="3"/>
      <c r="C80" s="36"/>
      <c r="D80" s="155"/>
      <c r="E80" s="155"/>
      <c r="F80" s="155"/>
      <c r="G80" s="7"/>
      <c r="H80" s="20"/>
      <c r="I80" s="3"/>
      <c r="J80" s="3"/>
      <c r="K80" s="3"/>
      <c r="L80" s="3"/>
      <c r="M80" s="5"/>
      <c r="N80" s="5"/>
      <c r="O80" s="5"/>
      <c r="P80" s="24"/>
      <c r="Q80" s="24"/>
      <c r="R80" s="3"/>
      <c r="S80" s="5"/>
      <c r="T80" s="3"/>
      <c r="U80" s="20"/>
      <c r="V80" s="38" t="s">
        <v>369</v>
      </c>
      <c r="W80" s="3" t="s">
        <v>372</v>
      </c>
      <c r="X80" s="38" t="s">
        <v>369</v>
      </c>
      <c r="Y80" s="1445">
        <v>200135021001</v>
      </c>
      <c r="Z80" s="1445"/>
      <c r="AA80" s="1445"/>
      <c r="AB80" s="20"/>
      <c r="AC80" s="3"/>
      <c r="AD80" s="3"/>
      <c r="AE80" s="5"/>
      <c r="AF80" s="3"/>
      <c r="AG80" s="3"/>
      <c r="AH80" s="5"/>
      <c r="AI80" s="51">
        <f t="shared" si="11"/>
        <v>0.65580000000000005</v>
      </c>
      <c r="AJ80" s="39"/>
      <c r="AK80" s="39"/>
      <c r="AL80" s="39"/>
      <c r="AM80" s="39"/>
      <c r="AN80" s="3" t="s">
        <v>371</v>
      </c>
      <c r="AO80" s="3" t="s">
        <v>371</v>
      </c>
      <c r="AP80" s="3" t="s">
        <v>371</v>
      </c>
      <c r="AQ80" s="3" t="s">
        <v>371</v>
      </c>
      <c r="AR80" s="3" t="s">
        <v>92</v>
      </c>
      <c r="AS80" s="3" t="s">
        <v>92</v>
      </c>
      <c r="AT80" s="3" t="s">
        <v>371</v>
      </c>
      <c r="AU80" s="3" t="s">
        <v>371</v>
      </c>
      <c r="AV80" s="3" t="s">
        <v>371</v>
      </c>
      <c r="AW80" s="3" t="s">
        <v>92</v>
      </c>
      <c r="AX80" s="1414" t="s">
        <v>371</v>
      </c>
      <c r="AY80" s="3"/>
      <c r="AZ80" s="139"/>
      <c r="BA80" s="139"/>
      <c r="BB80" s="139"/>
      <c r="BC80" s="139"/>
      <c r="BD80" s="139"/>
      <c r="BE80" s="3"/>
    </row>
    <row r="81" spans="1:57" ht="15.75" customHeight="1" x14ac:dyDescent="0.4">
      <c r="A81" s="3"/>
      <c r="B81" s="3"/>
      <c r="C81" s="36"/>
      <c r="D81" s="155"/>
      <c r="E81" s="155"/>
      <c r="F81" s="155"/>
      <c r="G81" s="7"/>
      <c r="H81" s="20"/>
      <c r="I81" s="3"/>
      <c r="J81" s="3"/>
      <c r="K81" s="3"/>
      <c r="L81" s="3"/>
      <c r="M81" s="5"/>
      <c r="N81" s="5"/>
      <c r="O81" s="5"/>
      <c r="P81" s="24"/>
      <c r="Q81" s="24"/>
      <c r="R81" s="3"/>
      <c r="S81" s="5"/>
      <c r="T81" s="3"/>
      <c r="U81" s="20"/>
      <c r="V81" s="38" t="s">
        <v>369</v>
      </c>
      <c r="W81" s="3" t="s">
        <v>373</v>
      </c>
      <c r="X81" s="38" t="s">
        <v>369</v>
      </c>
      <c r="Y81" s="1445">
        <v>200135033001</v>
      </c>
      <c r="Z81" s="1445"/>
      <c r="AA81" s="1445"/>
      <c r="AB81" s="20"/>
      <c r="AC81" s="3"/>
      <c r="AD81" s="3"/>
      <c r="AE81" s="5"/>
      <c r="AF81" s="3"/>
      <c r="AG81" s="3"/>
      <c r="AH81" s="5"/>
      <c r="AI81" s="51">
        <f t="shared" si="11"/>
        <v>0.71130000000000004</v>
      </c>
      <c r="AJ81" s="39"/>
      <c r="AK81" s="39"/>
      <c r="AL81" s="39"/>
      <c r="AM81" s="39"/>
      <c r="AN81" s="3" t="s">
        <v>371</v>
      </c>
      <c r="AO81" s="3" t="s">
        <v>371</v>
      </c>
      <c r="AP81" s="3" t="s">
        <v>371</v>
      </c>
      <c r="AQ81" s="3" t="s">
        <v>371</v>
      </c>
      <c r="AR81" s="3" t="s">
        <v>92</v>
      </c>
      <c r="AS81" s="3" t="s">
        <v>92</v>
      </c>
      <c r="AT81" s="3" t="s">
        <v>371</v>
      </c>
      <c r="AU81" s="3" t="s">
        <v>371</v>
      </c>
      <c r="AV81" s="3" t="s">
        <v>371</v>
      </c>
      <c r="AW81" s="3" t="s">
        <v>92</v>
      </c>
      <c r="AX81" s="1414" t="s">
        <v>371</v>
      </c>
      <c r="AY81" s="3"/>
      <c r="AZ81" s="139"/>
      <c r="BA81" s="139"/>
      <c r="BB81" s="139"/>
      <c r="BC81" s="139"/>
      <c r="BD81" s="139"/>
      <c r="BE81" s="3"/>
    </row>
    <row r="82" spans="1:57" ht="15.75" customHeight="1" x14ac:dyDescent="0.4">
      <c r="A82" s="3"/>
      <c r="B82" s="3"/>
      <c r="C82" s="36"/>
      <c r="D82" s="155"/>
      <c r="E82" s="155"/>
      <c r="F82" s="155"/>
      <c r="G82" s="7"/>
      <c r="H82" s="20"/>
      <c r="I82" s="3"/>
      <c r="J82" s="3"/>
      <c r="K82" s="3"/>
      <c r="L82" s="3"/>
      <c r="M82" s="5"/>
      <c r="N82" s="5"/>
      <c r="O82" s="5"/>
      <c r="P82" s="24"/>
      <c r="Q82" s="24"/>
      <c r="R82" s="3"/>
      <c r="S82" s="5"/>
      <c r="T82" s="3"/>
      <c r="U82" s="20"/>
      <c r="V82" s="3" t="s">
        <v>2363</v>
      </c>
      <c r="W82" s="3" t="s">
        <v>370</v>
      </c>
      <c r="X82" s="38" t="s">
        <v>369</v>
      </c>
      <c r="Y82" s="1445">
        <v>200135127001</v>
      </c>
      <c r="Z82" s="1445"/>
      <c r="AA82" s="1445"/>
      <c r="AB82" s="20"/>
      <c r="AC82" s="3"/>
      <c r="AD82" s="3"/>
      <c r="AE82" s="5"/>
      <c r="AF82" s="3"/>
      <c r="AG82" s="3"/>
      <c r="AH82" s="5"/>
      <c r="AI82" s="51">
        <f t="shared" si="11"/>
        <v>0.81020000000000003</v>
      </c>
      <c r="AJ82" s="39"/>
      <c r="AK82" s="39"/>
      <c r="AL82" s="39"/>
      <c r="AM82" s="39"/>
      <c r="AN82" s="3" t="s">
        <v>371</v>
      </c>
      <c r="AO82" s="3" t="s">
        <v>371</v>
      </c>
      <c r="AP82" s="3" t="s">
        <v>371</v>
      </c>
      <c r="AQ82" s="3" t="s">
        <v>371</v>
      </c>
      <c r="AR82" s="3" t="s">
        <v>92</v>
      </c>
      <c r="AS82" s="3" t="s">
        <v>92</v>
      </c>
      <c r="AT82" s="3" t="s">
        <v>371</v>
      </c>
      <c r="AU82" s="3" t="s">
        <v>371</v>
      </c>
      <c r="AV82" s="3" t="s">
        <v>371</v>
      </c>
      <c r="AW82" s="3" t="s">
        <v>92</v>
      </c>
      <c r="AX82" s="1414" t="s">
        <v>371</v>
      </c>
      <c r="AY82" s="3"/>
      <c r="AZ82" s="139"/>
      <c r="BA82" s="139"/>
      <c r="BB82" s="139"/>
      <c r="BC82" s="139"/>
      <c r="BD82" s="139"/>
      <c r="BE82" s="3"/>
    </row>
    <row r="83" spans="1:57" ht="15.75" customHeight="1" x14ac:dyDescent="0.4">
      <c r="A83" s="3"/>
      <c r="B83" s="3"/>
      <c r="C83" s="36"/>
      <c r="D83" s="155"/>
      <c r="E83" s="155"/>
      <c r="F83" s="155"/>
      <c r="G83" s="7"/>
      <c r="H83" s="20"/>
      <c r="I83" s="3"/>
      <c r="J83" s="3"/>
      <c r="K83" s="3"/>
      <c r="L83" s="3"/>
      <c r="M83" s="5"/>
      <c r="N83" s="5"/>
      <c r="O83" s="5"/>
      <c r="P83" s="24"/>
      <c r="Q83" s="24"/>
      <c r="R83" s="3"/>
      <c r="S83" s="5"/>
      <c r="T83" s="3"/>
      <c r="U83" s="20"/>
      <c r="V83" s="3" t="s">
        <v>2364</v>
      </c>
      <c r="W83" s="3" t="s">
        <v>370</v>
      </c>
      <c r="X83" s="38" t="s">
        <v>369</v>
      </c>
      <c r="Y83" s="1445">
        <v>200135129001</v>
      </c>
      <c r="Z83" s="1445"/>
      <c r="AA83" s="1445"/>
      <c r="AB83" s="20"/>
      <c r="AC83" s="3"/>
      <c r="AD83" s="3"/>
      <c r="AE83" s="5"/>
      <c r="AF83" s="3"/>
      <c r="AG83" s="3"/>
      <c r="AH83" s="5"/>
      <c r="AI83" s="51">
        <f t="shared" si="11"/>
        <v>0</v>
      </c>
      <c r="AJ83" s="39"/>
      <c r="AK83" s="39"/>
      <c r="AL83" s="39"/>
      <c r="AM83" s="39"/>
      <c r="AN83" s="3" t="s">
        <v>371</v>
      </c>
      <c r="AO83" s="3" t="s">
        <v>371</v>
      </c>
      <c r="AP83" s="3" t="s">
        <v>371</v>
      </c>
      <c r="AQ83" s="3" t="s">
        <v>371</v>
      </c>
      <c r="AR83" s="3" t="s">
        <v>92</v>
      </c>
      <c r="AS83" s="3" t="s">
        <v>92</v>
      </c>
      <c r="AT83" s="3" t="s">
        <v>371</v>
      </c>
      <c r="AU83" s="3" t="s">
        <v>371</v>
      </c>
      <c r="AV83" s="3" t="s">
        <v>371</v>
      </c>
      <c r="AW83" s="3" t="s">
        <v>92</v>
      </c>
      <c r="AX83" s="1414" t="s">
        <v>371</v>
      </c>
      <c r="AY83" s="3"/>
      <c r="AZ83" s="139"/>
      <c r="BA83" s="139"/>
      <c r="BB83" s="139"/>
      <c r="BC83" s="139"/>
      <c r="BD83" s="139"/>
      <c r="BE83" s="3"/>
    </row>
    <row r="84" spans="1:57" ht="15.75" customHeight="1" x14ac:dyDescent="0.4">
      <c r="A84" s="3"/>
      <c r="B84" s="3"/>
      <c r="C84" s="36"/>
      <c r="D84" s="155"/>
      <c r="E84" s="155"/>
      <c r="F84" s="155"/>
      <c r="G84" s="7"/>
      <c r="H84" s="20"/>
      <c r="I84" s="3"/>
      <c r="J84" s="3"/>
      <c r="K84" s="3"/>
      <c r="L84" s="3"/>
      <c r="M84" s="5"/>
      <c r="N84" s="5"/>
      <c r="O84" s="5"/>
      <c r="P84" s="24"/>
      <c r="Q84" s="24"/>
      <c r="R84" s="3"/>
      <c r="S84" s="5"/>
      <c r="T84" s="3"/>
      <c r="U84" s="20"/>
      <c r="V84" s="3" t="s">
        <v>2365</v>
      </c>
      <c r="W84" s="3" t="s">
        <v>370</v>
      </c>
      <c r="X84" s="38" t="s">
        <v>369</v>
      </c>
      <c r="Y84" s="1445">
        <v>200135180001</v>
      </c>
      <c r="Z84" s="1445"/>
      <c r="AA84" s="1445"/>
      <c r="AB84" s="20"/>
      <c r="AC84" s="3"/>
      <c r="AD84" s="3"/>
      <c r="AE84" s="5"/>
      <c r="AF84" s="3"/>
      <c r="AG84" s="3"/>
      <c r="AH84" s="5"/>
      <c r="AI84" s="51">
        <f t="shared" si="11"/>
        <v>0.88580000000000003</v>
      </c>
      <c r="AJ84" s="39"/>
      <c r="AK84" s="39"/>
      <c r="AL84" s="39"/>
      <c r="AM84" s="39"/>
      <c r="AN84" s="3" t="s">
        <v>371</v>
      </c>
      <c r="AO84" s="3" t="s">
        <v>371</v>
      </c>
      <c r="AP84" s="3" t="s">
        <v>371</v>
      </c>
      <c r="AQ84" s="3" t="s">
        <v>371</v>
      </c>
      <c r="AR84" s="3" t="s">
        <v>92</v>
      </c>
      <c r="AS84" s="3" t="s">
        <v>92</v>
      </c>
      <c r="AT84" s="3" t="s">
        <v>371</v>
      </c>
      <c r="AU84" s="3" t="s">
        <v>371</v>
      </c>
      <c r="AV84" s="3" t="s">
        <v>371</v>
      </c>
      <c r="AW84" s="3" t="s">
        <v>92</v>
      </c>
      <c r="AX84" s="1414" t="s">
        <v>371</v>
      </c>
      <c r="AY84" s="3"/>
      <c r="AZ84" s="139"/>
      <c r="BA84" s="139"/>
      <c r="BB84" s="139"/>
      <c r="BC84" s="139"/>
      <c r="BD84" s="139"/>
      <c r="BE84" s="3"/>
    </row>
    <row r="85" spans="1:57" ht="15.75" customHeight="1" x14ac:dyDescent="0.4">
      <c r="A85" s="3"/>
      <c r="B85" s="3"/>
      <c r="C85" s="36"/>
      <c r="D85" s="155"/>
      <c r="E85" s="155"/>
      <c r="F85" s="155"/>
      <c r="G85" s="7"/>
      <c r="H85" s="20"/>
      <c r="I85" s="3"/>
      <c r="J85" s="3"/>
      <c r="K85" s="3"/>
      <c r="L85" s="3"/>
      <c r="M85" s="5"/>
      <c r="N85" s="5"/>
      <c r="O85" s="5"/>
      <c r="P85" s="24"/>
      <c r="Q85" s="24"/>
      <c r="R85" s="3"/>
      <c r="S85" s="5"/>
      <c r="T85" s="3"/>
      <c r="U85" s="20"/>
      <c r="V85" s="112" t="s">
        <v>2367</v>
      </c>
      <c r="W85" s="112" t="s">
        <v>370</v>
      </c>
      <c r="X85" s="38" t="s">
        <v>369</v>
      </c>
      <c r="Y85" s="1872">
        <v>200135152001</v>
      </c>
      <c r="Z85" s="1445"/>
      <c r="AA85" s="1445"/>
      <c r="AB85" s="20"/>
      <c r="AC85" s="3"/>
      <c r="AD85" s="3"/>
      <c r="AE85" s="5"/>
      <c r="AF85" s="3"/>
      <c r="AG85" s="3"/>
      <c r="AH85" s="5"/>
      <c r="AI85" s="51">
        <f t="shared" si="11"/>
        <v>0</v>
      </c>
      <c r="AJ85" s="39"/>
      <c r="AK85" s="39"/>
      <c r="AL85" s="39"/>
      <c r="AM85" s="39"/>
      <c r="AN85" s="3" t="s">
        <v>371</v>
      </c>
      <c r="AO85" s="3" t="s">
        <v>371</v>
      </c>
      <c r="AP85" s="3" t="s">
        <v>371</v>
      </c>
      <c r="AQ85" s="3" t="s">
        <v>371</v>
      </c>
      <c r="AR85" s="3" t="s">
        <v>92</v>
      </c>
      <c r="AS85" s="3" t="s">
        <v>92</v>
      </c>
      <c r="AT85" s="3" t="s">
        <v>371</v>
      </c>
      <c r="AU85" s="3" t="s">
        <v>371</v>
      </c>
      <c r="AV85" s="3" t="s">
        <v>371</v>
      </c>
      <c r="AW85" s="3" t="s">
        <v>92</v>
      </c>
      <c r="AX85" s="1414" t="s">
        <v>371</v>
      </c>
      <c r="AY85" s="3"/>
      <c r="AZ85" s="139"/>
      <c r="BA85" s="139"/>
      <c r="BB85" s="139"/>
      <c r="BC85" s="139"/>
      <c r="BD85" s="139"/>
      <c r="BE85" s="3"/>
    </row>
    <row r="86" spans="1:57" ht="15.75" customHeight="1" x14ac:dyDescent="0.4">
      <c r="A86" s="3"/>
      <c r="B86" s="3"/>
      <c r="C86" s="36"/>
      <c r="D86" s="155"/>
      <c r="E86" s="155"/>
      <c r="F86" s="155"/>
      <c r="G86" s="7"/>
      <c r="H86" s="20"/>
      <c r="I86" s="3"/>
      <c r="J86" s="3"/>
      <c r="K86" s="3"/>
      <c r="L86" s="3"/>
      <c r="M86" s="5"/>
      <c r="N86" s="5"/>
      <c r="O86" s="5"/>
      <c r="P86" s="24"/>
      <c r="Q86" s="24"/>
      <c r="R86" s="3"/>
      <c r="S86" s="5"/>
      <c r="T86" s="3"/>
      <c r="U86" s="20"/>
      <c r="V86" s="3" t="s">
        <v>2365</v>
      </c>
      <c r="W86" s="3" t="s">
        <v>370</v>
      </c>
      <c r="X86" s="38" t="s">
        <v>2365</v>
      </c>
      <c r="Y86" s="1445">
        <v>200135181155</v>
      </c>
      <c r="Z86" s="1445"/>
      <c r="AA86" s="1445"/>
      <c r="AB86" s="20"/>
      <c r="AC86" s="3"/>
      <c r="AD86" s="3"/>
      <c r="AE86" s="5"/>
      <c r="AF86" s="3"/>
      <c r="AG86" s="3"/>
      <c r="AH86" s="5"/>
      <c r="AI86" s="51"/>
      <c r="AJ86" s="39"/>
      <c r="AK86" s="39"/>
      <c r="AL86" s="39"/>
      <c r="AM86" s="39"/>
      <c r="AN86" s="3" t="s">
        <v>371</v>
      </c>
      <c r="AO86" s="3" t="s">
        <v>371</v>
      </c>
      <c r="AP86" s="3" t="s">
        <v>371</v>
      </c>
      <c r="AQ86" s="3" t="s">
        <v>371</v>
      </c>
      <c r="AR86" s="3" t="s">
        <v>92</v>
      </c>
      <c r="AS86" s="3" t="s">
        <v>92</v>
      </c>
      <c r="AT86" s="3" t="s">
        <v>371</v>
      </c>
      <c r="AU86" s="3" t="s">
        <v>371</v>
      </c>
      <c r="AV86" s="3" t="s">
        <v>371</v>
      </c>
      <c r="AW86" s="3" t="s">
        <v>92</v>
      </c>
      <c r="AX86" s="1414" t="s">
        <v>81</v>
      </c>
      <c r="AY86" s="3"/>
      <c r="AZ86" s="139"/>
      <c r="BA86" s="139"/>
      <c r="BB86" s="139"/>
      <c r="BC86" s="139"/>
      <c r="BD86" s="139"/>
      <c r="BE86" s="3"/>
    </row>
    <row r="87" spans="1:57" ht="15.75" customHeight="1" x14ac:dyDescent="0.4">
      <c r="A87" s="3"/>
      <c r="B87" s="3"/>
      <c r="C87" s="1487" t="s">
        <v>2387</v>
      </c>
      <c r="D87" s="1933"/>
      <c r="E87" s="951"/>
      <c r="F87" s="951"/>
      <c r="G87" s="454"/>
      <c r="H87" s="1032"/>
      <c r="I87" s="130" t="s">
        <v>392</v>
      </c>
      <c r="J87" s="130"/>
      <c r="K87" s="130"/>
      <c r="L87" s="130"/>
      <c r="M87" s="584"/>
      <c r="N87" s="584"/>
      <c r="O87" s="584"/>
      <c r="P87" s="1034"/>
      <c r="Q87" s="1034"/>
      <c r="R87" s="130" t="s">
        <v>352</v>
      </c>
      <c r="S87" s="584">
        <f>SHWidth</f>
        <v>38.5625</v>
      </c>
      <c r="T87" s="130" t="s">
        <v>366</v>
      </c>
      <c r="U87" s="1032"/>
      <c r="V87" s="587" t="s">
        <v>369</v>
      </c>
      <c r="W87" s="130" t="s">
        <v>370</v>
      </c>
      <c r="X87" s="587" t="s">
        <v>369</v>
      </c>
      <c r="Y87" s="1931">
        <v>120074014002</v>
      </c>
      <c r="Z87" s="1931"/>
      <c r="AA87" s="1931"/>
      <c r="AB87" s="1032"/>
      <c r="AC87" s="130"/>
      <c r="AD87" s="130">
        <v>2</v>
      </c>
      <c r="AE87" s="584">
        <f>S87*AD87/12</f>
        <v>6.427083333333333</v>
      </c>
      <c r="AF87" s="130" t="s">
        <v>367</v>
      </c>
      <c r="AG87" s="130"/>
      <c r="AH87" s="584"/>
      <c r="AI87" s="1046">
        <v>1.9449999999999999E-2</v>
      </c>
      <c r="AJ87" s="589"/>
      <c r="AK87" s="589"/>
      <c r="AL87" s="589"/>
      <c r="AM87" s="589">
        <f>AE87*AI87</f>
        <v>0.12500677083333331</v>
      </c>
      <c r="AN87" s="130" t="s">
        <v>92</v>
      </c>
      <c r="AO87" s="130" t="s">
        <v>92</v>
      </c>
      <c r="AP87" s="130" t="s">
        <v>92</v>
      </c>
      <c r="AQ87" s="130" t="s">
        <v>92</v>
      </c>
      <c r="AR87" s="130" t="s">
        <v>92</v>
      </c>
      <c r="AS87" s="130" t="s">
        <v>92</v>
      </c>
      <c r="AT87" s="130" t="s">
        <v>81</v>
      </c>
      <c r="AU87" s="130" t="s">
        <v>92</v>
      </c>
      <c r="AV87" s="130" t="s">
        <v>92</v>
      </c>
      <c r="AW87" s="130" t="s">
        <v>92</v>
      </c>
      <c r="AX87" s="1932" t="s">
        <v>81</v>
      </c>
      <c r="AY87" s="130"/>
      <c r="AZ87" s="139"/>
      <c r="BA87" s="139"/>
      <c r="BB87" s="139"/>
      <c r="BC87" s="139"/>
      <c r="BD87" s="139"/>
      <c r="BE87" s="3"/>
    </row>
    <row r="88" spans="1:57" ht="15.75" customHeight="1" thickBot="1" x14ac:dyDescent="0.45">
      <c r="A88" s="3"/>
      <c r="B88" s="3"/>
      <c r="C88" s="943" t="s">
        <v>2388</v>
      </c>
      <c r="D88" s="1068"/>
      <c r="E88" s="925"/>
      <c r="F88" s="925"/>
      <c r="G88" s="924"/>
      <c r="H88" s="887"/>
      <c r="I88" s="889" t="s">
        <v>392</v>
      </c>
      <c r="J88" s="889"/>
      <c r="K88" s="889"/>
      <c r="L88" s="889"/>
      <c r="M88" s="945"/>
      <c r="N88" s="945"/>
      <c r="O88" s="945"/>
      <c r="P88" s="1020"/>
      <c r="Q88" s="1020"/>
      <c r="R88" s="889" t="s">
        <v>352</v>
      </c>
      <c r="S88" s="945">
        <f>SHWidth</f>
        <v>38.5625</v>
      </c>
      <c r="T88" s="889" t="s">
        <v>366</v>
      </c>
      <c r="U88" s="887"/>
      <c r="V88" s="888" t="s">
        <v>369</v>
      </c>
      <c r="W88" s="889" t="s">
        <v>370</v>
      </c>
      <c r="X88" s="888" t="s">
        <v>369</v>
      </c>
      <c r="Y88" s="1451">
        <v>120074014938</v>
      </c>
      <c r="Z88" s="1451"/>
      <c r="AA88" s="1451"/>
      <c r="AB88" s="887"/>
      <c r="AC88" s="889"/>
      <c r="AD88" s="889">
        <v>2</v>
      </c>
      <c r="AE88" s="945">
        <f>S88*AD88/12</f>
        <v>6.427083333333333</v>
      </c>
      <c r="AF88" s="889" t="s">
        <v>367</v>
      </c>
      <c r="AG88" s="889"/>
      <c r="AH88" s="945"/>
      <c r="AI88" s="937">
        <v>9.1199999999999996E-3</v>
      </c>
      <c r="AJ88" s="947"/>
      <c r="AK88" s="947"/>
      <c r="AL88" s="947"/>
      <c r="AM88" s="947">
        <f>AE88*AI88</f>
        <v>5.8614999999999993E-2</v>
      </c>
      <c r="AN88" s="889" t="s">
        <v>92</v>
      </c>
      <c r="AO88" s="889" t="s">
        <v>92</v>
      </c>
      <c r="AP88" s="889" t="s">
        <v>92</v>
      </c>
      <c r="AQ88" s="889" t="s">
        <v>92</v>
      </c>
      <c r="AR88" s="889" t="s">
        <v>92</v>
      </c>
      <c r="AS88" s="889" t="s">
        <v>92</v>
      </c>
      <c r="AT88" s="889" t="s">
        <v>92</v>
      </c>
      <c r="AU88" s="889" t="s">
        <v>92</v>
      </c>
      <c r="AV88" s="889" t="s">
        <v>92</v>
      </c>
      <c r="AW88" s="889" t="s">
        <v>92</v>
      </c>
      <c r="AX88" s="1590" t="s">
        <v>81</v>
      </c>
      <c r="AY88" s="889"/>
      <c r="AZ88" s="139"/>
      <c r="BA88" s="139"/>
      <c r="BB88" s="139"/>
      <c r="BC88" s="139"/>
      <c r="BD88" s="139"/>
      <c r="BE88" s="3"/>
    </row>
    <row r="89" spans="1:57" ht="15" customHeight="1" x14ac:dyDescent="0.4">
      <c r="A89" s="3" t="s">
        <v>394</v>
      </c>
      <c r="B89" s="3"/>
      <c r="C89" s="173" t="s">
        <v>395</v>
      </c>
      <c r="D89" s="116"/>
      <c r="E89" s="116"/>
      <c r="F89" s="174" t="s">
        <v>391</v>
      </c>
      <c r="G89" s="173"/>
      <c r="H89" s="175"/>
      <c r="I89" s="116" t="s">
        <v>392</v>
      </c>
      <c r="J89" s="116"/>
      <c r="K89" s="116"/>
      <c r="L89" s="116" t="s">
        <v>348</v>
      </c>
      <c r="M89" s="177">
        <v>6.1879999999999997</v>
      </c>
      <c r="N89" s="177" t="s">
        <v>348</v>
      </c>
      <c r="O89" s="177">
        <f>0.125*2</f>
        <v>0.25</v>
      </c>
      <c r="P89" s="177"/>
      <c r="Q89" s="177"/>
      <c r="R89" s="116" t="s">
        <v>352</v>
      </c>
      <c r="S89" s="177">
        <f>SHWidth+M89+O89</f>
        <v>45.000500000000002</v>
      </c>
      <c r="T89" s="116" t="s">
        <v>366</v>
      </c>
      <c r="U89" s="175"/>
      <c r="V89" s="173"/>
      <c r="W89" s="173"/>
      <c r="X89" s="173"/>
      <c r="Y89" s="116"/>
      <c r="Z89" s="116"/>
      <c r="AA89" s="116"/>
      <c r="AB89" s="175"/>
      <c r="AC89" s="116">
        <v>45</v>
      </c>
      <c r="AD89" s="116">
        <v>1</v>
      </c>
      <c r="AE89" s="177">
        <f>S89*AD89/12</f>
        <v>3.7500416666666667</v>
      </c>
      <c r="AF89" s="116" t="s">
        <v>367</v>
      </c>
      <c r="AG89" s="179">
        <f>AG40</f>
        <v>1.0449999999999999</v>
      </c>
      <c r="AH89" s="177">
        <f>AG89*AtolbperftSH</f>
        <v>0.6609624999999999</v>
      </c>
      <c r="AI89" s="185"/>
      <c r="AJ89" s="185"/>
      <c r="AK89" s="185"/>
      <c r="AL89" s="185"/>
      <c r="AM89" s="39"/>
      <c r="AN89" s="3" t="s">
        <v>371</v>
      </c>
      <c r="AO89" s="3" t="s">
        <v>371</v>
      </c>
      <c r="AP89" s="3" t="s">
        <v>371</v>
      </c>
      <c r="AQ89" s="3" t="s">
        <v>371</v>
      </c>
      <c r="AR89" s="3" t="s">
        <v>92</v>
      </c>
      <c r="AS89" s="3" t="s">
        <v>92</v>
      </c>
      <c r="AT89" s="3" t="s">
        <v>371</v>
      </c>
      <c r="AU89" s="3" t="s">
        <v>371</v>
      </c>
      <c r="AV89" s="3" t="s">
        <v>371</v>
      </c>
      <c r="AW89" s="3" t="s">
        <v>92</v>
      </c>
      <c r="AX89" s="1414" t="s">
        <v>371</v>
      </c>
      <c r="AY89" s="3"/>
      <c r="AZ89" s="139"/>
      <c r="BA89" s="139"/>
      <c r="BB89" s="139"/>
      <c r="BC89" s="139"/>
      <c r="BD89" s="139"/>
      <c r="BE89" s="3"/>
    </row>
    <row r="90" spans="1:57" ht="15" customHeight="1" x14ac:dyDescent="0.4">
      <c r="A90" s="3"/>
      <c r="B90" s="3"/>
      <c r="C90" s="36"/>
      <c r="D90" s="36"/>
      <c r="E90" s="155"/>
      <c r="F90" s="155" t="s">
        <v>396</v>
      </c>
      <c r="G90" s="7"/>
      <c r="H90" s="20"/>
      <c r="I90" s="3" t="s">
        <v>392</v>
      </c>
      <c r="J90" s="3"/>
      <c r="K90" s="3"/>
      <c r="L90" s="3" t="s">
        <v>348</v>
      </c>
      <c r="M90" s="5">
        <f>M89-1.125*2</f>
        <v>3.9379999999999997</v>
      </c>
      <c r="N90" s="5" t="s">
        <v>348</v>
      </c>
      <c r="O90" s="5">
        <f>0.125*2</f>
        <v>0.25</v>
      </c>
      <c r="P90" s="24"/>
      <c r="Q90" s="24"/>
      <c r="R90" s="3" t="s">
        <v>352</v>
      </c>
      <c r="S90" s="5">
        <f>SHWidth+M90+O90</f>
        <v>42.750500000000002</v>
      </c>
      <c r="T90" s="3" t="s">
        <v>366</v>
      </c>
      <c r="U90" s="20"/>
      <c r="V90" s="38" t="s">
        <v>369</v>
      </c>
      <c r="W90" s="3" t="s">
        <v>370</v>
      </c>
      <c r="X90" s="38" t="s">
        <v>369</v>
      </c>
      <c r="Y90" s="1443">
        <v>200175003</v>
      </c>
      <c r="Z90" s="1443"/>
      <c r="AA90" s="1443"/>
      <c r="AB90" s="20"/>
      <c r="AC90" s="3"/>
      <c r="AD90" s="3"/>
      <c r="AE90" s="5"/>
      <c r="AF90" s="3"/>
      <c r="AG90" s="38"/>
      <c r="AH90" s="5"/>
      <c r="AI90" s="51">
        <f t="shared" ref="AI90:AI96" si="12">AI41</f>
        <v>0.62360000000000004</v>
      </c>
      <c r="AJ90" s="39"/>
      <c r="AK90" s="39"/>
      <c r="AL90" s="39"/>
      <c r="AM90" s="39">
        <f>AE$89*AI90+SUM(AJ90:AL90)</f>
        <v>2.3385259833333336</v>
      </c>
      <c r="AN90" s="3" t="s">
        <v>371</v>
      </c>
      <c r="AO90" s="3" t="s">
        <v>371</v>
      </c>
      <c r="AP90" s="3" t="s">
        <v>371</v>
      </c>
      <c r="AQ90" s="3" t="s">
        <v>371</v>
      </c>
      <c r="AR90" s="3" t="s">
        <v>92</v>
      </c>
      <c r="AS90" s="3" t="s">
        <v>92</v>
      </c>
      <c r="AT90" s="3" t="s">
        <v>371</v>
      </c>
      <c r="AU90" s="3" t="s">
        <v>371</v>
      </c>
      <c r="AV90" s="3" t="s">
        <v>371</v>
      </c>
      <c r="AW90" s="3" t="s">
        <v>92</v>
      </c>
      <c r="AX90" s="1414" t="s">
        <v>371</v>
      </c>
      <c r="AY90" s="3"/>
      <c r="AZ90" s="139"/>
      <c r="BA90" s="139"/>
      <c r="BB90" s="139"/>
      <c r="BC90" s="139"/>
      <c r="BD90" s="139"/>
      <c r="BE90" s="3"/>
    </row>
    <row r="91" spans="1:57" ht="15" customHeight="1" x14ac:dyDescent="0.4">
      <c r="A91" s="3"/>
      <c r="B91" s="3"/>
      <c r="C91" s="36"/>
      <c r="D91" s="36"/>
      <c r="E91" s="155"/>
      <c r="F91" s="155" t="s">
        <v>380</v>
      </c>
      <c r="G91" s="7"/>
      <c r="H91" s="20"/>
      <c r="I91" s="3" t="s">
        <v>392</v>
      </c>
      <c r="J91" s="3"/>
      <c r="K91" s="3"/>
      <c r="L91" s="3" t="s">
        <v>348</v>
      </c>
      <c r="M91" s="5">
        <f>M90</f>
        <v>3.9379999999999997</v>
      </c>
      <c r="N91" s="5" t="s">
        <v>348</v>
      </c>
      <c r="O91" s="5">
        <v>0</v>
      </c>
      <c r="P91" s="24"/>
      <c r="Q91" s="24"/>
      <c r="R91" s="3" t="s">
        <v>352</v>
      </c>
      <c r="S91" s="5">
        <f>SHWidth+M91+O91</f>
        <v>42.500500000000002</v>
      </c>
      <c r="T91" s="3" t="s">
        <v>366</v>
      </c>
      <c r="U91" s="20"/>
      <c r="V91" s="38" t="s">
        <v>369</v>
      </c>
      <c r="W91" s="3" t="s">
        <v>372</v>
      </c>
      <c r="X91" s="38" t="s">
        <v>369</v>
      </c>
      <c r="Y91" s="1443">
        <v>200175021</v>
      </c>
      <c r="Z91" s="1443"/>
      <c r="AA91" s="1443"/>
      <c r="AB91" s="20"/>
      <c r="AC91" s="3"/>
      <c r="AD91" s="3"/>
      <c r="AE91" s="5"/>
      <c r="AF91" s="3"/>
      <c r="AG91" s="3"/>
      <c r="AH91" s="5"/>
      <c r="AI91" s="51">
        <f t="shared" si="12"/>
        <v>0.66090000000000004</v>
      </c>
      <c r="AJ91" s="39"/>
      <c r="AK91" s="39"/>
      <c r="AL91" s="39"/>
      <c r="AM91" s="39">
        <f t="shared" ref="AM91:AM92" si="13">AE$89*AI91+SUM(AJ91:AL91)</f>
        <v>2.4784025375000001</v>
      </c>
      <c r="AN91" s="3" t="s">
        <v>371</v>
      </c>
      <c r="AO91" s="3" t="s">
        <v>371</v>
      </c>
      <c r="AP91" s="3" t="s">
        <v>371</v>
      </c>
      <c r="AQ91" s="3" t="s">
        <v>371</v>
      </c>
      <c r="AR91" s="3" t="s">
        <v>92</v>
      </c>
      <c r="AS91" s="3" t="s">
        <v>92</v>
      </c>
      <c r="AT91" s="3" t="s">
        <v>371</v>
      </c>
      <c r="AU91" s="3" t="s">
        <v>371</v>
      </c>
      <c r="AV91" s="3" t="s">
        <v>371</v>
      </c>
      <c r="AW91" s="3" t="s">
        <v>92</v>
      </c>
      <c r="AX91" s="1414" t="s">
        <v>371</v>
      </c>
      <c r="AY91" s="3"/>
      <c r="AZ91" s="139"/>
      <c r="BA91" s="139"/>
      <c r="BB91" s="139"/>
      <c r="BC91" s="139"/>
      <c r="BD91" s="139"/>
      <c r="BE91" s="3"/>
    </row>
    <row r="92" spans="1:57" ht="15" customHeight="1" x14ac:dyDescent="0.4">
      <c r="A92" s="3"/>
      <c r="B92" s="3"/>
      <c r="C92" s="36"/>
      <c r="D92" s="36"/>
      <c r="E92" s="155"/>
      <c r="F92" s="155"/>
      <c r="G92" s="7"/>
      <c r="H92" s="20"/>
      <c r="I92" s="3"/>
      <c r="J92" s="3"/>
      <c r="K92" s="3"/>
      <c r="L92" s="3"/>
      <c r="M92" s="5"/>
      <c r="N92" s="5"/>
      <c r="O92" s="5"/>
      <c r="P92" s="24"/>
      <c r="Q92" s="24"/>
      <c r="R92" s="3"/>
      <c r="S92" s="5"/>
      <c r="T92" s="3"/>
      <c r="U92" s="20"/>
      <c r="V92" s="38" t="s">
        <v>369</v>
      </c>
      <c r="W92" s="3" t="s">
        <v>373</v>
      </c>
      <c r="X92" s="38" t="s">
        <v>369</v>
      </c>
      <c r="Y92" s="1443">
        <v>200175033</v>
      </c>
      <c r="Z92" s="1443"/>
      <c r="AA92" s="1443"/>
      <c r="AB92" s="20"/>
      <c r="AC92" s="3"/>
      <c r="AD92" s="3"/>
      <c r="AE92" s="5"/>
      <c r="AF92" s="3"/>
      <c r="AG92" s="3"/>
      <c r="AH92" s="5"/>
      <c r="AI92" s="51">
        <f t="shared" si="12"/>
        <v>0.71260000000000001</v>
      </c>
      <c r="AJ92" s="39"/>
      <c r="AK92" s="39"/>
      <c r="AL92" s="39"/>
      <c r="AM92" s="39">
        <f t="shared" si="13"/>
        <v>2.6722796916666667</v>
      </c>
      <c r="AN92" s="3" t="s">
        <v>371</v>
      </c>
      <c r="AO92" s="3" t="s">
        <v>371</v>
      </c>
      <c r="AP92" s="3" t="s">
        <v>371</v>
      </c>
      <c r="AQ92" s="3" t="s">
        <v>371</v>
      </c>
      <c r="AR92" s="3" t="s">
        <v>92</v>
      </c>
      <c r="AS92" s="3" t="s">
        <v>92</v>
      </c>
      <c r="AT92" s="3" t="s">
        <v>371</v>
      </c>
      <c r="AU92" s="3" t="s">
        <v>371</v>
      </c>
      <c r="AV92" s="3" t="s">
        <v>371</v>
      </c>
      <c r="AW92" s="3" t="s">
        <v>92</v>
      </c>
      <c r="AX92" s="1414" t="s">
        <v>371</v>
      </c>
      <c r="AY92" s="3"/>
      <c r="AZ92" s="139"/>
      <c r="BA92" s="139"/>
      <c r="BB92" s="139"/>
      <c r="BC92" s="139"/>
      <c r="BD92" s="139"/>
      <c r="BE92" s="3"/>
    </row>
    <row r="93" spans="1:57" ht="15" customHeight="1" x14ac:dyDescent="0.4">
      <c r="A93" s="3"/>
      <c r="B93" s="3"/>
      <c r="C93" s="36"/>
      <c r="D93" s="36"/>
      <c r="E93" s="155"/>
      <c r="F93" s="155"/>
      <c r="G93" s="7"/>
      <c r="H93" s="20"/>
      <c r="I93" s="3"/>
      <c r="J93" s="3"/>
      <c r="K93" s="3"/>
      <c r="L93" s="3"/>
      <c r="M93" s="5"/>
      <c r="N93" s="5"/>
      <c r="O93" s="5"/>
      <c r="P93" s="24"/>
      <c r="Q93" s="24"/>
      <c r="R93" s="3"/>
      <c r="S93" s="5"/>
      <c r="T93" s="3"/>
      <c r="U93" s="20"/>
      <c r="V93" s="3" t="s">
        <v>2363</v>
      </c>
      <c r="W93" s="3" t="s">
        <v>370</v>
      </c>
      <c r="X93" s="38" t="s">
        <v>369</v>
      </c>
      <c r="Y93" s="1443">
        <v>200175127</v>
      </c>
      <c r="Z93" s="1443"/>
      <c r="AA93" s="1443"/>
      <c r="AB93" s="20"/>
      <c r="AC93" s="3"/>
      <c r="AD93" s="3"/>
      <c r="AE93" s="5"/>
      <c r="AF93" s="3"/>
      <c r="AG93" s="3"/>
      <c r="AH93" s="5"/>
      <c r="AI93" s="51">
        <f t="shared" si="12"/>
        <v>0.83289999999999997</v>
      </c>
      <c r="AJ93" s="39"/>
      <c r="AK93" s="39"/>
      <c r="AL93" s="39"/>
      <c r="AM93" s="39">
        <f>AE$89*AI93+SUM(AJ93:AL93)</f>
        <v>3.1234097041666664</v>
      </c>
      <c r="AN93" s="3" t="s">
        <v>371</v>
      </c>
      <c r="AO93" s="3" t="s">
        <v>371</v>
      </c>
      <c r="AP93" s="3" t="s">
        <v>371</v>
      </c>
      <c r="AQ93" s="3" t="s">
        <v>371</v>
      </c>
      <c r="AR93" s="3" t="s">
        <v>92</v>
      </c>
      <c r="AS93" s="3" t="s">
        <v>92</v>
      </c>
      <c r="AT93" s="3" t="s">
        <v>371</v>
      </c>
      <c r="AU93" s="3" t="s">
        <v>371</v>
      </c>
      <c r="AV93" s="3" t="s">
        <v>371</v>
      </c>
      <c r="AW93" s="3" t="s">
        <v>92</v>
      </c>
      <c r="AX93" s="1414" t="s">
        <v>371</v>
      </c>
      <c r="AY93" s="3"/>
      <c r="AZ93" s="139"/>
      <c r="BA93" s="139"/>
      <c r="BB93" s="139"/>
      <c r="BC93" s="139"/>
      <c r="BD93" s="139"/>
      <c r="BE93" s="3"/>
    </row>
    <row r="94" spans="1:57" ht="15" customHeight="1" x14ac:dyDescent="0.4">
      <c r="A94" s="3"/>
      <c r="B94" s="3"/>
      <c r="C94" s="36"/>
      <c r="D94" s="36"/>
      <c r="E94" s="155"/>
      <c r="F94" s="155"/>
      <c r="G94" s="7"/>
      <c r="H94" s="20"/>
      <c r="I94" s="3"/>
      <c r="J94" s="3"/>
      <c r="K94" s="3"/>
      <c r="L94" s="3"/>
      <c r="M94" s="5"/>
      <c r="N94" s="5"/>
      <c r="O94" s="5"/>
      <c r="P94" s="24"/>
      <c r="Q94" s="24"/>
      <c r="R94" s="3"/>
      <c r="S94" s="5"/>
      <c r="T94" s="3"/>
      <c r="U94" s="20"/>
      <c r="V94" s="38" t="s">
        <v>2365</v>
      </c>
      <c r="W94" s="3" t="s">
        <v>370</v>
      </c>
      <c r="X94" s="38" t="s">
        <v>369</v>
      </c>
      <c r="Y94" s="1443">
        <v>200175180</v>
      </c>
      <c r="Z94" s="1443"/>
      <c r="AA94" s="1443"/>
      <c r="AB94" s="20"/>
      <c r="AC94" s="3"/>
      <c r="AD94" s="3"/>
      <c r="AE94" s="5"/>
      <c r="AF94" s="3"/>
      <c r="AG94" s="3"/>
      <c r="AH94" s="5"/>
      <c r="AI94" s="51">
        <f t="shared" si="12"/>
        <v>0.89339999999999997</v>
      </c>
      <c r="AJ94" s="39"/>
      <c r="AK94" s="39"/>
      <c r="AL94" s="39"/>
      <c r="AM94" s="39">
        <f t="shared" ref="AM94" si="14">AE$89*AI94+SUM(AJ94:AL94)</f>
        <v>3.3502872249999998</v>
      </c>
      <c r="AN94" s="3" t="s">
        <v>371</v>
      </c>
      <c r="AO94" s="3" t="s">
        <v>371</v>
      </c>
      <c r="AP94" s="3" t="s">
        <v>371</v>
      </c>
      <c r="AQ94" s="3" t="s">
        <v>371</v>
      </c>
      <c r="AR94" s="3" t="s">
        <v>92</v>
      </c>
      <c r="AS94" s="3" t="s">
        <v>92</v>
      </c>
      <c r="AT94" s="3" t="s">
        <v>371</v>
      </c>
      <c r="AU94" s="3" t="s">
        <v>371</v>
      </c>
      <c r="AV94" s="3" t="s">
        <v>371</v>
      </c>
      <c r="AW94" s="3" t="s">
        <v>92</v>
      </c>
      <c r="AX94" s="1414" t="s">
        <v>371</v>
      </c>
      <c r="AY94" s="3"/>
      <c r="AZ94" s="139"/>
      <c r="BA94" s="139"/>
      <c r="BB94" s="139"/>
      <c r="BC94" s="139"/>
      <c r="BD94" s="139"/>
      <c r="BE94" s="3"/>
    </row>
    <row r="95" spans="1:57" ht="15" customHeight="1" x14ac:dyDescent="0.4">
      <c r="A95" s="3"/>
      <c r="B95" s="3"/>
      <c r="C95" s="36"/>
      <c r="D95" s="622"/>
      <c r="E95" s="623"/>
      <c r="F95" s="623"/>
      <c r="G95" s="221"/>
      <c r="H95" s="624"/>
      <c r="I95" s="577"/>
      <c r="J95" s="577"/>
      <c r="K95" s="577"/>
      <c r="L95" s="577"/>
      <c r="M95" s="575"/>
      <c r="N95" s="575"/>
      <c r="O95" s="575"/>
      <c r="P95" s="625"/>
      <c r="Q95" s="625"/>
      <c r="R95" s="577"/>
      <c r="S95" s="575"/>
      <c r="T95" s="577"/>
      <c r="U95" s="624"/>
      <c r="V95" s="1873" t="s">
        <v>2367</v>
      </c>
      <c r="W95" s="1873" t="s">
        <v>370</v>
      </c>
      <c r="X95" s="1874" t="s">
        <v>369</v>
      </c>
      <c r="Y95" s="1875">
        <v>200175152</v>
      </c>
      <c r="Z95" s="1446"/>
      <c r="AA95" s="1446"/>
      <c r="AB95" s="624"/>
      <c r="AC95" s="577"/>
      <c r="AD95" s="577"/>
      <c r="AE95" s="575"/>
      <c r="AF95" s="577"/>
      <c r="AG95" s="577"/>
      <c r="AH95" s="575"/>
      <c r="AI95" s="626">
        <f t="shared" si="12"/>
        <v>0.82969999999999999</v>
      </c>
      <c r="AJ95" s="581"/>
      <c r="AK95" s="581"/>
      <c r="AL95" s="581"/>
      <c r="AM95" s="581"/>
      <c r="AN95" s="577" t="s">
        <v>371</v>
      </c>
      <c r="AO95" s="577" t="s">
        <v>371</v>
      </c>
      <c r="AP95" s="577" t="s">
        <v>371</v>
      </c>
      <c r="AQ95" s="577" t="s">
        <v>371</v>
      </c>
      <c r="AR95" s="577" t="s">
        <v>92</v>
      </c>
      <c r="AS95" s="577" t="s">
        <v>92</v>
      </c>
      <c r="AT95" s="577" t="s">
        <v>371</v>
      </c>
      <c r="AU95" s="577" t="s">
        <v>371</v>
      </c>
      <c r="AV95" s="577" t="s">
        <v>371</v>
      </c>
      <c r="AW95" s="577" t="s">
        <v>92</v>
      </c>
      <c r="AX95" s="1881" t="s">
        <v>81</v>
      </c>
      <c r="AY95" s="577"/>
      <c r="AZ95" s="139"/>
      <c r="BA95" s="139"/>
      <c r="BB95" s="139"/>
      <c r="BC95" s="139"/>
      <c r="BD95" s="139"/>
      <c r="BE95" s="3"/>
    </row>
    <row r="96" spans="1:57" ht="15" customHeight="1" thickBot="1" x14ac:dyDescent="0.45">
      <c r="A96" s="3"/>
      <c r="B96" s="3"/>
      <c r="C96" s="36"/>
      <c r="D96" s="36" t="s">
        <v>381</v>
      </c>
      <c r="E96" s="155"/>
      <c r="F96" s="155"/>
      <c r="G96" s="7"/>
      <c r="H96" s="20"/>
      <c r="I96" s="3" t="s">
        <v>392</v>
      </c>
      <c r="J96" s="3"/>
      <c r="K96" s="3"/>
      <c r="L96" s="3" t="s">
        <v>348</v>
      </c>
      <c r="M96" s="5">
        <f>M89</f>
        <v>6.1879999999999997</v>
      </c>
      <c r="N96" s="5" t="s">
        <v>348</v>
      </c>
      <c r="O96" s="5">
        <f>O89</f>
        <v>0.25</v>
      </c>
      <c r="P96" s="24"/>
      <c r="Q96" s="24"/>
      <c r="R96" s="3" t="s">
        <v>352</v>
      </c>
      <c r="S96" s="5">
        <f>SHWidth+M96+O96</f>
        <v>45.000500000000002</v>
      </c>
      <c r="T96" s="3" t="s">
        <v>366</v>
      </c>
      <c r="U96" s="20"/>
      <c r="V96" s="38"/>
      <c r="W96" s="3"/>
      <c r="X96" s="38"/>
      <c r="Y96" s="1443">
        <v>610025061</v>
      </c>
      <c r="Z96" s="41">
        <v>251882</v>
      </c>
      <c r="AA96" s="41"/>
      <c r="AB96" s="20"/>
      <c r="AC96" s="3">
        <v>45</v>
      </c>
      <c r="AD96" s="3">
        <v>2</v>
      </c>
      <c r="AE96" s="945">
        <f>S96*AD96/12</f>
        <v>7.5000833333333334</v>
      </c>
      <c r="AF96" s="3" t="s">
        <v>367</v>
      </c>
      <c r="AG96" s="3"/>
      <c r="AH96" s="5"/>
      <c r="AI96" s="51">
        <f t="shared" si="12"/>
        <v>1.8599999999999998E-2</v>
      </c>
      <c r="AJ96" s="39"/>
      <c r="AK96" s="39"/>
      <c r="AL96" s="39"/>
      <c r="AM96" s="947">
        <f>AE96*AI96+SUM(AJ96:AL96)</f>
        <v>0.13950155</v>
      </c>
      <c r="AN96" s="889" t="s">
        <v>371</v>
      </c>
      <c r="AO96" s="889" t="s">
        <v>371</v>
      </c>
      <c r="AP96" s="889" t="s">
        <v>371</v>
      </c>
      <c r="AQ96" s="889" t="s">
        <v>371</v>
      </c>
      <c r="AR96" s="889" t="s">
        <v>92</v>
      </c>
      <c r="AS96" s="889" t="s">
        <v>92</v>
      </c>
      <c r="AT96" s="889" t="s">
        <v>371</v>
      </c>
      <c r="AU96" s="889" t="s">
        <v>371</v>
      </c>
      <c r="AV96" s="889" t="s">
        <v>371</v>
      </c>
      <c r="AW96" s="889" t="s">
        <v>92</v>
      </c>
      <c r="AX96" s="1590" t="s">
        <v>371</v>
      </c>
      <c r="AY96" s="889"/>
      <c r="AZ96" s="139"/>
      <c r="BA96" s="139"/>
      <c r="BB96" s="139"/>
      <c r="BC96" s="139"/>
      <c r="BD96" s="139"/>
      <c r="BE96" s="3"/>
    </row>
    <row r="97" spans="1:57" ht="15" customHeight="1" x14ac:dyDescent="0.4">
      <c r="A97" s="3"/>
      <c r="B97" s="3"/>
      <c r="C97" s="173" t="s">
        <v>397</v>
      </c>
      <c r="D97" s="181"/>
      <c r="E97" s="182"/>
      <c r="F97" s="182"/>
      <c r="G97" s="430" t="s">
        <v>383</v>
      </c>
      <c r="H97" s="175"/>
      <c r="I97" s="116" t="s">
        <v>392</v>
      </c>
      <c r="J97" s="116"/>
      <c r="K97" s="116"/>
      <c r="L97" s="116" t="s">
        <v>348</v>
      </c>
      <c r="M97" s="177">
        <f>M67</f>
        <v>2.75</v>
      </c>
      <c r="N97" s="177" t="s">
        <v>348</v>
      </c>
      <c r="O97" s="177">
        <f>0.125*2</f>
        <v>0.25</v>
      </c>
      <c r="P97" s="178"/>
      <c r="Q97" s="178"/>
      <c r="R97" s="116" t="s">
        <v>352</v>
      </c>
      <c r="S97" s="177">
        <f>SHWidth+M97+O97</f>
        <v>41.5625</v>
      </c>
      <c r="T97" s="116" t="s">
        <v>366</v>
      </c>
      <c r="U97" s="175"/>
      <c r="V97" s="179"/>
      <c r="W97" s="116"/>
      <c r="X97" s="179"/>
      <c r="Y97" s="184"/>
      <c r="Z97" s="184"/>
      <c r="AA97" s="184"/>
      <c r="AB97" s="175"/>
      <c r="AC97" s="116">
        <v>45</v>
      </c>
      <c r="AD97" s="116">
        <v>1</v>
      </c>
      <c r="AE97" s="177">
        <f>S97*AD97/12</f>
        <v>3.4635416666666665</v>
      </c>
      <c r="AF97" s="116" t="s">
        <v>367</v>
      </c>
      <c r="AG97" s="116">
        <f>AG48</f>
        <v>0.10199999999999999</v>
      </c>
      <c r="AH97" s="177">
        <f>AG97*AtolbperftSH</f>
        <v>6.4514999999999989E-2</v>
      </c>
      <c r="AI97" s="185"/>
      <c r="AJ97" s="185"/>
      <c r="AK97" s="185"/>
      <c r="AL97" s="185"/>
      <c r="AM97" s="180"/>
      <c r="AN97" s="3" t="s">
        <v>371</v>
      </c>
      <c r="AO97" s="3" t="s">
        <v>371</v>
      </c>
      <c r="AP97" s="3" t="s">
        <v>371</v>
      </c>
      <c r="AQ97" s="3" t="s">
        <v>371</v>
      </c>
      <c r="AR97" s="3" t="s">
        <v>92</v>
      </c>
      <c r="AS97" s="3" t="s">
        <v>92</v>
      </c>
      <c r="AT97" s="3" t="s">
        <v>371</v>
      </c>
      <c r="AU97" s="3" t="s">
        <v>371</v>
      </c>
      <c r="AV97" s="3" t="s">
        <v>371</v>
      </c>
      <c r="AW97" s="3" t="s">
        <v>92</v>
      </c>
      <c r="AX97" s="1414" t="s">
        <v>371</v>
      </c>
      <c r="AY97" s="3"/>
      <c r="AZ97" s="139"/>
      <c r="BA97" s="139"/>
      <c r="BB97" s="139"/>
      <c r="BC97" s="139"/>
      <c r="BD97" s="139"/>
      <c r="BE97" s="3"/>
    </row>
    <row r="98" spans="1:57" ht="15" customHeight="1" x14ac:dyDescent="0.4">
      <c r="A98" s="3"/>
      <c r="B98" s="36"/>
      <c r="C98" s="155"/>
      <c r="D98" s="155"/>
      <c r="E98" s="155"/>
      <c r="F98" s="155"/>
      <c r="G98" s="7"/>
      <c r="H98" s="20"/>
      <c r="I98" s="3"/>
      <c r="J98" s="3"/>
      <c r="K98" s="3"/>
      <c r="L98" s="3"/>
      <c r="M98" s="5"/>
      <c r="N98" s="5"/>
      <c r="O98" s="5"/>
      <c r="P98" s="24"/>
      <c r="Q98" s="24"/>
      <c r="R98" s="3"/>
      <c r="S98" s="5"/>
      <c r="T98" s="3"/>
      <c r="U98" s="20"/>
      <c r="V98" s="38" t="s">
        <v>369</v>
      </c>
      <c r="W98" s="3" t="s">
        <v>370</v>
      </c>
      <c r="X98" s="38" t="s">
        <v>369</v>
      </c>
      <c r="Y98" s="1443">
        <v>200169003</v>
      </c>
      <c r="Z98" s="1443"/>
      <c r="AA98" s="1443"/>
      <c r="AB98" s="20"/>
      <c r="AC98" s="3"/>
      <c r="AD98" s="3"/>
      <c r="AE98" s="5"/>
      <c r="AF98" s="3"/>
      <c r="AG98" s="38"/>
      <c r="AH98" s="5"/>
      <c r="AI98" s="51">
        <f t="shared" ref="AI98:AI103" si="15">AI49</f>
        <v>0.11799999999999999</v>
      </c>
      <c r="AJ98" s="39"/>
      <c r="AK98" s="39"/>
      <c r="AL98" s="39"/>
      <c r="AM98" s="39">
        <f>AE$97*AI98+SUM(AJ98:AL98)</f>
        <v>0.40869791666666661</v>
      </c>
      <c r="AN98" s="3" t="s">
        <v>371</v>
      </c>
      <c r="AO98" s="3" t="s">
        <v>371</v>
      </c>
      <c r="AP98" s="3" t="s">
        <v>371</v>
      </c>
      <c r="AQ98" s="3" t="s">
        <v>371</v>
      </c>
      <c r="AR98" s="3" t="s">
        <v>92</v>
      </c>
      <c r="AS98" s="3" t="s">
        <v>92</v>
      </c>
      <c r="AT98" s="3" t="s">
        <v>371</v>
      </c>
      <c r="AU98" s="3" t="s">
        <v>371</v>
      </c>
      <c r="AV98" s="3" t="s">
        <v>371</v>
      </c>
      <c r="AW98" s="3" t="s">
        <v>92</v>
      </c>
      <c r="AX98" s="1414" t="s">
        <v>371</v>
      </c>
      <c r="AY98" s="3"/>
      <c r="AZ98" s="139"/>
      <c r="BA98" s="139"/>
      <c r="BB98" s="139"/>
      <c r="BC98" s="139"/>
      <c r="BD98" s="139"/>
      <c r="BE98" s="3"/>
    </row>
    <row r="99" spans="1:57" ht="15" customHeight="1" x14ac:dyDescent="0.4">
      <c r="A99" s="3"/>
      <c r="B99" s="36"/>
      <c r="C99" s="155"/>
      <c r="D99" s="155"/>
      <c r="E99" s="155"/>
      <c r="F99" s="155"/>
      <c r="G99" s="7"/>
      <c r="H99" s="20"/>
      <c r="I99" s="3"/>
      <c r="J99" s="3"/>
      <c r="K99" s="3"/>
      <c r="L99" s="3"/>
      <c r="M99" s="5"/>
      <c r="N99" s="5"/>
      <c r="O99" s="5"/>
      <c r="P99" s="24"/>
      <c r="Q99" s="24"/>
      <c r="R99" s="3"/>
      <c r="S99" s="5"/>
      <c r="T99" s="3"/>
      <c r="U99" s="20"/>
      <c r="V99" s="38" t="s">
        <v>369</v>
      </c>
      <c r="W99" s="3" t="s">
        <v>372</v>
      </c>
      <c r="X99" s="38" t="s">
        <v>369</v>
      </c>
      <c r="Y99" s="1443">
        <v>200169021</v>
      </c>
      <c r="Z99" s="1443"/>
      <c r="AA99" s="1443"/>
      <c r="AB99" s="20"/>
      <c r="AC99" s="3"/>
      <c r="AD99" s="3"/>
      <c r="AE99" s="5"/>
      <c r="AF99" s="3"/>
      <c r="AG99" s="3"/>
      <c r="AH99" s="5"/>
      <c r="AI99" s="51">
        <f t="shared" si="15"/>
        <v>0.12640000000000001</v>
      </c>
      <c r="AJ99" s="39"/>
      <c r="AK99" s="39"/>
      <c r="AL99" s="39"/>
      <c r="AM99" s="39">
        <f t="shared" ref="AM99:AM100" si="16">AE$97*AI99+SUM(AJ99:AL99)</f>
        <v>0.43779166666666669</v>
      </c>
      <c r="AN99" s="3" t="s">
        <v>371</v>
      </c>
      <c r="AO99" s="3" t="s">
        <v>371</v>
      </c>
      <c r="AP99" s="3" t="s">
        <v>371</v>
      </c>
      <c r="AQ99" s="3" t="s">
        <v>371</v>
      </c>
      <c r="AR99" s="3" t="s">
        <v>92</v>
      </c>
      <c r="AS99" s="3" t="s">
        <v>92</v>
      </c>
      <c r="AT99" s="3" t="s">
        <v>371</v>
      </c>
      <c r="AU99" s="3" t="s">
        <v>371</v>
      </c>
      <c r="AV99" s="3" t="s">
        <v>371</v>
      </c>
      <c r="AW99" s="3" t="s">
        <v>92</v>
      </c>
      <c r="AX99" s="1414" t="s">
        <v>371</v>
      </c>
      <c r="AY99" s="3"/>
      <c r="AZ99" s="139"/>
      <c r="BA99" s="139"/>
      <c r="BB99" s="139"/>
      <c r="BC99" s="139"/>
      <c r="BD99" s="139"/>
      <c r="BE99" s="3"/>
    </row>
    <row r="100" spans="1:57" ht="15" customHeight="1" x14ac:dyDescent="0.4">
      <c r="A100" s="3"/>
      <c r="B100" s="36"/>
      <c r="C100" s="155"/>
      <c r="D100" s="155"/>
      <c r="E100" s="155"/>
      <c r="F100" s="155"/>
      <c r="G100" s="7"/>
      <c r="H100" s="20"/>
      <c r="I100" s="3"/>
      <c r="J100" s="3"/>
      <c r="K100" s="3"/>
      <c r="L100" s="3"/>
      <c r="M100" s="5"/>
      <c r="N100" s="5"/>
      <c r="O100" s="5"/>
      <c r="P100" s="24"/>
      <c r="Q100" s="24"/>
      <c r="R100" s="3"/>
      <c r="S100" s="5"/>
      <c r="T100" s="3"/>
      <c r="U100" s="20"/>
      <c r="V100" s="38" t="s">
        <v>369</v>
      </c>
      <c r="W100" s="3" t="s">
        <v>373</v>
      </c>
      <c r="X100" s="38" t="s">
        <v>369</v>
      </c>
      <c r="Y100" s="1443">
        <v>200169033</v>
      </c>
      <c r="Z100" s="1443"/>
      <c r="AA100" s="1443"/>
      <c r="AB100" s="20"/>
      <c r="AC100" s="3"/>
      <c r="AD100" s="3"/>
      <c r="AE100" s="5"/>
      <c r="AF100" s="3"/>
      <c r="AG100" s="3"/>
      <c r="AH100" s="5"/>
      <c r="AI100" s="51">
        <f t="shared" si="15"/>
        <v>0.1283</v>
      </c>
      <c r="AJ100" s="39"/>
      <c r="AK100" s="39"/>
      <c r="AL100" s="39"/>
      <c r="AM100" s="39">
        <f t="shared" si="16"/>
        <v>0.44437239583333332</v>
      </c>
      <c r="AN100" s="3" t="s">
        <v>371</v>
      </c>
      <c r="AO100" s="3" t="s">
        <v>371</v>
      </c>
      <c r="AP100" s="3" t="s">
        <v>371</v>
      </c>
      <c r="AQ100" s="3" t="s">
        <v>371</v>
      </c>
      <c r="AR100" s="3" t="s">
        <v>92</v>
      </c>
      <c r="AS100" s="3" t="s">
        <v>92</v>
      </c>
      <c r="AT100" s="3" t="s">
        <v>371</v>
      </c>
      <c r="AU100" s="3" t="s">
        <v>371</v>
      </c>
      <c r="AV100" s="3" t="s">
        <v>371</v>
      </c>
      <c r="AW100" s="3" t="s">
        <v>92</v>
      </c>
      <c r="AX100" s="1414" t="s">
        <v>371</v>
      </c>
      <c r="AY100" s="3"/>
      <c r="AZ100" s="139"/>
      <c r="BA100" s="139"/>
      <c r="BB100" s="139"/>
      <c r="BC100" s="139"/>
      <c r="BD100" s="139"/>
      <c r="BE100" s="3"/>
    </row>
    <row r="101" spans="1:57" ht="15" customHeight="1" x14ac:dyDescent="0.4">
      <c r="A101" s="3"/>
      <c r="B101" s="36"/>
      <c r="C101" s="155"/>
      <c r="D101" s="155"/>
      <c r="E101" s="155"/>
      <c r="F101" s="155"/>
      <c r="G101" s="7"/>
      <c r="H101" s="20"/>
      <c r="I101" s="3"/>
      <c r="J101" s="3"/>
      <c r="K101" s="3"/>
      <c r="L101" s="3"/>
      <c r="M101" s="5"/>
      <c r="N101" s="5"/>
      <c r="O101" s="5"/>
      <c r="P101" s="24"/>
      <c r="Q101" s="24"/>
      <c r="R101" s="3"/>
      <c r="S101" s="5"/>
      <c r="T101" s="3"/>
      <c r="U101" s="20"/>
      <c r="V101" s="38" t="s">
        <v>369</v>
      </c>
      <c r="W101" s="3" t="s">
        <v>374</v>
      </c>
      <c r="X101" s="38" t="s">
        <v>369</v>
      </c>
      <c r="Y101" s="1443">
        <v>200169090</v>
      </c>
      <c r="Z101" s="1443"/>
      <c r="AA101" s="1443"/>
      <c r="AB101" s="20"/>
      <c r="AC101" s="3"/>
      <c r="AD101" s="3"/>
      <c r="AE101" s="5"/>
      <c r="AF101" s="3"/>
      <c r="AG101" s="3"/>
      <c r="AH101" s="5"/>
      <c r="AI101" s="51">
        <f t="shared" si="15"/>
        <v>0.22900000000000001</v>
      </c>
      <c r="AJ101" s="39"/>
      <c r="AK101" s="39"/>
      <c r="AL101" s="39"/>
      <c r="AM101" s="39">
        <f>AE$97*AI101+SUM(AJ101:AL101)</f>
        <v>0.79315104166666661</v>
      </c>
      <c r="AN101" s="3" t="s">
        <v>371</v>
      </c>
      <c r="AO101" s="3" t="s">
        <v>371</v>
      </c>
      <c r="AP101" s="3" t="s">
        <v>371</v>
      </c>
      <c r="AQ101" s="3" t="s">
        <v>371</v>
      </c>
      <c r="AR101" s="3" t="s">
        <v>92</v>
      </c>
      <c r="AS101" s="3" t="s">
        <v>92</v>
      </c>
      <c r="AT101" s="3" t="s">
        <v>371</v>
      </c>
      <c r="AU101" s="3" t="s">
        <v>371</v>
      </c>
      <c r="AV101" s="3" t="s">
        <v>371</v>
      </c>
      <c r="AW101" s="3" t="s">
        <v>92</v>
      </c>
      <c r="AX101" s="1414" t="s">
        <v>371</v>
      </c>
      <c r="AY101" s="3"/>
      <c r="AZ101" s="139"/>
      <c r="BA101" s="139"/>
      <c r="BB101" s="139"/>
      <c r="BC101" s="139"/>
      <c r="BD101" s="139"/>
      <c r="BE101" s="3"/>
    </row>
    <row r="102" spans="1:57" ht="15" customHeight="1" x14ac:dyDescent="0.4">
      <c r="A102" s="3"/>
      <c r="B102" s="36"/>
      <c r="C102" s="155"/>
      <c r="D102" s="155"/>
      <c r="E102" s="155"/>
      <c r="F102" s="155"/>
      <c r="G102" s="7"/>
      <c r="H102" s="20"/>
      <c r="I102" s="3"/>
      <c r="J102" s="3"/>
      <c r="K102" s="3"/>
      <c r="L102" s="3"/>
      <c r="M102" s="5"/>
      <c r="N102" s="5"/>
      <c r="O102" s="5"/>
      <c r="P102" s="24"/>
      <c r="Q102" s="24"/>
      <c r="R102" s="3"/>
      <c r="S102" s="5"/>
      <c r="T102" s="3"/>
      <c r="U102" s="20"/>
      <c r="V102" s="38" t="s">
        <v>369</v>
      </c>
      <c r="W102" s="3" t="s">
        <v>375</v>
      </c>
      <c r="X102" s="38" t="s">
        <v>369</v>
      </c>
      <c r="Y102" s="1443">
        <v>200169133</v>
      </c>
      <c r="Z102" s="1443"/>
      <c r="AA102" s="1443"/>
      <c r="AB102" s="20"/>
      <c r="AC102" s="3"/>
      <c r="AD102" s="3"/>
      <c r="AE102" s="5"/>
      <c r="AF102" s="3"/>
      <c r="AG102" s="3"/>
      <c r="AH102" s="5"/>
      <c r="AI102" s="51">
        <f t="shared" si="15"/>
        <v>0.2414</v>
      </c>
      <c r="AJ102" s="39"/>
      <c r="AK102" s="39"/>
      <c r="AL102" s="39"/>
      <c r="AM102" s="39">
        <f t="shared" ref="AM102" si="17">AE$97*AI102+SUM(AJ102:AL102)</f>
        <v>0.83609895833333336</v>
      </c>
      <c r="AN102" s="3" t="s">
        <v>371</v>
      </c>
      <c r="AO102" s="3" t="s">
        <v>371</v>
      </c>
      <c r="AP102" s="3" t="s">
        <v>371</v>
      </c>
      <c r="AQ102" s="3" t="s">
        <v>371</v>
      </c>
      <c r="AR102" s="3" t="s">
        <v>92</v>
      </c>
      <c r="AS102" s="3" t="s">
        <v>92</v>
      </c>
      <c r="AT102" s="3" t="s">
        <v>371</v>
      </c>
      <c r="AU102" s="3" t="s">
        <v>371</v>
      </c>
      <c r="AV102" s="3" t="s">
        <v>371</v>
      </c>
      <c r="AW102" s="3" t="s">
        <v>92</v>
      </c>
      <c r="AX102" s="1414" t="s">
        <v>371</v>
      </c>
      <c r="AY102" s="3"/>
      <c r="AZ102" s="139"/>
      <c r="BA102" s="139"/>
      <c r="BB102" s="139"/>
      <c r="BC102" s="139"/>
      <c r="BD102" s="139"/>
      <c r="BE102" s="3"/>
    </row>
    <row r="103" spans="1:57" ht="15" customHeight="1" thickBot="1" x14ac:dyDescent="0.45">
      <c r="A103" s="3"/>
      <c r="B103" s="36"/>
      <c r="C103" s="925"/>
      <c r="D103" s="925"/>
      <c r="E103" s="925"/>
      <c r="F103" s="925"/>
      <c r="G103" s="924"/>
      <c r="H103" s="887"/>
      <c r="I103" s="889"/>
      <c r="J103" s="889"/>
      <c r="K103" s="889"/>
      <c r="L103" s="889"/>
      <c r="M103" s="945"/>
      <c r="N103" s="945"/>
      <c r="O103" s="945"/>
      <c r="P103" s="1020"/>
      <c r="Q103" s="1020"/>
      <c r="R103" s="889"/>
      <c r="S103" s="945"/>
      <c r="T103" s="889"/>
      <c r="U103" s="887"/>
      <c r="V103" s="1876" t="s">
        <v>369</v>
      </c>
      <c r="W103" s="1877" t="s">
        <v>1849</v>
      </c>
      <c r="X103" s="1876" t="s">
        <v>369</v>
      </c>
      <c r="Y103" s="1878">
        <v>200169148</v>
      </c>
      <c r="Z103" s="1444"/>
      <c r="AA103" s="1444"/>
      <c r="AB103" s="887"/>
      <c r="AC103" s="889"/>
      <c r="AD103" s="889"/>
      <c r="AE103" s="945"/>
      <c r="AF103" s="889"/>
      <c r="AG103" s="889"/>
      <c r="AH103" s="945"/>
      <c r="AI103" s="51">
        <f t="shared" si="15"/>
        <v>0.249</v>
      </c>
      <c r="AJ103" s="947"/>
      <c r="AK103" s="947"/>
      <c r="AL103" s="947"/>
      <c r="AM103" s="947">
        <f>AE$97*AI103+SUM(AJ103:AL103)</f>
        <v>0.862421875</v>
      </c>
      <c r="AN103" s="889" t="s">
        <v>371</v>
      </c>
      <c r="AO103" s="889" t="s">
        <v>371</v>
      </c>
      <c r="AP103" s="889" t="s">
        <v>371</v>
      </c>
      <c r="AQ103" s="889" t="s">
        <v>371</v>
      </c>
      <c r="AR103" s="889" t="s">
        <v>92</v>
      </c>
      <c r="AS103" s="889" t="s">
        <v>92</v>
      </c>
      <c r="AT103" s="889" t="s">
        <v>371</v>
      </c>
      <c r="AU103" s="889" t="s">
        <v>371</v>
      </c>
      <c r="AV103" s="889" t="s">
        <v>371</v>
      </c>
      <c r="AW103" s="889" t="s">
        <v>92</v>
      </c>
      <c r="AX103" s="1590" t="s">
        <v>371</v>
      </c>
      <c r="AY103" s="889"/>
      <c r="AZ103" s="139"/>
      <c r="BA103" s="139"/>
      <c r="BB103" s="139"/>
      <c r="BC103" s="139"/>
      <c r="BD103" s="139"/>
      <c r="BE103" s="3"/>
    </row>
    <row r="104" spans="1:57" ht="15" customHeight="1" x14ac:dyDescent="0.4">
      <c r="A104" s="3"/>
      <c r="B104" s="3"/>
      <c r="C104" s="173" t="s">
        <v>398</v>
      </c>
      <c r="D104" s="181"/>
      <c r="E104" s="182"/>
      <c r="F104" s="182"/>
      <c r="G104" s="173"/>
      <c r="H104" s="175"/>
      <c r="I104" s="116" t="s">
        <v>392</v>
      </c>
      <c r="J104" s="116"/>
      <c r="K104" s="116"/>
      <c r="L104" s="116" t="s">
        <v>348</v>
      </c>
      <c r="M104" s="177">
        <v>0.438</v>
      </c>
      <c r="N104" s="177"/>
      <c r="O104" s="177"/>
      <c r="P104" s="178"/>
      <c r="Q104" s="178"/>
      <c r="R104" s="116" t="s">
        <v>352</v>
      </c>
      <c r="S104" s="177">
        <f>SHWidth+M104+O104</f>
        <v>39.000500000000002</v>
      </c>
      <c r="T104" s="116" t="s">
        <v>366</v>
      </c>
      <c r="U104" s="175"/>
      <c r="V104" s="179"/>
      <c r="W104" s="116"/>
      <c r="X104" s="179"/>
      <c r="Y104" s="184"/>
      <c r="Z104" s="184"/>
      <c r="AA104" s="184"/>
      <c r="AB104" s="175"/>
      <c r="AC104" s="116">
        <v>45</v>
      </c>
      <c r="AD104" s="116">
        <v>1</v>
      </c>
      <c r="AE104" s="177">
        <f>S104*AD104/12</f>
        <v>3.2500416666666667</v>
      </c>
      <c r="AF104" s="116" t="s">
        <v>367</v>
      </c>
      <c r="AG104" s="116">
        <f>AG59</f>
        <v>9.4E-2</v>
      </c>
      <c r="AH104" s="177">
        <f>AG104*AtolbperftSH</f>
        <v>5.9454999999999994E-2</v>
      </c>
      <c r="AI104" s="185"/>
      <c r="AJ104" s="185"/>
      <c r="AK104" s="185"/>
      <c r="AL104" s="185"/>
      <c r="AM104" s="180"/>
      <c r="AN104" s="3" t="s">
        <v>371</v>
      </c>
      <c r="AO104" s="3" t="s">
        <v>371</v>
      </c>
      <c r="AP104" s="3" t="s">
        <v>371</v>
      </c>
      <c r="AQ104" s="3" t="s">
        <v>371</v>
      </c>
      <c r="AR104" s="3" t="s">
        <v>92</v>
      </c>
      <c r="AS104" s="3" t="s">
        <v>92</v>
      </c>
      <c r="AT104" s="3" t="s">
        <v>371</v>
      </c>
      <c r="AU104" s="3" t="s">
        <v>371</v>
      </c>
      <c r="AV104" s="3" t="s">
        <v>371</v>
      </c>
      <c r="AW104" s="3" t="s">
        <v>92</v>
      </c>
      <c r="AX104" s="1414" t="s">
        <v>371</v>
      </c>
      <c r="AY104" s="3"/>
      <c r="AZ104" s="139"/>
      <c r="BA104" s="139"/>
      <c r="BB104" s="139"/>
      <c r="BC104" s="139"/>
      <c r="BD104" s="139"/>
      <c r="BE104" s="3"/>
    </row>
    <row r="105" spans="1:57" ht="15" customHeight="1" x14ac:dyDescent="0.4">
      <c r="A105" s="3"/>
      <c r="B105" s="36"/>
      <c r="C105" s="36"/>
      <c r="D105" s="155"/>
      <c r="E105" s="155"/>
      <c r="F105" s="155"/>
      <c r="G105" s="7"/>
      <c r="H105" s="20"/>
      <c r="I105" s="3"/>
      <c r="J105" s="3"/>
      <c r="K105" s="3"/>
      <c r="L105" s="3"/>
      <c r="M105" s="5"/>
      <c r="N105" s="5"/>
      <c r="O105" s="5"/>
      <c r="P105" s="24"/>
      <c r="Q105" s="24"/>
      <c r="R105" s="3"/>
      <c r="S105" s="5"/>
      <c r="T105" s="3"/>
      <c r="U105" s="20"/>
      <c r="V105" s="38" t="s">
        <v>369</v>
      </c>
      <c r="W105" s="3" t="s">
        <v>370</v>
      </c>
      <c r="X105" s="38" t="s">
        <v>369</v>
      </c>
      <c r="Y105" s="1443">
        <v>200178003</v>
      </c>
      <c r="Z105" s="1443"/>
      <c r="AA105" s="1443"/>
      <c r="AB105" s="20"/>
      <c r="AC105" s="3"/>
      <c r="AD105" s="3"/>
      <c r="AE105" s="5"/>
      <c r="AF105" s="3"/>
      <c r="AG105" s="38"/>
      <c r="AH105" s="5"/>
      <c r="AI105" s="51">
        <f t="shared" ref="AI105:AI110" si="18">AI60</f>
        <v>0.10290000000000001</v>
      </c>
      <c r="AJ105" s="39"/>
      <c r="AK105" s="39"/>
      <c r="AL105" s="39"/>
      <c r="AM105" s="39">
        <f>AE$104*AI105+SUM(AJ105:AL105)</f>
        <v>0.33442928750000001</v>
      </c>
      <c r="AN105" s="3" t="s">
        <v>371</v>
      </c>
      <c r="AO105" s="3" t="s">
        <v>371</v>
      </c>
      <c r="AP105" s="3" t="s">
        <v>371</v>
      </c>
      <c r="AQ105" s="3" t="s">
        <v>371</v>
      </c>
      <c r="AR105" s="3" t="s">
        <v>92</v>
      </c>
      <c r="AS105" s="3" t="s">
        <v>92</v>
      </c>
      <c r="AT105" s="3" t="s">
        <v>371</v>
      </c>
      <c r="AU105" s="3" t="s">
        <v>371</v>
      </c>
      <c r="AV105" s="3" t="s">
        <v>371</v>
      </c>
      <c r="AW105" s="3" t="s">
        <v>92</v>
      </c>
      <c r="AX105" s="1414" t="s">
        <v>371</v>
      </c>
      <c r="AY105" s="3"/>
      <c r="AZ105" s="139"/>
      <c r="BA105" s="139"/>
      <c r="BB105" s="139"/>
      <c r="BC105" s="139"/>
      <c r="BD105" s="139"/>
      <c r="BE105" s="3"/>
    </row>
    <row r="106" spans="1:57" ht="15" customHeight="1" x14ac:dyDescent="0.4">
      <c r="A106" s="3"/>
      <c r="B106" s="36"/>
      <c r="C106" s="36"/>
      <c r="D106" s="155"/>
      <c r="E106" s="155"/>
      <c r="F106" s="155"/>
      <c r="G106" s="7"/>
      <c r="H106" s="20"/>
      <c r="I106" s="3"/>
      <c r="J106" s="3"/>
      <c r="K106" s="3"/>
      <c r="L106" s="3"/>
      <c r="M106" s="5"/>
      <c r="N106" s="5"/>
      <c r="O106" s="5"/>
      <c r="P106" s="24"/>
      <c r="Q106" s="24"/>
      <c r="R106" s="3"/>
      <c r="S106" s="5"/>
      <c r="T106" s="3"/>
      <c r="U106" s="20"/>
      <c r="V106" s="38" t="s">
        <v>369</v>
      </c>
      <c r="W106" s="3" t="s">
        <v>372</v>
      </c>
      <c r="X106" s="38" t="s">
        <v>369</v>
      </c>
      <c r="Y106" s="1443">
        <v>200178021</v>
      </c>
      <c r="Z106" s="1443"/>
      <c r="AA106" s="1443"/>
      <c r="AB106" s="20"/>
      <c r="AC106" s="3"/>
      <c r="AD106" s="3"/>
      <c r="AE106" s="5"/>
      <c r="AF106" s="3"/>
      <c r="AG106" s="3"/>
      <c r="AH106" s="5"/>
      <c r="AI106" s="51">
        <f t="shared" si="18"/>
        <v>0.112</v>
      </c>
      <c r="AJ106" s="39"/>
      <c r="AK106" s="39"/>
      <c r="AL106" s="39"/>
      <c r="AM106" s="39">
        <f t="shared" ref="AM106:AM107" si="19">AE$104*AI106+SUM(AJ106:AL106)</f>
        <v>0.3640046666666667</v>
      </c>
      <c r="AN106" s="3" t="s">
        <v>371</v>
      </c>
      <c r="AO106" s="3" t="s">
        <v>371</v>
      </c>
      <c r="AP106" s="3" t="s">
        <v>371</v>
      </c>
      <c r="AQ106" s="3" t="s">
        <v>371</v>
      </c>
      <c r="AR106" s="3" t="s">
        <v>92</v>
      </c>
      <c r="AS106" s="3" t="s">
        <v>92</v>
      </c>
      <c r="AT106" s="3" t="s">
        <v>371</v>
      </c>
      <c r="AU106" s="3" t="s">
        <v>371</v>
      </c>
      <c r="AV106" s="3" t="s">
        <v>371</v>
      </c>
      <c r="AW106" s="3" t="s">
        <v>92</v>
      </c>
      <c r="AX106" s="1414" t="s">
        <v>371</v>
      </c>
      <c r="AY106" s="3"/>
      <c r="AZ106" s="139"/>
      <c r="BA106" s="139"/>
      <c r="BB106" s="139"/>
      <c r="BC106" s="139"/>
      <c r="BD106" s="139"/>
      <c r="BE106" s="3"/>
    </row>
    <row r="107" spans="1:57" ht="15" customHeight="1" x14ac:dyDescent="0.4">
      <c r="A107" s="3"/>
      <c r="B107" s="36"/>
      <c r="C107" s="36"/>
      <c r="D107" s="155"/>
      <c r="E107" s="155"/>
      <c r="F107" s="155"/>
      <c r="G107" s="7"/>
      <c r="H107" s="20"/>
      <c r="I107" s="3"/>
      <c r="J107" s="3"/>
      <c r="K107" s="3"/>
      <c r="L107" s="3"/>
      <c r="M107" s="5"/>
      <c r="N107" s="5"/>
      <c r="O107" s="5"/>
      <c r="P107" s="24"/>
      <c r="Q107" s="24"/>
      <c r="R107" s="3"/>
      <c r="S107" s="5"/>
      <c r="T107" s="3"/>
      <c r="U107" s="20"/>
      <c r="V107" s="38" t="s">
        <v>369</v>
      </c>
      <c r="W107" s="3" t="s">
        <v>373</v>
      </c>
      <c r="X107" s="38" t="s">
        <v>369</v>
      </c>
      <c r="Y107" s="1443">
        <v>200178033</v>
      </c>
      <c r="Z107" s="1443"/>
      <c r="AA107" s="1443"/>
      <c r="AB107" s="20"/>
      <c r="AC107" s="3"/>
      <c r="AD107" s="3"/>
      <c r="AE107" s="5"/>
      <c r="AF107" s="3"/>
      <c r="AG107" s="3"/>
      <c r="AH107" s="5"/>
      <c r="AI107" s="51">
        <f t="shared" si="18"/>
        <v>0.1135</v>
      </c>
      <c r="AJ107" s="39"/>
      <c r="AK107" s="39"/>
      <c r="AL107" s="39"/>
      <c r="AM107" s="39">
        <f t="shared" si="19"/>
        <v>0.36887972916666667</v>
      </c>
      <c r="AN107" s="3" t="s">
        <v>371</v>
      </c>
      <c r="AO107" s="3" t="s">
        <v>371</v>
      </c>
      <c r="AP107" s="3" t="s">
        <v>371</v>
      </c>
      <c r="AQ107" s="3" t="s">
        <v>371</v>
      </c>
      <c r="AR107" s="3" t="s">
        <v>92</v>
      </c>
      <c r="AS107" s="3" t="s">
        <v>92</v>
      </c>
      <c r="AT107" s="3" t="s">
        <v>371</v>
      </c>
      <c r="AU107" s="3" t="s">
        <v>371</v>
      </c>
      <c r="AV107" s="3" t="s">
        <v>371</v>
      </c>
      <c r="AW107" s="3" t="s">
        <v>92</v>
      </c>
      <c r="AX107" s="1414" t="s">
        <v>371</v>
      </c>
      <c r="AY107" s="3"/>
      <c r="AZ107" s="139"/>
      <c r="BA107" s="139"/>
      <c r="BB107" s="139"/>
      <c r="BC107" s="139"/>
      <c r="BD107" s="139"/>
      <c r="BE107" s="3"/>
    </row>
    <row r="108" spans="1:57" ht="15" customHeight="1" x14ac:dyDescent="0.4">
      <c r="A108" s="3"/>
      <c r="B108" s="36"/>
      <c r="C108" s="36"/>
      <c r="D108" s="155"/>
      <c r="E108" s="155"/>
      <c r="F108" s="155"/>
      <c r="G108" s="7"/>
      <c r="H108" s="20"/>
      <c r="I108" s="3"/>
      <c r="J108" s="3"/>
      <c r="K108" s="3"/>
      <c r="L108" s="3"/>
      <c r="M108" s="5"/>
      <c r="N108" s="5"/>
      <c r="O108" s="5"/>
      <c r="P108" s="24"/>
      <c r="Q108" s="24"/>
      <c r="R108" s="3"/>
      <c r="S108" s="5"/>
      <c r="T108" s="3"/>
      <c r="U108" s="20"/>
      <c r="V108" s="38" t="s">
        <v>369</v>
      </c>
      <c r="W108" s="3" t="s">
        <v>374</v>
      </c>
      <c r="X108" s="38" t="s">
        <v>369</v>
      </c>
      <c r="Y108" s="1443">
        <v>200178090</v>
      </c>
      <c r="Z108" s="1443"/>
      <c r="AA108" s="1443"/>
      <c r="AB108" s="20"/>
      <c r="AC108" s="3"/>
      <c r="AD108" s="3"/>
      <c r="AE108" s="5"/>
      <c r="AF108" s="3"/>
      <c r="AG108" s="3"/>
      <c r="AH108" s="5"/>
      <c r="AI108" s="51">
        <f t="shared" si="18"/>
        <v>0.22839999999999999</v>
      </c>
      <c r="AJ108" s="39"/>
      <c r="AK108" s="39"/>
      <c r="AL108" s="39"/>
      <c r="AM108" s="39">
        <f>AE$104*AI108+SUM(AJ108:AL108)</f>
        <v>0.74230951666666667</v>
      </c>
      <c r="AN108" s="3" t="s">
        <v>371</v>
      </c>
      <c r="AO108" s="3" t="s">
        <v>371</v>
      </c>
      <c r="AP108" s="3" t="s">
        <v>371</v>
      </c>
      <c r="AQ108" s="3" t="s">
        <v>371</v>
      </c>
      <c r="AR108" s="3" t="s">
        <v>92</v>
      </c>
      <c r="AS108" s="3" t="s">
        <v>92</v>
      </c>
      <c r="AT108" s="3" t="s">
        <v>371</v>
      </c>
      <c r="AU108" s="3" t="s">
        <v>371</v>
      </c>
      <c r="AV108" s="3" t="s">
        <v>371</v>
      </c>
      <c r="AW108" s="3" t="s">
        <v>92</v>
      </c>
      <c r="AX108" s="1414" t="s">
        <v>371</v>
      </c>
      <c r="AY108" s="3"/>
      <c r="AZ108" s="139"/>
      <c r="BA108" s="139"/>
      <c r="BB108" s="139"/>
      <c r="BC108" s="139"/>
      <c r="BD108" s="139"/>
      <c r="BE108" s="3"/>
    </row>
    <row r="109" spans="1:57" ht="15" customHeight="1" x14ac:dyDescent="0.4">
      <c r="A109" s="3"/>
      <c r="B109" s="36"/>
      <c r="C109" s="36"/>
      <c r="D109" s="155"/>
      <c r="E109" s="155"/>
      <c r="F109" s="155"/>
      <c r="G109" s="7"/>
      <c r="H109" s="20"/>
      <c r="I109" s="3"/>
      <c r="J109" s="3"/>
      <c r="K109" s="3"/>
      <c r="L109" s="3"/>
      <c r="M109" s="5"/>
      <c r="N109" s="5"/>
      <c r="O109" s="5"/>
      <c r="P109" s="24"/>
      <c r="Q109" s="24"/>
      <c r="R109" s="3"/>
      <c r="S109" s="5"/>
      <c r="T109" s="3"/>
      <c r="U109" s="20"/>
      <c r="V109" s="38" t="s">
        <v>369</v>
      </c>
      <c r="W109" s="3" t="s">
        <v>375</v>
      </c>
      <c r="X109" s="38" t="s">
        <v>369</v>
      </c>
      <c r="Y109" s="1443">
        <v>200178133</v>
      </c>
      <c r="Z109" s="1443"/>
      <c r="AA109" s="1443"/>
      <c r="AB109" s="20"/>
      <c r="AC109" s="3"/>
      <c r="AD109" s="3"/>
      <c r="AE109" s="5"/>
      <c r="AF109" s="3"/>
      <c r="AG109" s="3"/>
      <c r="AH109" s="5"/>
      <c r="AI109" s="51">
        <f t="shared" si="18"/>
        <v>0.254</v>
      </c>
      <c r="AJ109" s="39"/>
      <c r="AK109" s="39"/>
      <c r="AL109" s="39"/>
      <c r="AM109" s="39">
        <f t="shared" ref="AM109" si="20">AE$104*AI109+SUM(AJ109:AL109)</f>
        <v>0.82551058333333338</v>
      </c>
      <c r="AN109" s="3" t="s">
        <v>371</v>
      </c>
      <c r="AO109" s="3" t="s">
        <v>371</v>
      </c>
      <c r="AP109" s="3" t="s">
        <v>371</v>
      </c>
      <c r="AQ109" s="3" t="s">
        <v>371</v>
      </c>
      <c r="AR109" s="3" t="s">
        <v>92</v>
      </c>
      <c r="AS109" s="3" t="s">
        <v>92</v>
      </c>
      <c r="AT109" s="3" t="s">
        <v>371</v>
      </c>
      <c r="AU109" s="3" t="s">
        <v>371</v>
      </c>
      <c r="AV109" s="3" t="s">
        <v>371</v>
      </c>
      <c r="AW109" s="3" t="s">
        <v>92</v>
      </c>
      <c r="AX109" s="1414" t="s">
        <v>371</v>
      </c>
      <c r="AY109" s="3"/>
      <c r="AZ109" s="139"/>
      <c r="BA109" s="139"/>
      <c r="BB109" s="139"/>
      <c r="BC109" s="139"/>
      <c r="BD109" s="139"/>
      <c r="BE109" s="3"/>
    </row>
    <row r="110" spans="1:57" ht="15" customHeight="1" thickBot="1" x14ac:dyDescent="0.45">
      <c r="A110" s="3"/>
      <c r="B110" s="36"/>
      <c r="C110" s="36"/>
      <c r="D110" s="155"/>
      <c r="E110" s="155"/>
      <c r="F110" s="155"/>
      <c r="G110" s="7"/>
      <c r="H110" s="20"/>
      <c r="I110" s="3"/>
      <c r="J110" s="3"/>
      <c r="K110" s="3"/>
      <c r="L110" s="3"/>
      <c r="M110" s="5"/>
      <c r="N110" s="5"/>
      <c r="O110" s="5"/>
      <c r="P110" s="24"/>
      <c r="Q110" s="24"/>
      <c r="R110" s="3"/>
      <c r="S110" s="5"/>
      <c r="T110" s="3"/>
      <c r="U110" s="20"/>
      <c r="V110" s="279" t="s">
        <v>369</v>
      </c>
      <c r="W110" s="112" t="s">
        <v>1849</v>
      </c>
      <c r="X110" s="279" t="s">
        <v>369</v>
      </c>
      <c r="Y110" s="1871">
        <v>200178148</v>
      </c>
      <c r="Z110" s="1443"/>
      <c r="AA110" s="1443"/>
      <c r="AB110" s="20"/>
      <c r="AC110" s="3"/>
      <c r="AD110" s="3"/>
      <c r="AE110" s="5"/>
      <c r="AF110" s="3"/>
      <c r="AG110" s="3"/>
      <c r="AH110" s="5"/>
      <c r="AI110" s="51">
        <f t="shared" si="18"/>
        <v>0.23</v>
      </c>
      <c r="AJ110" s="947"/>
      <c r="AK110" s="947"/>
      <c r="AL110" s="947"/>
      <c r="AM110" s="947">
        <f>AE$104*AI110+SUM(AJ110:AL110)</f>
        <v>0.74750958333333339</v>
      </c>
      <c r="AN110" s="889" t="s">
        <v>371</v>
      </c>
      <c r="AO110" s="889" t="s">
        <v>371</v>
      </c>
      <c r="AP110" s="889" t="s">
        <v>371</v>
      </c>
      <c r="AQ110" s="889" t="s">
        <v>371</v>
      </c>
      <c r="AR110" s="889" t="s">
        <v>92</v>
      </c>
      <c r="AS110" s="889" t="s">
        <v>92</v>
      </c>
      <c r="AT110" s="889" t="s">
        <v>371</v>
      </c>
      <c r="AU110" s="889" t="s">
        <v>371</v>
      </c>
      <c r="AV110" s="889" t="s">
        <v>371</v>
      </c>
      <c r="AW110" s="889" t="s">
        <v>92</v>
      </c>
      <c r="AX110" s="1590" t="s">
        <v>371</v>
      </c>
      <c r="AY110" s="889"/>
      <c r="AZ110" s="139"/>
      <c r="BA110" s="139"/>
      <c r="BB110" s="139"/>
      <c r="BC110" s="139"/>
      <c r="BD110" s="139"/>
      <c r="BE110" s="3"/>
    </row>
    <row r="111" spans="1:57" ht="15" customHeight="1" x14ac:dyDescent="0.4">
      <c r="A111" s="3"/>
      <c r="B111" s="173"/>
      <c r="C111" s="173" t="s">
        <v>2294</v>
      </c>
      <c r="D111" s="116"/>
      <c r="E111" s="182"/>
      <c r="F111" s="182"/>
      <c r="G111" s="173"/>
      <c r="H111" s="175"/>
      <c r="I111" s="114" t="s">
        <v>399</v>
      </c>
      <c r="J111" s="116"/>
      <c r="K111" s="116"/>
      <c r="L111" s="116"/>
      <c r="M111" s="177"/>
      <c r="N111" s="177"/>
      <c r="O111" s="177"/>
      <c r="P111" s="177"/>
      <c r="Q111" s="177"/>
      <c r="R111" s="116"/>
      <c r="S111" s="177"/>
      <c r="T111" s="116"/>
      <c r="U111" s="175"/>
      <c r="V111" s="179"/>
      <c r="W111" s="116"/>
      <c r="X111" s="179"/>
      <c r="Y111" s="116"/>
      <c r="Z111" s="116"/>
      <c r="AA111" s="116"/>
      <c r="AB111" s="175"/>
      <c r="AC111" s="116">
        <v>45</v>
      </c>
      <c r="AD111" s="116">
        <v>1</v>
      </c>
      <c r="AE111" s="177">
        <f>S111*AD111/12</f>
        <v>0</v>
      </c>
      <c r="AF111" s="116" t="s">
        <v>367</v>
      </c>
      <c r="AG111" s="179">
        <f>AG60</f>
        <v>0</v>
      </c>
      <c r="AH111" s="177">
        <f>AG111*AtolbperftSH</f>
        <v>0</v>
      </c>
      <c r="AI111" s="185"/>
      <c r="AJ111" s="185"/>
      <c r="AK111" s="185"/>
      <c r="AL111" s="185"/>
      <c r="AM111" s="180"/>
      <c r="AN111" s="3" t="s">
        <v>371</v>
      </c>
      <c r="AO111" s="3" t="s">
        <v>371</v>
      </c>
      <c r="AP111" s="3" t="s">
        <v>371</v>
      </c>
      <c r="AQ111" s="3" t="s">
        <v>371</v>
      </c>
      <c r="AR111" s="3" t="s">
        <v>92</v>
      </c>
      <c r="AS111" s="3" t="s">
        <v>92</v>
      </c>
      <c r="AT111" s="3" t="s">
        <v>371</v>
      </c>
      <c r="AU111" s="3" t="s">
        <v>371</v>
      </c>
      <c r="AV111" s="3" t="s">
        <v>371</v>
      </c>
      <c r="AW111" s="3" t="s">
        <v>92</v>
      </c>
      <c r="AX111" s="1414" t="s">
        <v>371</v>
      </c>
      <c r="AY111" s="3"/>
      <c r="AZ111" s="139"/>
      <c r="BA111" s="139"/>
      <c r="BB111" s="139"/>
      <c r="BC111" s="139"/>
      <c r="BD111" s="139"/>
      <c r="BE111" s="3"/>
    </row>
    <row r="112" spans="1:57" ht="15" customHeight="1" x14ac:dyDescent="0.4">
      <c r="A112" s="3"/>
      <c r="B112" s="3"/>
      <c r="C112" s="36"/>
      <c r="D112" s="155"/>
      <c r="E112" s="155"/>
      <c r="F112" s="47"/>
      <c r="G112" s="7"/>
      <c r="H112" s="20"/>
      <c r="I112" s="3"/>
      <c r="J112" s="3"/>
      <c r="K112" s="3"/>
      <c r="L112" s="3"/>
      <c r="M112" s="5"/>
      <c r="N112" s="5"/>
      <c r="O112" s="5"/>
      <c r="P112" s="5"/>
      <c r="Q112" s="5"/>
      <c r="R112" s="3"/>
      <c r="S112" s="5"/>
      <c r="T112" s="3"/>
      <c r="U112" s="20"/>
      <c r="V112" s="38" t="s">
        <v>369</v>
      </c>
      <c r="W112" s="3" t="s">
        <v>370</v>
      </c>
      <c r="X112" s="38" t="s">
        <v>369</v>
      </c>
      <c r="Y112" s="1443">
        <v>200241003</v>
      </c>
      <c r="Z112" s="1443"/>
      <c r="AA112" s="1443"/>
      <c r="AB112" s="20"/>
      <c r="AC112" s="3"/>
      <c r="AD112" s="3"/>
      <c r="AE112" s="5"/>
      <c r="AF112" s="3"/>
      <c r="AG112" s="38"/>
      <c r="AH112" s="5"/>
      <c r="AI112" s="353">
        <v>2.75</v>
      </c>
      <c r="AJ112" s="39"/>
      <c r="AK112" s="39"/>
      <c r="AL112" s="39"/>
      <c r="AM112" s="39">
        <f>AE$67*AI112+SUM(AJ112:AL112)</f>
        <v>9.5247395833333321</v>
      </c>
      <c r="AN112" s="3" t="s">
        <v>371</v>
      </c>
      <c r="AO112" s="3" t="s">
        <v>371</v>
      </c>
      <c r="AP112" s="3" t="s">
        <v>371</v>
      </c>
      <c r="AQ112" s="3" t="s">
        <v>371</v>
      </c>
      <c r="AR112" s="3" t="s">
        <v>92</v>
      </c>
      <c r="AS112" s="3" t="s">
        <v>92</v>
      </c>
      <c r="AT112" s="3" t="s">
        <v>371</v>
      </c>
      <c r="AU112" s="3" t="s">
        <v>371</v>
      </c>
      <c r="AV112" s="3" t="s">
        <v>371</v>
      </c>
      <c r="AW112" s="3" t="s">
        <v>92</v>
      </c>
      <c r="AX112" s="1414" t="s">
        <v>371</v>
      </c>
      <c r="AY112" s="3"/>
      <c r="AZ112" s="139"/>
      <c r="BA112" s="139"/>
      <c r="BB112" s="139"/>
      <c r="BC112" s="139"/>
      <c r="BD112" s="139"/>
      <c r="BE112" s="3"/>
    </row>
    <row r="113" spans="1:57" ht="15" customHeight="1" x14ac:dyDescent="0.4">
      <c r="A113" s="3"/>
      <c r="B113" s="3"/>
      <c r="C113" s="36"/>
      <c r="D113" s="155"/>
      <c r="E113" s="155"/>
      <c r="F113" s="155"/>
      <c r="G113" s="7"/>
      <c r="H113" s="20"/>
      <c r="I113" s="3"/>
      <c r="J113" s="3"/>
      <c r="K113" s="3"/>
      <c r="L113" s="3"/>
      <c r="M113" s="5"/>
      <c r="N113" s="5"/>
      <c r="O113" s="5"/>
      <c r="P113" s="5"/>
      <c r="Q113" s="5"/>
      <c r="R113" s="3"/>
      <c r="S113" s="5"/>
      <c r="T113" s="3"/>
      <c r="U113" s="20"/>
      <c r="V113" s="38" t="s">
        <v>369</v>
      </c>
      <c r="W113" s="3" t="s">
        <v>372</v>
      </c>
      <c r="X113" s="38" t="s">
        <v>369</v>
      </c>
      <c r="Y113" s="1443">
        <v>200241021</v>
      </c>
      <c r="Z113" s="1443"/>
      <c r="AA113" s="1443"/>
      <c r="AB113" s="20"/>
      <c r="AC113" s="3"/>
      <c r="AD113" s="3"/>
      <c r="AE113" s="5"/>
      <c r="AF113" s="3"/>
      <c r="AG113" s="38"/>
      <c r="AH113" s="5"/>
      <c r="AI113" s="844"/>
      <c r="AJ113" s="39"/>
      <c r="AK113" s="39"/>
      <c r="AL113" s="39"/>
      <c r="AM113" s="39">
        <f>AE$67*AI113+SUM(AJ113:AL113)</f>
        <v>0</v>
      </c>
      <c r="AN113" s="3" t="s">
        <v>371</v>
      </c>
      <c r="AO113" s="3" t="s">
        <v>371</v>
      </c>
      <c r="AP113" s="3" t="s">
        <v>371</v>
      </c>
      <c r="AQ113" s="3" t="s">
        <v>371</v>
      </c>
      <c r="AR113" s="3" t="s">
        <v>92</v>
      </c>
      <c r="AS113" s="3" t="s">
        <v>92</v>
      </c>
      <c r="AT113" s="3" t="s">
        <v>371</v>
      </c>
      <c r="AU113" s="3" t="s">
        <v>371</v>
      </c>
      <c r="AV113" s="3" t="s">
        <v>371</v>
      </c>
      <c r="AW113" s="3" t="s">
        <v>92</v>
      </c>
      <c r="AX113" s="1414" t="s">
        <v>371</v>
      </c>
      <c r="AY113" s="3"/>
      <c r="AZ113" s="139"/>
      <c r="BA113" s="139"/>
      <c r="BB113" s="139"/>
      <c r="BC113" s="139"/>
      <c r="BD113" s="139"/>
      <c r="BE113" s="3"/>
    </row>
    <row r="114" spans="1:57" ht="15" customHeight="1" x14ac:dyDescent="0.4">
      <c r="A114" s="3"/>
      <c r="B114" s="3"/>
      <c r="C114" s="36"/>
      <c r="D114" s="155"/>
      <c r="E114" s="155"/>
      <c r="F114" s="155"/>
      <c r="G114" s="7"/>
      <c r="H114" s="20"/>
      <c r="I114" s="3"/>
      <c r="J114" s="3"/>
      <c r="K114" s="3"/>
      <c r="L114" s="3"/>
      <c r="M114" s="5"/>
      <c r="N114" s="5"/>
      <c r="O114" s="5"/>
      <c r="P114" s="5"/>
      <c r="Q114" s="5"/>
      <c r="R114" s="3"/>
      <c r="S114" s="5"/>
      <c r="T114" s="3"/>
      <c r="U114" s="20"/>
      <c r="V114" s="38" t="s">
        <v>369</v>
      </c>
      <c r="W114" s="3" t="s">
        <v>373</v>
      </c>
      <c r="X114" s="38" t="s">
        <v>369</v>
      </c>
      <c r="Y114" s="1443">
        <v>200241033</v>
      </c>
      <c r="Z114" s="1443"/>
      <c r="AA114" s="1443"/>
      <c r="AB114" s="20"/>
      <c r="AC114" s="3"/>
      <c r="AD114" s="3"/>
      <c r="AE114" s="5"/>
      <c r="AF114" s="3"/>
      <c r="AG114" s="38"/>
      <c r="AH114" s="5"/>
      <c r="AI114" s="353">
        <v>1.3438000000000001</v>
      </c>
      <c r="AJ114" s="39"/>
      <c r="AK114" s="39"/>
      <c r="AL114" s="39"/>
      <c r="AM114" s="39">
        <f t="shared" ref="AM114" si="21">AE$67*AI114+SUM(AJ114:AL114)</f>
        <v>4.654307291666667</v>
      </c>
      <c r="AN114" s="3" t="s">
        <v>371</v>
      </c>
      <c r="AO114" s="3" t="s">
        <v>371</v>
      </c>
      <c r="AP114" s="3" t="s">
        <v>371</v>
      </c>
      <c r="AQ114" s="3" t="s">
        <v>371</v>
      </c>
      <c r="AR114" s="3" t="s">
        <v>92</v>
      </c>
      <c r="AS114" s="3" t="s">
        <v>92</v>
      </c>
      <c r="AT114" s="3" t="s">
        <v>371</v>
      </c>
      <c r="AU114" s="3" t="s">
        <v>371</v>
      </c>
      <c r="AV114" s="3" t="s">
        <v>371</v>
      </c>
      <c r="AW114" s="3" t="s">
        <v>92</v>
      </c>
      <c r="AX114" s="1414" t="s">
        <v>371</v>
      </c>
      <c r="AY114" s="3"/>
      <c r="AZ114" s="139"/>
      <c r="BA114" s="139"/>
      <c r="BB114" s="139"/>
      <c r="BC114" s="139"/>
      <c r="BD114" s="139"/>
      <c r="BE114" s="3"/>
    </row>
    <row r="115" spans="1:57" ht="15" customHeight="1" x14ac:dyDescent="0.4">
      <c r="A115" s="3"/>
      <c r="B115" s="3"/>
      <c r="C115" s="36"/>
      <c r="D115" s="155"/>
      <c r="E115" s="155"/>
      <c r="F115" s="155"/>
      <c r="G115" s="7"/>
      <c r="H115" s="20"/>
      <c r="I115" s="3"/>
      <c r="J115" s="3"/>
      <c r="K115" s="3"/>
      <c r="L115" s="3"/>
      <c r="M115" s="5"/>
      <c r="N115" s="5"/>
      <c r="O115" s="5"/>
      <c r="P115" s="5"/>
      <c r="Q115" s="5"/>
      <c r="R115" s="3"/>
      <c r="S115" s="5"/>
      <c r="T115" s="3"/>
      <c r="U115" s="20"/>
      <c r="V115" s="3" t="s">
        <v>2363</v>
      </c>
      <c r="W115" s="3" t="s">
        <v>370</v>
      </c>
      <c r="X115" s="38" t="s">
        <v>369</v>
      </c>
      <c r="Y115" s="1443">
        <v>200241127</v>
      </c>
      <c r="Z115" s="1443"/>
      <c r="AA115" s="1443"/>
      <c r="AB115" s="20"/>
      <c r="AC115" s="3"/>
      <c r="AD115" s="3"/>
      <c r="AE115" s="5"/>
      <c r="AF115" s="3"/>
      <c r="AG115" s="38"/>
      <c r="AH115" s="5"/>
      <c r="AI115" s="353">
        <v>1.3438000000000001</v>
      </c>
      <c r="AJ115" s="39"/>
      <c r="AK115" s="39"/>
      <c r="AL115" s="39"/>
      <c r="AM115" s="39">
        <f>AE$67*AI115+SUM(AJ115:AL115)</f>
        <v>4.654307291666667</v>
      </c>
      <c r="AN115" s="3" t="s">
        <v>371</v>
      </c>
      <c r="AO115" s="3" t="s">
        <v>371</v>
      </c>
      <c r="AP115" s="3" t="s">
        <v>371</v>
      </c>
      <c r="AQ115" s="3" t="s">
        <v>371</v>
      </c>
      <c r="AR115" s="3" t="s">
        <v>92</v>
      </c>
      <c r="AS115" s="3" t="s">
        <v>92</v>
      </c>
      <c r="AT115" s="3" t="s">
        <v>371</v>
      </c>
      <c r="AU115" s="3" t="s">
        <v>371</v>
      </c>
      <c r="AV115" s="3" t="s">
        <v>371</v>
      </c>
      <c r="AW115" s="3" t="s">
        <v>92</v>
      </c>
      <c r="AX115" s="1414" t="s">
        <v>371</v>
      </c>
      <c r="AY115" s="3"/>
      <c r="AZ115" s="139"/>
      <c r="BA115" s="139"/>
      <c r="BB115" s="139"/>
      <c r="BC115" s="139"/>
      <c r="BD115" s="139"/>
      <c r="BE115" s="3"/>
    </row>
    <row r="116" spans="1:57" ht="15" customHeight="1" x14ac:dyDescent="0.4">
      <c r="A116" s="3"/>
      <c r="B116" s="3"/>
      <c r="C116" s="36"/>
      <c r="D116" s="155"/>
      <c r="E116" s="155"/>
      <c r="F116" s="155"/>
      <c r="G116" s="7"/>
      <c r="H116" s="20"/>
      <c r="I116" s="3"/>
      <c r="J116" s="3"/>
      <c r="K116" s="3"/>
      <c r="L116" s="3"/>
      <c r="M116" s="5"/>
      <c r="N116" s="5"/>
      <c r="O116" s="5"/>
      <c r="P116" s="5"/>
      <c r="Q116" s="5"/>
      <c r="R116" s="3"/>
      <c r="S116" s="5"/>
      <c r="T116" s="3"/>
      <c r="U116" s="20"/>
      <c r="V116" s="112" t="s">
        <v>2366</v>
      </c>
      <c r="W116" s="112" t="s">
        <v>370</v>
      </c>
      <c r="X116" s="38" t="s">
        <v>369</v>
      </c>
      <c r="Y116" s="1871">
        <v>200241128</v>
      </c>
      <c r="Z116" s="1443"/>
      <c r="AA116" s="1443"/>
      <c r="AB116" s="20"/>
      <c r="AC116" s="3"/>
      <c r="AD116" s="3"/>
      <c r="AE116" s="5"/>
      <c r="AF116" s="3"/>
      <c r="AG116" s="38"/>
      <c r="AH116" s="5"/>
      <c r="AI116" s="353">
        <v>1.3438000000000001</v>
      </c>
      <c r="AJ116" s="39"/>
      <c r="AK116" s="39"/>
      <c r="AL116" s="39"/>
      <c r="AM116" s="39">
        <f>AE$67*AI116+SUM(AJ116:AL116)</f>
        <v>4.654307291666667</v>
      </c>
      <c r="AN116" s="3" t="s">
        <v>371</v>
      </c>
      <c r="AO116" s="3" t="s">
        <v>371</v>
      </c>
      <c r="AP116" s="3" t="s">
        <v>371</v>
      </c>
      <c r="AQ116" s="3" t="s">
        <v>371</v>
      </c>
      <c r="AR116" s="3" t="s">
        <v>92</v>
      </c>
      <c r="AS116" s="3" t="s">
        <v>92</v>
      </c>
      <c r="AT116" s="3" t="s">
        <v>371</v>
      </c>
      <c r="AU116" s="3" t="s">
        <v>371</v>
      </c>
      <c r="AV116" s="3" t="s">
        <v>371</v>
      </c>
      <c r="AW116" s="3" t="s">
        <v>92</v>
      </c>
      <c r="AX116" s="1414" t="s">
        <v>371</v>
      </c>
      <c r="AY116" s="3"/>
      <c r="AZ116" s="139"/>
      <c r="BA116" s="139"/>
      <c r="BB116" s="139"/>
      <c r="BC116" s="139"/>
      <c r="BD116" s="139"/>
      <c r="BE116" s="3"/>
    </row>
    <row r="117" spans="1:57" ht="15" customHeight="1" x14ac:dyDescent="0.4">
      <c r="A117" s="3"/>
      <c r="B117" s="3"/>
      <c r="C117" s="36"/>
      <c r="D117" s="155"/>
      <c r="E117" s="155"/>
      <c r="F117" s="155"/>
      <c r="G117" s="7"/>
      <c r="H117" s="20"/>
      <c r="I117" s="3"/>
      <c r="J117" s="3"/>
      <c r="K117" s="3"/>
      <c r="L117" s="3"/>
      <c r="M117" s="5"/>
      <c r="N117" s="5"/>
      <c r="O117" s="5"/>
      <c r="P117" s="5"/>
      <c r="Q117" s="5"/>
      <c r="R117" s="3"/>
      <c r="S117" s="5"/>
      <c r="T117" s="3"/>
      <c r="U117" s="20"/>
      <c r="V117" s="3" t="s">
        <v>2364</v>
      </c>
      <c r="W117" s="3" t="s">
        <v>370</v>
      </c>
      <c r="X117" s="38" t="s">
        <v>369</v>
      </c>
      <c r="Y117" s="1443">
        <v>200241129</v>
      </c>
      <c r="Z117" s="1443"/>
      <c r="AA117" s="1443"/>
      <c r="AB117" s="20"/>
      <c r="AC117" s="3"/>
      <c r="AD117" s="3"/>
      <c r="AE117" s="5"/>
      <c r="AF117" s="3"/>
      <c r="AG117" s="38"/>
      <c r="AH117" s="5"/>
      <c r="AI117" s="353">
        <v>1.3438000000000001</v>
      </c>
      <c r="AJ117" s="39"/>
      <c r="AK117" s="39"/>
      <c r="AL117" s="39"/>
      <c r="AM117" s="39">
        <f>AE$67*AI117+SUM(AJ117:AL117)</f>
        <v>4.654307291666667</v>
      </c>
      <c r="AN117" s="3" t="s">
        <v>371</v>
      </c>
      <c r="AO117" s="3" t="s">
        <v>371</v>
      </c>
      <c r="AP117" s="3" t="s">
        <v>371</v>
      </c>
      <c r="AQ117" s="3" t="s">
        <v>371</v>
      </c>
      <c r="AR117" s="3" t="s">
        <v>92</v>
      </c>
      <c r="AS117" s="3" t="s">
        <v>92</v>
      </c>
      <c r="AT117" s="3" t="s">
        <v>371</v>
      </c>
      <c r="AU117" s="3" t="s">
        <v>371</v>
      </c>
      <c r="AV117" s="3" t="s">
        <v>371</v>
      </c>
      <c r="AW117" s="3" t="s">
        <v>92</v>
      </c>
      <c r="AX117" s="1414" t="s">
        <v>371</v>
      </c>
      <c r="AY117" s="3"/>
      <c r="AZ117" s="139"/>
      <c r="BA117" s="139"/>
      <c r="BB117" s="139"/>
      <c r="BC117" s="139"/>
      <c r="BD117" s="139"/>
      <c r="BE117" s="3"/>
    </row>
    <row r="118" spans="1:57" ht="15" customHeight="1" x14ac:dyDescent="0.4">
      <c r="A118" s="3"/>
      <c r="B118" s="3"/>
      <c r="C118" s="36"/>
      <c r="D118" s="155"/>
      <c r="E118" s="155"/>
      <c r="F118" s="155"/>
      <c r="G118" s="7"/>
      <c r="H118" s="20"/>
      <c r="I118" s="3"/>
      <c r="J118" s="3"/>
      <c r="K118" s="3"/>
      <c r="L118" s="3"/>
      <c r="M118" s="5"/>
      <c r="N118" s="5"/>
      <c r="O118" s="5"/>
      <c r="P118" s="5"/>
      <c r="Q118" s="5"/>
      <c r="R118" s="3"/>
      <c r="S118" s="5"/>
      <c r="T118" s="3"/>
      <c r="U118" s="20"/>
      <c r="V118" s="38" t="s">
        <v>2365</v>
      </c>
      <c r="W118" s="3" t="s">
        <v>370</v>
      </c>
      <c r="X118" s="38" t="s">
        <v>369</v>
      </c>
      <c r="Y118" s="1443">
        <v>200241180</v>
      </c>
      <c r="Z118" s="1443"/>
      <c r="AA118" s="1443"/>
      <c r="AB118" s="20"/>
      <c r="AC118" s="3"/>
      <c r="AD118" s="3"/>
      <c r="AE118" s="5"/>
      <c r="AF118" s="3"/>
      <c r="AG118" s="38"/>
      <c r="AH118" s="5"/>
      <c r="AI118" s="844"/>
      <c r="AJ118" s="39"/>
      <c r="AK118" s="39"/>
      <c r="AL118" s="39"/>
      <c r="AM118" s="39">
        <v>0</v>
      </c>
      <c r="AN118" s="3" t="s">
        <v>371</v>
      </c>
      <c r="AO118" s="3" t="s">
        <v>371</v>
      </c>
      <c r="AP118" s="3" t="s">
        <v>371</v>
      </c>
      <c r="AQ118" s="3" t="s">
        <v>371</v>
      </c>
      <c r="AR118" s="3" t="s">
        <v>92</v>
      </c>
      <c r="AS118" s="3" t="s">
        <v>92</v>
      </c>
      <c r="AT118" s="3" t="s">
        <v>371</v>
      </c>
      <c r="AU118" s="3" t="s">
        <v>371</v>
      </c>
      <c r="AV118" s="3" t="s">
        <v>371</v>
      </c>
      <c r="AW118" s="3" t="s">
        <v>92</v>
      </c>
      <c r="AX118" s="1414" t="s">
        <v>371</v>
      </c>
      <c r="AY118" s="3"/>
      <c r="AZ118" s="139"/>
      <c r="BA118" s="139"/>
      <c r="BB118" s="139"/>
      <c r="BC118" s="139"/>
      <c r="BD118" s="139"/>
      <c r="BE118" s="3"/>
    </row>
    <row r="119" spans="1:57" ht="15" customHeight="1" thickBot="1" x14ac:dyDescent="0.45">
      <c r="A119" s="3"/>
      <c r="B119" s="3"/>
      <c r="C119" s="36"/>
      <c r="D119" s="155"/>
      <c r="E119" s="155"/>
      <c r="F119" s="155"/>
      <c r="G119" s="7"/>
      <c r="H119" s="20"/>
      <c r="I119" s="3"/>
      <c r="J119" s="3"/>
      <c r="K119" s="3"/>
      <c r="L119" s="3"/>
      <c r="M119" s="5"/>
      <c r="N119" s="5"/>
      <c r="O119" s="5"/>
      <c r="P119" s="5"/>
      <c r="Q119" s="5"/>
      <c r="R119" s="3"/>
      <c r="S119" s="5"/>
      <c r="T119" s="3"/>
      <c r="U119" s="20"/>
      <c r="V119" s="38" t="s">
        <v>2365</v>
      </c>
      <c r="W119" s="3" t="s">
        <v>370</v>
      </c>
      <c r="X119" s="38" t="s">
        <v>2365</v>
      </c>
      <c r="Y119" s="1443">
        <v>200241181</v>
      </c>
      <c r="Z119" s="1443"/>
      <c r="AA119" s="1443"/>
      <c r="AB119" s="20"/>
      <c r="AC119" s="3"/>
      <c r="AD119" s="3"/>
      <c r="AE119" s="5"/>
      <c r="AF119" s="3"/>
      <c r="AG119" s="38"/>
      <c r="AH119" s="5"/>
      <c r="AI119" s="844"/>
      <c r="AJ119" s="39"/>
      <c r="AK119" s="39"/>
      <c r="AL119" s="39"/>
      <c r="AM119" s="39"/>
      <c r="AN119" s="889" t="s">
        <v>371</v>
      </c>
      <c r="AO119" s="889" t="s">
        <v>371</v>
      </c>
      <c r="AP119" s="889" t="s">
        <v>371</v>
      </c>
      <c r="AQ119" s="889" t="s">
        <v>371</v>
      </c>
      <c r="AR119" s="889" t="s">
        <v>92</v>
      </c>
      <c r="AS119" s="889" t="s">
        <v>92</v>
      </c>
      <c r="AT119" s="889" t="s">
        <v>371</v>
      </c>
      <c r="AU119" s="889" t="s">
        <v>371</v>
      </c>
      <c r="AV119" s="889" t="s">
        <v>371</v>
      </c>
      <c r="AW119" s="889" t="s">
        <v>92</v>
      </c>
      <c r="AX119" s="1590" t="s">
        <v>81</v>
      </c>
      <c r="AY119" s="889"/>
      <c r="AZ119" s="139"/>
      <c r="BA119" s="139"/>
      <c r="BB119" s="139"/>
      <c r="BC119" s="139"/>
      <c r="BD119" s="139"/>
      <c r="BE119" s="3"/>
    </row>
    <row r="120" spans="1:57" ht="15" customHeight="1" x14ac:dyDescent="0.4">
      <c r="A120" s="3" t="s">
        <v>394</v>
      </c>
      <c r="B120" s="3"/>
      <c r="C120" s="173" t="s">
        <v>400</v>
      </c>
      <c r="D120" s="116"/>
      <c r="E120" s="116"/>
      <c r="F120" s="174"/>
      <c r="G120" s="173"/>
      <c r="H120" s="175"/>
      <c r="I120" s="114" t="s">
        <v>399</v>
      </c>
      <c r="J120" s="116"/>
      <c r="K120" s="116"/>
      <c r="L120" s="116"/>
      <c r="M120" s="177"/>
      <c r="N120" s="177"/>
      <c r="O120" s="177"/>
      <c r="P120" s="177"/>
      <c r="Q120" s="177"/>
      <c r="R120" s="116"/>
      <c r="S120" s="177"/>
      <c r="T120" s="116"/>
      <c r="U120" s="175"/>
      <c r="V120" s="173"/>
      <c r="W120" s="173"/>
      <c r="X120" s="173"/>
      <c r="Y120" s="116"/>
      <c r="Z120" s="116"/>
      <c r="AA120" s="116"/>
      <c r="AB120" s="175"/>
      <c r="AC120" s="116">
        <v>45</v>
      </c>
      <c r="AD120" s="116">
        <v>1</v>
      </c>
      <c r="AE120" s="177">
        <f>S120*AD120/12</f>
        <v>0</v>
      </c>
      <c r="AF120" s="116" t="s">
        <v>367</v>
      </c>
      <c r="AG120" s="179">
        <f>AG69</f>
        <v>0</v>
      </c>
      <c r="AH120" s="177">
        <f>AG120*AtolbperftSH</f>
        <v>0</v>
      </c>
      <c r="AI120" s="185"/>
      <c r="AJ120" s="185"/>
      <c r="AK120" s="185"/>
      <c r="AL120" s="185"/>
      <c r="AM120" s="180"/>
      <c r="AN120" s="3" t="s">
        <v>371</v>
      </c>
      <c r="AO120" s="3" t="s">
        <v>371</v>
      </c>
      <c r="AP120" s="3" t="s">
        <v>371</v>
      </c>
      <c r="AQ120" s="3" t="s">
        <v>371</v>
      </c>
      <c r="AR120" s="3" t="s">
        <v>92</v>
      </c>
      <c r="AS120" s="3" t="s">
        <v>92</v>
      </c>
      <c r="AT120" s="3" t="s">
        <v>371</v>
      </c>
      <c r="AU120" s="3" t="s">
        <v>371</v>
      </c>
      <c r="AV120" s="3" t="s">
        <v>371</v>
      </c>
      <c r="AW120" s="3" t="s">
        <v>92</v>
      </c>
      <c r="AX120" s="1414" t="s">
        <v>371</v>
      </c>
      <c r="AY120" s="3"/>
      <c r="AZ120" s="139"/>
      <c r="BA120" s="139"/>
      <c r="BB120" s="139"/>
      <c r="BC120" s="139"/>
      <c r="BD120" s="139"/>
      <c r="BE120" s="3"/>
    </row>
    <row r="121" spans="1:57" ht="15" customHeight="1" x14ac:dyDescent="0.4">
      <c r="A121" s="3"/>
      <c r="B121" s="3"/>
      <c r="C121" s="36"/>
      <c r="D121" s="36"/>
      <c r="E121" s="155"/>
      <c r="F121" s="155"/>
      <c r="G121" s="7"/>
      <c r="H121" s="20"/>
      <c r="I121" s="3"/>
      <c r="J121" s="3"/>
      <c r="K121" s="3"/>
      <c r="L121" s="3"/>
      <c r="M121" s="5"/>
      <c r="N121" s="5"/>
      <c r="O121" s="5"/>
      <c r="P121" s="24"/>
      <c r="Q121" s="24"/>
      <c r="R121" s="3"/>
      <c r="S121" s="5"/>
      <c r="T121" s="3"/>
      <c r="U121" s="20"/>
      <c r="V121" s="38" t="s">
        <v>369</v>
      </c>
      <c r="W121" s="3" t="s">
        <v>370</v>
      </c>
      <c r="X121" s="38" t="s">
        <v>369</v>
      </c>
      <c r="Y121" s="1443">
        <v>200236003</v>
      </c>
      <c r="Z121" s="1443"/>
      <c r="AA121" s="1443"/>
      <c r="AB121" s="20"/>
      <c r="AC121" s="3"/>
      <c r="AD121" s="3"/>
      <c r="AE121" s="5"/>
      <c r="AF121" s="3"/>
      <c r="AG121" s="38"/>
      <c r="AH121" s="5"/>
      <c r="AI121" s="353">
        <v>2.8184</v>
      </c>
      <c r="AJ121" s="39"/>
      <c r="AK121" s="39"/>
      <c r="AL121" s="39"/>
      <c r="AM121" s="39">
        <f>AE$89*AI121+SUM(AJ121:AL121)</f>
        <v>10.569117433333334</v>
      </c>
      <c r="AN121" s="3" t="s">
        <v>371</v>
      </c>
      <c r="AO121" s="3" t="s">
        <v>371</v>
      </c>
      <c r="AP121" s="3" t="s">
        <v>371</v>
      </c>
      <c r="AQ121" s="3" t="s">
        <v>371</v>
      </c>
      <c r="AR121" s="3" t="s">
        <v>92</v>
      </c>
      <c r="AS121" s="3" t="s">
        <v>92</v>
      </c>
      <c r="AT121" s="3" t="s">
        <v>371</v>
      </c>
      <c r="AU121" s="3" t="s">
        <v>371</v>
      </c>
      <c r="AV121" s="3" t="s">
        <v>371</v>
      </c>
      <c r="AW121" s="3" t="s">
        <v>92</v>
      </c>
      <c r="AX121" s="1414" t="s">
        <v>371</v>
      </c>
      <c r="AY121" s="3"/>
      <c r="AZ121" s="139"/>
      <c r="BA121" s="139"/>
      <c r="BB121" s="139"/>
      <c r="BC121" s="139"/>
      <c r="BD121" s="139"/>
      <c r="BE121" s="3"/>
    </row>
    <row r="122" spans="1:57" ht="15" customHeight="1" x14ac:dyDescent="0.4">
      <c r="A122" s="3"/>
      <c r="B122" s="3"/>
      <c r="C122" s="36"/>
      <c r="D122" s="36"/>
      <c r="E122" s="155"/>
      <c r="F122" s="155"/>
      <c r="G122" s="7"/>
      <c r="H122" s="20"/>
      <c r="I122" s="3"/>
      <c r="J122" s="3"/>
      <c r="K122" s="3"/>
      <c r="L122" s="3"/>
      <c r="M122" s="5"/>
      <c r="N122" s="5"/>
      <c r="O122" s="5"/>
      <c r="P122" s="24"/>
      <c r="Q122" s="24"/>
      <c r="R122" s="3"/>
      <c r="S122" s="5"/>
      <c r="T122" s="3"/>
      <c r="U122" s="20"/>
      <c r="V122" s="38" t="s">
        <v>369</v>
      </c>
      <c r="W122" s="3" t="s">
        <v>372</v>
      </c>
      <c r="X122" s="38" t="s">
        <v>369</v>
      </c>
      <c r="Y122" s="1443">
        <v>200236021</v>
      </c>
      <c r="Z122" s="1443"/>
      <c r="AA122" s="1443"/>
      <c r="AB122" s="20"/>
      <c r="AC122" s="3"/>
      <c r="AD122" s="3"/>
      <c r="AE122" s="5"/>
      <c r="AF122" s="3"/>
      <c r="AG122" s="3"/>
      <c r="AH122" s="5"/>
      <c r="AI122" s="353">
        <v>2.8637000000000001</v>
      </c>
      <c r="AJ122" s="39"/>
      <c r="AK122" s="39"/>
      <c r="AL122" s="39"/>
      <c r="AM122" s="39">
        <f t="shared" ref="AM122:AM123" si="22">AE$89*AI122+SUM(AJ122:AL122)</f>
        <v>10.738994320833333</v>
      </c>
      <c r="AN122" s="3" t="s">
        <v>371</v>
      </c>
      <c r="AO122" s="3" t="s">
        <v>371</v>
      </c>
      <c r="AP122" s="3" t="s">
        <v>371</v>
      </c>
      <c r="AQ122" s="3" t="s">
        <v>371</v>
      </c>
      <c r="AR122" s="3" t="s">
        <v>92</v>
      </c>
      <c r="AS122" s="3" t="s">
        <v>92</v>
      </c>
      <c r="AT122" s="3" t="s">
        <v>371</v>
      </c>
      <c r="AU122" s="3" t="s">
        <v>371</v>
      </c>
      <c r="AV122" s="3" t="s">
        <v>371</v>
      </c>
      <c r="AW122" s="3" t="s">
        <v>92</v>
      </c>
      <c r="AX122" s="1414" t="s">
        <v>371</v>
      </c>
      <c r="AY122" s="3"/>
      <c r="AZ122" s="139"/>
      <c r="BA122" s="139"/>
      <c r="BB122" s="139"/>
      <c r="BC122" s="139"/>
      <c r="BD122" s="139"/>
      <c r="BE122" s="3"/>
    </row>
    <row r="123" spans="1:57" ht="15" customHeight="1" x14ac:dyDescent="0.4">
      <c r="A123" s="3"/>
      <c r="B123" s="3"/>
      <c r="C123" s="36"/>
      <c r="D123" s="36"/>
      <c r="E123" s="155"/>
      <c r="F123" s="155"/>
      <c r="G123" s="7"/>
      <c r="H123" s="20"/>
      <c r="I123" s="3"/>
      <c r="J123" s="3"/>
      <c r="K123" s="3"/>
      <c r="L123" s="3"/>
      <c r="M123" s="5"/>
      <c r="N123" s="5"/>
      <c r="O123" s="5"/>
      <c r="P123" s="24"/>
      <c r="Q123" s="24"/>
      <c r="R123" s="3"/>
      <c r="S123" s="5"/>
      <c r="T123" s="3"/>
      <c r="U123" s="20"/>
      <c r="V123" s="38" t="s">
        <v>369</v>
      </c>
      <c r="W123" s="3" t="s">
        <v>373</v>
      </c>
      <c r="X123" s="38" t="s">
        <v>369</v>
      </c>
      <c r="Y123" s="1443">
        <v>200236033</v>
      </c>
      <c r="Z123" s="1443"/>
      <c r="AA123" s="1443"/>
      <c r="AB123" s="20"/>
      <c r="AC123" s="3"/>
      <c r="AD123" s="3"/>
      <c r="AE123" s="5"/>
      <c r="AF123" s="3"/>
      <c r="AG123" s="3"/>
      <c r="AH123" s="5"/>
      <c r="AI123" s="353">
        <v>2.9258000000000002</v>
      </c>
      <c r="AJ123" s="39"/>
      <c r="AK123" s="39"/>
      <c r="AL123" s="39"/>
      <c r="AM123" s="39">
        <f t="shared" si="22"/>
        <v>10.971871908333334</v>
      </c>
      <c r="AN123" s="3" t="s">
        <v>371</v>
      </c>
      <c r="AO123" s="3" t="s">
        <v>371</v>
      </c>
      <c r="AP123" s="3" t="s">
        <v>371</v>
      </c>
      <c r="AQ123" s="3" t="s">
        <v>371</v>
      </c>
      <c r="AR123" s="3" t="s">
        <v>92</v>
      </c>
      <c r="AS123" s="3" t="s">
        <v>92</v>
      </c>
      <c r="AT123" s="3" t="s">
        <v>371</v>
      </c>
      <c r="AU123" s="3" t="s">
        <v>371</v>
      </c>
      <c r="AV123" s="3" t="s">
        <v>371</v>
      </c>
      <c r="AW123" s="3" t="s">
        <v>92</v>
      </c>
      <c r="AX123" s="1414" t="s">
        <v>371</v>
      </c>
      <c r="AY123" s="3"/>
      <c r="AZ123" s="139"/>
      <c r="BA123" s="139"/>
      <c r="BB123" s="139"/>
      <c r="BC123" s="139"/>
      <c r="BD123" s="139"/>
      <c r="BE123" s="3"/>
    </row>
    <row r="124" spans="1:57" ht="15" customHeight="1" x14ac:dyDescent="0.4">
      <c r="A124" s="3"/>
      <c r="B124" s="3"/>
      <c r="C124" s="36"/>
      <c r="D124" s="36"/>
      <c r="E124" s="155"/>
      <c r="F124" s="155"/>
      <c r="G124" s="7"/>
      <c r="H124" s="20"/>
      <c r="I124" s="3"/>
      <c r="J124" s="3"/>
      <c r="K124" s="3"/>
      <c r="L124" s="3"/>
      <c r="M124" s="5"/>
      <c r="N124" s="5"/>
      <c r="O124" s="5"/>
      <c r="P124" s="24"/>
      <c r="Q124" s="24"/>
      <c r="R124" s="3"/>
      <c r="S124" s="5"/>
      <c r="T124" s="3"/>
      <c r="U124" s="20"/>
      <c r="V124" s="3" t="s">
        <v>2363</v>
      </c>
      <c r="W124" s="3" t="s">
        <v>370</v>
      </c>
      <c r="X124" s="38" t="s">
        <v>369</v>
      </c>
      <c r="Y124" s="1443">
        <v>200236127</v>
      </c>
      <c r="Z124" s="1443"/>
      <c r="AA124" s="1443"/>
      <c r="AB124" s="20"/>
      <c r="AC124" s="3"/>
      <c r="AD124" s="3"/>
      <c r="AE124" s="5"/>
      <c r="AF124" s="3"/>
      <c r="AG124" s="3"/>
      <c r="AH124" s="5"/>
      <c r="AI124" s="844"/>
      <c r="AJ124" s="39"/>
      <c r="AK124" s="39"/>
      <c r="AL124" s="39"/>
      <c r="AM124" s="39">
        <f>AE$89*AI124+SUM(AJ124:AL124)</f>
        <v>0</v>
      </c>
      <c r="AN124" s="3" t="s">
        <v>371</v>
      </c>
      <c r="AO124" s="3" t="s">
        <v>371</v>
      </c>
      <c r="AP124" s="3" t="s">
        <v>371</v>
      </c>
      <c r="AQ124" s="3" t="s">
        <v>371</v>
      </c>
      <c r="AR124" s="3" t="s">
        <v>92</v>
      </c>
      <c r="AS124" s="3" t="s">
        <v>92</v>
      </c>
      <c r="AT124" s="3" t="s">
        <v>371</v>
      </c>
      <c r="AU124" s="3" t="s">
        <v>371</v>
      </c>
      <c r="AV124" s="3" t="s">
        <v>371</v>
      </c>
      <c r="AW124" s="3" t="s">
        <v>92</v>
      </c>
      <c r="AX124" s="1414" t="s">
        <v>371</v>
      </c>
      <c r="AY124" s="3"/>
      <c r="AZ124" s="139"/>
      <c r="BA124" s="139"/>
      <c r="BB124" s="139"/>
      <c r="BC124" s="139"/>
      <c r="BD124" s="139"/>
      <c r="BE124" s="3"/>
    </row>
    <row r="125" spans="1:57" ht="15" customHeight="1" x14ac:dyDescent="0.4">
      <c r="A125" s="3"/>
      <c r="B125" s="3"/>
      <c r="C125" s="36"/>
      <c r="D125" s="36"/>
      <c r="E125" s="155"/>
      <c r="F125" s="155"/>
      <c r="G125" s="7"/>
      <c r="H125" s="20"/>
      <c r="I125" s="3"/>
      <c r="J125" s="3"/>
      <c r="K125" s="3"/>
      <c r="L125" s="3"/>
      <c r="M125" s="5"/>
      <c r="N125" s="5"/>
      <c r="O125" s="5"/>
      <c r="P125" s="24"/>
      <c r="Q125" s="24"/>
      <c r="R125" s="3"/>
      <c r="S125" s="5"/>
      <c r="T125" s="3"/>
      <c r="U125" s="20"/>
      <c r="V125" s="38" t="s">
        <v>2365</v>
      </c>
      <c r="W125" s="3" t="s">
        <v>370</v>
      </c>
      <c r="X125" s="38" t="s">
        <v>369</v>
      </c>
      <c r="Y125" s="1443">
        <v>200236180</v>
      </c>
      <c r="Z125" s="1443"/>
      <c r="AA125" s="1443"/>
      <c r="AB125" s="20"/>
      <c r="AC125" s="3"/>
      <c r="AD125" s="3"/>
      <c r="AE125" s="5"/>
      <c r="AF125" s="3"/>
      <c r="AG125" s="3"/>
      <c r="AH125" s="5"/>
      <c r="AI125" s="844"/>
      <c r="AJ125" s="39"/>
      <c r="AK125" s="39"/>
      <c r="AL125" s="39"/>
      <c r="AM125" s="39">
        <f t="shared" ref="AM125" si="23">AE$89*AI125+SUM(AJ125:AL125)</f>
        <v>0</v>
      </c>
      <c r="AN125" s="3" t="s">
        <v>371</v>
      </c>
      <c r="AO125" s="3" t="s">
        <v>371</v>
      </c>
      <c r="AP125" s="3" t="s">
        <v>371</v>
      </c>
      <c r="AQ125" s="3" t="s">
        <v>371</v>
      </c>
      <c r="AR125" s="3" t="s">
        <v>92</v>
      </c>
      <c r="AS125" s="3" t="s">
        <v>92</v>
      </c>
      <c r="AT125" s="3" t="s">
        <v>371</v>
      </c>
      <c r="AU125" s="3" t="s">
        <v>371</v>
      </c>
      <c r="AV125" s="3" t="s">
        <v>371</v>
      </c>
      <c r="AW125" s="3" t="s">
        <v>92</v>
      </c>
      <c r="AX125" s="1414" t="s">
        <v>371</v>
      </c>
      <c r="AY125" s="3"/>
      <c r="AZ125" s="139"/>
      <c r="BA125" s="139"/>
      <c r="BB125" s="139"/>
      <c r="BC125" s="139"/>
      <c r="BD125" s="139"/>
      <c r="BE125" s="3"/>
    </row>
    <row r="126" spans="1:57" ht="15" customHeight="1" x14ac:dyDescent="0.4">
      <c r="A126" s="3"/>
      <c r="B126" s="3"/>
      <c r="C126" s="36"/>
      <c r="D126" s="622"/>
      <c r="E126" s="623"/>
      <c r="F126" s="623"/>
      <c r="G126" s="221"/>
      <c r="H126" s="624"/>
      <c r="I126" s="577"/>
      <c r="J126" s="577"/>
      <c r="K126" s="577"/>
      <c r="L126" s="577"/>
      <c r="M126" s="575"/>
      <c r="N126" s="575"/>
      <c r="O126" s="575"/>
      <c r="P126" s="625"/>
      <c r="Q126" s="625"/>
      <c r="R126" s="577"/>
      <c r="S126" s="575"/>
      <c r="T126" s="577"/>
      <c r="U126" s="624"/>
      <c r="V126" s="1873" t="s">
        <v>2367</v>
      </c>
      <c r="W126" s="1873" t="s">
        <v>370</v>
      </c>
      <c r="X126" s="1874" t="s">
        <v>369</v>
      </c>
      <c r="Y126" s="1875">
        <v>200236152</v>
      </c>
      <c r="Z126" s="1446"/>
      <c r="AA126" s="1446"/>
      <c r="AB126" s="624"/>
      <c r="AC126" s="577"/>
      <c r="AD126" s="577"/>
      <c r="AE126" s="575"/>
      <c r="AF126" s="577"/>
      <c r="AG126" s="577"/>
      <c r="AH126" s="575"/>
      <c r="AI126" s="999"/>
      <c r="AJ126" s="581"/>
      <c r="AK126" s="581"/>
      <c r="AL126" s="581"/>
      <c r="AM126" s="581">
        <f>AE$89*AI126+SUM(AJ126:AL126)</f>
        <v>0</v>
      </c>
      <c r="AN126" s="577" t="s">
        <v>371</v>
      </c>
      <c r="AO126" s="577" t="s">
        <v>371</v>
      </c>
      <c r="AP126" s="577" t="s">
        <v>371</v>
      </c>
      <c r="AQ126" s="577" t="s">
        <v>371</v>
      </c>
      <c r="AR126" s="577" t="s">
        <v>92</v>
      </c>
      <c r="AS126" s="577" t="s">
        <v>92</v>
      </c>
      <c r="AT126" s="577" t="s">
        <v>371</v>
      </c>
      <c r="AU126" s="577" t="s">
        <v>371</v>
      </c>
      <c r="AV126" s="577" t="s">
        <v>371</v>
      </c>
      <c r="AW126" s="577" t="s">
        <v>92</v>
      </c>
      <c r="AX126" s="1881" t="s">
        <v>371</v>
      </c>
      <c r="AY126" s="577"/>
      <c r="AZ126" s="139"/>
      <c r="BA126" s="139"/>
      <c r="BB126" s="139"/>
      <c r="BC126" s="139"/>
      <c r="BD126" s="139"/>
      <c r="BE126" s="3"/>
    </row>
    <row r="127" spans="1:57" ht="15" customHeight="1" thickBot="1" x14ac:dyDescent="0.45">
      <c r="A127" s="3"/>
      <c r="B127" s="3"/>
      <c r="C127" s="36"/>
      <c r="D127" s="36" t="s">
        <v>381</v>
      </c>
      <c r="E127" s="155"/>
      <c r="F127" s="155"/>
      <c r="G127" s="7"/>
      <c r="H127" s="20"/>
      <c r="I127" s="3" t="s">
        <v>392</v>
      </c>
      <c r="J127" s="3"/>
      <c r="K127" s="3"/>
      <c r="L127" s="3" t="s">
        <v>348</v>
      </c>
      <c r="M127" s="5">
        <f>M120</f>
        <v>0</v>
      </c>
      <c r="N127" s="5" t="s">
        <v>348</v>
      </c>
      <c r="O127" s="5">
        <f>O120</f>
        <v>0</v>
      </c>
      <c r="P127" s="24"/>
      <c r="Q127" s="24"/>
      <c r="R127" s="3" t="s">
        <v>352</v>
      </c>
      <c r="S127" s="5">
        <f>SHWidth+M127+O127</f>
        <v>38.5625</v>
      </c>
      <c r="T127" s="3" t="s">
        <v>366</v>
      </c>
      <c r="U127" s="20"/>
      <c r="V127" s="38"/>
      <c r="W127" s="3"/>
      <c r="X127" s="38"/>
      <c r="Y127" s="1443">
        <v>610025061</v>
      </c>
      <c r="Z127" s="946">
        <v>251882</v>
      </c>
      <c r="AA127" s="41"/>
      <c r="AB127" s="20"/>
      <c r="AC127" s="3">
        <v>45</v>
      </c>
      <c r="AD127" s="3">
        <v>2</v>
      </c>
      <c r="AE127" s="945">
        <f>S127*AD127/12</f>
        <v>6.427083333333333</v>
      </c>
      <c r="AF127" s="3" t="s">
        <v>367</v>
      </c>
      <c r="AG127" s="3"/>
      <c r="AH127" s="5"/>
      <c r="AI127" s="51">
        <f>AI96</f>
        <v>1.8599999999999998E-2</v>
      </c>
      <c r="AJ127" s="39"/>
      <c r="AK127" s="39"/>
      <c r="AL127" s="39"/>
      <c r="AM127" s="947">
        <f>AE127*AI127+SUM(AJ127:AL127)</f>
        <v>0.11954374999999999</v>
      </c>
      <c r="AN127" s="889" t="s">
        <v>371</v>
      </c>
      <c r="AO127" s="889" t="s">
        <v>371</v>
      </c>
      <c r="AP127" s="889" t="s">
        <v>371</v>
      </c>
      <c r="AQ127" s="889" t="s">
        <v>371</v>
      </c>
      <c r="AR127" s="889" t="s">
        <v>92</v>
      </c>
      <c r="AS127" s="889" t="s">
        <v>92</v>
      </c>
      <c r="AT127" s="889" t="s">
        <v>371</v>
      </c>
      <c r="AU127" s="889" t="s">
        <v>371</v>
      </c>
      <c r="AV127" s="889" t="s">
        <v>371</v>
      </c>
      <c r="AW127" s="889" t="s">
        <v>92</v>
      </c>
      <c r="AX127" s="1590" t="s">
        <v>371</v>
      </c>
      <c r="AY127" s="889"/>
      <c r="AZ127" s="139"/>
      <c r="BA127" s="139"/>
      <c r="BB127" s="139"/>
      <c r="BC127" s="139"/>
      <c r="BD127" s="139"/>
      <c r="BE127" s="3"/>
    </row>
    <row r="128" spans="1:57" ht="15" customHeight="1" thickBot="1" x14ac:dyDescent="0.45">
      <c r="A128" s="3"/>
      <c r="B128" s="135" t="s">
        <v>401</v>
      </c>
      <c r="C128" s="173"/>
      <c r="D128" s="116"/>
      <c r="E128" s="116"/>
      <c r="F128" s="174"/>
      <c r="G128" s="173"/>
      <c r="H128" s="175"/>
      <c r="I128" s="116"/>
      <c r="J128" s="116"/>
      <c r="K128" s="116"/>
      <c r="L128" s="116"/>
      <c r="M128" s="116"/>
      <c r="N128" s="177"/>
      <c r="O128" s="177"/>
      <c r="P128" s="177"/>
      <c r="Q128" s="177"/>
      <c r="R128" s="116"/>
      <c r="S128" s="177"/>
      <c r="T128" s="116"/>
      <c r="U128" s="175"/>
      <c r="V128" s="173"/>
      <c r="W128" s="173"/>
      <c r="X128" s="173"/>
      <c r="Y128" s="116"/>
      <c r="Z128" s="116"/>
      <c r="AA128" s="116"/>
      <c r="AB128" s="175"/>
      <c r="AC128" s="116"/>
      <c r="AD128" s="116"/>
      <c r="AE128" s="177"/>
      <c r="AF128" s="116"/>
      <c r="AG128" s="179"/>
      <c r="AH128" s="177"/>
      <c r="AI128" s="185"/>
      <c r="AJ128" s="185"/>
      <c r="AK128" s="185"/>
      <c r="AL128" s="185"/>
      <c r="AM128" s="180"/>
      <c r="AN128" s="136" t="s">
        <v>81</v>
      </c>
      <c r="AO128" s="136" t="s">
        <v>81</v>
      </c>
      <c r="AP128" s="136" t="s">
        <v>81</v>
      </c>
      <c r="AQ128" s="136" t="s">
        <v>81</v>
      </c>
      <c r="AR128" s="136" t="s">
        <v>92</v>
      </c>
      <c r="AS128" s="136" t="s">
        <v>92</v>
      </c>
      <c r="AT128" s="136" t="s">
        <v>81</v>
      </c>
      <c r="AU128" s="136" t="s">
        <v>81</v>
      </c>
      <c r="AV128" s="136" t="s">
        <v>81</v>
      </c>
      <c r="AW128" s="136" t="s">
        <v>92</v>
      </c>
      <c r="AX128" s="1882" t="s">
        <v>81</v>
      </c>
      <c r="AY128" s="136"/>
      <c r="AZ128" s="139"/>
      <c r="BA128" s="139"/>
      <c r="BB128" s="139"/>
      <c r="BC128" s="139"/>
      <c r="BD128" s="139"/>
      <c r="BE128" s="3"/>
    </row>
    <row r="129" spans="1:57" ht="15" customHeight="1" x14ac:dyDescent="0.4">
      <c r="A129" s="3" t="s">
        <v>402</v>
      </c>
      <c r="B129" s="173"/>
      <c r="C129" s="173" t="s">
        <v>403</v>
      </c>
      <c r="D129" s="182"/>
      <c r="E129" s="182"/>
      <c r="F129" s="182" t="s">
        <v>364</v>
      </c>
      <c r="G129" s="173"/>
      <c r="H129" s="175"/>
      <c r="I129" s="116" t="s">
        <v>392</v>
      </c>
      <c r="J129" s="116"/>
      <c r="K129" s="116"/>
      <c r="L129" s="116" t="s">
        <v>348</v>
      </c>
      <c r="M129" s="177">
        <f>1.5*2</f>
        <v>3</v>
      </c>
      <c r="N129" s="177" t="s">
        <v>348</v>
      </c>
      <c r="O129" s="177">
        <f>0.25</f>
        <v>0.25</v>
      </c>
      <c r="P129" s="177"/>
      <c r="Q129" s="177"/>
      <c r="R129" s="116" t="s">
        <v>352</v>
      </c>
      <c r="S129" s="177">
        <f>SHWidth+M129+O129</f>
        <v>41.8125</v>
      </c>
      <c r="T129" s="116" t="s">
        <v>366</v>
      </c>
      <c r="U129" s="175"/>
      <c r="V129" s="179"/>
      <c r="W129" s="116"/>
      <c r="X129" s="179"/>
      <c r="Y129" s="116"/>
      <c r="Z129" s="116"/>
      <c r="AA129" s="116"/>
      <c r="AB129" s="175"/>
      <c r="AC129" s="116">
        <v>45</v>
      </c>
      <c r="AD129" s="116">
        <v>1</v>
      </c>
      <c r="AE129" s="177">
        <f>S129*AD129/12</f>
        <v>3.484375</v>
      </c>
      <c r="AF129" s="116" t="s">
        <v>367</v>
      </c>
      <c r="AG129" s="627">
        <v>1.02</v>
      </c>
      <c r="AH129" s="177">
        <f>AG129*AtolbperftSH</f>
        <v>0.64515</v>
      </c>
      <c r="AI129" s="185"/>
      <c r="AJ129" s="185"/>
      <c r="AK129" s="185"/>
      <c r="AL129" s="185"/>
      <c r="AM129" s="180"/>
      <c r="AN129" s="3" t="s">
        <v>81</v>
      </c>
      <c r="AO129" s="3" t="s">
        <v>81</v>
      </c>
      <c r="AP129" s="3" t="s">
        <v>81</v>
      </c>
      <c r="AQ129" s="3" t="s">
        <v>81</v>
      </c>
      <c r="AR129" s="3" t="s">
        <v>92</v>
      </c>
      <c r="AS129" s="3" t="s">
        <v>92</v>
      </c>
      <c r="AT129" s="3" t="s">
        <v>81</v>
      </c>
      <c r="AU129" s="3" t="s">
        <v>81</v>
      </c>
      <c r="AV129" s="3" t="s">
        <v>81</v>
      </c>
      <c r="AW129" s="3" t="s">
        <v>92</v>
      </c>
      <c r="AX129" s="1414" t="s">
        <v>81</v>
      </c>
      <c r="AY129" s="3"/>
      <c r="AZ129" s="139"/>
      <c r="BA129" s="139"/>
      <c r="BB129" s="139"/>
      <c r="BC129" s="139"/>
      <c r="BD129" s="139"/>
      <c r="BE129" s="3"/>
    </row>
    <row r="130" spans="1:57" ht="15" customHeight="1" x14ac:dyDescent="0.4">
      <c r="A130" s="3"/>
      <c r="B130" s="4"/>
      <c r="C130" s="36"/>
      <c r="D130" s="7"/>
      <c r="E130" s="4"/>
      <c r="F130" s="47" t="s">
        <v>393</v>
      </c>
      <c r="G130" s="7"/>
      <c r="H130" s="20"/>
      <c r="I130" s="3" t="s">
        <v>392</v>
      </c>
      <c r="J130" s="3"/>
      <c r="K130" s="3"/>
      <c r="L130" s="3" t="s">
        <v>348</v>
      </c>
      <c r="M130" s="5">
        <v>0</v>
      </c>
      <c r="N130" s="5" t="s">
        <v>348</v>
      </c>
      <c r="O130" s="5">
        <v>0.25</v>
      </c>
      <c r="P130" s="5"/>
      <c r="Q130" s="5"/>
      <c r="R130" s="3" t="s">
        <v>352</v>
      </c>
      <c r="S130" s="5">
        <f>SHWidth+M130+O130</f>
        <v>38.8125</v>
      </c>
      <c r="T130" s="3" t="s">
        <v>366</v>
      </c>
      <c r="U130" s="20"/>
      <c r="V130" s="38" t="s">
        <v>369</v>
      </c>
      <c r="W130" s="3" t="s">
        <v>370</v>
      </c>
      <c r="X130" s="38" t="s">
        <v>369</v>
      </c>
      <c r="Y130" s="1443">
        <v>200138003</v>
      </c>
      <c r="Z130" s="1443"/>
      <c r="AA130" s="1443"/>
      <c r="AB130" s="20"/>
      <c r="AC130" s="3"/>
      <c r="AD130" s="3"/>
      <c r="AE130" s="5"/>
      <c r="AF130" s="3"/>
      <c r="AG130" s="38"/>
      <c r="AH130" s="5"/>
      <c r="AI130" s="353">
        <v>0.5897</v>
      </c>
      <c r="AJ130" s="39"/>
      <c r="AK130" s="39"/>
      <c r="AL130" s="39"/>
      <c r="AM130" s="39">
        <f>AE$129*AI130+SUM(AJ130:AL130)</f>
        <v>2.0547359374999998</v>
      </c>
      <c r="AN130" s="3" t="s">
        <v>81</v>
      </c>
      <c r="AO130" s="3" t="s">
        <v>81</v>
      </c>
      <c r="AP130" s="3" t="s">
        <v>81</v>
      </c>
      <c r="AQ130" s="3" t="s">
        <v>81</v>
      </c>
      <c r="AR130" s="3" t="s">
        <v>92</v>
      </c>
      <c r="AS130" s="3" t="s">
        <v>92</v>
      </c>
      <c r="AT130" s="3" t="s">
        <v>371</v>
      </c>
      <c r="AU130" s="3" t="s">
        <v>81</v>
      </c>
      <c r="AV130" s="3" t="s">
        <v>371</v>
      </c>
      <c r="AW130" s="3" t="s">
        <v>92</v>
      </c>
      <c r="AX130" s="1414" t="s">
        <v>81</v>
      </c>
      <c r="AY130" s="3"/>
      <c r="AZ130" s="139"/>
      <c r="BA130" s="444"/>
      <c r="BB130" s="139"/>
      <c r="BC130" s="139"/>
      <c r="BD130" s="139"/>
      <c r="BE130" s="3"/>
    </row>
    <row r="131" spans="1:57" ht="15" customHeight="1" x14ac:dyDescent="0.4">
      <c r="A131" s="3"/>
      <c r="B131" s="4"/>
      <c r="C131" s="36"/>
      <c r="D131" s="7"/>
      <c r="E131" s="155"/>
      <c r="F131" s="155"/>
      <c r="G131" s="7"/>
      <c r="H131" s="20"/>
      <c r="I131" s="3"/>
      <c r="J131" s="3"/>
      <c r="K131" s="3"/>
      <c r="L131" s="3"/>
      <c r="M131" s="5"/>
      <c r="N131" s="5"/>
      <c r="O131" s="5"/>
      <c r="P131" s="5"/>
      <c r="Q131" s="5"/>
      <c r="R131" s="3"/>
      <c r="S131" s="5"/>
      <c r="T131" s="3"/>
      <c r="U131" s="20"/>
      <c r="V131" s="38" t="s">
        <v>369</v>
      </c>
      <c r="W131" s="3" t="s">
        <v>372</v>
      </c>
      <c r="X131" s="38" t="s">
        <v>369</v>
      </c>
      <c r="Y131" s="1443">
        <v>200138021</v>
      </c>
      <c r="Z131" s="1443"/>
      <c r="AA131" s="1443"/>
      <c r="AB131" s="20"/>
      <c r="AC131" s="3"/>
      <c r="AD131" s="3"/>
      <c r="AE131" s="5"/>
      <c r="AF131" s="3"/>
      <c r="AG131" s="38"/>
      <c r="AH131" s="5"/>
      <c r="AI131" s="353">
        <v>0.63339999999999996</v>
      </c>
      <c r="AJ131" s="39"/>
      <c r="AK131" s="39"/>
      <c r="AL131" s="39"/>
      <c r="AM131" s="39">
        <f t="shared" ref="AM131:AM134" si="24">AE$129*AI131+SUM(AJ131:AL131)</f>
        <v>2.207003125</v>
      </c>
      <c r="AN131" s="3" t="s">
        <v>371</v>
      </c>
      <c r="AO131" s="3" t="s">
        <v>371</v>
      </c>
      <c r="AP131" s="3" t="s">
        <v>371</v>
      </c>
      <c r="AQ131" s="3" t="s">
        <v>371</v>
      </c>
      <c r="AR131" s="3" t="s">
        <v>92</v>
      </c>
      <c r="AS131" s="3" t="s">
        <v>92</v>
      </c>
      <c r="AT131" s="3" t="s">
        <v>371</v>
      </c>
      <c r="AU131" s="3" t="s">
        <v>371</v>
      </c>
      <c r="AV131" s="3" t="s">
        <v>371</v>
      </c>
      <c r="AW131" s="3" t="s">
        <v>92</v>
      </c>
      <c r="AX131" s="1414" t="s">
        <v>371</v>
      </c>
      <c r="AY131" s="3"/>
      <c r="AZ131" s="139"/>
      <c r="BA131" s="444"/>
      <c r="BB131" s="139"/>
      <c r="BC131" s="139"/>
      <c r="BD131" s="139"/>
      <c r="BE131" s="3"/>
    </row>
    <row r="132" spans="1:57" ht="15" customHeight="1" x14ac:dyDescent="0.4">
      <c r="A132" s="3"/>
      <c r="B132" s="4"/>
      <c r="C132" s="36"/>
      <c r="D132" s="7"/>
      <c r="E132" s="155"/>
      <c r="F132" s="155"/>
      <c r="G132" s="7"/>
      <c r="H132" s="20"/>
      <c r="I132" s="3"/>
      <c r="J132" s="3"/>
      <c r="K132" s="3"/>
      <c r="L132" s="3"/>
      <c r="M132" s="5"/>
      <c r="N132" s="5"/>
      <c r="O132" s="5"/>
      <c r="P132" s="5"/>
      <c r="Q132" s="5"/>
      <c r="R132" s="3"/>
      <c r="S132" s="5"/>
      <c r="T132" s="3"/>
      <c r="U132" s="20"/>
      <c r="V132" s="38" t="s">
        <v>369</v>
      </c>
      <c r="W132" s="3" t="s">
        <v>373</v>
      </c>
      <c r="X132" s="38" t="s">
        <v>369</v>
      </c>
      <c r="Y132" s="1443">
        <v>200138033</v>
      </c>
      <c r="Z132" s="1443"/>
      <c r="AA132" s="1443"/>
      <c r="AB132" s="20"/>
      <c r="AC132" s="3"/>
      <c r="AD132" s="3"/>
      <c r="AE132" s="5"/>
      <c r="AF132" s="3"/>
      <c r="AG132" s="38"/>
      <c r="AH132" s="5"/>
      <c r="AI132" s="353">
        <v>0.67769999999999997</v>
      </c>
      <c r="AJ132" s="39"/>
      <c r="AK132" s="39"/>
      <c r="AL132" s="39"/>
      <c r="AM132" s="39">
        <f t="shared" si="24"/>
        <v>2.3613609374999998</v>
      </c>
      <c r="AN132" s="3" t="s">
        <v>371</v>
      </c>
      <c r="AO132" s="3" t="s">
        <v>371</v>
      </c>
      <c r="AP132" s="3" t="s">
        <v>371</v>
      </c>
      <c r="AQ132" s="3" t="s">
        <v>371</v>
      </c>
      <c r="AR132" s="3" t="s">
        <v>92</v>
      </c>
      <c r="AS132" s="3" t="s">
        <v>92</v>
      </c>
      <c r="AT132" s="3" t="s">
        <v>371</v>
      </c>
      <c r="AU132" s="3" t="s">
        <v>371</v>
      </c>
      <c r="AV132" s="3" t="s">
        <v>81</v>
      </c>
      <c r="AW132" s="3" t="s">
        <v>92</v>
      </c>
      <c r="AX132" s="1414" t="s">
        <v>371</v>
      </c>
      <c r="AY132" s="3"/>
      <c r="AZ132" s="445"/>
      <c r="BA132" s="446"/>
      <c r="BB132" s="139"/>
      <c r="BC132" s="139"/>
      <c r="BD132" s="139"/>
      <c r="BE132" s="3"/>
    </row>
    <row r="133" spans="1:57" ht="15" customHeight="1" x14ac:dyDescent="0.4">
      <c r="A133" s="3"/>
      <c r="B133" s="4"/>
      <c r="C133" s="36"/>
      <c r="D133" s="7"/>
      <c r="E133" s="155"/>
      <c r="F133" s="155"/>
      <c r="G133" s="7"/>
      <c r="H133" s="20"/>
      <c r="I133" s="3"/>
      <c r="J133" s="3"/>
      <c r="K133" s="3"/>
      <c r="L133" s="3"/>
      <c r="M133" s="5"/>
      <c r="N133" s="5"/>
      <c r="O133" s="5"/>
      <c r="P133" s="5"/>
      <c r="Q133" s="5"/>
      <c r="R133" s="3"/>
      <c r="S133" s="5"/>
      <c r="T133" s="3"/>
      <c r="U133" s="20"/>
      <c r="V133" s="3" t="s">
        <v>2363</v>
      </c>
      <c r="W133" s="3" t="s">
        <v>370</v>
      </c>
      <c r="X133" s="38" t="s">
        <v>369</v>
      </c>
      <c r="Y133" s="1443">
        <v>200138127</v>
      </c>
      <c r="Z133" s="1443"/>
      <c r="AA133" s="1443"/>
      <c r="AB133" s="20"/>
      <c r="AC133" s="3"/>
      <c r="AD133" s="3"/>
      <c r="AE133" s="5"/>
      <c r="AF133" s="3"/>
      <c r="AG133" s="38"/>
      <c r="AH133" s="5"/>
      <c r="AI133" s="353">
        <v>0.75639999999999996</v>
      </c>
      <c r="AJ133" s="39"/>
      <c r="AK133" s="39"/>
      <c r="AL133" s="39"/>
      <c r="AM133" s="39">
        <f t="shared" si="24"/>
        <v>2.63558125</v>
      </c>
      <c r="AN133" s="3" t="s">
        <v>371</v>
      </c>
      <c r="AO133" s="3" t="s">
        <v>371</v>
      </c>
      <c r="AP133" s="3" t="s">
        <v>371</v>
      </c>
      <c r="AQ133" s="3" t="s">
        <v>371</v>
      </c>
      <c r="AR133" s="3" t="s">
        <v>92</v>
      </c>
      <c r="AS133" s="3" t="s">
        <v>92</v>
      </c>
      <c r="AT133" s="3" t="s">
        <v>81</v>
      </c>
      <c r="AU133" s="3" t="s">
        <v>371</v>
      </c>
      <c r="AV133" s="3" t="s">
        <v>371</v>
      </c>
      <c r="AW133" s="3" t="s">
        <v>92</v>
      </c>
      <c r="AX133" s="1414" t="s">
        <v>371</v>
      </c>
      <c r="AY133" s="3"/>
      <c r="AZ133" s="445"/>
      <c r="BA133" s="446"/>
      <c r="BB133" s="139"/>
      <c r="BC133" s="139"/>
      <c r="BD133" s="139"/>
      <c r="BE133" s="3"/>
    </row>
    <row r="134" spans="1:57" ht="15" customHeight="1" x14ac:dyDescent="0.4">
      <c r="A134" s="3"/>
      <c r="B134" s="4"/>
      <c r="C134" s="36"/>
      <c r="D134" s="7"/>
      <c r="E134" s="155"/>
      <c r="F134" s="155"/>
      <c r="G134" s="7"/>
      <c r="H134" s="20"/>
      <c r="I134" s="3"/>
      <c r="J134" s="3"/>
      <c r="K134" s="3"/>
      <c r="L134" s="3"/>
      <c r="M134" s="5"/>
      <c r="N134" s="5"/>
      <c r="O134" s="5"/>
      <c r="P134" s="5"/>
      <c r="Q134" s="5"/>
      <c r="R134" s="3"/>
      <c r="S134" s="5"/>
      <c r="T134" s="3"/>
      <c r="U134" s="20"/>
      <c r="V134" s="112" t="s">
        <v>2366</v>
      </c>
      <c r="W134" s="112" t="s">
        <v>370</v>
      </c>
      <c r="X134" s="279" t="s">
        <v>369</v>
      </c>
      <c r="Y134" s="1871">
        <v>200138128</v>
      </c>
      <c r="Z134" s="1443"/>
      <c r="AA134" s="1443"/>
      <c r="AB134" s="20"/>
      <c r="AC134" s="3"/>
      <c r="AD134" s="3"/>
      <c r="AE134" s="5"/>
      <c r="AF134" s="3"/>
      <c r="AG134" s="38"/>
      <c r="AH134" s="5"/>
      <c r="AI134" s="353">
        <v>0.73350000000000004</v>
      </c>
      <c r="AJ134" s="39"/>
      <c r="AK134" s="39"/>
      <c r="AL134" s="39"/>
      <c r="AM134" s="39">
        <f t="shared" si="24"/>
        <v>2.5557890625000002</v>
      </c>
      <c r="AN134" s="3" t="s">
        <v>371</v>
      </c>
      <c r="AO134" s="3" t="s">
        <v>371</v>
      </c>
      <c r="AP134" s="3" t="s">
        <v>371</v>
      </c>
      <c r="AQ134" s="3" t="s">
        <v>371</v>
      </c>
      <c r="AR134" s="3" t="s">
        <v>92</v>
      </c>
      <c r="AS134" s="3" t="s">
        <v>92</v>
      </c>
      <c r="AT134" s="3" t="s">
        <v>371</v>
      </c>
      <c r="AU134" s="3" t="s">
        <v>371</v>
      </c>
      <c r="AV134" s="3" t="s">
        <v>371</v>
      </c>
      <c r="AW134" s="3" t="s">
        <v>92</v>
      </c>
      <c r="AX134" s="1414" t="s">
        <v>371</v>
      </c>
      <c r="AY134" s="3"/>
      <c r="AZ134" s="445"/>
      <c r="BA134" s="446"/>
      <c r="BB134" s="139"/>
      <c r="BC134" s="139"/>
      <c r="BD134" s="139"/>
      <c r="BE134" s="3"/>
    </row>
    <row r="135" spans="1:57" ht="15" customHeight="1" x14ac:dyDescent="0.4">
      <c r="A135" s="3"/>
      <c r="B135" s="4"/>
      <c r="C135" s="36"/>
      <c r="D135" s="7"/>
      <c r="E135" s="155"/>
      <c r="F135" s="155"/>
      <c r="G135" s="7"/>
      <c r="H135" s="20"/>
      <c r="I135" s="3"/>
      <c r="J135" s="3"/>
      <c r="K135" s="3"/>
      <c r="L135" s="3"/>
      <c r="M135" s="5"/>
      <c r="N135" s="5"/>
      <c r="O135" s="5"/>
      <c r="P135" s="5"/>
      <c r="Q135" s="5"/>
      <c r="R135" s="3"/>
      <c r="S135" s="5"/>
      <c r="T135" s="3"/>
      <c r="U135" s="20"/>
      <c r="V135" s="3" t="s">
        <v>2364</v>
      </c>
      <c r="W135" s="3" t="s">
        <v>370</v>
      </c>
      <c r="X135" s="38" t="s">
        <v>369</v>
      </c>
      <c r="Y135" s="1443">
        <v>200138129</v>
      </c>
      <c r="Z135" s="1443"/>
      <c r="AA135" s="1443"/>
      <c r="AB135" s="20"/>
      <c r="AC135" s="3"/>
      <c r="AD135" s="3"/>
      <c r="AE135" s="5"/>
      <c r="AF135" s="3"/>
      <c r="AG135" s="38"/>
      <c r="AH135" s="5"/>
      <c r="AI135" s="353">
        <v>0.7379</v>
      </c>
      <c r="AJ135" s="39"/>
      <c r="AK135" s="39"/>
      <c r="AL135" s="39"/>
      <c r="AM135" s="39">
        <f>AE$129*AI135+SUM(AJ135:AL135)</f>
        <v>2.5711203125000002</v>
      </c>
      <c r="AN135" s="3" t="s">
        <v>371</v>
      </c>
      <c r="AO135" s="3" t="s">
        <v>371</v>
      </c>
      <c r="AP135" s="3" t="s">
        <v>371</v>
      </c>
      <c r="AQ135" s="3" t="s">
        <v>371</v>
      </c>
      <c r="AR135" s="3" t="s">
        <v>92</v>
      </c>
      <c r="AS135" s="3" t="s">
        <v>92</v>
      </c>
      <c r="AT135" s="3" t="s">
        <v>371</v>
      </c>
      <c r="AU135" s="3" t="s">
        <v>371</v>
      </c>
      <c r="AV135" s="3" t="s">
        <v>371</v>
      </c>
      <c r="AW135" s="3" t="s">
        <v>92</v>
      </c>
      <c r="AX135" s="1414" t="s">
        <v>371</v>
      </c>
      <c r="AY135" s="3"/>
      <c r="AZ135" s="445"/>
      <c r="BA135" s="446"/>
      <c r="BB135" s="139"/>
      <c r="BC135" s="139"/>
      <c r="BD135" s="139"/>
      <c r="BE135" s="3"/>
    </row>
    <row r="136" spans="1:57" ht="15" customHeight="1" x14ac:dyDescent="0.4">
      <c r="A136" s="3"/>
      <c r="B136" s="4"/>
      <c r="C136" s="36"/>
      <c r="D136" s="7"/>
      <c r="E136" s="155"/>
      <c r="F136" s="155"/>
      <c r="G136" s="7"/>
      <c r="H136" s="20"/>
      <c r="I136" s="3"/>
      <c r="J136" s="3"/>
      <c r="K136" s="3"/>
      <c r="L136" s="3"/>
      <c r="M136" s="5"/>
      <c r="N136" s="5"/>
      <c r="O136" s="5"/>
      <c r="P136" s="5"/>
      <c r="Q136" s="5"/>
      <c r="R136" s="3"/>
      <c r="S136" s="5"/>
      <c r="T136" s="3"/>
      <c r="U136" s="20"/>
      <c r="V136" s="3" t="s">
        <v>2365</v>
      </c>
      <c r="W136" s="3" t="s">
        <v>370</v>
      </c>
      <c r="X136" s="38" t="s">
        <v>369</v>
      </c>
      <c r="Y136" s="1443">
        <v>200138180</v>
      </c>
      <c r="Z136" s="1443"/>
      <c r="AA136" s="1443"/>
      <c r="AB136" s="20"/>
      <c r="AC136" s="3"/>
      <c r="AD136" s="3"/>
      <c r="AE136" s="5"/>
      <c r="AF136" s="3"/>
      <c r="AG136" s="38"/>
      <c r="AH136" s="5"/>
      <c r="AI136" s="353">
        <v>0.81299999999999994</v>
      </c>
      <c r="AJ136" s="39"/>
      <c r="AK136" s="39"/>
      <c r="AL136" s="39"/>
      <c r="AM136" s="39">
        <f t="shared" ref="AM136" si="25">AE$129*AI136+SUM(AJ136:AL136)</f>
        <v>2.8327968749999997</v>
      </c>
      <c r="AN136" s="3" t="s">
        <v>371</v>
      </c>
      <c r="AO136" s="3" t="s">
        <v>371</v>
      </c>
      <c r="AP136" s="3" t="s">
        <v>371</v>
      </c>
      <c r="AQ136" s="3" t="s">
        <v>371</v>
      </c>
      <c r="AR136" s="3" t="s">
        <v>92</v>
      </c>
      <c r="AS136" s="3" t="s">
        <v>92</v>
      </c>
      <c r="AT136" s="3" t="s">
        <v>371</v>
      </c>
      <c r="AU136" s="3" t="s">
        <v>371</v>
      </c>
      <c r="AV136" s="3" t="s">
        <v>371</v>
      </c>
      <c r="AW136" s="3" t="s">
        <v>92</v>
      </c>
      <c r="AX136" s="1414" t="s">
        <v>371</v>
      </c>
      <c r="AY136" s="3"/>
      <c r="AZ136" s="445"/>
      <c r="BA136" s="446"/>
      <c r="BB136" s="139"/>
      <c r="BC136" s="139"/>
      <c r="BD136" s="139"/>
      <c r="BE136" s="3"/>
    </row>
    <row r="137" spans="1:57" ht="15" customHeight="1" x14ac:dyDescent="0.4">
      <c r="A137" s="3"/>
      <c r="B137" s="4"/>
      <c r="C137" s="36"/>
      <c r="D137" s="7"/>
      <c r="E137" s="155"/>
      <c r="F137" s="155"/>
      <c r="G137" s="7"/>
      <c r="H137" s="20"/>
      <c r="I137" s="3"/>
      <c r="J137" s="3"/>
      <c r="K137" s="3"/>
      <c r="L137" s="3"/>
      <c r="M137" s="5"/>
      <c r="N137" s="5"/>
      <c r="O137" s="5"/>
      <c r="P137" s="5"/>
      <c r="Q137" s="5"/>
      <c r="R137" s="3"/>
      <c r="S137" s="5"/>
      <c r="T137" s="3"/>
      <c r="U137" s="20"/>
      <c r="V137" s="112" t="s">
        <v>2367</v>
      </c>
      <c r="W137" s="112" t="s">
        <v>370</v>
      </c>
      <c r="X137" s="279" t="s">
        <v>369</v>
      </c>
      <c r="Y137" s="1871">
        <v>200138152</v>
      </c>
      <c r="Z137" s="1443"/>
      <c r="AA137" s="1443"/>
      <c r="AB137" s="20"/>
      <c r="AC137" s="3"/>
      <c r="AD137" s="3"/>
      <c r="AE137" s="5"/>
      <c r="AF137" s="3"/>
      <c r="AG137" s="38"/>
      <c r="AH137" s="5"/>
      <c r="AI137" s="353">
        <v>0.75339999999999996</v>
      </c>
      <c r="AJ137" s="39"/>
      <c r="AK137" s="39"/>
      <c r="AL137" s="39"/>
      <c r="AM137" s="39">
        <f>AE$129*AI137+SUM(AJ137:AL137)</f>
        <v>2.6251281249999998</v>
      </c>
      <c r="AN137" s="3" t="s">
        <v>371</v>
      </c>
      <c r="AO137" s="3" t="s">
        <v>371</v>
      </c>
      <c r="AP137" s="3" t="s">
        <v>371</v>
      </c>
      <c r="AQ137" s="3" t="s">
        <v>371</v>
      </c>
      <c r="AR137" s="3" t="s">
        <v>92</v>
      </c>
      <c r="AS137" s="3" t="s">
        <v>92</v>
      </c>
      <c r="AT137" s="3" t="s">
        <v>371</v>
      </c>
      <c r="AU137" s="3" t="s">
        <v>371</v>
      </c>
      <c r="AV137" s="3" t="s">
        <v>371</v>
      </c>
      <c r="AW137" s="3" t="s">
        <v>92</v>
      </c>
      <c r="AX137" s="1414" t="s">
        <v>371</v>
      </c>
      <c r="AY137" s="3"/>
      <c r="AZ137" s="445"/>
      <c r="BA137" s="446"/>
      <c r="BB137" s="139"/>
      <c r="BC137" s="139"/>
      <c r="BD137" s="139"/>
      <c r="BE137" s="3"/>
    </row>
    <row r="138" spans="1:57" ht="15" customHeight="1" x14ac:dyDescent="0.4">
      <c r="A138" s="3"/>
      <c r="B138" s="4"/>
      <c r="C138" s="36"/>
      <c r="D138" s="221"/>
      <c r="E138" s="623"/>
      <c r="F138" s="623"/>
      <c r="G138" s="221"/>
      <c r="H138" s="624"/>
      <c r="I138" s="577"/>
      <c r="J138" s="577"/>
      <c r="K138" s="577"/>
      <c r="L138" s="577"/>
      <c r="M138" s="575"/>
      <c r="N138" s="575"/>
      <c r="O138" s="575"/>
      <c r="P138" s="575"/>
      <c r="Q138" s="575"/>
      <c r="R138" s="577"/>
      <c r="S138" s="575"/>
      <c r="T138" s="577"/>
      <c r="U138" s="624"/>
      <c r="V138" s="577" t="s">
        <v>2365</v>
      </c>
      <c r="W138" s="577" t="s">
        <v>370</v>
      </c>
      <c r="X138" s="579" t="s">
        <v>2365</v>
      </c>
      <c r="Y138" s="1446">
        <v>200138181</v>
      </c>
      <c r="Z138" s="1446"/>
      <c r="AA138" s="1446"/>
      <c r="AB138" s="624"/>
      <c r="AC138" s="577"/>
      <c r="AD138" s="577"/>
      <c r="AE138" s="575"/>
      <c r="AF138" s="577"/>
      <c r="AG138" s="579"/>
      <c r="AH138" s="575"/>
      <c r="AI138" s="1425"/>
      <c r="AJ138" s="581"/>
      <c r="AK138" s="581"/>
      <c r="AL138" s="581"/>
      <c r="AM138" s="581"/>
      <c r="AN138" s="577" t="s">
        <v>371</v>
      </c>
      <c r="AO138" s="577" t="s">
        <v>371</v>
      </c>
      <c r="AP138" s="577" t="s">
        <v>371</v>
      </c>
      <c r="AQ138" s="577" t="s">
        <v>371</v>
      </c>
      <c r="AR138" s="577" t="s">
        <v>92</v>
      </c>
      <c r="AS138" s="577" t="s">
        <v>92</v>
      </c>
      <c r="AT138" s="577" t="s">
        <v>371</v>
      </c>
      <c r="AU138" s="577" t="s">
        <v>371</v>
      </c>
      <c r="AV138" s="577" t="s">
        <v>371</v>
      </c>
      <c r="AW138" s="577" t="s">
        <v>92</v>
      </c>
      <c r="AX138" s="1881" t="s">
        <v>81</v>
      </c>
      <c r="AY138" s="577"/>
      <c r="AZ138" s="445"/>
      <c r="BA138" s="446"/>
      <c r="BB138" s="139"/>
      <c r="BC138" s="139"/>
      <c r="BD138" s="139"/>
      <c r="BE138" s="3"/>
    </row>
    <row r="139" spans="1:57" ht="15" customHeight="1" x14ac:dyDescent="0.4">
      <c r="A139" s="3"/>
      <c r="B139" s="4"/>
      <c r="C139" s="447" t="s">
        <v>404</v>
      </c>
      <c r="D139" s="447"/>
      <c r="E139" s="447"/>
      <c r="F139" s="155"/>
      <c r="G139" s="7"/>
      <c r="H139" s="20"/>
      <c r="I139" s="3" t="s">
        <v>392</v>
      </c>
      <c r="J139" s="3"/>
      <c r="K139" s="3"/>
      <c r="L139" s="3" t="s">
        <v>348</v>
      </c>
      <c r="M139" s="5">
        <v>0</v>
      </c>
      <c r="N139" s="5"/>
      <c r="O139" s="5"/>
      <c r="P139" s="5"/>
      <c r="Q139" s="5"/>
      <c r="R139" s="3" t="s">
        <v>352</v>
      </c>
      <c r="S139" s="5">
        <f>SHWidth+M139+O139</f>
        <v>38.5625</v>
      </c>
      <c r="T139" s="3" t="s">
        <v>366</v>
      </c>
      <c r="U139" s="20"/>
      <c r="V139" s="38" t="s">
        <v>369</v>
      </c>
      <c r="W139" s="3" t="s">
        <v>405</v>
      </c>
      <c r="X139" s="38" t="s">
        <v>369</v>
      </c>
      <c r="Y139" s="1443">
        <v>600042010</v>
      </c>
      <c r="Z139" s="1443"/>
      <c r="AA139" s="1443"/>
      <c r="AB139" s="20"/>
      <c r="AC139" s="3">
        <v>45</v>
      </c>
      <c r="AD139" s="3">
        <v>1</v>
      </c>
      <c r="AE139" s="5">
        <f>S139*AD139/12</f>
        <v>3.2135416666666665</v>
      </c>
      <c r="AF139" s="3" t="s">
        <v>367</v>
      </c>
      <c r="AG139" s="38" t="s">
        <v>369</v>
      </c>
      <c r="AH139" s="38" t="s">
        <v>369</v>
      </c>
      <c r="AI139" s="353">
        <v>2.0199999999999999E-2</v>
      </c>
      <c r="AJ139" s="39"/>
      <c r="AK139" s="39"/>
      <c r="AL139" s="39"/>
      <c r="AM139" s="39">
        <f>AE$139*AI139+SUM(AJ139:AL139)</f>
        <v>6.4913541666666658E-2</v>
      </c>
      <c r="AN139" s="3" t="s">
        <v>81</v>
      </c>
      <c r="AO139" s="3" t="s">
        <v>81</v>
      </c>
      <c r="AP139" s="3" t="s">
        <v>81</v>
      </c>
      <c r="AQ139" s="3" t="s">
        <v>81</v>
      </c>
      <c r="AR139" s="3" t="s">
        <v>92</v>
      </c>
      <c r="AS139" s="3" t="s">
        <v>92</v>
      </c>
      <c r="AT139" s="3" t="s">
        <v>81</v>
      </c>
      <c r="AU139" s="3" t="s">
        <v>81</v>
      </c>
      <c r="AV139" s="3" t="s">
        <v>81</v>
      </c>
      <c r="AW139" s="3" t="s">
        <v>92</v>
      </c>
      <c r="AX139" s="1414" t="s">
        <v>81</v>
      </c>
      <c r="AY139" s="3"/>
      <c r="AZ139" s="140"/>
      <c r="BA139" s="140"/>
      <c r="BB139" s="139"/>
      <c r="BC139" s="139"/>
      <c r="BD139" s="139"/>
      <c r="BE139" s="3"/>
    </row>
    <row r="140" spans="1:57" ht="15" customHeight="1" x14ac:dyDescent="0.4">
      <c r="A140" s="3"/>
      <c r="B140" s="4"/>
      <c r="C140" s="789" t="s">
        <v>406</v>
      </c>
      <c r="D140" s="789"/>
      <c r="E140" s="789"/>
      <c r="F140" s="623"/>
      <c r="G140" s="221"/>
      <c r="H140" s="624"/>
      <c r="I140" s="577" t="s">
        <v>392</v>
      </c>
      <c r="J140" s="577"/>
      <c r="K140" s="577"/>
      <c r="L140" s="577" t="s">
        <v>348</v>
      </c>
      <c r="M140" s="575">
        <v>0</v>
      </c>
      <c r="N140" s="575"/>
      <c r="O140" s="575"/>
      <c r="P140" s="575"/>
      <c r="Q140" s="575"/>
      <c r="R140" s="577" t="s">
        <v>352</v>
      </c>
      <c r="S140" s="575">
        <f>SHWidth+M140+O140</f>
        <v>38.5625</v>
      </c>
      <c r="T140" s="577" t="s">
        <v>366</v>
      </c>
      <c r="U140" s="624"/>
      <c r="V140" s="579" t="s">
        <v>369</v>
      </c>
      <c r="W140" s="577" t="s">
        <v>405</v>
      </c>
      <c r="X140" s="579" t="s">
        <v>369</v>
      </c>
      <c r="Y140" s="1446">
        <v>600050010</v>
      </c>
      <c r="Z140" s="1446"/>
      <c r="AA140" s="1446"/>
      <c r="AB140" s="624"/>
      <c r="AC140" s="577">
        <v>45</v>
      </c>
      <c r="AD140" s="577"/>
      <c r="AE140" s="575"/>
      <c r="AF140" s="577"/>
      <c r="AG140" s="579"/>
      <c r="AH140" s="579"/>
      <c r="AI140" s="1425">
        <v>2.7799999999999998E-2</v>
      </c>
      <c r="AJ140" s="581"/>
      <c r="AK140" s="581"/>
      <c r="AL140" s="581"/>
      <c r="AM140" s="581"/>
      <c r="AN140" s="577" t="s">
        <v>371</v>
      </c>
      <c r="AO140" s="577" t="s">
        <v>371</v>
      </c>
      <c r="AP140" s="577" t="s">
        <v>371</v>
      </c>
      <c r="AQ140" s="577" t="s">
        <v>371</v>
      </c>
      <c r="AR140" s="577" t="s">
        <v>92</v>
      </c>
      <c r="AS140" s="577" t="s">
        <v>92</v>
      </c>
      <c r="AT140" s="577" t="s">
        <v>371</v>
      </c>
      <c r="AU140" s="577" t="s">
        <v>371</v>
      </c>
      <c r="AV140" s="577" t="s">
        <v>371</v>
      </c>
      <c r="AW140" s="577" t="s">
        <v>92</v>
      </c>
      <c r="AX140" s="1881" t="s">
        <v>371</v>
      </c>
      <c r="AY140" s="577"/>
      <c r="AZ140" s="140"/>
      <c r="BA140" s="140"/>
      <c r="BB140" s="139"/>
      <c r="BC140" s="139"/>
      <c r="BD140" s="139"/>
      <c r="BE140" s="3"/>
    </row>
    <row r="141" spans="1:57" ht="15.75" customHeight="1" thickBot="1" x14ac:dyDescent="0.45">
      <c r="A141" s="3"/>
      <c r="B141" s="3"/>
      <c r="C141" s="943" t="s">
        <v>2389</v>
      </c>
      <c r="D141" s="1068"/>
      <c r="E141" s="925"/>
      <c r="F141" s="925"/>
      <c r="G141" s="924"/>
      <c r="H141" s="887"/>
      <c r="I141" s="889" t="s">
        <v>392</v>
      </c>
      <c r="J141" s="889"/>
      <c r="K141" s="889"/>
      <c r="L141" s="889"/>
      <c r="M141" s="945"/>
      <c r="N141" s="945"/>
      <c r="O141" s="945"/>
      <c r="P141" s="1020"/>
      <c r="Q141" s="1020"/>
      <c r="R141" s="889" t="s">
        <v>352</v>
      </c>
      <c r="S141" s="945">
        <f>SHWidth</f>
        <v>38.5625</v>
      </c>
      <c r="T141" s="889" t="s">
        <v>366</v>
      </c>
      <c r="U141" s="887"/>
      <c r="V141" s="888" t="s">
        <v>369</v>
      </c>
      <c r="W141" s="889" t="s">
        <v>370</v>
      </c>
      <c r="X141" s="888" t="s">
        <v>369</v>
      </c>
      <c r="Y141" s="1451">
        <v>120074014015</v>
      </c>
      <c r="Z141" s="1451"/>
      <c r="AA141" s="1451"/>
      <c r="AB141" s="887"/>
      <c r="AC141" s="889"/>
      <c r="AD141" s="889">
        <v>1</v>
      </c>
      <c r="AE141" s="945">
        <f>S141*AD141/12</f>
        <v>3.2135416666666665</v>
      </c>
      <c r="AF141" s="889" t="s">
        <v>367</v>
      </c>
      <c r="AG141" s="889"/>
      <c r="AH141" s="945"/>
      <c r="AI141" s="937">
        <v>1.456E-2</v>
      </c>
      <c r="AJ141" s="947"/>
      <c r="AK141" s="947"/>
      <c r="AL141" s="947"/>
      <c r="AM141" s="947">
        <f>AE141*AI141</f>
        <v>4.6789166666666666E-2</v>
      </c>
      <c r="AN141" s="889" t="s">
        <v>92</v>
      </c>
      <c r="AO141" s="889" t="s">
        <v>92</v>
      </c>
      <c r="AP141" s="889" t="s">
        <v>92</v>
      </c>
      <c r="AQ141" s="889" t="s">
        <v>92</v>
      </c>
      <c r="AR141" s="889" t="s">
        <v>92</v>
      </c>
      <c r="AS141" s="889" t="s">
        <v>92</v>
      </c>
      <c r="AT141" s="889" t="s">
        <v>92</v>
      </c>
      <c r="AU141" s="889" t="s">
        <v>92</v>
      </c>
      <c r="AV141" s="889" t="s">
        <v>92</v>
      </c>
      <c r="AW141" s="889" t="s">
        <v>92</v>
      </c>
      <c r="AX141" s="1590" t="s">
        <v>81</v>
      </c>
      <c r="AY141" s="889"/>
      <c r="AZ141" s="139"/>
      <c r="BA141" s="139"/>
      <c r="BB141" s="139"/>
      <c r="BC141" s="139"/>
      <c r="BD141" s="139"/>
      <c r="BE141" s="3"/>
    </row>
    <row r="142" spans="1:57" ht="15.75" customHeight="1" x14ac:dyDescent="0.4">
      <c r="A142" s="3"/>
      <c r="B142" s="3"/>
      <c r="C142" s="114" t="s">
        <v>1947</v>
      </c>
      <c r="D142" s="182"/>
      <c r="E142" s="182"/>
      <c r="F142" s="182"/>
      <c r="G142" s="173"/>
      <c r="H142" s="175"/>
      <c r="I142" s="116"/>
      <c r="J142" s="116"/>
      <c r="K142" s="116"/>
      <c r="L142" s="116"/>
      <c r="M142" s="177"/>
      <c r="N142" s="177"/>
      <c r="O142" s="177"/>
      <c r="P142" s="178"/>
      <c r="Q142" s="178"/>
      <c r="R142" s="116"/>
      <c r="S142" s="177"/>
      <c r="T142" s="116"/>
      <c r="U142" s="175"/>
      <c r="V142" s="179" t="s">
        <v>369</v>
      </c>
      <c r="W142" s="116" t="s">
        <v>370</v>
      </c>
      <c r="X142" s="179" t="s">
        <v>369</v>
      </c>
      <c r="Y142" s="1450">
        <v>200138003001</v>
      </c>
      <c r="Z142" s="1450"/>
      <c r="AA142" s="1450"/>
      <c r="AB142" s="175"/>
      <c r="AC142" s="116"/>
      <c r="AD142" s="116"/>
      <c r="AE142" s="177"/>
      <c r="AF142" s="116"/>
      <c r="AG142" s="116"/>
      <c r="AH142" s="177"/>
      <c r="AI142" s="1426">
        <v>0.58960000000000001</v>
      </c>
      <c r="AJ142" s="180"/>
      <c r="AK142" s="180"/>
      <c r="AL142" s="180"/>
      <c r="AM142" s="180"/>
      <c r="AN142" s="3" t="s">
        <v>371</v>
      </c>
      <c r="AO142" s="3" t="s">
        <v>371</v>
      </c>
      <c r="AP142" s="3" t="s">
        <v>371</v>
      </c>
      <c r="AQ142" s="3" t="s">
        <v>371</v>
      </c>
      <c r="AR142" s="3" t="s">
        <v>92</v>
      </c>
      <c r="AS142" s="3" t="s">
        <v>92</v>
      </c>
      <c r="AT142" s="3" t="s">
        <v>371</v>
      </c>
      <c r="AU142" s="3" t="s">
        <v>371</v>
      </c>
      <c r="AV142" s="3" t="s">
        <v>371</v>
      </c>
      <c r="AW142" s="3" t="s">
        <v>92</v>
      </c>
      <c r="AX142" s="1414" t="s">
        <v>371</v>
      </c>
      <c r="AY142" s="3"/>
      <c r="AZ142" s="139"/>
      <c r="BA142" s="139"/>
      <c r="BB142" s="139"/>
      <c r="BC142" s="139"/>
      <c r="BD142" s="139"/>
      <c r="BE142" s="3"/>
    </row>
    <row r="143" spans="1:57" ht="15.75" customHeight="1" x14ac:dyDescent="0.4">
      <c r="A143" s="3"/>
      <c r="B143" s="3"/>
      <c r="C143" s="36"/>
      <c r="D143" s="155"/>
      <c r="E143" s="155"/>
      <c r="F143" s="155"/>
      <c r="G143" s="7"/>
      <c r="H143" s="20"/>
      <c r="I143" s="3"/>
      <c r="J143" s="3"/>
      <c r="K143" s="3"/>
      <c r="L143" s="3"/>
      <c r="M143" s="5"/>
      <c r="N143" s="5"/>
      <c r="O143" s="5"/>
      <c r="P143" s="24"/>
      <c r="Q143" s="24"/>
      <c r="R143" s="3"/>
      <c r="S143" s="5"/>
      <c r="T143" s="3"/>
      <c r="U143" s="20"/>
      <c r="V143" s="38" t="s">
        <v>369</v>
      </c>
      <c r="W143" s="3" t="s">
        <v>372</v>
      </c>
      <c r="X143" s="38" t="s">
        <v>369</v>
      </c>
      <c r="Y143" s="1445">
        <v>200138021001</v>
      </c>
      <c r="Z143" s="1445"/>
      <c r="AA143" s="1445"/>
      <c r="AB143" s="20"/>
      <c r="AC143" s="3"/>
      <c r="AD143" s="3"/>
      <c r="AE143" s="5"/>
      <c r="AF143" s="3"/>
      <c r="AG143" s="3"/>
      <c r="AH143" s="5"/>
      <c r="AI143" s="353">
        <v>0.63329999999999997</v>
      </c>
      <c r="AJ143" s="39"/>
      <c r="AK143" s="39"/>
      <c r="AL143" s="39"/>
      <c r="AM143" s="39"/>
      <c r="AN143" s="3" t="s">
        <v>371</v>
      </c>
      <c r="AO143" s="3" t="s">
        <v>371</v>
      </c>
      <c r="AP143" s="3" t="s">
        <v>371</v>
      </c>
      <c r="AQ143" s="3" t="s">
        <v>371</v>
      </c>
      <c r="AR143" s="3" t="s">
        <v>92</v>
      </c>
      <c r="AS143" s="3" t="s">
        <v>92</v>
      </c>
      <c r="AT143" s="3" t="s">
        <v>371</v>
      </c>
      <c r="AU143" s="3" t="s">
        <v>371</v>
      </c>
      <c r="AV143" s="3" t="s">
        <v>371</v>
      </c>
      <c r="AW143" s="3" t="s">
        <v>92</v>
      </c>
      <c r="AX143" s="1414" t="s">
        <v>371</v>
      </c>
      <c r="AY143" s="3"/>
      <c r="AZ143" s="139"/>
      <c r="BA143" s="139"/>
      <c r="BB143" s="139"/>
      <c r="BC143" s="139"/>
      <c r="BD143" s="139"/>
      <c r="BE143" s="3"/>
    </row>
    <row r="144" spans="1:57" ht="15.75" customHeight="1" x14ac:dyDescent="0.4">
      <c r="A144" s="3"/>
      <c r="B144" s="3"/>
      <c r="C144" s="36"/>
      <c r="D144" s="155"/>
      <c r="E144" s="155"/>
      <c r="F144" s="155"/>
      <c r="G144" s="7"/>
      <c r="H144" s="20"/>
      <c r="I144" s="3"/>
      <c r="J144" s="3"/>
      <c r="K144" s="3"/>
      <c r="L144" s="3"/>
      <c r="M144" s="5"/>
      <c r="N144" s="5"/>
      <c r="O144" s="5"/>
      <c r="P144" s="24"/>
      <c r="Q144" s="24"/>
      <c r="R144" s="3"/>
      <c r="S144" s="5"/>
      <c r="T144" s="3"/>
      <c r="U144" s="20"/>
      <c r="V144" s="38" t="s">
        <v>369</v>
      </c>
      <c r="W144" s="3" t="s">
        <v>373</v>
      </c>
      <c r="X144" s="38" t="s">
        <v>369</v>
      </c>
      <c r="Y144" s="1445">
        <v>200138033001</v>
      </c>
      <c r="Z144" s="1445"/>
      <c r="AA144" s="1445"/>
      <c r="AB144" s="20"/>
      <c r="AC144" s="3"/>
      <c r="AD144" s="3"/>
      <c r="AE144" s="5"/>
      <c r="AF144" s="3"/>
      <c r="AG144" s="3"/>
      <c r="AH144" s="5"/>
      <c r="AI144" s="353">
        <v>0.67759999999999998</v>
      </c>
      <c r="AJ144" s="39"/>
      <c r="AK144" s="39"/>
      <c r="AL144" s="39"/>
      <c r="AM144" s="39"/>
      <c r="AN144" s="3" t="s">
        <v>371</v>
      </c>
      <c r="AO144" s="3" t="s">
        <v>371</v>
      </c>
      <c r="AP144" s="3" t="s">
        <v>371</v>
      </c>
      <c r="AQ144" s="3" t="s">
        <v>371</v>
      </c>
      <c r="AR144" s="3" t="s">
        <v>92</v>
      </c>
      <c r="AS144" s="3" t="s">
        <v>92</v>
      </c>
      <c r="AT144" s="3" t="s">
        <v>371</v>
      </c>
      <c r="AU144" s="3" t="s">
        <v>371</v>
      </c>
      <c r="AV144" s="3" t="s">
        <v>371</v>
      </c>
      <c r="AW144" s="3" t="s">
        <v>92</v>
      </c>
      <c r="AX144" s="1414" t="s">
        <v>371</v>
      </c>
      <c r="AY144" s="3"/>
      <c r="AZ144" s="139"/>
      <c r="BA144" s="139"/>
      <c r="BB144" s="139"/>
      <c r="BC144" s="139"/>
      <c r="BD144" s="139"/>
      <c r="BE144" s="3"/>
    </row>
    <row r="145" spans="1:57" ht="15.75" customHeight="1" x14ac:dyDescent="0.4">
      <c r="A145" s="3"/>
      <c r="B145" s="3"/>
      <c r="C145" s="36"/>
      <c r="D145" s="155"/>
      <c r="E145" s="155"/>
      <c r="F145" s="155"/>
      <c r="G145" s="7"/>
      <c r="H145" s="20"/>
      <c r="I145" s="3"/>
      <c r="J145" s="3"/>
      <c r="K145" s="3"/>
      <c r="L145" s="3"/>
      <c r="M145" s="5"/>
      <c r="N145" s="5"/>
      <c r="O145" s="5"/>
      <c r="P145" s="24"/>
      <c r="Q145" s="24"/>
      <c r="R145" s="3"/>
      <c r="S145" s="5"/>
      <c r="T145" s="3"/>
      <c r="U145" s="20"/>
      <c r="V145" s="3" t="s">
        <v>2363</v>
      </c>
      <c r="W145" s="3" t="s">
        <v>370</v>
      </c>
      <c r="X145" s="38" t="s">
        <v>369</v>
      </c>
      <c r="Y145" s="1445">
        <v>200138127001</v>
      </c>
      <c r="Z145" s="1445"/>
      <c r="AA145" s="1445"/>
      <c r="AB145" s="20"/>
      <c r="AC145" s="3"/>
      <c r="AD145" s="3"/>
      <c r="AE145" s="5"/>
      <c r="AF145" s="3"/>
      <c r="AG145" s="3"/>
      <c r="AH145" s="5"/>
      <c r="AI145" s="353">
        <v>0.75639999999999996</v>
      </c>
      <c r="AJ145" s="39"/>
      <c r="AK145" s="39"/>
      <c r="AL145" s="39"/>
      <c r="AM145" s="39"/>
      <c r="AN145" s="3" t="s">
        <v>371</v>
      </c>
      <c r="AO145" s="3" t="s">
        <v>371</v>
      </c>
      <c r="AP145" s="3" t="s">
        <v>371</v>
      </c>
      <c r="AQ145" s="3" t="s">
        <v>371</v>
      </c>
      <c r="AR145" s="3" t="s">
        <v>92</v>
      </c>
      <c r="AS145" s="3" t="s">
        <v>92</v>
      </c>
      <c r="AT145" s="3" t="s">
        <v>371</v>
      </c>
      <c r="AU145" s="3" t="s">
        <v>371</v>
      </c>
      <c r="AV145" s="3" t="s">
        <v>371</v>
      </c>
      <c r="AW145" s="3" t="s">
        <v>92</v>
      </c>
      <c r="AX145" s="1414" t="s">
        <v>371</v>
      </c>
      <c r="AY145" s="3"/>
      <c r="AZ145" s="139"/>
      <c r="BA145" s="139"/>
      <c r="BB145" s="139"/>
      <c r="BC145" s="139"/>
      <c r="BD145" s="139"/>
      <c r="BE145" s="3"/>
    </row>
    <row r="146" spans="1:57" ht="15.75" customHeight="1" x14ac:dyDescent="0.4">
      <c r="A146" s="3"/>
      <c r="B146" s="3"/>
      <c r="C146" s="36"/>
      <c r="D146" s="155"/>
      <c r="E146" s="155"/>
      <c r="F146" s="155"/>
      <c r="G146" s="7"/>
      <c r="H146" s="20"/>
      <c r="I146" s="3"/>
      <c r="J146" s="3"/>
      <c r="K146" s="3"/>
      <c r="L146" s="3"/>
      <c r="M146" s="5"/>
      <c r="N146" s="5"/>
      <c r="O146" s="5"/>
      <c r="P146" s="24"/>
      <c r="Q146" s="24"/>
      <c r="R146" s="3"/>
      <c r="S146" s="5"/>
      <c r="T146" s="3"/>
      <c r="U146" s="20"/>
      <c r="V146" s="3" t="s">
        <v>2364</v>
      </c>
      <c r="W146" s="3" t="s">
        <v>370</v>
      </c>
      <c r="X146" s="38" t="s">
        <v>369</v>
      </c>
      <c r="Y146" s="1445">
        <v>200138129001</v>
      </c>
      <c r="Z146" s="1445"/>
      <c r="AA146" s="1445"/>
      <c r="AB146" s="20"/>
      <c r="AC146" s="3"/>
      <c r="AD146" s="3"/>
      <c r="AE146" s="5"/>
      <c r="AF146" s="3"/>
      <c r="AG146" s="3"/>
      <c r="AH146" s="5"/>
      <c r="AI146" s="844"/>
      <c r="AJ146" s="39"/>
      <c r="AK146" s="39"/>
      <c r="AL146" s="39"/>
      <c r="AM146" s="39"/>
      <c r="AN146" s="3" t="s">
        <v>371</v>
      </c>
      <c r="AO146" s="3" t="s">
        <v>371</v>
      </c>
      <c r="AP146" s="3" t="s">
        <v>371</v>
      </c>
      <c r="AQ146" s="3" t="s">
        <v>371</v>
      </c>
      <c r="AR146" s="3" t="s">
        <v>92</v>
      </c>
      <c r="AS146" s="3" t="s">
        <v>92</v>
      </c>
      <c r="AT146" s="3" t="s">
        <v>371</v>
      </c>
      <c r="AU146" s="3" t="s">
        <v>371</v>
      </c>
      <c r="AV146" s="3" t="s">
        <v>371</v>
      </c>
      <c r="AW146" s="3" t="s">
        <v>92</v>
      </c>
      <c r="AX146" s="1414" t="s">
        <v>371</v>
      </c>
      <c r="AY146" s="3"/>
      <c r="AZ146" s="139"/>
      <c r="BA146" s="139"/>
      <c r="BB146" s="139"/>
      <c r="BC146" s="139"/>
      <c r="BD146" s="139"/>
      <c r="BE146" s="3"/>
    </row>
    <row r="147" spans="1:57" ht="15.75" customHeight="1" x14ac:dyDescent="0.4">
      <c r="A147" s="3"/>
      <c r="B147" s="3"/>
      <c r="C147" s="36"/>
      <c r="D147" s="155"/>
      <c r="E147" s="155"/>
      <c r="F147" s="155"/>
      <c r="G147" s="7"/>
      <c r="H147" s="20"/>
      <c r="I147" s="3"/>
      <c r="J147" s="3"/>
      <c r="K147" s="3"/>
      <c r="L147" s="3"/>
      <c r="M147" s="5"/>
      <c r="N147" s="5"/>
      <c r="O147" s="5"/>
      <c r="P147" s="24"/>
      <c r="Q147" s="24"/>
      <c r="R147" s="3"/>
      <c r="S147" s="5"/>
      <c r="T147" s="3"/>
      <c r="U147" s="20"/>
      <c r="V147" s="3" t="s">
        <v>2365</v>
      </c>
      <c r="W147" s="3" t="s">
        <v>370</v>
      </c>
      <c r="X147" s="38" t="s">
        <v>369</v>
      </c>
      <c r="Y147" s="1445">
        <v>200138180001</v>
      </c>
      <c r="Z147" s="1445"/>
      <c r="AA147" s="1445"/>
      <c r="AB147" s="20"/>
      <c r="AC147" s="3"/>
      <c r="AD147" s="3"/>
      <c r="AE147" s="5"/>
      <c r="AF147" s="3"/>
      <c r="AG147" s="3"/>
      <c r="AH147" s="5"/>
      <c r="AI147" s="844"/>
      <c r="AJ147" s="39"/>
      <c r="AK147" s="39"/>
      <c r="AL147" s="39"/>
      <c r="AM147" s="39"/>
      <c r="AN147" s="3" t="s">
        <v>371</v>
      </c>
      <c r="AO147" s="3" t="s">
        <v>371</v>
      </c>
      <c r="AP147" s="3" t="s">
        <v>371</v>
      </c>
      <c r="AQ147" s="3" t="s">
        <v>371</v>
      </c>
      <c r="AR147" s="3" t="s">
        <v>92</v>
      </c>
      <c r="AS147" s="3" t="s">
        <v>92</v>
      </c>
      <c r="AT147" s="3" t="s">
        <v>371</v>
      </c>
      <c r="AU147" s="3" t="s">
        <v>371</v>
      </c>
      <c r="AV147" s="3" t="s">
        <v>371</v>
      </c>
      <c r="AW147" s="3" t="s">
        <v>92</v>
      </c>
      <c r="AX147" s="1414" t="s">
        <v>371</v>
      </c>
      <c r="AY147" s="3"/>
      <c r="AZ147" s="139"/>
      <c r="BA147" s="139"/>
      <c r="BB147" s="139"/>
      <c r="BC147" s="139"/>
      <c r="BD147" s="139"/>
      <c r="BE147" s="3"/>
    </row>
    <row r="148" spans="1:57" ht="15.75" customHeight="1" x14ac:dyDescent="0.4">
      <c r="A148" s="3"/>
      <c r="B148" s="3"/>
      <c r="C148" s="36"/>
      <c r="D148" s="155"/>
      <c r="E148" s="155"/>
      <c r="F148" s="155"/>
      <c r="G148" s="7"/>
      <c r="H148" s="20"/>
      <c r="I148" s="3"/>
      <c r="J148" s="3"/>
      <c r="K148" s="3"/>
      <c r="L148" s="3"/>
      <c r="M148" s="5"/>
      <c r="N148" s="5"/>
      <c r="O148" s="5"/>
      <c r="P148" s="24"/>
      <c r="Q148" s="24"/>
      <c r="R148" s="3"/>
      <c r="S148" s="5"/>
      <c r="T148" s="3"/>
      <c r="U148" s="20"/>
      <c r="V148" s="112" t="s">
        <v>2367</v>
      </c>
      <c r="W148" s="112" t="s">
        <v>370</v>
      </c>
      <c r="X148" s="279" t="s">
        <v>369</v>
      </c>
      <c r="Y148" s="1872">
        <v>200138152001</v>
      </c>
      <c r="Z148" s="1445"/>
      <c r="AA148" s="1445"/>
      <c r="AB148" s="20"/>
      <c r="AC148" s="3"/>
      <c r="AD148" s="3"/>
      <c r="AE148" s="5"/>
      <c r="AF148" s="3"/>
      <c r="AG148" s="3"/>
      <c r="AH148" s="5"/>
      <c r="AI148" s="353">
        <v>0.75339999999999996</v>
      </c>
      <c r="AJ148" s="39"/>
      <c r="AK148" s="39"/>
      <c r="AL148" s="39"/>
      <c r="AM148" s="39"/>
      <c r="AN148" s="3" t="s">
        <v>371</v>
      </c>
      <c r="AO148" s="3" t="s">
        <v>371</v>
      </c>
      <c r="AP148" s="3" t="s">
        <v>371</v>
      </c>
      <c r="AQ148" s="3" t="s">
        <v>371</v>
      </c>
      <c r="AR148" s="3" t="s">
        <v>92</v>
      </c>
      <c r="AS148" s="3" t="s">
        <v>92</v>
      </c>
      <c r="AT148" s="3" t="s">
        <v>371</v>
      </c>
      <c r="AU148" s="3" t="s">
        <v>371</v>
      </c>
      <c r="AV148" s="3" t="s">
        <v>371</v>
      </c>
      <c r="AW148" s="3" t="s">
        <v>92</v>
      </c>
      <c r="AX148" s="1414" t="s">
        <v>371</v>
      </c>
      <c r="AY148" s="3"/>
      <c r="AZ148" s="139"/>
      <c r="BA148" s="139"/>
      <c r="BB148" s="139"/>
      <c r="BC148" s="139"/>
      <c r="BD148" s="139"/>
      <c r="BE148" s="3"/>
    </row>
    <row r="149" spans="1:57" ht="15.75" customHeight="1" x14ac:dyDescent="0.4">
      <c r="A149" s="3"/>
      <c r="B149" s="3"/>
      <c r="C149" s="36"/>
      <c r="D149" s="155"/>
      <c r="E149" s="155"/>
      <c r="F149" s="155"/>
      <c r="G149" s="7"/>
      <c r="H149" s="20"/>
      <c r="I149" s="3"/>
      <c r="J149" s="3"/>
      <c r="K149" s="3"/>
      <c r="L149" s="3"/>
      <c r="M149" s="5"/>
      <c r="N149" s="5"/>
      <c r="O149" s="5"/>
      <c r="P149" s="24"/>
      <c r="Q149" s="24"/>
      <c r="R149" s="3"/>
      <c r="S149" s="5"/>
      <c r="T149" s="3"/>
      <c r="U149" s="20"/>
      <c r="V149" s="3" t="s">
        <v>2365</v>
      </c>
      <c r="W149" s="3" t="s">
        <v>370</v>
      </c>
      <c r="X149" s="38" t="s">
        <v>2365</v>
      </c>
      <c r="Y149" s="1445">
        <v>200138181153</v>
      </c>
      <c r="Z149" s="1445"/>
      <c r="AA149" s="1445"/>
      <c r="AB149" s="20"/>
      <c r="AC149" s="3"/>
      <c r="AD149" s="3"/>
      <c r="AE149" s="5"/>
      <c r="AF149" s="3"/>
      <c r="AG149" s="3"/>
      <c r="AH149" s="5"/>
      <c r="AI149" s="353"/>
      <c r="AJ149" s="39"/>
      <c r="AK149" s="39"/>
      <c r="AL149" s="39"/>
      <c r="AM149" s="39"/>
      <c r="AN149" s="3" t="s">
        <v>371</v>
      </c>
      <c r="AO149" s="3" t="s">
        <v>371</v>
      </c>
      <c r="AP149" s="3" t="s">
        <v>371</v>
      </c>
      <c r="AQ149" s="3" t="s">
        <v>371</v>
      </c>
      <c r="AR149" s="3" t="s">
        <v>92</v>
      </c>
      <c r="AS149" s="3" t="s">
        <v>92</v>
      </c>
      <c r="AT149" s="3" t="s">
        <v>371</v>
      </c>
      <c r="AU149" s="3" t="s">
        <v>371</v>
      </c>
      <c r="AV149" s="3" t="s">
        <v>371</v>
      </c>
      <c r="AW149" s="3" t="s">
        <v>92</v>
      </c>
      <c r="AX149" s="1414" t="s">
        <v>81</v>
      </c>
      <c r="AY149" s="3"/>
      <c r="AZ149" s="139"/>
      <c r="BA149" s="139"/>
      <c r="BB149" s="139"/>
      <c r="BC149" s="139"/>
      <c r="BD149" s="139"/>
      <c r="BE149" s="3"/>
    </row>
    <row r="150" spans="1:57" ht="15" customHeight="1" x14ac:dyDescent="0.4">
      <c r="A150" s="3"/>
      <c r="B150" s="4"/>
      <c r="C150" s="447" t="s">
        <v>404</v>
      </c>
      <c r="D150" s="447"/>
      <c r="E150" s="447"/>
      <c r="F150" s="155"/>
      <c r="G150" s="7"/>
      <c r="H150" s="20"/>
      <c r="I150" s="3" t="s">
        <v>392</v>
      </c>
      <c r="J150" s="3"/>
      <c r="K150" s="3"/>
      <c r="L150" s="3" t="s">
        <v>348</v>
      </c>
      <c r="M150" s="5">
        <v>0</v>
      </c>
      <c r="N150" s="5"/>
      <c r="O150" s="5"/>
      <c r="P150" s="5"/>
      <c r="Q150" s="5"/>
      <c r="R150" s="3" t="s">
        <v>352</v>
      </c>
      <c r="S150" s="5">
        <f>SHWidth+M150+O150</f>
        <v>38.5625</v>
      </c>
      <c r="T150" s="3" t="s">
        <v>366</v>
      </c>
      <c r="U150" s="20"/>
      <c r="V150" s="38" t="s">
        <v>369</v>
      </c>
      <c r="W150" s="3" t="s">
        <v>405</v>
      </c>
      <c r="X150" s="38" t="s">
        <v>369</v>
      </c>
      <c r="Y150" s="1443">
        <v>600042010</v>
      </c>
      <c r="Z150" s="1443"/>
      <c r="AA150" s="1443"/>
      <c r="AB150" s="20"/>
      <c r="AC150" s="3">
        <v>45</v>
      </c>
      <c r="AD150" s="3">
        <v>1</v>
      </c>
      <c r="AE150" s="5">
        <f>S150*AD150/12</f>
        <v>3.2135416666666665</v>
      </c>
      <c r="AF150" s="3" t="s">
        <v>367</v>
      </c>
      <c r="AG150" s="38" t="s">
        <v>369</v>
      </c>
      <c r="AH150" s="38" t="s">
        <v>369</v>
      </c>
      <c r="AI150" s="353">
        <v>2.0199999999999999E-2</v>
      </c>
      <c r="AJ150" s="39"/>
      <c r="AK150" s="39"/>
      <c r="AL150" s="39"/>
      <c r="AM150" s="39">
        <f>AE$139*AI150+SUM(AJ150:AL150)</f>
        <v>6.4913541666666658E-2</v>
      </c>
      <c r="AN150" s="3" t="s">
        <v>81</v>
      </c>
      <c r="AO150" s="3" t="s">
        <v>81</v>
      </c>
      <c r="AP150" s="3" t="s">
        <v>81</v>
      </c>
      <c r="AQ150" s="3" t="s">
        <v>81</v>
      </c>
      <c r="AR150" s="3" t="s">
        <v>92</v>
      </c>
      <c r="AS150" s="3" t="s">
        <v>92</v>
      </c>
      <c r="AT150" s="3" t="s">
        <v>81</v>
      </c>
      <c r="AU150" s="3" t="s">
        <v>81</v>
      </c>
      <c r="AV150" s="3" t="s">
        <v>81</v>
      </c>
      <c r="AW150" s="3" t="s">
        <v>92</v>
      </c>
      <c r="AX150" s="1414" t="s">
        <v>81</v>
      </c>
      <c r="AY150" s="3"/>
      <c r="AZ150" s="140"/>
      <c r="BA150" s="140"/>
      <c r="BB150" s="139"/>
      <c r="BC150" s="139"/>
      <c r="BD150" s="139"/>
      <c r="BE150" s="3"/>
    </row>
    <row r="151" spans="1:57" ht="15" customHeight="1" x14ac:dyDescent="0.4">
      <c r="A151" s="3"/>
      <c r="B151" s="4"/>
      <c r="C151" s="789" t="s">
        <v>406</v>
      </c>
      <c r="D151" s="789"/>
      <c r="E151" s="789"/>
      <c r="F151" s="623"/>
      <c r="G151" s="221"/>
      <c r="H151" s="624"/>
      <c r="I151" s="577" t="s">
        <v>392</v>
      </c>
      <c r="J151" s="577"/>
      <c r="K151" s="577"/>
      <c r="L151" s="577" t="s">
        <v>348</v>
      </c>
      <c r="M151" s="575">
        <v>0</v>
      </c>
      <c r="N151" s="575"/>
      <c r="O151" s="575"/>
      <c r="P151" s="575"/>
      <c r="Q151" s="575"/>
      <c r="R151" s="577" t="s">
        <v>352</v>
      </c>
      <c r="S151" s="575">
        <f>SHWidth+M151+O151</f>
        <v>38.5625</v>
      </c>
      <c r="T151" s="577" t="s">
        <v>366</v>
      </c>
      <c r="U151" s="624"/>
      <c r="V151" s="579" t="s">
        <v>369</v>
      </c>
      <c r="W151" s="577" t="s">
        <v>405</v>
      </c>
      <c r="X151" s="579" t="s">
        <v>369</v>
      </c>
      <c r="Y151" s="1446">
        <v>600050010</v>
      </c>
      <c r="Z151" s="1446"/>
      <c r="AA151" s="1446"/>
      <c r="AB151" s="624"/>
      <c r="AC151" s="577">
        <v>45</v>
      </c>
      <c r="AD151" s="577"/>
      <c r="AE151" s="575"/>
      <c r="AF151" s="577"/>
      <c r="AG151" s="579"/>
      <c r="AH151" s="579"/>
      <c r="AI151" s="1425">
        <v>2.7799999999999998E-2</v>
      </c>
      <c r="AJ151" s="581"/>
      <c r="AK151" s="581"/>
      <c r="AL151" s="581"/>
      <c r="AM151" s="581"/>
      <c r="AN151" s="577" t="s">
        <v>371</v>
      </c>
      <c r="AO151" s="577" t="s">
        <v>371</v>
      </c>
      <c r="AP151" s="577" t="s">
        <v>371</v>
      </c>
      <c r="AQ151" s="577" t="s">
        <v>371</v>
      </c>
      <c r="AR151" s="577" t="s">
        <v>92</v>
      </c>
      <c r="AS151" s="577" t="s">
        <v>92</v>
      </c>
      <c r="AT151" s="577" t="s">
        <v>371</v>
      </c>
      <c r="AU151" s="577" t="s">
        <v>371</v>
      </c>
      <c r="AV151" s="577" t="s">
        <v>371</v>
      </c>
      <c r="AW151" s="577" t="s">
        <v>92</v>
      </c>
      <c r="AX151" s="1881" t="s">
        <v>371</v>
      </c>
      <c r="AY151" s="577"/>
      <c r="AZ151" s="140"/>
      <c r="BA151" s="140"/>
      <c r="BB151" s="139"/>
      <c r="BC151" s="139"/>
      <c r="BD151" s="139"/>
      <c r="BE151" s="3"/>
    </row>
    <row r="152" spans="1:57" ht="15.75" customHeight="1" thickBot="1" x14ac:dyDescent="0.45">
      <c r="A152" s="3"/>
      <c r="B152" s="3"/>
      <c r="C152" s="943" t="s">
        <v>2389</v>
      </c>
      <c r="D152" s="1068"/>
      <c r="E152" s="925"/>
      <c r="F152" s="925"/>
      <c r="G152" s="924"/>
      <c r="H152" s="887"/>
      <c r="I152" s="889" t="s">
        <v>392</v>
      </c>
      <c r="J152" s="889"/>
      <c r="K152" s="889"/>
      <c r="L152" s="889"/>
      <c r="M152" s="945"/>
      <c r="N152" s="945"/>
      <c r="O152" s="945"/>
      <c r="P152" s="1020"/>
      <c r="Q152" s="1020"/>
      <c r="R152" s="889" t="s">
        <v>352</v>
      </c>
      <c r="S152" s="945">
        <f>SHWidth</f>
        <v>38.5625</v>
      </c>
      <c r="T152" s="889" t="s">
        <v>366</v>
      </c>
      <c r="U152" s="887"/>
      <c r="V152" s="888" t="s">
        <v>369</v>
      </c>
      <c r="W152" s="889" t="s">
        <v>370</v>
      </c>
      <c r="X152" s="888" t="s">
        <v>369</v>
      </c>
      <c r="Y152" s="1451">
        <v>120074014015</v>
      </c>
      <c r="Z152" s="1451"/>
      <c r="AA152" s="1451"/>
      <c r="AB152" s="887"/>
      <c r="AC152" s="889"/>
      <c r="AD152" s="889">
        <v>1</v>
      </c>
      <c r="AE152" s="945">
        <f>S152*AD152/12</f>
        <v>3.2135416666666665</v>
      </c>
      <c r="AF152" s="889" t="s">
        <v>367</v>
      </c>
      <c r="AG152" s="889"/>
      <c r="AH152" s="945"/>
      <c r="AI152" s="937">
        <v>1.456E-2</v>
      </c>
      <c r="AJ152" s="947"/>
      <c r="AK152" s="947"/>
      <c r="AL152" s="947"/>
      <c r="AM152" s="947">
        <f>AE152*AI152</f>
        <v>4.6789166666666666E-2</v>
      </c>
      <c r="AN152" s="889" t="s">
        <v>92</v>
      </c>
      <c r="AO152" s="889" t="s">
        <v>92</v>
      </c>
      <c r="AP152" s="889" t="s">
        <v>92</v>
      </c>
      <c r="AQ152" s="889" t="s">
        <v>92</v>
      </c>
      <c r="AR152" s="889" t="s">
        <v>92</v>
      </c>
      <c r="AS152" s="889" t="s">
        <v>92</v>
      </c>
      <c r="AT152" s="889" t="s">
        <v>92</v>
      </c>
      <c r="AU152" s="889" t="s">
        <v>92</v>
      </c>
      <c r="AV152" s="889" t="s">
        <v>92</v>
      </c>
      <c r="AW152" s="889" t="s">
        <v>92</v>
      </c>
      <c r="AX152" s="1590" t="s">
        <v>81</v>
      </c>
      <c r="AY152" s="889"/>
      <c r="AZ152" s="139"/>
      <c r="BA152" s="139"/>
      <c r="BB152" s="139"/>
      <c r="BC152" s="139"/>
      <c r="BD152" s="139"/>
      <c r="BE152" s="3"/>
    </row>
    <row r="153" spans="1:57" ht="15" customHeight="1" x14ac:dyDescent="0.4">
      <c r="A153" s="3"/>
      <c r="B153" s="3"/>
      <c r="C153" s="173" t="s">
        <v>407</v>
      </c>
      <c r="D153" s="181"/>
      <c r="E153" s="182"/>
      <c r="F153" s="182"/>
      <c r="G153" s="430" t="s">
        <v>383</v>
      </c>
      <c r="H153" s="175"/>
      <c r="I153" s="116" t="s">
        <v>392</v>
      </c>
      <c r="J153" s="116"/>
      <c r="K153" s="116"/>
      <c r="L153" s="116" t="s">
        <v>348</v>
      </c>
      <c r="M153" s="177">
        <f>M129</f>
        <v>3</v>
      </c>
      <c r="N153" s="177" t="s">
        <v>348</v>
      </c>
      <c r="O153" s="177">
        <f>0.25</f>
        <v>0.25</v>
      </c>
      <c r="P153" s="178"/>
      <c r="Q153" s="178"/>
      <c r="R153" s="116" t="s">
        <v>352</v>
      </c>
      <c r="S153" s="177">
        <f>SHWidth+M153+O153</f>
        <v>41.8125</v>
      </c>
      <c r="T153" s="116" t="s">
        <v>366</v>
      </c>
      <c r="U153" s="175"/>
      <c r="V153" s="179"/>
      <c r="W153" s="116"/>
      <c r="X153" s="179"/>
      <c r="Y153" s="184"/>
      <c r="Z153" s="184"/>
      <c r="AA153" s="184"/>
      <c r="AB153" s="175"/>
      <c r="AC153" s="116">
        <v>45</v>
      </c>
      <c r="AD153" s="116">
        <v>1</v>
      </c>
      <c r="AE153" s="177">
        <f>S153*AD153/12</f>
        <v>3.484375</v>
      </c>
      <c r="AF153" s="116" t="s">
        <v>367</v>
      </c>
      <c r="AG153" s="116">
        <f>AG48</f>
        <v>0.10199999999999999</v>
      </c>
      <c r="AH153" s="177">
        <f>AG153*AtolbperftSH</f>
        <v>6.4514999999999989E-2</v>
      </c>
      <c r="AI153" s="51"/>
      <c r="AJ153" s="51"/>
      <c r="AK153" s="51"/>
      <c r="AL153" s="51"/>
      <c r="AM153" s="39"/>
      <c r="AN153" s="3" t="s">
        <v>371</v>
      </c>
      <c r="AO153" s="3" t="s">
        <v>371</v>
      </c>
      <c r="AP153" s="3" t="s">
        <v>371</v>
      </c>
      <c r="AQ153" s="3" t="s">
        <v>371</v>
      </c>
      <c r="AR153" s="3" t="s">
        <v>92</v>
      </c>
      <c r="AS153" s="3" t="s">
        <v>92</v>
      </c>
      <c r="AT153" s="3" t="s">
        <v>371</v>
      </c>
      <c r="AU153" s="3" t="s">
        <v>371</v>
      </c>
      <c r="AV153" s="3" t="s">
        <v>371</v>
      </c>
      <c r="AW153" s="3" t="s">
        <v>92</v>
      </c>
      <c r="AX153" s="1414" t="s">
        <v>371</v>
      </c>
      <c r="AY153" s="3"/>
      <c r="AZ153" s="139"/>
      <c r="BA153" s="139"/>
      <c r="BB153" s="139"/>
      <c r="BC153" s="139"/>
      <c r="BD153" s="139"/>
      <c r="BE153" s="3"/>
    </row>
    <row r="154" spans="1:57" ht="15" customHeight="1" x14ac:dyDescent="0.4">
      <c r="A154" s="3"/>
      <c r="B154" s="36"/>
      <c r="C154" s="155"/>
      <c r="D154" s="155"/>
      <c r="E154" s="155"/>
      <c r="F154" s="155"/>
      <c r="G154" s="7"/>
      <c r="H154" s="20"/>
      <c r="I154" s="3"/>
      <c r="J154" s="3"/>
      <c r="K154" s="3"/>
      <c r="L154" s="3"/>
      <c r="M154" s="5"/>
      <c r="N154" s="5"/>
      <c r="O154" s="5"/>
      <c r="P154" s="24"/>
      <c r="Q154" s="24"/>
      <c r="R154" s="3"/>
      <c r="S154" s="5"/>
      <c r="T154" s="3"/>
      <c r="U154" s="20"/>
      <c r="V154" s="38" t="s">
        <v>369</v>
      </c>
      <c r="W154" s="3" t="s">
        <v>370</v>
      </c>
      <c r="X154" s="38" t="s">
        <v>369</v>
      </c>
      <c r="Y154" s="1443">
        <v>200169003</v>
      </c>
      <c r="Z154" s="1443"/>
      <c r="AA154" s="1443"/>
      <c r="AB154" s="20"/>
      <c r="AC154" s="3"/>
      <c r="AD154" s="3"/>
      <c r="AE154" s="5"/>
      <c r="AF154" s="3"/>
      <c r="AG154" s="38"/>
      <c r="AH154" s="5"/>
      <c r="AI154" s="51">
        <f t="shared" ref="AI154:AI159" si="26">AI49</f>
        <v>0.11799999999999999</v>
      </c>
      <c r="AJ154" s="39"/>
      <c r="AK154" s="39"/>
      <c r="AL154" s="39"/>
      <c r="AM154" s="39">
        <f>AE$153*AI154+SUM(AJ154:AL154)</f>
        <v>0.41115625</v>
      </c>
      <c r="AN154" s="3" t="s">
        <v>371</v>
      </c>
      <c r="AO154" s="3" t="s">
        <v>371</v>
      </c>
      <c r="AP154" s="3" t="s">
        <v>371</v>
      </c>
      <c r="AQ154" s="3" t="s">
        <v>371</v>
      </c>
      <c r="AR154" s="3" t="s">
        <v>92</v>
      </c>
      <c r="AS154" s="3" t="s">
        <v>92</v>
      </c>
      <c r="AT154" s="3" t="s">
        <v>371</v>
      </c>
      <c r="AU154" s="3" t="s">
        <v>371</v>
      </c>
      <c r="AV154" s="3" t="s">
        <v>371</v>
      </c>
      <c r="AW154" s="3" t="s">
        <v>92</v>
      </c>
      <c r="AX154" s="1414" t="s">
        <v>371</v>
      </c>
      <c r="AY154" s="3"/>
      <c r="AZ154" s="139"/>
      <c r="BA154" s="139"/>
      <c r="BB154" s="139"/>
      <c r="BC154" s="139"/>
      <c r="BD154" s="139"/>
      <c r="BE154" s="3"/>
    </row>
    <row r="155" spans="1:57" ht="15" customHeight="1" x14ac:dyDescent="0.4">
      <c r="A155" s="3"/>
      <c r="B155" s="36"/>
      <c r="C155" s="155"/>
      <c r="D155" s="155"/>
      <c r="E155" s="155"/>
      <c r="F155" s="155"/>
      <c r="G155" s="7"/>
      <c r="H155" s="20"/>
      <c r="I155" s="3"/>
      <c r="J155" s="3"/>
      <c r="K155" s="3"/>
      <c r="L155" s="3"/>
      <c r="M155" s="5"/>
      <c r="N155" s="5"/>
      <c r="O155" s="5"/>
      <c r="P155" s="24"/>
      <c r="Q155" s="24"/>
      <c r="R155" s="3"/>
      <c r="S155" s="5"/>
      <c r="T155" s="3"/>
      <c r="U155" s="20"/>
      <c r="V155" s="38" t="s">
        <v>369</v>
      </c>
      <c r="W155" s="3" t="s">
        <v>372</v>
      </c>
      <c r="X155" s="38" t="s">
        <v>369</v>
      </c>
      <c r="Y155" s="1443">
        <v>200169021</v>
      </c>
      <c r="Z155" s="1443"/>
      <c r="AA155" s="1443"/>
      <c r="AB155" s="20"/>
      <c r="AC155" s="3"/>
      <c r="AD155" s="3"/>
      <c r="AE155" s="5"/>
      <c r="AF155" s="3"/>
      <c r="AG155" s="3"/>
      <c r="AH155" s="5"/>
      <c r="AI155" s="51">
        <f t="shared" si="26"/>
        <v>0.12640000000000001</v>
      </c>
      <c r="AJ155" s="39"/>
      <c r="AK155" s="39"/>
      <c r="AL155" s="39"/>
      <c r="AM155" s="39">
        <f t="shared" ref="AM155:AM156" si="27">AE$153*AI155+SUM(AJ155:AL155)</f>
        <v>0.44042500000000007</v>
      </c>
      <c r="AN155" s="3" t="s">
        <v>371</v>
      </c>
      <c r="AO155" s="3" t="s">
        <v>371</v>
      </c>
      <c r="AP155" s="3" t="s">
        <v>371</v>
      </c>
      <c r="AQ155" s="3" t="s">
        <v>371</v>
      </c>
      <c r="AR155" s="3" t="s">
        <v>92</v>
      </c>
      <c r="AS155" s="3" t="s">
        <v>92</v>
      </c>
      <c r="AT155" s="3" t="s">
        <v>371</v>
      </c>
      <c r="AU155" s="3" t="s">
        <v>371</v>
      </c>
      <c r="AV155" s="3" t="s">
        <v>371</v>
      </c>
      <c r="AW155" s="3" t="s">
        <v>92</v>
      </c>
      <c r="AX155" s="1414" t="s">
        <v>371</v>
      </c>
      <c r="AY155" s="3"/>
      <c r="AZ155" s="139"/>
      <c r="BA155" s="139"/>
      <c r="BB155" s="139"/>
      <c r="BC155" s="139"/>
      <c r="BD155" s="139"/>
      <c r="BE155" s="3"/>
    </row>
    <row r="156" spans="1:57" ht="15" customHeight="1" x14ac:dyDescent="0.4">
      <c r="A156" s="3"/>
      <c r="B156" s="36"/>
      <c r="C156" s="155"/>
      <c r="D156" s="155"/>
      <c r="E156" s="155"/>
      <c r="F156" s="155"/>
      <c r="G156" s="7"/>
      <c r="H156" s="20"/>
      <c r="I156" s="3"/>
      <c r="J156" s="3"/>
      <c r="K156" s="3"/>
      <c r="L156" s="3"/>
      <c r="M156" s="5"/>
      <c r="N156" s="5"/>
      <c r="O156" s="5"/>
      <c r="P156" s="24"/>
      <c r="Q156" s="24"/>
      <c r="R156" s="3"/>
      <c r="S156" s="5"/>
      <c r="T156" s="3"/>
      <c r="U156" s="20"/>
      <c r="V156" s="38" t="s">
        <v>369</v>
      </c>
      <c r="W156" s="3" t="s">
        <v>373</v>
      </c>
      <c r="X156" s="38" t="s">
        <v>369</v>
      </c>
      <c r="Y156" s="1443">
        <v>200169033</v>
      </c>
      <c r="Z156" s="1443"/>
      <c r="AA156" s="1443"/>
      <c r="AB156" s="20"/>
      <c r="AC156" s="3"/>
      <c r="AD156" s="3"/>
      <c r="AE156" s="5"/>
      <c r="AF156" s="3"/>
      <c r="AG156" s="3"/>
      <c r="AH156" s="5"/>
      <c r="AI156" s="51">
        <f t="shared" si="26"/>
        <v>0.1283</v>
      </c>
      <c r="AJ156" s="39"/>
      <c r="AK156" s="39"/>
      <c r="AL156" s="39"/>
      <c r="AM156" s="39">
        <f t="shared" si="27"/>
        <v>0.44704531250000001</v>
      </c>
      <c r="AN156" s="3" t="s">
        <v>371</v>
      </c>
      <c r="AO156" s="3" t="s">
        <v>371</v>
      </c>
      <c r="AP156" s="3" t="s">
        <v>371</v>
      </c>
      <c r="AQ156" s="3" t="s">
        <v>371</v>
      </c>
      <c r="AR156" s="3" t="s">
        <v>92</v>
      </c>
      <c r="AS156" s="3" t="s">
        <v>92</v>
      </c>
      <c r="AT156" s="3" t="s">
        <v>371</v>
      </c>
      <c r="AU156" s="3" t="s">
        <v>371</v>
      </c>
      <c r="AV156" s="3" t="s">
        <v>371</v>
      </c>
      <c r="AW156" s="3" t="s">
        <v>92</v>
      </c>
      <c r="AX156" s="1414" t="s">
        <v>371</v>
      </c>
      <c r="AY156" s="3"/>
      <c r="AZ156" s="139"/>
      <c r="BA156" s="139"/>
      <c r="BB156" s="139"/>
      <c r="BC156" s="139"/>
      <c r="BD156" s="139"/>
      <c r="BE156" s="3"/>
    </row>
    <row r="157" spans="1:57" ht="15" customHeight="1" x14ac:dyDescent="0.4">
      <c r="A157" s="3"/>
      <c r="B157" s="36"/>
      <c r="C157" s="155"/>
      <c r="D157" s="155"/>
      <c r="E157" s="155"/>
      <c r="F157" s="155"/>
      <c r="G157" s="7"/>
      <c r="H157" s="20"/>
      <c r="I157" s="3"/>
      <c r="J157" s="3"/>
      <c r="K157" s="3"/>
      <c r="L157" s="3"/>
      <c r="M157" s="5"/>
      <c r="N157" s="5"/>
      <c r="O157" s="5"/>
      <c r="P157" s="24"/>
      <c r="Q157" s="24"/>
      <c r="R157" s="3"/>
      <c r="S157" s="5"/>
      <c r="T157" s="3"/>
      <c r="U157" s="20"/>
      <c r="V157" s="38" t="s">
        <v>369</v>
      </c>
      <c r="W157" s="3" t="s">
        <v>374</v>
      </c>
      <c r="X157" s="38" t="s">
        <v>369</v>
      </c>
      <c r="Y157" s="1443">
        <v>200169090</v>
      </c>
      <c r="Z157" s="1443"/>
      <c r="AA157" s="1443"/>
      <c r="AB157" s="20"/>
      <c r="AC157" s="3"/>
      <c r="AD157" s="3"/>
      <c r="AE157" s="5"/>
      <c r="AF157" s="3"/>
      <c r="AG157" s="3"/>
      <c r="AH157" s="5"/>
      <c r="AI157" s="51">
        <f t="shared" si="26"/>
        <v>0.22900000000000001</v>
      </c>
      <c r="AJ157" s="39"/>
      <c r="AK157" s="39"/>
      <c r="AL157" s="39"/>
      <c r="AM157" s="39">
        <f>AE$153*AI157+SUM(AJ157:AL157)</f>
        <v>0.797921875</v>
      </c>
      <c r="AN157" s="3" t="s">
        <v>371</v>
      </c>
      <c r="AO157" s="3" t="s">
        <v>371</v>
      </c>
      <c r="AP157" s="3" t="s">
        <v>371</v>
      </c>
      <c r="AQ157" s="3" t="s">
        <v>371</v>
      </c>
      <c r="AR157" s="3" t="s">
        <v>92</v>
      </c>
      <c r="AS157" s="3" t="s">
        <v>92</v>
      </c>
      <c r="AT157" s="3" t="s">
        <v>371</v>
      </c>
      <c r="AU157" s="3" t="s">
        <v>371</v>
      </c>
      <c r="AV157" s="3" t="s">
        <v>371</v>
      </c>
      <c r="AW157" s="3" t="s">
        <v>92</v>
      </c>
      <c r="AX157" s="1414" t="s">
        <v>371</v>
      </c>
      <c r="AY157" s="3"/>
      <c r="AZ157" s="139"/>
      <c r="BA157" s="139"/>
      <c r="BB157" s="139"/>
      <c r="BC157" s="139"/>
      <c r="BD157" s="139"/>
      <c r="BE157" s="3"/>
    </row>
    <row r="158" spans="1:57" ht="15" customHeight="1" x14ac:dyDescent="0.4">
      <c r="A158" s="3"/>
      <c r="B158" s="36"/>
      <c r="C158" s="155"/>
      <c r="D158" s="155"/>
      <c r="E158" s="155"/>
      <c r="F158" s="155"/>
      <c r="G158" s="7"/>
      <c r="H158" s="20"/>
      <c r="I158" s="3"/>
      <c r="J158" s="3"/>
      <c r="K158" s="3"/>
      <c r="L158" s="3"/>
      <c r="M158" s="5"/>
      <c r="N158" s="5"/>
      <c r="O158" s="5"/>
      <c r="P158" s="24"/>
      <c r="Q158" s="24"/>
      <c r="R158" s="3"/>
      <c r="S158" s="5"/>
      <c r="T158" s="3"/>
      <c r="U158" s="20"/>
      <c r="V158" s="38" t="s">
        <v>369</v>
      </c>
      <c r="W158" s="3" t="s">
        <v>375</v>
      </c>
      <c r="X158" s="38" t="s">
        <v>369</v>
      </c>
      <c r="Y158" s="1443">
        <v>200169133</v>
      </c>
      <c r="Z158" s="1443"/>
      <c r="AA158" s="1443"/>
      <c r="AB158" s="20"/>
      <c r="AC158" s="3"/>
      <c r="AD158" s="3"/>
      <c r="AE158" s="5"/>
      <c r="AF158" s="3"/>
      <c r="AG158" s="3"/>
      <c r="AH158" s="5"/>
      <c r="AI158" s="51">
        <f t="shared" si="26"/>
        <v>0.2414</v>
      </c>
      <c r="AJ158" s="39"/>
      <c r="AK158" s="39"/>
      <c r="AL158" s="39"/>
      <c r="AM158" s="39">
        <f t="shared" ref="AM158" si="28">AE$153*AI158+SUM(AJ158:AL158)</f>
        <v>0.841128125</v>
      </c>
      <c r="AN158" s="3" t="s">
        <v>371</v>
      </c>
      <c r="AO158" s="3" t="s">
        <v>371</v>
      </c>
      <c r="AP158" s="3" t="s">
        <v>371</v>
      </c>
      <c r="AQ158" s="3" t="s">
        <v>371</v>
      </c>
      <c r="AR158" s="3" t="s">
        <v>92</v>
      </c>
      <c r="AS158" s="3" t="s">
        <v>92</v>
      </c>
      <c r="AT158" s="3" t="s">
        <v>371</v>
      </c>
      <c r="AU158" s="3" t="s">
        <v>371</v>
      </c>
      <c r="AV158" s="3" t="s">
        <v>371</v>
      </c>
      <c r="AW158" s="3" t="s">
        <v>92</v>
      </c>
      <c r="AX158" s="1414" t="s">
        <v>371</v>
      </c>
      <c r="AY158" s="3"/>
      <c r="AZ158" s="139"/>
      <c r="BA158" s="139"/>
      <c r="BB158" s="139"/>
      <c r="BC158" s="139"/>
      <c r="BD158" s="139"/>
      <c r="BE158" s="3"/>
    </row>
    <row r="159" spans="1:57" ht="15" customHeight="1" thickBot="1" x14ac:dyDescent="0.45">
      <c r="A159" s="3"/>
      <c r="B159" s="36"/>
      <c r="C159" s="155"/>
      <c r="D159" s="155"/>
      <c r="E159" s="155"/>
      <c r="F159" s="155"/>
      <c r="G159" s="7"/>
      <c r="H159" s="20"/>
      <c r="I159" s="3"/>
      <c r="J159" s="3"/>
      <c r="K159" s="3"/>
      <c r="L159" s="3"/>
      <c r="M159" s="5"/>
      <c r="N159" s="5"/>
      <c r="O159" s="5"/>
      <c r="P159" s="24"/>
      <c r="Q159" s="24"/>
      <c r="R159" s="3"/>
      <c r="S159" s="5"/>
      <c r="T159" s="3"/>
      <c r="U159" s="20"/>
      <c r="V159" s="279" t="s">
        <v>369</v>
      </c>
      <c r="W159" s="112" t="s">
        <v>1849</v>
      </c>
      <c r="X159" s="279" t="s">
        <v>369</v>
      </c>
      <c r="Y159" s="1871">
        <v>200169148</v>
      </c>
      <c r="Z159" s="1443"/>
      <c r="AA159" s="1443"/>
      <c r="AB159" s="20"/>
      <c r="AC159" s="3"/>
      <c r="AD159" s="3"/>
      <c r="AE159" s="5"/>
      <c r="AF159" s="3"/>
      <c r="AG159" s="3"/>
      <c r="AH159" s="5"/>
      <c r="AI159" s="51">
        <f t="shared" si="26"/>
        <v>0.249</v>
      </c>
      <c r="AJ159" s="39"/>
      <c r="AK159" s="39"/>
      <c r="AL159" s="39"/>
      <c r="AM159" s="39">
        <f>AE$153*AI159+SUM(AJ159:AL159)</f>
        <v>0.86760937500000002</v>
      </c>
      <c r="AN159" s="889" t="s">
        <v>371</v>
      </c>
      <c r="AO159" s="889" t="s">
        <v>371</v>
      </c>
      <c r="AP159" s="889" t="s">
        <v>371</v>
      </c>
      <c r="AQ159" s="889" t="s">
        <v>371</v>
      </c>
      <c r="AR159" s="889" t="s">
        <v>92</v>
      </c>
      <c r="AS159" s="889" t="s">
        <v>92</v>
      </c>
      <c r="AT159" s="889" t="s">
        <v>371</v>
      </c>
      <c r="AU159" s="889" t="s">
        <v>371</v>
      </c>
      <c r="AV159" s="889" t="s">
        <v>371</v>
      </c>
      <c r="AW159" s="889" t="s">
        <v>92</v>
      </c>
      <c r="AX159" s="1590" t="s">
        <v>371</v>
      </c>
      <c r="AY159" s="889"/>
      <c r="AZ159" s="139"/>
      <c r="BA159" s="139"/>
      <c r="BB159" s="139"/>
      <c r="BC159" s="139"/>
      <c r="BD159" s="139"/>
      <c r="BE159" s="3"/>
    </row>
    <row r="160" spans="1:57" ht="15" customHeight="1" x14ac:dyDescent="0.4">
      <c r="A160" s="3"/>
      <c r="B160" s="3"/>
      <c r="C160" s="173" t="s">
        <v>408</v>
      </c>
      <c r="D160" s="181"/>
      <c r="E160" s="182"/>
      <c r="F160" s="182"/>
      <c r="G160" s="173"/>
      <c r="H160" s="175"/>
      <c r="I160" s="116" t="s">
        <v>392</v>
      </c>
      <c r="J160" s="116"/>
      <c r="K160" s="116"/>
      <c r="L160" s="116" t="s">
        <v>348</v>
      </c>
      <c r="M160" s="177">
        <v>0.438</v>
      </c>
      <c r="N160" s="177"/>
      <c r="O160" s="177"/>
      <c r="P160" s="178"/>
      <c r="Q160" s="178"/>
      <c r="R160" s="116" t="s">
        <v>352</v>
      </c>
      <c r="S160" s="177">
        <f>SHWidth+M160+O160</f>
        <v>39.000500000000002</v>
      </c>
      <c r="T160" s="116" t="s">
        <v>366</v>
      </c>
      <c r="U160" s="175"/>
      <c r="V160" s="179"/>
      <c r="W160" s="116"/>
      <c r="X160" s="179"/>
      <c r="Y160" s="1449"/>
      <c r="Z160" s="1449"/>
      <c r="AA160" s="1449"/>
      <c r="AB160" s="175"/>
      <c r="AC160" s="116">
        <v>45</v>
      </c>
      <c r="AD160" s="116">
        <v>1</v>
      </c>
      <c r="AE160" s="177">
        <f>S160*AD160/12</f>
        <v>3.2500416666666667</v>
      </c>
      <c r="AF160" s="116" t="s">
        <v>367</v>
      </c>
      <c r="AG160" s="116">
        <f>AG59</f>
        <v>9.4E-2</v>
      </c>
      <c r="AH160" s="177">
        <f>AG160*AtolbperftSH</f>
        <v>5.9454999999999994E-2</v>
      </c>
      <c r="AI160" s="185"/>
      <c r="AJ160" s="185"/>
      <c r="AK160" s="185"/>
      <c r="AL160" s="185"/>
      <c r="AM160" s="180"/>
      <c r="AN160" s="3" t="s">
        <v>371</v>
      </c>
      <c r="AO160" s="3" t="s">
        <v>371</v>
      </c>
      <c r="AP160" s="3" t="s">
        <v>371</v>
      </c>
      <c r="AQ160" s="3" t="s">
        <v>371</v>
      </c>
      <c r="AR160" s="3" t="s">
        <v>92</v>
      </c>
      <c r="AS160" s="3" t="s">
        <v>92</v>
      </c>
      <c r="AT160" s="3" t="s">
        <v>371</v>
      </c>
      <c r="AU160" s="3" t="s">
        <v>371</v>
      </c>
      <c r="AV160" s="3" t="s">
        <v>371</v>
      </c>
      <c r="AW160" s="3" t="s">
        <v>92</v>
      </c>
      <c r="AX160" s="1414" t="s">
        <v>371</v>
      </c>
      <c r="AY160" s="3"/>
      <c r="AZ160" s="139"/>
      <c r="BA160" s="139"/>
      <c r="BB160" s="139"/>
      <c r="BC160" s="139"/>
      <c r="BD160" s="139"/>
      <c r="BE160" s="3"/>
    </row>
    <row r="161" spans="1:57" ht="15" customHeight="1" x14ac:dyDescent="0.4">
      <c r="A161" s="3"/>
      <c r="B161" s="36"/>
      <c r="C161" s="36"/>
      <c r="D161" s="155"/>
      <c r="E161" s="155"/>
      <c r="F161" s="155"/>
      <c r="G161" s="7"/>
      <c r="H161" s="20"/>
      <c r="I161" s="3"/>
      <c r="J161" s="3"/>
      <c r="K161" s="3"/>
      <c r="L161" s="3"/>
      <c r="M161" s="5"/>
      <c r="N161" s="5"/>
      <c r="O161" s="5"/>
      <c r="P161" s="24"/>
      <c r="Q161" s="24"/>
      <c r="R161" s="3"/>
      <c r="S161" s="5"/>
      <c r="T161" s="3"/>
      <c r="U161" s="20"/>
      <c r="V161" s="38" t="s">
        <v>369</v>
      </c>
      <c r="W161" s="3" t="s">
        <v>370</v>
      </c>
      <c r="X161" s="38" t="s">
        <v>369</v>
      </c>
      <c r="Y161" s="1443">
        <v>200178003</v>
      </c>
      <c r="Z161" s="1443"/>
      <c r="AA161" s="1443"/>
      <c r="AB161" s="20"/>
      <c r="AC161" s="3"/>
      <c r="AD161" s="3"/>
      <c r="AE161" s="5"/>
      <c r="AF161" s="3"/>
      <c r="AG161" s="38"/>
      <c r="AH161" s="5"/>
      <c r="AI161" s="51">
        <f t="shared" ref="AI161:AI166" si="29">AI60</f>
        <v>0.10290000000000001</v>
      </c>
      <c r="AJ161" s="39"/>
      <c r="AK161" s="39"/>
      <c r="AL161" s="39"/>
      <c r="AM161" s="39">
        <f>AE$160*AI161+SUM(AJ161:AL161)</f>
        <v>0.33442928750000001</v>
      </c>
      <c r="AN161" s="3" t="s">
        <v>371</v>
      </c>
      <c r="AO161" s="3" t="s">
        <v>371</v>
      </c>
      <c r="AP161" s="3" t="s">
        <v>371</v>
      </c>
      <c r="AQ161" s="3" t="s">
        <v>371</v>
      </c>
      <c r="AR161" s="3" t="s">
        <v>92</v>
      </c>
      <c r="AS161" s="3" t="s">
        <v>92</v>
      </c>
      <c r="AT161" s="3" t="s">
        <v>371</v>
      </c>
      <c r="AU161" s="3" t="s">
        <v>371</v>
      </c>
      <c r="AV161" s="3" t="s">
        <v>371</v>
      </c>
      <c r="AW161" s="3" t="s">
        <v>92</v>
      </c>
      <c r="AX161" s="1414" t="s">
        <v>371</v>
      </c>
      <c r="AY161" s="3"/>
      <c r="AZ161" s="139"/>
      <c r="BA161" s="139"/>
      <c r="BB161" s="139"/>
      <c r="BC161" s="139"/>
      <c r="BD161" s="139"/>
      <c r="BE161" s="3"/>
    </row>
    <row r="162" spans="1:57" ht="15" customHeight="1" x14ac:dyDescent="0.4">
      <c r="A162" s="3"/>
      <c r="B162" s="36"/>
      <c r="C162" s="36"/>
      <c r="D162" s="155"/>
      <c r="E162" s="155"/>
      <c r="F162" s="155"/>
      <c r="G162" s="7"/>
      <c r="H162" s="20"/>
      <c r="I162" s="3"/>
      <c r="J162" s="3"/>
      <c r="K162" s="3"/>
      <c r="L162" s="3"/>
      <c r="M162" s="5"/>
      <c r="N162" s="5"/>
      <c r="O162" s="5"/>
      <c r="P162" s="24"/>
      <c r="Q162" s="24"/>
      <c r="R162" s="3"/>
      <c r="S162" s="5"/>
      <c r="T162" s="3"/>
      <c r="U162" s="20"/>
      <c r="V162" s="38" t="s">
        <v>369</v>
      </c>
      <c r="W162" s="3" t="s">
        <v>372</v>
      </c>
      <c r="X162" s="38" t="s">
        <v>369</v>
      </c>
      <c r="Y162" s="1443">
        <v>200178021</v>
      </c>
      <c r="Z162" s="1443"/>
      <c r="AA162" s="1443"/>
      <c r="AB162" s="20"/>
      <c r="AC162" s="3"/>
      <c r="AD162" s="3"/>
      <c r="AE162" s="5"/>
      <c r="AF162" s="3"/>
      <c r="AG162" s="3"/>
      <c r="AH162" s="5"/>
      <c r="AI162" s="51">
        <f t="shared" si="29"/>
        <v>0.112</v>
      </c>
      <c r="AJ162" s="39"/>
      <c r="AK162" s="39"/>
      <c r="AL162" s="39"/>
      <c r="AM162" s="39">
        <f t="shared" ref="AM162:AM163" si="30">AE$160*AI162+SUM(AJ162:AL162)</f>
        <v>0.3640046666666667</v>
      </c>
      <c r="AN162" s="3" t="s">
        <v>371</v>
      </c>
      <c r="AO162" s="3" t="s">
        <v>371</v>
      </c>
      <c r="AP162" s="3" t="s">
        <v>371</v>
      </c>
      <c r="AQ162" s="3" t="s">
        <v>371</v>
      </c>
      <c r="AR162" s="3" t="s">
        <v>92</v>
      </c>
      <c r="AS162" s="3" t="s">
        <v>92</v>
      </c>
      <c r="AT162" s="3" t="s">
        <v>371</v>
      </c>
      <c r="AU162" s="3" t="s">
        <v>371</v>
      </c>
      <c r="AV162" s="3" t="s">
        <v>371</v>
      </c>
      <c r="AW162" s="3" t="s">
        <v>92</v>
      </c>
      <c r="AX162" s="1414" t="s">
        <v>371</v>
      </c>
      <c r="AY162" s="3"/>
      <c r="AZ162" s="139"/>
      <c r="BA162" s="139"/>
      <c r="BB162" s="139"/>
      <c r="BC162" s="139"/>
      <c r="BD162" s="139"/>
      <c r="BE162" s="3"/>
    </row>
    <row r="163" spans="1:57" ht="15" customHeight="1" x14ac:dyDescent="0.4">
      <c r="A163" s="3"/>
      <c r="B163" s="36"/>
      <c r="C163" s="36"/>
      <c r="D163" s="155"/>
      <c r="E163" s="155"/>
      <c r="F163" s="155"/>
      <c r="G163" s="7"/>
      <c r="H163" s="20"/>
      <c r="I163" s="3"/>
      <c r="J163" s="3"/>
      <c r="K163" s="3"/>
      <c r="L163" s="3"/>
      <c r="M163" s="5"/>
      <c r="N163" s="5"/>
      <c r="O163" s="5"/>
      <c r="P163" s="24"/>
      <c r="Q163" s="24"/>
      <c r="R163" s="3"/>
      <c r="S163" s="5"/>
      <c r="T163" s="3"/>
      <c r="U163" s="20"/>
      <c r="V163" s="38" t="s">
        <v>369</v>
      </c>
      <c r="W163" s="3" t="s">
        <v>373</v>
      </c>
      <c r="X163" s="38" t="s">
        <v>369</v>
      </c>
      <c r="Y163" s="1443">
        <v>200178033</v>
      </c>
      <c r="Z163" s="1443"/>
      <c r="AA163" s="1443"/>
      <c r="AB163" s="20"/>
      <c r="AC163" s="3"/>
      <c r="AD163" s="3"/>
      <c r="AE163" s="5"/>
      <c r="AF163" s="3"/>
      <c r="AG163" s="3"/>
      <c r="AH163" s="5"/>
      <c r="AI163" s="51">
        <f t="shared" si="29"/>
        <v>0.1135</v>
      </c>
      <c r="AJ163" s="39"/>
      <c r="AK163" s="39"/>
      <c r="AL163" s="39"/>
      <c r="AM163" s="39">
        <f t="shared" si="30"/>
        <v>0.36887972916666667</v>
      </c>
      <c r="AN163" s="3" t="s">
        <v>371</v>
      </c>
      <c r="AO163" s="3" t="s">
        <v>371</v>
      </c>
      <c r="AP163" s="3" t="s">
        <v>371</v>
      </c>
      <c r="AQ163" s="3" t="s">
        <v>371</v>
      </c>
      <c r="AR163" s="3" t="s">
        <v>92</v>
      </c>
      <c r="AS163" s="3" t="s">
        <v>92</v>
      </c>
      <c r="AT163" s="3" t="s">
        <v>371</v>
      </c>
      <c r="AU163" s="3" t="s">
        <v>371</v>
      </c>
      <c r="AV163" s="3" t="s">
        <v>371</v>
      </c>
      <c r="AW163" s="3" t="s">
        <v>92</v>
      </c>
      <c r="AX163" s="1414" t="s">
        <v>371</v>
      </c>
      <c r="AY163" s="3"/>
      <c r="AZ163" s="139"/>
      <c r="BA163" s="139"/>
      <c r="BB163" s="139"/>
      <c r="BC163" s="139"/>
      <c r="BD163" s="139"/>
      <c r="BE163" s="3"/>
    </row>
    <row r="164" spans="1:57" ht="15" customHeight="1" x14ac:dyDescent="0.4">
      <c r="A164" s="3"/>
      <c r="B164" s="36"/>
      <c r="C164" s="36"/>
      <c r="D164" s="155"/>
      <c r="E164" s="155"/>
      <c r="F164" s="155"/>
      <c r="G164" s="7"/>
      <c r="H164" s="20"/>
      <c r="I164" s="3"/>
      <c r="J164" s="3"/>
      <c r="K164" s="3"/>
      <c r="L164" s="3"/>
      <c r="M164" s="5"/>
      <c r="N164" s="5"/>
      <c r="O164" s="5"/>
      <c r="P164" s="24"/>
      <c r="Q164" s="24"/>
      <c r="R164" s="3"/>
      <c r="S164" s="5"/>
      <c r="T164" s="3"/>
      <c r="U164" s="20"/>
      <c r="V164" s="38" t="s">
        <v>369</v>
      </c>
      <c r="W164" s="3" t="s">
        <v>374</v>
      </c>
      <c r="X164" s="38" t="s">
        <v>369</v>
      </c>
      <c r="Y164" s="1443">
        <v>200178090</v>
      </c>
      <c r="Z164" s="1443"/>
      <c r="AA164" s="1443"/>
      <c r="AB164" s="20"/>
      <c r="AC164" s="3"/>
      <c r="AD164" s="3"/>
      <c r="AE164" s="5"/>
      <c r="AF164" s="3"/>
      <c r="AG164" s="3"/>
      <c r="AH164" s="5"/>
      <c r="AI164" s="51">
        <f t="shared" si="29"/>
        <v>0.22839999999999999</v>
      </c>
      <c r="AJ164" s="39"/>
      <c r="AK164" s="39"/>
      <c r="AL164" s="39"/>
      <c r="AM164" s="39">
        <f>AE$160*AI164+SUM(AJ164:AL164)</f>
        <v>0.74230951666666667</v>
      </c>
      <c r="AN164" s="3" t="s">
        <v>371</v>
      </c>
      <c r="AO164" s="3" t="s">
        <v>371</v>
      </c>
      <c r="AP164" s="3" t="s">
        <v>371</v>
      </c>
      <c r="AQ164" s="3" t="s">
        <v>371</v>
      </c>
      <c r="AR164" s="3" t="s">
        <v>92</v>
      </c>
      <c r="AS164" s="3" t="s">
        <v>92</v>
      </c>
      <c r="AT164" s="3" t="s">
        <v>371</v>
      </c>
      <c r="AU164" s="3" t="s">
        <v>371</v>
      </c>
      <c r="AV164" s="3" t="s">
        <v>371</v>
      </c>
      <c r="AW164" s="3" t="s">
        <v>92</v>
      </c>
      <c r="AX164" s="1414" t="s">
        <v>371</v>
      </c>
      <c r="AY164" s="3"/>
      <c r="AZ164" s="139"/>
      <c r="BA164" s="139"/>
      <c r="BB164" s="139"/>
      <c r="BC164" s="139"/>
      <c r="BD164" s="139"/>
      <c r="BE164" s="3"/>
    </row>
    <row r="165" spans="1:57" ht="15" customHeight="1" x14ac:dyDescent="0.4">
      <c r="A165" s="3"/>
      <c r="B165" s="36"/>
      <c r="C165" s="36"/>
      <c r="D165" s="155"/>
      <c r="E165" s="155"/>
      <c r="F165" s="155"/>
      <c r="G165" s="7"/>
      <c r="H165" s="20"/>
      <c r="I165" s="3"/>
      <c r="J165" s="3"/>
      <c r="K165" s="3"/>
      <c r="L165" s="3"/>
      <c r="M165" s="5"/>
      <c r="N165" s="5"/>
      <c r="O165" s="5"/>
      <c r="P165" s="24"/>
      <c r="Q165" s="24"/>
      <c r="R165" s="3"/>
      <c r="S165" s="5"/>
      <c r="T165" s="3"/>
      <c r="U165" s="20"/>
      <c r="V165" s="38" t="s">
        <v>369</v>
      </c>
      <c r="W165" s="3" t="s">
        <v>375</v>
      </c>
      <c r="X165" s="38" t="s">
        <v>369</v>
      </c>
      <c r="Y165" s="1443">
        <v>200178133</v>
      </c>
      <c r="Z165" s="1443"/>
      <c r="AA165" s="1443"/>
      <c r="AB165" s="20"/>
      <c r="AC165" s="3"/>
      <c r="AD165" s="3"/>
      <c r="AE165" s="5"/>
      <c r="AF165" s="3"/>
      <c r="AG165" s="3"/>
      <c r="AH165" s="5"/>
      <c r="AI165" s="51">
        <f t="shared" si="29"/>
        <v>0.254</v>
      </c>
      <c r="AJ165" s="39"/>
      <c r="AK165" s="39"/>
      <c r="AL165" s="39"/>
      <c r="AM165" s="39">
        <f t="shared" ref="AM165" si="31">AE$160*AI165+SUM(AJ165:AL165)</f>
        <v>0.82551058333333338</v>
      </c>
      <c r="AN165" s="3" t="s">
        <v>371</v>
      </c>
      <c r="AO165" s="3" t="s">
        <v>371</v>
      </c>
      <c r="AP165" s="3" t="s">
        <v>371</v>
      </c>
      <c r="AQ165" s="3" t="s">
        <v>371</v>
      </c>
      <c r="AR165" s="3" t="s">
        <v>92</v>
      </c>
      <c r="AS165" s="3" t="s">
        <v>92</v>
      </c>
      <c r="AT165" s="3" t="s">
        <v>371</v>
      </c>
      <c r="AU165" s="3" t="s">
        <v>371</v>
      </c>
      <c r="AV165" s="3" t="s">
        <v>371</v>
      </c>
      <c r="AW165" s="3" t="s">
        <v>92</v>
      </c>
      <c r="AX165" s="1414" t="s">
        <v>371</v>
      </c>
      <c r="AY165" s="3"/>
      <c r="AZ165" s="139"/>
      <c r="BA165" s="139"/>
      <c r="BB165" s="139"/>
      <c r="BC165" s="139"/>
      <c r="BD165" s="139"/>
      <c r="BE165" s="3"/>
    </row>
    <row r="166" spans="1:57" ht="15" customHeight="1" thickBot="1" x14ac:dyDescent="0.45">
      <c r="A166" s="3"/>
      <c r="B166" s="36"/>
      <c r="C166" s="36"/>
      <c r="D166" s="155"/>
      <c r="E166" s="155"/>
      <c r="F166" s="155"/>
      <c r="G166" s="7"/>
      <c r="H166" s="20"/>
      <c r="I166" s="3"/>
      <c r="J166" s="3"/>
      <c r="K166" s="3"/>
      <c r="L166" s="3"/>
      <c r="M166" s="5"/>
      <c r="N166" s="5"/>
      <c r="O166" s="5"/>
      <c r="P166" s="24"/>
      <c r="Q166" s="24"/>
      <c r="R166" s="3"/>
      <c r="S166" s="5"/>
      <c r="T166" s="3"/>
      <c r="U166" s="20"/>
      <c r="V166" s="279" t="s">
        <v>369</v>
      </c>
      <c r="W166" s="112" t="s">
        <v>1849</v>
      </c>
      <c r="X166" s="279" t="s">
        <v>369</v>
      </c>
      <c r="Y166" s="1871">
        <v>200178148</v>
      </c>
      <c r="Z166" s="1443"/>
      <c r="AA166" s="1443"/>
      <c r="AB166" s="20"/>
      <c r="AC166" s="3"/>
      <c r="AD166" s="3"/>
      <c r="AE166" s="5"/>
      <c r="AF166" s="3"/>
      <c r="AG166" s="3"/>
      <c r="AH166" s="5"/>
      <c r="AI166" s="51">
        <f t="shared" si="29"/>
        <v>0.23</v>
      </c>
      <c r="AJ166" s="39"/>
      <c r="AK166" s="39"/>
      <c r="AL166" s="39"/>
      <c r="AM166" s="39">
        <f>AE$160*AI166+SUM(AJ166:AL166)</f>
        <v>0.74750958333333339</v>
      </c>
      <c r="AN166" s="889" t="s">
        <v>371</v>
      </c>
      <c r="AO166" s="889" t="s">
        <v>371</v>
      </c>
      <c r="AP166" s="889" t="s">
        <v>371</v>
      </c>
      <c r="AQ166" s="889" t="s">
        <v>371</v>
      </c>
      <c r="AR166" s="889" t="s">
        <v>92</v>
      </c>
      <c r="AS166" s="889" t="s">
        <v>92</v>
      </c>
      <c r="AT166" s="889" t="s">
        <v>371</v>
      </c>
      <c r="AU166" s="889" t="s">
        <v>371</v>
      </c>
      <c r="AV166" s="889" t="s">
        <v>371</v>
      </c>
      <c r="AW166" s="889" t="s">
        <v>92</v>
      </c>
      <c r="AX166" s="1590" t="s">
        <v>371</v>
      </c>
      <c r="AY166" s="889"/>
      <c r="AZ166" s="139"/>
      <c r="BA166" s="139"/>
      <c r="BB166" s="139"/>
      <c r="BC166" s="139"/>
      <c r="BD166" s="139"/>
      <c r="BE166" s="3"/>
    </row>
    <row r="167" spans="1:57" ht="15" customHeight="1" x14ac:dyDescent="0.4">
      <c r="A167" s="3" t="s">
        <v>409</v>
      </c>
      <c r="B167" s="36"/>
      <c r="C167" s="173" t="s">
        <v>410</v>
      </c>
      <c r="D167" s="116"/>
      <c r="E167" s="116"/>
      <c r="F167" s="174"/>
      <c r="G167" s="173"/>
      <c r="H167" s="175"/>
      <c r="I167" s="116" t="s">
        <v>392</v>
      </c>
      <c r="J167" s="116"/>
      <c r="K167" s="116"/>
      <c r="L167" s="116" t="s">
        <v>348</v>
      </c>
      <c r="M167" s="177">
        <v>3.9375</v>
      </c>
      <c r="N167" s="177"/>
      <c r="O167" s="177"/>
      <c r="P167" s="177"/>
      <c r="Q167" s="177"/>
      <c r="R167" s="116" t="s">
        <v>352</v>
      </c>
      <c r="S167" s="177">
        <f>SHWidth+M167+O167</f>
        <v>42.5</v>
      </c>
      <c r="T167" s="116" t="s">
        <v>366</v>
      </c>
      <c r="U167" s="175"/>
      <c r="V167" s="173"/>
      <c r="W167" s="173"/>
      <c r="X167" s="173"/>
      <c r="Y167" s="1449"/>
      <c r="Z167" s="1449"/>
      <c r="AA167" s="1449"/>
      <c r="AB167" s="175"/>
      <c r="AC167" s="116">
        <v>45</v>
      </c>
      <c r="AD167" s="116">
        <v>1</v>
      </c>
      <c r="AE167" s="177">
        <f>S167*AD167/12</f>
        <v>3.5416666666666665</v>
      </c>
      <c r="AF167" s="116" t="s">
        <v>367</v>
      </c>
      <c r="AG167" s="179">
        <v>0.34599999999999997</v>
      </c>
      <c r="AH167" s="177">
        <f>AG167*AtolbperftSH</f>
        <v>0.21884499999999996</v>
      </c>
      <c r="AI167" s="185"/>
      <c r="AJ167" s="185"/>
      <c r="AK167" s="185"/>
      <c r="AL167" s="185"/>
      <c r="AM167" s="180"/>
      <c r="AN167" s="3" t="s">
        <v>371</v>
      </c>
      <c r="AO167" s="3" t="s">
        <v>371</v>
      </c>
      <c r="AP167" s="3" t="s">
        <v>371</v>
      </c>
      <c r="AQ167" s="3" t="s">
        <v>371</v>
      </c>
      <c r="AR167" s="3" t="s">
        <v>92</v>
      </c>
      <c r="AS167" s="3" t="s">
        <v>92</v>
      </c>
      <c r="AT167" s="3" t="s">
        <v>371</v>
      </c>
      <c r="AU167" s="3" t="s">
        <v>371</v>
      </c>
      <c r="AV167" s="3" t="s">
        <v>371</v>
      </c>
      <c r="AW167" s="3" t="s">
        <v>92</v>
      </c>
      <c r="AX167" s="1414" t="s">
        <v>371</v>
      </c>
      <c r="AY167" s="3"/>
      <c r="AZ167" s="139"/>
      <c r="BA167" s="139"/>
      <c r="BB167" s="139"/>
      <c r="BC167" s="139"/>
      <c r="BD167" s="139"/>
      <c r="BE167" s="3"/>
    </row>
    <row r="168" spans="1:57" ht="15" customHeight="1" x14ac:dyDescent="0.4">
      <c r="A168" s="3"/>
      <c r="B168" s="36"/>
      <c r="C168" s="36"/>
      <c r="D168" s="36"/>
      <c r="E168" s="155"/>
      <c r="F168" s="155"/>
      <c r="G168" s="7"/>
      <c r="H168" s="20"/>
      <c r="I168" s="3"/>
      <c r="J168" s="3"/>
      <c r="K168" s="3"/>
      <c r="L168" s="3"/>
      <c r="M168" s="5"/>
      <c r="N168" s="5"/>
      <c r="O168" s="5"/>
      <c r="P168" s="24"/>
      <c r="Q168" s="24"/>
      <c r="R168" s="3"/>
      <c r="S168" s="5"/>
      <c r="T168" s="3"/>
      <c r="U168" s="20"/>
      <c r="V168" s="38" t="s">
        <v>369</v>
      </c>
      <c r="W168" s="3" t="s">
        <v>370</v>
      </c>
      <c r="X168" s="38" t="s">
        <v>369</v>
      </c>
      <c r="Y168" s="1443">
        <v>200174003</v>
      </c>
      <c r="Z168" s="1443"/>
      <c r="AA168" s="1443"/>
      <c r="AB168" s="20"/>
      <c r="AC168" s="3"/>
      <c r="AD168" s="3"/>
      <c r="AE168" s="5"/>
      <c r="AF168" s="3"/>
      <c r="AG168" s="38"/>
      <c r="AH168" s="5"/>
      <c r="AI168" s="353">
        <v>0.25740000000000002</v>
      </c>
      <c r="AJ168" s="39"/>
      <c r="AK168" s="39"/>
      <c r="AL168" s="39"/>
      <c r="AM168" s="39">
        <f>AE$167*AI168+SUM(AJ168:AL168)</f>
        <v>0.91162500000000002</v>
      </c>
      <c r="AN168" s="3" t="s">
        <v>371</v>
      </c>
      <c r="AO168" s="3" t="s">
        <v>371</v>
      </c>
      <c r="AP168" s="3" t="s">
        <v>371</v>
      </c>
      <c r="AQ168" s="3" t="s">
        <v>371</v>
      </c>
      <c r="AR168" s="3" t="s">
        <v>92</v>
      </c>
      <c r="AS168" s="3" t="s">
        <v>92</v>
      </c>
      <c r="AT168" s="3" t="s">
        <v>371</v>
      </c>
      <c r="AU168" s="3" t="s">
        <v>371</v>
      </c>
      <c r="AV168" s="3" t="s">
        <v>371</v>
      </c>
      <c r="AW168" s="3" t="s">
        <v>92</v>
      </c>
      <c r="AX168" s="1414" t="s">
        <v>371</v>
      </c>
      <c r="AY168" s="3"/>
      <c r="AZ168" s="139"/>
      <c r="BA168" s="139"/>
      <c r="BB168" s="139"/>
      <c r="BC168" s="139"/>
      <c r="BD168" s="139"/>
      <c r="BE168" s="3"/>
    </row>
    <row r="169" spans="1:57" ht="15" customHeight="1" x14ac:dyDescent="0.4">
      <c r="A169" s="3"/>
      <c r="B169" s="4"/>
      <c r="C169" s="36"/>
      <c r="D169" s="36"/>
      <c r="E169" s="155"/>
      <c r="F169" s="155"/>
      <c r="G169" s="7"/>
      <c r="H169" s="20"/>
      <c r="I169" s="3"/>
      <c r="J169" s="3"/>
      <c r="K169" s="3"/>
      <c r="L169" s="3"/>
      <c r="M169" s="5"/>
      <c r="N169" s="5"/>
      <c r="O169" s="5"/>
      <c r="P169" s="24"/>
      <c r="Q169" s="24"/>
      <c r="R169" s="3"/>
      <c r="S169" s="5"/>
      <c r="T169" s="3"/>
      <c r="U169" s="20"/>
      <c r="V169" s="38" t="s">
        <v>369</v>
      </c>
      <c r="W169" s="3" t="s">
        <v>372</v>
      </c>
      <c r="X169" s="38" t="s">
        <v>369</v>
      </c>
      <c r="Y169" s="1443">
        <v>200174021</v>
      </c>
      <c r="Z169" s="1443"/>
      <c r="AA169" s="1443"/>
      <c r="AB169" s="20"/>
      <c r="AC169" s="3"/>
      <c r="AD169" s="3"/>
      <c r="AE169" s="5"/>
      <c r="AF169" s="3"/>
      <c r="AG169" s="3"/>
      <c r="AH169" s="5"/>
      <c r="AI169" s="353">
        <v>0.24299999999999999</v>
      </c>
      <c r="AJ169" s="39"/>
      <c r="AK169" s="39"/>
      <c r="AL169" s="39"/>
      <c r="AM169" s="39">
        <f t="shared" ref="AM169:AM173" si="32">AE$167*AI169+SUM(AJ169:AL169)</f>
        <v>0.86062499999999997</v>
      </c>
      <c r="AN169" s="3" t="s">
        <v>371</v>
      </c>
      <c r="AO169" s="3" t="s">
        <v>371</v>
      </c>
      <c r="AP169" s="3" t="s">
        <v>371</v>
      </c>
      <c r="AQ169" s="3" t="s">
        <v>371</v>
      </c>
      <c r="AR169" s="3" t="s">
        <v>92</v>
      </c>
      <c r="AS169" s="3" t="s">
        <v>92</v>
      </c>
      <c r="AT169" s="3" t="s">
        <v>371</v>
      </c>
      <c r="AU169" s="3" t="s">
        <v>371</v>
      </c>
      <c r="AV169" s="3" t="s">
        <v>371</v>
      </c>
      <c r="AW169" s="3" t="s">
        <v>92</v>
      </c>
      <c r="AX169" s="1414" t="s">
        <v>371</v>
      </c>
      <c r="AY169" s="3"/>
      <c r="AZ169" s="139"/>
      <c r="BA169" s="139"/>
      <c r="BB169" s="139"/>
      <c r="BC169" s="139"/>
      <c r="BD169" s="139"/>
      <c r="BE169" s="3"/>
    </row>
    <row r="170" spans="1:57" ht="15" customHeight="1" x14ac:dyDescent="0.4">
      <c r="A170" s="3"/>
      <c r="B170" s="4"/>
      <c r="C170" s="36"/>
      <c r="D170" s="36"/>
      <c r="E170" s="155"/>
      <c r="F170" s="155"/>
      <c r="G170" s="7"/>
      <c r="H170" s="20"/>
      <c r="I170" s="3"/>
      <c r="J170" s="3"/>
      <c r="K170" s="3"/>
      <c r="L170" s="3"/>
      <c r="M170" s="5"/>
      <c r="N170" s="5"/>
      <c r="O170" s="5"/>
      <c r="P170" s="24"/>
      <c r="Q170" s="24"/>
      <c r="R170" s="3"/>
      <c r="S170" s="5"/>
      <c r="T170" s="3"/>
      <c r="U170" s="20"/>
      <c r="V170" s="38" t="s">
        <v>369</v>
      </c>
      <c r="W170" s="3" t="s">
        <v>373</v>
      </c>
      <c r="X170" s="38" t="s">
        <v>369</v>
      </c>
      <c r="Y170" s="1443">
        <v>200174033</v>
      </c>
      <c r="Z170" s="1443"/>
      <c r="AA170" s="1443"/>
      <c r="AB170" s="20"/>
      <c r="AC170" s="3"/>
      <c r="AD170" s="3"/>
      <c r="AE170" s="5"/>
      <c r="AF170" s="3"/>
      <c r="AG170" s="3"/>
      <c r="AH170" s="5"/>
      <c r="AI170" s="353">
        <v>0.26300000000000001</v>
      </c>
      <c r="AJ170" s="39"/>
      <c r="AK170" s="39"/>
      <c r="AL170" s="39"/>
      <c r="AM170" s="39">
        <f t="shared" si="32"/>
        <v>0.93145833333333339</v>
      </c>
      <c r="AN170" s="3" t="s">
        <v>371</v>
      </c>
      <c r="AO170" s="3" t="s">
        <v>371</v>
      </c>
      <c r="AP170" s="3" t="s">
        <v>371</v>
      </c>
      <c r="AQ170" s="3" t="s">
        <v>371</v>
      </c>
      <c r="AR170" s="3" t="s">
        <v>92</v>
      </c>
      <c r="AS170" s="3" t="s">
        <v>92</v>
      </c>
      <c r="AT170" s="3" t="s">
        <v>371</v>
      </c>
      <c r="AU170" s="3" t="s">
        <v>371</v>
      </c>
      <c r="AV170" s="3" t="s">
        <v>371</v>
      </c>
      <c r="AW170" s="3" t="s">
        <v>92</v>
      </c>
      <c r="AX170" s="1414" t="s">
        <v>371</v>
      </c>
      <c r="AY170" s="3"/>
      <c r="AZ170" s="139"/>
      <c r="BA170" s="139"/>
      <c r="BB170" s="139"/>
      <c r="BC170" s="139"/>
      <c r="BD170" s="139"/>
      <c r="BE170" s="3"/>
    </row>
    <row r="171" spans="1:57" ht="15" customHeight="1" x14ac:dyDescent="0.4">
      <c r="A171" s="3"/>
      <c r="B171" s="4"/>
      <c r="C171" s="36"/>
      <c r="D171" s="36"/>
      <c r="E171" s="155"/>
      <c r="F171" s="155"/>
      <c r="G171" s="7"/>
      <c r="H171" s="20"/>
      <c r="I171" s="3"/>
      <c r="J171" s="3"/>
      <c r="K171" s="3"/>
      <c r="L171" s="3"/>
      <c r="M171" s="5"/>
      <c r="N171" s="5"/>
      <c r="O171" s="5"/>
      <c r="P171" s="24"/>
      <c r="Q171" s="24"/>
      <c r="R171" s="3"/>
      <c r="S171" s="5"/>
      <c r="T171" s="3"/>
      <c r="U171" s="20"/>
      <c r="V171" s="3" t="s">
        <v>2363</v>
      </c>
      <c r="W171" s="3" t="s">
        <v>370</v>
      </c>
      <c r="X171" s="38" t="s">
        <v>369</v>
      </c>
      <c r="Y171" s="1443">
        <v>200174127</v>
      </c>
      <c r="Z171" s="1443"/>
      <c r="AA171" s="1443"/>
      <c r="AB171" s="20"/>
      <c r="AC171" s="3"/>
      <c r="AD171" s="3"/>
      <c r="AE171" s="5"/>
      <c r="AF171" s="3"/>
      <c r="AG171" s="3"/>
      <c r="AH171" s="5"/>
      <c r="AI171" s="353">
        <v>0.35270000000000001</v>
      </c>
      <c r="AJ171" s="39"/>
      <c r="AK171" s="39"/>
      <c r="AL171" s="39"/>
      <c r="AM171" s="39">
        <f>AE$167*AI171+SUM(AJ171:AL171)</f>
        <v>1.2491458333333334</v>
      </c>
      <c r="AN171" s="3" t="s">
        <v>371</v>
      </c>
      <c r="AO171" s="3" t="s">
        <v>371</v>
      </c>
      <c r="AP171" s="3" t="s">
        <v>371</v>
      </c>
      <c r="AQ171" s="3" t="s">
        <v>371</v>
      </c>
      <c r="AR171" s="3" t="s">
        <v>92</v>
      </c>
      <c r="AS171" s="3" t="s">
        <v>92</v>
      </c>
      <c r="AT171" s="3" t="s">
        <v>371</v>
      </c>
      <c r="AU171" s="3" t="s">
        <v>371</v>
      </c>
      <c r="AV171" s="3" t="s">
        <v>371</v>
      </c>
      <c r="AW171" s="3" t="s">
        <v>92</v>
      </c>
      <c r="AX171" s="1414" t="s">
        <v>371</v>
      </c>
      <c r="AY171" s="3"/>
      <c r="AZ171" s="139"/>
      <c r="BA171" s="139"/>
      <c r="BB171" s="139"/>
      <c r="BC171" s="139"/>
      <c r="BD171" s="139"/>
      <c r="BE171" s="3"/>
    </row>
    <row r="172" spans="1:57" ht="15" customHeight="1" x14ac:dyDescent="0.4">
      <c r="A172" s="3"/>
      <c r="B172" s="4"/>
      <c r="C172" s="36"/>
      <c r="D172" s="36"/>
      <c r="E172" s="155"/>
      <c r="F172" s="155"/>
      <c r="G172" s="7"/>
      <c r="H172" s="20"/>
      <c r="I172" s="3"/>
      <c r="J172" s="3"/>
      <c r="K172" s="3"/>
      <c r="L172" s="3"/>
      <c r="M172" s="5"/>
      <c r="N172" s="5"/>
      <c r="O172" s="5"/>
      <c r="P172" s="24"/>
      <c r="Q172" s="24"/>
      <c r="R172" s="3"/>
      <c r="S172" s="5"/>
      <c r="T172" s="3"/>
      <c r="U172" s="20"/>
      <c r="V172" s="38" t="s">
        <v>2365</v>
      </c>
      <c r="W172" s="3" t="s">
        <v>370</v>
      </c>
      <c r="X172" s="38" t="s">
        <v>369</v>
      </c>
      <c r="Y172" s="1443">
        <v>200174180</v>
      </c>
      <c r="Z172" s="1443"/>
      <c r="AA172" s="1443"/>
      <c r="AB172" s="20"/>
      <c r="AC172" s="3"/>
      <c r="AD172" s="3"/>
      <c r="AE172" s="5"/>
      <c r="AF172" s="3"/>
      <c r="AG172" s="3"/>
      <c r="AH172" s="5"/>
      <c r="AI172" s="353">
        <v>0.36459999999999998</v>
      </c>
      <c r="AJ172" s="39"/>
      <c r="AK172" s="39"/>
      <c r="AL172" s="39"/>
      <c r="AM172" s="39">
        <f t="shared" ref="AM172" si="33">AE$167*AI172+SUM(AJ172:AL172)</f>
        <v>1.2912916666666665</v>
      </c>
      <c r="AN172" s="3" t="s">
        <v>371</v>
      </c>
      <c r="AO172" s="3" t="s">
        <v>371</v>
      </c>
      <c r="AP172" s="3" t="s">
        <v>371</v>
      </c>
      <c r="AQ172" s="3" t="s">
        <v>371</v>
      </c>
      <c r="AR172" s="3" t="s">
        <v>92</v>
      </c>
      <c r="AS172" s="3" t="s">
        <v>92</v>
      </c>
      <c r="AT172" s="3" t="s">
        <v>371</v>
      </c>
      <c r="AU172" s="3" t="s">
        <v>371</v>
      </c>
      <c r="AV172" s="3" t="s">
        <v>371</v>
      </c>
      <c r="AW172" s="3" t="s">
        <v>92</v>
      </c>
      <c r="AX172" s="1414" t="s">
        <v>371</v>
      </c>
      <c r="AY172" s="3"/>
      <c r="AZ172" s="139"/>
      <c r="BA172" s="139"/>
      <c r="BB172" s="139"/>
      <c r="BC172" s="139"/>
      <c r="BD172" s="139"/>
      <c r="BE172" s="3"/>
    </row>
    <row r="173" spans="1:57" ht="15" customHeight="1" thickBot="1" x14ac:dyDescent="0.45">
      <c r="A173" s="3"/>
      <c r="B173" s="4"/>
      <c r="C173" s="943"/>
      <c r="D173" s="943"/>
      <c r="E173" s="925"/>
      <c r="F173" s="925"/>
      <c r="G173" s="924"/>
      <c r="H173" s="887"/>
      <c r="I173" s="889"/>
      <c r="J173" s="889"/>
      <c r="K173" s="889"/>
      <c r="L173" s="889"/>
      <c r="M173" s="945"/>
      <c r="N173" s="945"/>
      <c r="O173" s="945"/>
      <c r="P173" s="1020"/>
      <c r="Q173" s="1020"/>
      <c r="R173" s="889"/>
      <c r="S173" s="945"/>
      <c r="T173" s="889"/>
      <c r="U173" s="887"/>
      <c r="V173" s="112" t="s">
        <v>2367</v>
      </c>
      <c r="W173" s="112" t="s">
        <v>370</v>
      </c>
      <c r="X173" s="279" t="s">
        <v>369</v>
      </c>
      <c r="Y173" s="1871">
        <v>200174152</v>
      </c>
      <c r="Z173" s="1443"/>
      <c r="AA173" s="1443"/>
      <c r="AB173" s="20"/>
      <c r="AC173" s="3"/>
      <c r="AD173" s="3"/>
      <c r="AE173" s="5"/>
      <c r="AF173" s="3"/>
      <c r="AG173" s="3"/>
      <c r="AH173" s="5"/>
      <c r="AI173" s="353">
        <v>0.33739999999999998</v>
      </c>
      <c r="AJ173" s="39"/>
      <c r="AK173" s="39"/>
      <c r="AL173" s="39"/>
      <c r="AM173" s="39">
        <f t="shared" si="32"/>
        <v>1.1949583333333331</v>
      </c>
      <c r="AN173" s="889" t="s">
        <v>371</v>
      </c>
      <c r="AO173" s="889" t="s">
        <v>371</v>
      </c>
      <c r="AP173" s="889" t="s">
        <v>371</v>
      </c>
      <c r="AQ173" s="889" t="s">
        <v>371</v>
      </c>
      <c r="AR173" s="889" t="s">
        <v>92</v>
      </c>
      <c r="AS173" s="889" t="s">
        <v>92</v>
      </c>
      <c r="AT173" s="889" t="s">
        <v>371</v>
      </c>
      <c r="AU173" s="889" t="s">
        <v>371</v>
      </c>
      <c r="AV173" s="889" t="s">
        <v>371</v>
      </c>
      <c r="AW173" s="889" t="s">
        <v>92</v>
      </c>
      <c r="AX173" s="1590" t="s">
        <v>371</v>
      </c>
      <c r="AY173" s="889"/>
      <c r="AZ173" s="139"/>
      <c r="BA173" s="139"/>
      <c r="BB173" s="139"/>
      <c r="BC173" s="139"/>
      <c r="BD173" s="139"/>
      <c r="BE173" s="3"/>
    </row>
    <row r="174" spans="1:57" ht="15" customHeight="1" x14ac:dyDescent="0.4">
      <c r="A174" s="3"/>
      <c r="B174" s="4"/>
      <c r="C174" s="36" t="s">
        <v>411</v>
      </c>
      <c r="D174" s="36"/>
      <c r="E174" s="447"/>
      <c r="F174" s="155"/>
      <c r="G174" s="7"/>
      <c r="H174" s="20"/>
      <c r="I174" s="3"/>
      <c r="J174" s="3"/>
      <c r="K174" s="3"/>
      <c r="L174" s="3"/>
      <c r="M174" s="5"/>
      <c r="N174" s="5"/>
      <c r="O174" s="5"/>
      <c r="P174" s="5"/>
      <c r="Q174" s="5"/>
      <c r="R174" s="3"/>
      <c r="S174" s="56">
        <v>1</v>
      </c>
      <c r="T174" s="3" t="s">
        <v>385</v>
      </c>
      <c r="U174" s="20"/>
      <c r="V174" s="173"/>
      <c r="W174" s="173"/>
      <c r="X174" s="173"/>
      <c r="Y174" s="1449"/>
      <c r="Z174" s="1449"/>
      <c r="AA174" s="1449"/>
      <c r="AB174" s="175"/>
      <c r="AC174" s="116">
        <v>45</v>
      </c>
      <c r="AD174" s="116">
        <v>2</v>
      </c>
      <c r="AE174" s="198">
        <f>S174*AD174</f>
        <v>2</v>
      </c>
      <c r="AF174" s="116" t="s">
        <v>385</v>
      </c>
      <c r="AG174" s="179" t="s">
        <v>369</v>
      </c>
      <c r="AH174" s="627" t="s">
        <v>369</v>
      </c>
      <c r="AI174" s="185"/>
      <c r="AJ174" s="185"/>
      <c r="AK174" s="185"/>
      <c r="AL174" s="185"/>
      <c r="AM174" s="180"/>
      <c r="AN174" s="3" t="s">
        <v>371</v>
      </c>
      <c r="AO174" s="3" t="s">
        <v>371</v>
      </c>
      <c r="AP174" s="3" t="s">
        <v>371</v>
      </c>
      <c r="AQ174" s="3" t="s">
        <v>371</v>
      </c>
      <c r="AR174" s="3" t="s">
        <v>92</v>
      </c>
      <c r="AS174" s="3" t="s">
        <v>92</v>
      </c>
      <c r="AT174" s="3" t="s">
        <v>371</v>
      </c>
      <c r="AU174" s="3" t="s">
        <v>371</v>
      </c>
      <c r="AV174" s="3" t="s">
        <v>371</v>
      </c>
      <c r="AW174" s="3" t="s">
        <v>92</v>
      </c>
      <c r="AX174" s="1414" t="s">
        <v>371</v>
      </c>
      <c r="AY174" s="3"/>
      <c r="AZ174" s="140"/>
      <c r="BA174" s="140"/>
      <c r="BB174" s="139"/>
      <c r="BC174" s="139"/>
      <c r="BD174" s="139"/>
      <c r="BE174" s="3"/>
    </row>
    <row r="175" spans="1:57" ht="15" customHeight="1" x14ac:dyDescent="0.4">
      <c r="A175" s="3"/>
      <c r="B175" s="4"/>
      <c r="C175" s="36"/>
      <c r="D175" s="36"/>
      <c r="E175" s="447"/>
      <c r="F175" s="155"/>
      <c r="G175" s="7"/>
      <c r="H175" s="20"/>
      <c r="I175" s="3"/>
      <c r="J175" s="3"/>
      <c r="K175" s="3"/>
      <c r="L175" s="3"/>
      <c r="M175" s="5"/>
      <c r="N175" s="5"/>
      <c r="O175" s="5"/>
      <c r="P175" s="5"/>
      <c r="Q175" s="5"/>
      <c r="R175" s="3"/>
      <c r="S175" s="5"/>
      <c r="T175" s="3"/>
      <c r="U175" s="20"/>
      <c r="V175" s="38" t="s">
        <v>369</v>
      </c>
      <c r="W175" s="3" t="s">
        <v>370</v>
      </c>
      <c r="X175" s="38" t="s">
        <v>369</v>
      </c>
      <c r="Y175" s="1443">
        <v>430027003</v>
      </c>
      <c r="Z175" s="1443"/>
      <c r="AA175" s="1443"/>
      <c r="AB175" s="20"/>
      <c r="AC175" s="3"/>
      <c r="AD175" s="3"/>
      <c r="AE175" s="56"/>
      <c r="AF175" s="3"/>
      <c r="AG175" s="38"/>
      <c r="AH175" s="5"/>
      <c r="AI175" s="353">
        <v>7.5800000000000006E-2</v>
      </c>
      <c r="AJ175" s="39"/>
      <c r="AK175" s="39"/>
      <c r="AL175" s="39"/>
      <c r="AM175" s="39">
        <f>AE$174*AI175+SUM(AJ175:AL175)</f>
        <v>0.15160000000000001</v>
      </c>
      <c r="AN175" s="3" t="s">
        <v>371</v>
      </c>
      <c r="AO175" s="3" t="s">
        <v>371</v>
      </c>
      <c r="AP175" s="3" t="s">
        <v>371</v>
      </c>
      <c r="AQ175" s="3" t="s">
        <v>371</v>
      </c>
      <c r="AR175" s="3" t="s">
        <v>92</v>
      </c>
      <c r="AS175" s="3" t="s">
        <v>92</v>
      </c>
      <c r="AT175" s="3" t="s">
        <v>371</v>
      </c>
      <c r="AU175" s="3" t="s">
        <v>371</v>
      </c>
      <c r="AV175" s="3" t="s">
        <v>371</v>
      </c>
      <c r="AW175" s="3" t="s">
        <v>92</v>
      </c>
      <c r="AX175" s="1414" t="s">
        <v>371</v>
      </c>
      <c r="AY175" s="3"/>
      <c r="AZ175" s="140"/>
      <c r="BA175" s="140"/>
      <c r="BB175" s="139"/>
      <c r="BC175" s="139"/>
      <c r="BD175" s="139"/>
      <c r="BE175" s="3"/>
    </row>
    <row r="176" spans="1:57" ht="15" customHeight="1" x14ac:dyDescent="0.4">
      <c r="A176" s="3"/>
      <c r="B176" s="4"/>
      <c r="C176" s="36"/>
      <c r="D176" s="36"/>
      <c r="E176" s="447"/>
      <c r="F176" s="155"/>
      <c r="G176" s="7"/>
      <c r="H176" s="20"/>
      <c r="I176" s="3"/>
      <c r="J176" s="3"/>
      <c r="K176" s="3"/>
      <c r="L176" s="3"/>
      <c r="M176" s="5"/>
      <c r="N176" s="5"/>
      <c r="O176" s="5"/>
      <c r="P176" s="5"/>
      <c r="Q176" s="5"/>
      <c r="R176" s="3"/>
      <c r="S176" s="5"/>
      <c r="T176" s="3"/>
      <c r="U176" s="20"/>
      <c r="V176" s="38" t="s">
        <v>369</v>
      </c>
      <c r="W176" s="3" t="s">
        <v>372</v>
      </c>
      <c r="X176" s="38" t="s">
        <v>369</v>
      </c>
      <c r="Y176" s="1443">
        <v>430027021</v>
      </c>
      <c r="Z176" s="1443"/>
      <c r="AA176" s="1443"/>
      <c r="AB176" s="20"/>
      <c r="AC176" s="3"/>
      <c r="AD176" s="3"/>
      <c r="AE176" s="56"/>
      <c r="AF176" s="3"/>
      <c r="AG176" s="3"/>
      <c r="AH176" s="5"/>
      <c r="AI176" s="353">
        <v>8.1500000000000003E-2</v>
      </c>
      <c r="AJ176" s="39"/>
      <c r="AK176" s="39"/>
      <c r="AL176" s="39"/>
      <c r="AM176" s="39">
        <f t="shared" ref="AM176:AM180" si="34">AE$174*AI176+SUM(AJ176:AL176)</f>
        <v>0.16300000000000001</v>
      </c>
      <c r="AN176" s="3" t="s">
        <v>371</v>
      </c>
      <c r="AO176" s="3" t="s">
        <v>371</v>
      </c>
      <c r="AP176" s="3" t="s">
        <v>371</v>
      </c>
      <c r="AQ176" s="3" t="s">
        <v>371</v>
      </c>
      <c r="AR176" s="3" t="s">
        <v>92</v>
      </c>
      <c r="AS176" s="3" t="s">
        <v>92</v>
      </c>
      <c r="AT176" s="3" t="s">
        <v>371</v>
      </c>
      <c r="AU176" s="3" t="s">
        <v>371</v>
      </c>
      <c r="AV176" s="3" t="s">
        <v>371</v>
      </c>
      <c r="AW176" s="3" t="s">
        <v>92</v>
      </c>
      <c r="AX176" s="1414" t="s">
        <v>371</v>
      </c>
      <c r="AY176" s="3"/>
      <c r="AZ176" s="140"/>
      <c r="BA176" s="140"/>
      <c r="BB176" s="139"/>
      <c r="BC176" s="139"/>
      <c r="BD176" s="139"/>
      <c r="BE176" s="3"/>
    </row>
    <row r="177" spans="1:57" ht="15" customHeight="1" x14ac:dyDescent="0.4">
      <c r="A177" s="3"/>
      <c r="B177" s="4"/>
      <c r="C177" s="36"/>
      <c r="D177" s="36"/>
      <c r="E177" s="447"/>
      <c r="F177" s="155"/>
      <c r="G177" s="7"/>
      <c r="H177" s="20"/>
      <c r="I177" s="3"/>
      <c r="J177" s="3"/>
      <c r="K177" s="3"/>
      <c r="L177" s="3"/>
      <c r="M177" s="5"/>
      <c r="N177" s="5"/>
      <c r="O177" s="5"/>
      <c r="P177" s="5"/>
      <c r="Q177" s="5"/>
      <c r="R177" s="3"/>
      <c r="S177" s="5"/>
      <c r="T177" s="3"/>
      <c r="U177" s="20"/>
      <c r="V177" s="38" t="s">
        <v>369</v>
      </c>
      <c r="W177" s="3" t="s">
        <v>373</v>
      </c>
      <c r="X177" s="38" t="s">
        <v>369</v>
      </c>
      <c r="Y177" s="1443">
        <v>430027033</v>
      </c>
      <c r="Z177" s="1443"/>
      <c r="AA177" s="1443"/>
      <c r="AB177" s="20"/>
      <c r="AC177" s="3"/>
      <c r="AD177" s="3"/>
      <c r="AE177" s="56"/>
      <c r="AF177" s="3"/>
      <c r="AG177" s="3"/>
      <c r="AH177" s="5"/>
      <c r="AI177" s="353">
        <v>7.5800000000000006E-2</v>
      </c>
      <c r="AJ177" s="39"/>
      <c r="AK177" s="39"/>
      <c r="AL177" s="39"/>
      <c r="AM177" s="39">
        <f t="shared" si="34"/>
        <v>0.15160000000000001</v>
      </c>
      <c r="AN177" s="3" t="s">
        <v>371</v>
      </c>
      <c r="AO177" s="3" t="s">
        <v>371</v>
      </c>
      <c r="AP177" s="3" t="s">
        <v>371</v>
      </c>
      <c r="AQ177" s="3" t="s">
        <v>371</v>
      </c>
      <c r="AR177" s="3" t="s">
        <v>92</v>
      </c>
      <c r="AS177" s="3" t="s">
        <v>92</v>
      </c>
      <c r="AT177" s="3" t="s">
        <v>371</v>
      </c>
      <c r="AU177" s="3" t="s">
        <v>371</v>
      </c>
      <c r="AV177" s="3" t="s">
        <v>371</v>
      </c>
      <c r="AW177" s="3" t="s">
        <v>92</v>
      </c>
      <c r="AX177" s="1414" t="s">
        <v>371</v>
      </c>
      <c r="AY177" s="3"/>
      <c r="AZ177" s="140"/>
      <c r="BA177" s="140"/>
      <c r="BB177" s="139"/>
      <c r="BC177" s="139"/>
      <c r="BD177" s="139"/>
      <c r="BE177" s="3"/>
    </row>
    <row r="178" spans="1:57" ht="15" customHeight="1" x14ac:dyDescent="0.4">
      <c r="A178" s="3"/>
      <c r="B178" s="4"/>
      <c r="C178" s="36"/>
      <c r="D178" s="36"/>
      <c r="E178" s="447"/>
      <c r="F178" s="155"/>
      <c r="G178" s="7"/>
      <c r="H178" s="20"/>
      <c r="I178" s="3"/>
      <c r="J178" s="3"/>
      <c r="K178" s="3"/>
      <c r="L178" s="3"/>
      <c r="M178" s="5"/>
      <c r="N178" s="5"/>
      <c r="O178" s="5"/>
      <c r="P178" s="5"/>
      <c r="Q178" s="5"/>
      <c r="R178" s="3"/>
      <c r="S178" s="5"/>
      <c r="T178" s="3"/>
      <c r="U178" s="20"/>
      <c r="V178" s="38" t="s">
        <v>369</v>
      </c>
      <c r="W178" s="3" t="s">
        <v>374</v>
      </c>
      <c r="X178" s="38" t="s">
        <v>369</v>
      </c>
      <c r="Y178" s="1443">
        <v>430027090</v>
      </c>
      <c r="Z178" s="1443"/>
      <c r="AA178" s="1443"/>
      <c r="AB178" s="20"/>
      <c r="AC178" s="3"/>
      <c r="AD178" s="3"/>
      <c r="AE178" s="56"/>
      <c r="AF178" s="3"/>
      <c r="AG178" s="3"/>
      <c r="AH178" s="5"/>
      <c r="AI178" s="353">
        <v>7.5800000000000006E-2</v>
      </c>
      <c r="AJ178" s="39"/>
      <c r="AK178" s="39"/>
      <c r="AL178" s="39"/>
      <c r="AM178" s="39">
        <f>AE$174*AI178+SUM(AJ178:AL178)</f>
        <v>0.15160000000000001</v>
      </c>
      <c r="AN178" s="3" t="s">
        <v>371</v>
      </c>
      <c r="AO178" s="3" t="s">
        <v>371</v>
      </c>
      <c r="AP178" s="3" t="s">
        <v>371</v>
      </c>
      <c r="AQ178" s="3" t="s">
        <v>371</v>
      </c>
      <c r="AR178" s="3" t="s">
        <v>92</v>
      </c>
      <c r="AS178" s="3" t="s">
        <v>92</v>
      </c>
      <c r="AT178" s="3" t="s">
        <v>371</v>
      </c>
      <c r="AU178" s="3" t="s">
        <v>371</v>
      </c>
      <c r="AV178" s="3" t="s">
        <v>371</v>
      </c>
      <c r="AW178" s="3" t="s">
        <v>92</v>
      </c>
      <c r="AX178" s="1414" t="s">
        <v>371</v>
      </c>
      <c r="AY178" s="3"/>
      <c r="AZ178" s="140"/>
      <c r="BA178" s="140"/>
      <c r="BB178" s="139"/>
      <c r="BC178" s="139"/>
      <c r="BD178" s="139"/>
      <c r="BE178" s="3"/>
    </row>
    <row r="179" spans="1:57" ht="15" customHeight="1" x14ac:dyDescent="0.4">
      <c r="A179" s="3"/>
      <c r="B179" s="4"/>
      <c r="C179" s="36"/>
      <c r="D179" s="36"/>
      <c r="E179" s="447"/>
      <c r="F179" s="155"/>
      <c r="G179" s="7"/>
      <c r="H179" s="20"/>
      <c r="I179" s="3"/>
      <c r="J179" s="3"/>
      <c r="K179" s="3"/>
      <c r="L179" s="3"/>
      <c r="M179" s="5"/>
      <c r="N179" s="5"/>
      <c r="O179" s="5"/>
      <c r="P179" s="5"/>
      <c r="Q179" s="5"/>
      <c r="R179" s="3"/>
      <c r="S179" s="5"/>
      <c r="T179" s="3"/>
      <c r="U179" s="20"/>
      <c r="V179" s="38" t="s">
        <v>369</v>
      </c>
      <c r="W179" s="3" t="s">
        <v>375</v>
      </c>
      <c r="X179" s="38" t="s">
        <v>369</v>
      </c>
      <c r="Y179" s="1443">
        <v>430027133</v>
      </c>
      <c r="Z179" s="1443"/>
      <c r="AA179" s="1443"/>
      <c r="AB179" s="20"/>
      <c r="AC179" s="3"/>
      <c r="AD179" s="3"/>
      <c r="AE179" s="56"/>
      <c r="AF179" s="3"/>
      <c r="AG179" s="3"/>
      <c r="AH179" s="5"/>
      <c r="AI179" s="353">
        <v>3.1E-2</v>
      </c>
      <c r="AJ179" s="39"/>
      <c r="AK179" s="39"/>
      <c r="AL179" s="39"/>
      <c r="AM179" s="39">
        <f t="shared" ref="AM179" si="35">AE$174*AI179+SUM(AJ179:AL179)</f>
        <v>6.2E-2</v>
      </c>
      <c r="AN179" s="3" t="s">
        <v>371</v>
      </c>
      <c r="AO179" s="3" t="s">
        <v>371</v>
      </c>
      <c r="AP179" s="3" t="s">
        <v>371</v>
      </c>
      <c r="AQ179" s="3" t="s">
        <v>371</v>
      </c>
      <c r="AR179" s="3" t="s">
        <v>92</v>
      </c>
      <c r="AS179" s="3" t="s">
        <v>92</v>
      </c>
      <c r="AT179" s="3" t="s">
        <v>371</v>
      </c>
      <c r="AU179" s="3" t="s">
        <v>371</v>
      </c>
      <c r="AV179" s="3" t="s">
        <v>371</v>
      </c>
      <c r="AW179" s="3" t="s">
        <v>92</v>
      </c>
      <c r="AX179" s="1414" t="s">
        <v>371</v>
      </c>
      <c r="AY179" s="3"/>
      <c r="AZ179" s="140"/>
      <c r="BA179" s="140"/>
      <c r="BB179" s="139"/>
      <c r="BC179" s="139"/>
      <c r="BD179" s="139"/>
      <c r="BE179" s="3"/>
    </row>
    <row r="180" spans="1:57" ht="15" customHeight="1" thickBot="1" x14ac:dyDescent="0.45">
      <c r="A180" s="3"/>
      <c r="B180" s="4"/>
      <c r="C180" s="36"/>
      <c r="D180" s="36"/>
      <c r="E180" s="447"/>
      <c r="F180" s="155"/>
      <c r="G180" s="7"/>
      <c r="H180" s="20"/>
      <c r="I180" s="3"/>
      <c r="J180" s="3"/>
      <c r="K180" s="3"/>
      <c r="L180" s="3"/>
      <c r="M180" s="5"/>
      <c r="N180" s="5"/>
      <c r="O180" s="5"/>
      <c r="P180" s="5"/>
      <c r="Q180" s="5"/>
      <c r="R180" s="3"/>
      <c r="S180" s="5"/>
      <c r="T180" s="3"/>
      <c r="U180" s="20"/>
      <c r="V180" s="279" t="s">
        <v>369</v>
      </c>
      <c r="W180" s="112" t="s">
        <v>1849</v>
      </c>
      <c r="X180" s="279" t="s">
        <v>369</v>
      </c>
      <c r="Y180" s="1878">
        <v>430027148</v>
      </c>
      <c r="Z180" s="1444"/>
      <c r="AA180" s="1444"/>
      <c r="AB180" s="887"/>
      <c r="AC180" s="889"/>
      <c r="AD180" s="889"/>
      <c r="AE180" s="1156"/>
      <c r="AF180" s="889"/>
      <c r="AG180" s="889"/>
      <c r="AH180" s="945"/>
      <c r="AI180" s="1424">
        <v>7.5800000000000006E-2</v>
      </c>
      <c r="AJ180" s="947"/>
      <c r="AK180" s="947"/>
      <c r="AL180" s="947"/>
      <c r="AM180" s="947">
        <f t="shared" si="34"/>
        <v>0.15160000000000001</v>
      </c>
      <c r="AN180" s="889" t="s">
        <v>371</v>
      </c>
      <c r="AO180" s="889" t="s">
        <v>371</v>
      </c>
      <c r="AP180" s="889" t="s">
        <v>371</v>
      </c>
      <c r="AQ180" s="889" t="s">
        <v>371</v>
      </c>
      <c r="AR180" s="889" t="s">
        <v>92</v>
      </c>
      <c r="AS180" s="889" t="s">
        <v>92</v>
      </c>
      <c r="AT180" s="889" t="s">
        <v>371</v>
      </c>
      <c r="AU180" s="889" t="s">
        <v>371</v>
      </c>
      <c r="AV180" s="889" t="s">
        <v>371</v>
      </c>
      <c r="AW180" s="889" t="s">
        <v>92</v>
      </c>
      <c r="AX180" s="1590" t="s">
        <v>371</v>
      </c>
      <c r="AY180" s="889"/>
      <c r="AZ180" s="140"/>
      <c r="BA180" s="140"/>
      <c r="BB180" s="139"/>
      <c r="BC180" s="139"/>
      <c r="BD180" s="139"/>
      <c r="BE180" s="3"/>
    </row>
    <row r="181" spans="1:57" ht="15" customHeight="1" x14ac:dyDescent="0.4">
      <c r="A181" s="3"/>
      <c r="B181" s="4"/>
      <c r="C181" s="476" t="s">
        <v>412</v>
      </c>
      <c r="D181" s="116"/>
      <c r="E181" s="116"/>
      <c r="F181" s="173"/>
      <c r="G181" s="173"/>
      <c r="H181" s="193"/>
      <c r="I181" s="114"/>
      <c r="J181" s="116"/>
      <c r="K181" s="116"/>
      <c r="L181" s="116"/>
      <c r="M181" s="177"/>
      <c r="N181" s="177"/>
      <c r="O181" s="177"/>
      <c r="P181" s="177"/>
      <c r="Q181" s="177"/>
      <c r="R181" s="116"/>
      <c r="S181" s="198">
        <v>1</v>
      </c>
      <c r="T181" s="116" t="s">
        <v>385</v>
      </c>
      <c r="U181" s="193"/>
      <c r="V181" s="179"/>
      <c r="W181" s="116"/>
      <c r="X181" s="179"/>
      <c r="Y181" s="1443"/>
      <c r="Z181" s="1443"/>
      <c r="AA181" s="1443"/>
      <c r="AB181" s="14"/>
      <c r="AC181" s="3">
        <v>45</v>
      </c>
      <c r="AD181" s="3">
        <v>2</v>
      </c>
      <c r="AE181" s="56">
        <f>S181*AD181</f>
        <v>2</v>
      </c>
      <c r="AF181" s="3" t="s">
        <v>385</v>
      </c>
      <c r="AG181" s="38" t="s">
        <v>369</v>
      </c>
      <c r="AH181" s="930" t="s">
        <v>369</v>
      </c>
      <c r="AI181" s="492"/>
      <c r="AJ181" s="477"/>
      <c r="AK181" s="477"/>
      <c r="AL181" s="477"/>
      <c r="AM181" s="39"/>
      <c r="AN181" s="3" t="s">
        <v>371</v>
      </c>
      <c r="AO181" s="3" t="s">
        <v>371</v>
      </c>
      <c r="AP181" s="3" t="s">
        <v>371</v>
      </c>
      <c r="AQ181" s="3" t="s">
        <v>371</v>
      </c>
      <c r="AR181" s="3" t="s">
        <v>92</v>
      </c>
      <c r="AS181" s="3" t="s">
        <v>92</v>
      </c>
      <c r="AT181" s="3" t="s">
        <v>371</v>
      </c>
      <c r="AU181" s="3" t="s">
        <v>371</v>
      </c>
      <c r="AV181" s="3" t="s">
        <v>371</v>
      </c>
      <c r="AW181" s="3" t="s">
        <v>92</v>
      </c>
      <c r="AX181" s="1414" t="s">
        <v>371</v>
      </c>
      <c r="AY181" s="3"/>
      <c r="AZ181" s="139"/>
      <c r="BA181" s="139"/>
      <c r="BB181" s="139"/>
      <c r="BC181" s="139"/>
      <c r="BD181" s="139"/>
      <c r="BE181" s="3"/>
    </row>
    <row r="182" spans="1:57" ht="15" customHeight="1" x14ac:dyDescent="0.4">
      <c r="A182" s="3"/>
      <c r="B182" s="36"/>
      <c r="C182" s="7"/>
      <c r="D182" s="7"/>
      <c r="E182" s="7"/>
      <c r="F182" s="7"/>
      <c r="G182" s="7"/>
      <c r="H182" s="14"/>
      <c r="I182" s="8"/>
      <c r="J182" s="3"/>
      <c r="K182" s="3"/>
      <c r="L182" s="3"/>
      <c r="M182" s="5"/>
      <c r="N182" s="5"/>
      <c r="O182" s="5"/>
      <c r="P182" s="5"/>
      <c r="Q182" s="5"/>
      <c r="R182" s="3"/>
      <c r="S182" s="56"/>
      <c r="T182" s="3"/>
      <c r="U182" s="14"/>
      <c r="V182" s="38" t="s">
        <v>369</v>
      </c>
      <c r="W182" s="3" t="s">
        <v>370</v>
      </c>
      <c r="X182" s="38" t="s">
        <v>369</v>
      </c>
      <c r="Y182" s="1443">
        <v>440029003</v>
      </c>
      <c r="Z182" s="1443"/>
      <c r="AA182" s="1443"/>
      <c r="AB182" s="14"/>
      <c r="AC182" s="3"/>
      <c r="AD182" s="3"/>
      <c r="AE182" s="56"/>
      <c r="AF182" s="3"/>
      <c r="AG182" s="38"/>
      <c r="AH182" s="38"/>
      <c r="AI182" s="1427">
        <v>7.0000000000000001E-3</v>
      </c>
      <c r="AJ182" s="477"/>
      <c r="AK182" s="477"/>
      <c r="AL182" s="477"/>
      <c r="AM182" s="39">
        <f>AE$181*AI182+SUM(AJ182:AL182)</f>
        <v>1.4E-2</v>
      </c>
      <c r="AN182" s="3" t="s">
        <v>371</v>
      </c>
      <c r="AO182" s="3" t="s">
        <v>371</v>
      </c>
      <c r="AP182" s="3" t="s">
        <v>371</v>
      </c>
      <c r="AQ182" s="3" t="s">
        <v>371</v>
      </c>
      <c r="AR182" s="3" t="s">
        <v>92</v>
      </c>
      <c r="AS182" s="3" t="s">
        <v>92</v>
      </c>
      <c r="AT182" s="3" t="s">
        <v>371</v>
      </c>
      <c r="AU182" s="3" t="s">
        <v>371</v>
      </c>
      <c r="AV182" s="3" t="s">
        <v>371</v>
      </c>
      <c r="AW182" s="3" t="s">
        <v>92</v>
      </c>
      <c r="AX182" s="1414" t="s">
        <v>371</v>
      </c>
      <c r="AY182" s="3"/>
      <c r="AZ182" s="139"/>
      <c r="BA182" s="139"/>
      <c r="BB182" s="139"/>
      <c r="BC182" s="139"/>
      <c r="BD182" s="139"/>
      <c r="BE182" s="3"/>
    </row>
    <row r="183" spans="1:57" ht="15" customHeight="1" x14ac:dyDescent="0.4">
      <c r="A183" s="3"/>
      <c r="B183" s="36"/>
      <c r="C183" s="7"/>
      <c r="D183" s="7"/>
      <c r="E183" s="7"/>
      <c r="F183" s="7"/>
      <c r="G183" s="7"/>
      <c r="H183" s="14"/>
      <c r="I183" s="8"/>
      <c r="J183" s="3"/>
      <c r="K183" s="3"/>
      <c r="L183" s="3"/>
      <c r="M183" s="5"/>
      <c r="N183" s="5"/>
      <c r="O183" s="5"/>
      <c r="P183" s="5"/>
      <c r="Q183" s="5"/>
      <c r="R183" s="3"/>
      <c r="S183" s="56"/>
      <c r="T183" s="3"/>
      <c r="U183" s="14"/>
      <c r="V183" s="38" t="s">
        <v>369</v>
      </c>
      <c r="W183" s="3" t="s">
        <v>372</v>
      </c>
      <c r="X183" s="38" t="s">
        <v>369</v>
      </c>
      <c r="Y183" s="1443">
        <v>440029021</v>
      </c>
      <c r="Z183" s="1443"/>
      <c r="AA183" s="1443"/>
      <c r="AB183" s="14"/>
      <c r="AC183" s="3"/>
      <c r="AD183" s="3"/>
      <c r="AE183" s="56"/>
      <c r="AF183" s="3"/>
      <c r="AG183" s="38"/>
      <c r="AH183" s="38"/>
      <c r="AI183" s="1427">
        <v>7.0000000000000001E-3</v>
      </c>
      <c r="AJ183" s="477"/>
      <c r="AK183" s="477"/>
      <c r="AL183" s="477"/>
      <c r="AM183" s="39">
        <f t="shared" ref="AM183:AM184" si="36">AE$181*AI183+SUM(AJ183:AL183)</f>
        <v>1.4E-2</v>
      </c>
      <c r="AN183" s="3" t="s">
        <v>371</v>
      </c>
      <c r="AO183" s="3" t="s">
        <v>371</v>
      </c>
      <c r="AP183" s="3" t="s">
        <v>371</v>
      </c>
      <c r="AQ183" s="3" t="s">
        <v>371</v>
      </c>
      <c r="AR183" s="3" t="s">
        <v>92</v>
      </c>
      <c r="AS183" s="3" t="s">
        <v>92</v>
      </c>
      <c r="AT183" s="3" t="s">
        <v>371</v>
      </c>
      <c r="AU183" s="3" t="s">
        <v>371</v>
      </c>
      <c r="AV183" s="3" t="s">
        <v>371</v>
      </c>
      <c r="AW183" s="3" t="s">
        <v>92</v>
      </c>
      <c r="AX183" s="1414" t="s">
        <v>371</v>
      </c>
      <c r="AY183" s="3"/>
      <c r="AZ183" s="139"/>
      <c r="BA183" s="139"/>
      <c r="BB183" s="139"/>
      <c r="BC183" s="139"/>
      <c r="BD183" s="139"/>
      <c r="BE183" s="3"/>
    </row>
    <row r="184" spans="1:57" ht="12.75" customHeight="1" x14ac:dyDescent="0.4">
      <c r="A184" s="3"/>
      <c r="B184" s="36"/>
      <c r="C184" s="7"/>
      <c r="D184" s="7"/>
      <c r="E184" s="7"/>
      <c r="F184" s="7"/>
      <c r="G184" s="7"/>
      <c r="H184" s="14"/>
      <c r="I184" s="8"/>
      <c r="J184" s="3"/>
      <c r="K184" s="3"/>
      <c r="L184" s="3"/>
      <c r="M184" s="5"/>
      <c r="N184" s="5"/>
      <c r="O184" s="5"/>
      <c r="P184" s="5"/>
      <c r="Q184" s="5"/>
      <c r="R184" s="3"/>
      <c r="S184" s="56"/>
      <c r="T184" s="3"/>
      <c r="U184" s="14"/>
      <c r="V184" s="38" t="s">
        <v>369</v>
      </c>
      <c r="W184" s="3" t="s">
        <v>373</v>
      </c>
      <c r="X184" s="38" t="s">
        <v>369</v>
      </c>
      <c r="Y184" s="1443">
        <v>440029033</v>
      </c>
      <c r="Z184" s="1443"/>
      <c r="AA184" s="1443"/>
      <c r="AB184" s="14"/>
      <c r="AC184" s="3"/>
      <c r="AD184" s="3"/>
      <c r="AE184" s="56"/>
      <c r="AF184" s="3"/>
      <c r="AG184" s="38"/>
      <c r="AH184" s="38"/>
      <c r="AI184" s="1427">
        <v>6.7000000000000002E-3</v>
      </c>
      <c r="AJ184" s="477"/>
      <c r="AK184" s="477"/>
      <c r="AL184" s="477"/>
      <c r="AM184" s="39">
        <f t="shared" si="36"/>
        <v>1.34E-2</v>
      </c>
      <c r="AN184" s="3" t="s">
        <v>371</v>
      </c>
      <c r="AO184" s="3" t="s">
        <v>371</v>
      </c>
      <c r="AP184" s="3" t="s">
        <v>371</v>
      </c>
      <c r="AQ184" s="3" t="s">
        <v>371</v>
      </c>
      <c r="AR184" s="3" t="s">
        <v>92</v>
      </c>
      <c r="AS184" s="3" t="s">
        <v>92</v>
      </c>
      <c r="AT184" s="3" t="s">
        <v>371</v>
      </c>
      <c r="AU184" s="3" t="s">
        <v>371</v>
      </c>
      <c r="AV184" s="3" t="s">
        <v>371</v>
      </c>
      <c r="AW184" s="3" t="s">
        <v>92</v>
      </c>
      <c r="AX184" s="1414" t="s">
        <v>371</v>
      </c>
      <c r="AY184" s="3"/>
      <c r="AZ184" s="139"/>
      <c r="BA184" s="139"/>
      <c r="BB184" s="139"/>
      <c r="BC184" s="139"/>
      <c r="BD184" s="139"/>
      <c r="BE184" s="3"/>
    </row>
    <row r="185" spans="1:57" ht="12.75" customHeight="1" x14ac:dyDescent="0.4">
      <c r="A185" s="3"/>
      <c r="B185" s="36"/>
      <c r="C185" s="7"/>
      <c r="D185" s="7"/>
      <c r="E185" s="7"/>
      <c r="F185" s="7"/>
      <c r="G185" s="7"/>
      <c r="H185" s="14"/>
      <c r="I185" s="8"/>
      <c r="J185" s="3"/>
      <c r="K185" s="3"/>
      <c r="L185" s="3"/>
      <c r="M185" s="5"/>
      <c r="N185" s="5"/>
      <c r="O185" s="5"/>
      <c r="P185" s="5"/>
      <c r="Q185" s="5"/>
      <c r="R185" s="3"/>
      <c r="S185" s="56"/>
      <c r="T185" s="3"/>
      <c r="U185" s="14"/>
      <c r="V185" s="38" t="s">
        <v>369</v>
      </c>
      <c r="W185" s="3" t="s">
        <v>374</v>
      </c>
      <c r="X185" s="38" t="s">
        <v>369</v>
      </c>
      <c r="Y185" s="1443">
        <v>440029090</v>
      </c>
      <c r="Z185" s="1443"/>
      <c r="AA185" s="1443"/>
      <c r="AB185" s="14"/>
      <c r="AC185" s="3"/>
      <c r="AD185" s="3"/>
      <c r="AE185" s="56"/>
      <c r="AF185" s="3"/>
      <c r="AG185" s="38"/>
      <c r="AH185" s="38"/>
      <c r="AI185" s="1427">
        <v>8.9999999999999993E-3</v>
      </c>
      <c r="AJ185" s="477"/>
      <c r="AK185" s="477"/>
      <c r="AL185" s="477"/>
      <c r="AM185" s="39">
        <f>AE$181*AI185+SUM(AJ185:AL185)</f>
        <v>1.7999999999999999E-2</v>
      </c>
      <c r="AN185" s="3" t="s">
        <v>371</v>
      </c>
      <c r="AO185" s="3" t="s">
        <v>371</v>
      </c>
      <c r="AP185" s="3" t="s">
        <v>371</v>
      </c>
      <c r="AQ185" s="3" t="s">
        <v>371</v>
      </c>
      <c r="AR185" s="3" t="s">
        <v>92</v>
      </c>
      <c r="AS185" s="3" t="s">
        <v>92</v>
      </c>
      <c r="AT185" s="3" t="s">
        <v>371</v>
      </c>
      <c r="AU185" s="3" t="s">
        <v>371</v>
      </c>
      <c r="AV185" s="3" t="s">
        <v>371</v>
      </c>
      <c r="AW185" s="3" t="s">
        <v>92</v>
      </c>
      <c r="AX185" s="1414" t="s">
        <v>371</v>
      </c>
      <c r="AY185" s="3"/>
      <c r="AZ185" s="139"/>
      <c r="BA185" s="139"/>
      <c r="BB185" s="139"/>
      <c r="BC185" s="139"/>
      <c r="BD185" s="139"/>
      <c r="BE185" s="3"/>
    </row>
    <row r="186" spans="1:57" ht="12.75" customHeight="1" x14ac:dyDescent="0.4">
      <c r="A186" s="3"/>
      <c r="B186" s="36"/>
      <c r="C186" s="7"/>
      <c r="D186" s="7"/>
      <c r="E186" s="7"/>
      <c r="F186" s="7"/>
      <c r="G186" s="7"/>
      <c r="H186" s="14"/>
      <c r="I186" s="8"/>
      <c r="J186" s="3"/>
      <c r="K186" s="3"/>
      <c r="L186" s="3"/>
      <c r="M186" s="5"/>
      <c r="N186" s="5"/>
      <c r="O186" s="5"/>
      <c r="P186" s="5"/>
      <c r="Q186" s="5"/>
      <c r="R186" s="3"/>
      <c r="S186" s="56"/>
      <c r="T186" s="3"/>
      <c r="U186" s="14"/>
      <c r="V186" s="38" t="s">
        <v>369</v>
      </c>
      <c r="W186" s="3" t="s">
        <v>375</v>
      </c>
      <c r="X186" s="38" t="s">
        <v>369</v>
      </c>
      <c r="Y186" s="1443">
        <v>440029133</v>
      </c>
      <c r="Z186" s="1443"/>
      <c r="AA186" s="1443"/>
      <c r="AB186" s="14"/>
      <c r="AC186" s="3"/>
      <c r="AD186" s="3"/>
      <c r="AE186" s="56"/>
      <c r="AF186" s="3"/>
      <c r="AG186" s="38"/>
      <c r="AH186" s="38"/>
      <c r="AI186" s="1427">
        <v>7.0000000000000001E-3</v>
      </c>
      <c r="AJ186" s="477"/>
      <c r="AK186" s="477"/>
      <c r="AL186" s="477"/>
      <c r="AM186" s="39">
        <f t="shared" ref="AM186" si="37">AE$181*AI186+SUM(AJ186:AL186)</f>
        <v>1.4E-2</v>
      </c>
      <c r="AN186" s="3" t="s">
        <v>371</v>
      </c>
      <c r="AO186" s="3" t="s">
        <v>371</v>
      </c>
      <c r="AP186" s="3" t="s">
        <v>371</v>
      </c>
      <c r="AQ186" s="3" t="s">
        <v>371</v>
      </c>
      <c r="AR186" s="3" t="s">
        <v>92</v>
      </c>
      <c r="AS186" s="3" t="s">
        <v>92</v>
      </c>
      <c r="AT186" s="3" t="s">
        <v>371</v>
      </c>
      <c r="AU186" s="3" t="s">
        <v>371</v>
      </c>
      <c r="AV186" s="3" t="s">
        <v>371</v>
      </c>
      <c r="AW186" s="3" t="s">
        <v>92</v>
      </c>
      <c r="AX186" s="1414" t="s">
        <v>371</v>
      </c>
      <c r="AY186" s="3"/>
      <c r="AZ186" s="139"/>
      <c r="BA186" s="139"/>
      <c r="BB186" s="139"/>
      <c r="BC186" s="139"/>
      <c r="BD186" s="139"/>
      <c r="BE186" s="3"/>
    </row>
    <row r="187" spans="1:57" ht="12.75" customHeight="1" thickBot="1" x14ac:dyDescent="0.45">
      <c r="A187" s="3"/>
      <c r="B187" s="36"/>
      <c r="C187" s="7"/>
      <c r="D187" s="7"/>
      <c r="E187" s="7"/>
      <c r="F187" s="7"/>
      <c r="G187" s="7"/>
      <c r="H187" s="14"/>
      <c r="I187" s="8"/>
      <c r="J187" s="3"/>
      <c r="K187" s="3"/>
      <c r="L187" s="3"/>
      <c r="M187" s="5"/>
      <c r="N187" s="5"/>
      <c r="O187" s="5"/>
      <c r="P187" s="5"/>
      <c r="Q187" s="5"/>
      <c r="R187" s="3"/>
      <c r="S187" s="56"/>
      <c r="T187" s="3"/>
      <c r="U187" s="14"/>
      <c r="V187" s="279" t="s">
        <v>369</v>
      </c>
      <c r="W187" s="112" t="s">
        <v>1849</v>
      </c>
      <c r="X187" s="279" t="s">
        <v>369</v>
      </c>
      <c r="Y187" s="1871">
        <v>440029148</v>
      </c>
      <c r="Z187" s="1443"/>
      <c r="AA187" s="1443"/>
      <c r="AB187" s="14"/>
      <c r="AC187" s="889"/>
      <c r="AD187" s="889"/>
      <c r="AE187" s="1156"/>
      <c r="AF187" s="889"/>
      <c r="AG187" s="888"/>
      <c r="AH187" s="888"/>
      <c r="AI187" s="1428">
        <v>0.01</v>
      </c>
      <c r="AJ187" s="1157"/>
      <c r="AK187" s="1157"/>
      <c r="AL187" s="1157"/>
      <c r="AM187" s="947">
        <f>AE$181*AI187+SUM(AJ187:AL187)</f>
        <v>0.02</v>
      </c>
      <c r="AN187" s="889" t="s">
        <v>371</v>
      </c>
      <c r="AO187" s="889" t="s">
        <v>371</v>
      </c>
      <c r="AP187" s="889" t="s">
        <v>371</v>
      </c>
      <c r="AQ187" s="889" t="s">
        <v>371</v>
      </c>
      <c r="AR187" s="889" t="s">
        <v>92</v>
      </c>
      <c r="AS187" s="889" t="s">
        <v>92</v>
      </c>
      <c r="AT187" s="889" t="s">
        <v>371</v>
      </c>
      <c r="AU187" s="889" t="s">
        <v>371</v>
      </c>
      <c r="AV187" s="889" t="s">
        <v>371</v>
      </c>
      <c r="AW187" s="889" t="s">
        <v>92</v>
      </c>
      <c r="AX187" s="1590" t="s">
        <v>371</v>
      </c>
      <c r="AY187" s="889"/>
      <c r="AZ187" s="139"/>
      <c r="BA187" s="139"/>
      <c r="BB187" s="139"/>
      <c r="BC187" s="139"/>
      <c r="BD187" s="139"/>
      <c r="BE187" s="3"/>
    </row>
    <row r="188" spans="1:57" ht="15" customHeight="1" x14ac:dyDescent="0.4">
      <c r="A188" s="3"/>
      <c r="B188" s="4"/>
      <c r="C188" s="476" t="s">
        <v>416</v>
      </c>
      <c r="D188" s="116"/>
      <c r="E188" s="116"/>
      <c r="F188" s="173"/>
      <c r="G188" s="173"/>
      <c r="H188" s="193"/>
      <c r="I188" s="114"/>
      <c r="J188" s="116"/>
      <c r="K188" s="116"/>
      <c r="L188" s="116"/>
      <c r="M188" s="177"/>
      <c r="N188" s="177"/>
      <c r="O188" s="177"/>
      <c r="P188" s="177"/>
      <c r="Q188" s="177"/>
      <c r="R188" s="116"/>
      <c r="S188" s="198">
        <v>1</v>
      </c>
      <c r="T188" s="116" t="s">
        <v>385</v>
      </c>
      <c r="U188" s="193"/>
      <c r="V188" s="179"/>
      <c r="W188" s="116"/>
      <c r="X188" s="179"/>
      <c r="Y188" s="1449"/>
      <c r="Z188" s="1449"/>
      <c r="AA188" s="1449"/>
      <c r="AB188" s="193"/>
      <c r="AC188" s="3">
        <v>45</v>
      </c>
      <c r="AD188" s="3">
        <v>4</v>
      </c>
      <c r="AE188" s="56">
        <f>S188*AD188</f>
        <v>4</v>
      </c>
      <c r="AF188" s="3" t="s">
        <v>385</v>
      </c>
      <c r="AG188" s="38" t="s">
        <v>369</v>
      </c>
      <c r="AH188" s="930" t="s">
        <v>369</v>
      </c>
      <c r="AI188" s="477"/>
      <c r="AJ188" s="477"/>
      <c r="AK188" s="477"/>
      <c r="AL188" s="477"/>
      <c r="AM188" s="39"/>
      <c r="AN188" s="3" t="s">
        <v>371</v>
      </c>
      <c r="AO188" s="3" t="s">
        <v>371</v>
      </c>
      <c r="AP188" s="3" t="s">
        <v>371</v>
      </c>
      <c r="AQ188" s="3" t="s">
        <v>371</v>
      </c>
      <c r="AR188" s="3" t="s">
        <v>92</v>
      </c>
      <c r="AS188" s="3" t="s">
        <v>92</v>
      </c>
      <c r="AT188" s="3" t="s">
        <v>371</v>
      </c>
      <c r="AU188" s="3" t="s">
        <v>371</v>
      </c>
      <c r="AV188" s="3" t="s">
        <v>371</v>
      </c>
      <c r="AW188" s="3" t="s">
        <v>92</v>
      </c>
      <c r="AX188" s="1414" t="s">
        <v>371</v>
      </c>
      <c r="AY188" s="3"/>
      <c r="AZ188" s="139"/>
      <c r="BA188" s="139"/>
      <c r="BB188" s="139"/>
      <c r="BC188" s="139"/>
      <c r="BD188" s="139"/>
      <c r="BE188" s="3"/>
    </row>
    <row r="189" spans="1:57" ht="15" customHeight="1" x14ac:dyDescent="0.4">
      <c r="A189" s="3"/>
      <c r="B189" s="36"/>
      <c r="C189" s="7"/>
      <c r="D189" s="7"/>
      <c r="E189" s="7"/>
      <c r="F189" s="7"/>
      <c r="G189" s="7"/>
      <c r="H189" s="14"/>
      <c r="I189" s="8"/>
      <c r="J189" s="3"/>
      <c r="K189" s="3"/>
      <c r="L189" s="3"/>
      <c r="M189" s="5"/>
      <c r="N189" s="5"/>
      <c r="O189" s="5"/>
      <c r="P189" s="5"/>
      <c r="Q189" s="5"/>
      <c r="R189" s="3"/>
      <c r="S189" s="56"/>
      <c r="T189" s="3"/>
      <c r="U189" s="14"/>
      <c r="V189" s="38" t="s">
        <v>369</v>
      </c>
      <c r="W189" s="3" t="s">
        <v>370</v>
      </c>
      <c r="X189" s="38" t="s">
        <v>369</v>
      </c>
      <c r="Y189" s="1443">
        <v>440016006</v>
      </c>
      <c r="Z189" s="1443"/>
      <c r="AA189" s="1443"/>
      <c r="AB189" s="14"/>
      <c r="AC189" s="3"/>
      <c r="AD189" s="3"/>
      <c r="AE189" s="56"/>
      <c r="AF189" s="3"/>
      <c r="AG189" s="38"/>
      <c r="AH189" s="38"/>
      <c r="AI189" s="1427">
        <v>2.29E-2</v>
      </c>
      <c r="AJ189" s="477"/>
      <c r="AK189" s="477"/>
      <c r="AL189" s="477"/>
      <c r="AM189" s="39">
        <f>AE$188*AI189+SUM(AJ189:AL189)</f>
        <v>9.1600000000000001E-2</v>
      </c>
      <c r="AN189" s="3" t="s">
        <v>371</v>
      </c>
      <c r="AO189" s="3" t="s">
        <v>371</v>
      </c>
      <c r="AP189" s="3" t="s">
        <v>371</v>
      </c>
      <c r="AQ189" s="3" t="s">
        <v>371</v>
      </c>
      <c r="AR189" s="3" t="s">
        <v>92</v>
      </c>
      <c r="AS189" s="3" t="s">
        <v>92</v>
      </c>
      <c r="AT189" s="3" t="s">
        <v>371</v>
      </c>
      <c r="AU189" s="3" t="s">
        <v>371</v>
      </c>
      <c r="AV189" s="3" t="s">
        <v>371</v>
      </c>
      <c r="AW189" s="3" t="s">
        <v>92</v>
      </c>
      <c r="AX189" s="1414" t="s">
        <v>371</v>
      </c>
      <c r="AY189" s="3"/>
      <c r="AZ189" s="139"/>
      <c r="BA189" s="139"/>
      <c r="BB189" s="139"/>
      <c r="BC189" s="139"/>
      <c r="BD189" s="139"/>
      <c r="BE189" s="3"/>
    </row>
    <row r="190" spans="1:57" ht="15" customHeight="1" x14ac:dyDescent="0.4">
      <c r="A190" s="3"/>
      <c r="B190" s="36"/>
      <c r="C190" s="7"/>
      <c r="D190" s="7"/>
      <c r="E190" s="7"/>
      <c r="F190" s="7"/>
      <c r="G190" s="7"/>
      <c r="H190" s="14"/>
      <c r="I190" s="8"/>
      <c r="J190" s="3"/>
      <c r="K190" s="3"/>
      <c r="L190" s="3"/>
      <c r="M190" s="5"/>
      <c r="N190" s="5"/>
      <c r="O190" s="5"/>
      <c r="P190" s="5"/>
      <c r="Q190" s="5"/>
      <c r="R190" s="3"/>
      <c r="S190" s="56"/>
      <c r="T190" s="3"/>
      <c r="U190" s="14"/>
      <c r="V190" s="38" t="s">
        <v>369</v>
      </c>
      <c r="W190" s="3" t="s">
        <v>372</v>
      </c>
      <c r="X190" s="38" t="s">
        <v>369</v>
      </c>
      <c r="Y190" s="1443">
        <v>440016021</v>
      </c>
      <c r="Z190" s="1443"/>
      <c r="AA190" s="1443"/>
      <c r="AB190" s="14"/>
      <c r="AC190" s="3"/>
      <c r="AD190" s="3"/>
      <c r="AE190" s="56"/>
      <c r="AF190" s="3"/>
      <c r="AG190" s="38"/>
      <c r="AH190" s="38"/>
      <c r="AI190" s="1427">
        <v>2.29E-2</v>
      </c>
      <c r="AJ190" s="477"/>
      <c r="AK190" s="477"/>
      <c r="AL190" s="477"/>
      <c r="AM190" s="39">
        <f t="shared" ref="AM190:AM191" si="38">AE$188*AI190+SUM(AJ190:AL190)</f>
        <v>9.1600000000000001E-2</v>
      </c>
      <c r="AN190" s="3" t="s">
        <v>371</v>
      </c>
      <c r="AO190" s="3" t="s">
        <v>371</v>
      </c>
      <c r="AP190" s="3" t="s">
        <v>371</v>
      </c>
      <c r="AQ190" s="3" t="s">
        <v>371</v>
      </c>
      <c r="AR190" s="3" t="s">
        <v>92</v>
      </c>
      <c r="AS190" s="3" t="s">
        <v>92</v>
      </c>
      <c r="AT190" s="3" t="s">
        <v>371</v>
      </c>
      <c r="AU190" s="3" t="s">
        <v>371</v>
      </c>
      <c r="AV190" s="3" t="s">
        <v>371</v>
      </c>
      <c r="AW190" s="3" t="s">
        <v>92</v>
      </c>
      <c r="AX190" s="1414" t="s">
        <v>371</v>
      </c>
      <c r="AY190" s="3"/>
      <c r="AZ190" s="139"/>
      <c r="BA190" s="139"/>
      <c r="BB190" s="139"/>
      <c r="BC190" s="139"/>
      <c r="BD190" s="139"/>
      <c r="BE190" s="3"/>
    </row>
    <row r="191" spans="1:57" ht="12.75" customHeight="1" x14ac:dyDescent="0.4">
      <c r="A191" s="3"/>
      <c r="B191" s="36"/>
      <c r="C191" s="7"/>
      <c r="D191" s="7"/>
      <c r="E191" s="7"/>
      <c r="F191" s="7"/>
      <c r="G191" s="7"/>
      <c r="H191" s="14"/>
      <c r="I191" s="8"/>
      <c r="J191" s="3"/>
      <c r="K191" s="3"/>
      <c r="L191" s="3"/>
      <c r="M191" s="5"/>
      <c r="N191" s="5"/>
      <c r="O191" s="5"/>
      <c r="P191" s="5"/>
      <c r="Q191" s="5"/>
      <c r="R191" s="3"/>
      <c r="S191" s="56"/>
      <c r="T191" s="3"/>
      <c r="U191" s="14"/>
      <c r="V191" s="38" t="s">
        <v>369</v>
      </c>
      <c r="W191" s="3" t="s">
        <v>373</v>
      </c>
      <c r="X191" s="38" t="s">
        <v>369</v>
      </c>
      <c r="Y191" s="1443">
        <v>440016033</v>
      </c>
      <c r="Z191" s="1443"/>
      <c r="AA191" s="1443"/>
      <c r="AB191" s="14"/>
      <c r="AC191" s="3"/>
      <c r="AD191" s="3"/>
      <c r="AE191" s="56"/>
      <c r="AF191" s="3"/>
      <c r="AG191" s="38"/>
      <c r="AH191" s="38"/>
      <c r="AI191" s="1427">
        <v>2.2800000000000001E-2</v>
      </c>
      <c r="AJ191" s="477"/>
      <c r="AK191" s="477"/>
      <c r="AL191" s="477"/>
      <c r="AM191" s="39">
        <f t="shared" si="38"/>
        <v>9.1200000000000003E-2</v>
      </c>
      <c r="AN191" s="3" t="s">
        <v>371</v>
      </c>
      <c r="AO191" s="3" t="s">
        <v>371</v>
      </c>
      <c r="AP191" s="3" t="s">
        <v>371</v>
      </c>
      <c r="AQ191" s="3" t="s">
        <v>371</v>
      </c>
      <c r="AR191" s="3" t="s">
        <v>92</v>
      </c>
      <c r="AS191" s="3" t="s">
        <v>92</v>
      </c>
      <c r="AT191" s="3" t="s">
        <v>371</v>
      </c>
      <c r="AU191" s="3" t="s">
        <v>371</v>
      </c>
      <c r="AV191" s="3" t="s">
        <v>371</v>
      </c>
      <c r="AW191" s="3" t="s">
        <v>92</v>
      </c>
      <c r="AX191" s="1414" t="s">
        <v>371</v>
      </c>
      <c r="AY191" s="3"/>
      <c r="AZ191" s="139"/>
      <c r="BA191" s="139"/>
      <c r="BB191" s="139"/>
      <c r="BC191" s="139"/>
      <c r="BD191" s="139"/>
      <c r="BE191" s="3"/>
    </row>
    <row r="192" spans="1:57" ht="12.75" customHeight="1" x14ac:dyDescent="0.4">
      <c r="A192" s="3"/>
      <c r="B192" s="36"/>
      <c r="C192" s="7"/>
      <c r="D192" s="7"/>
      <c r="E192" s="7"/>
      <c r="F192" s="7"/>
      <c r="G192" s="7"/>
      <c r="H192" s="14"/>
      <c r="I192" s="8"/>
      <c r="J192" s="3"/>
      <c r="K192" s="3"/>
      <c r="L192" s="3"/>
      <c r="M192" s="5"/>
      <c r="N192" s="5"/>
      <c r="O192" s="5"/>
      <c r="P192" s="5"/>
      <c r="Q192" s="5"/>
      <c r="R192" s="3"/>
      <c r="S192" s="56"/>
      <c r="T192" s="3"/>
      <c r="U192" s="14"/>
      <c r="V192" s="38" t="s">
        <v>369</v>
      </c>
      <c r="W192" s="3" t="s">
        <v>374</v>
      </c>
      <c r="X192" s="38" t="s">
        <v>369</v>
      </c>
      <c r="Y192" s="1443">
        <v>440016090</v>
      </c>
      <c r="Z192" s="1443"/>
      <c r="AA192" s="1443"/>
      <c r="AB192" s="14"/>
      <c r="AC192" s="3"/>
      <c r="AD192" s="3"/>
      <c r="AE192" s="56"/>
      <c r="AF192" s="3"/>
      <c r="AG192" s="38"/>
      <c r="AH192" s="38"/>
      <c r="AI192" s="1427">
        <v>2.3E-2</v>
      </c>
      <c r="AJ192" s="477"/>
      <c r="AK192" s="477"/>
      <c r="AL192" s="477"/>
      <c r="AM192" s="39">
        <f>AE$188*AI192+SUM(AJ192:AL192)</f>
        <v>9.1999999999999998E-2</v>
      </c>
      <c r="AN192" s="3" t="s">
        <v>371</v>
      </c>
      <c r="AO192" s="3" t="s">
        <v>371</v>
      </c>
      <c r="AP192" s="3" t="s">
        <v>371</v>
      </c>
      <c r="AQ192" s="3" t="s">
        <v>371</v>
      </c>
      <c r="AR192" s="3" t="s">
        <v>92</v>
      </c>
      <c r="AS192" s="3" t="s">
        <v>92</v>
      </c>
      <c r="AT192" s="3" t="s">
        <v>371</v>
      </c>
      <c r="AU192" s="3" t="s">
        <v>371</v>
      </c>
      <c r="AV192" s="3" t="s">
        <v>371</v>
      </c>
      <c r="AW192" s="3" t="s">
        <v>92</v>
      </c>
      <c r="AX192" s="1414" t="s">
        <v>371</v>
      </c>
      <c r="AY192" s="3"/>
      <c r="AZ192" s="139"/>
      <c r="BA192" s="139"/>
      <c r="BB192" s="139"/>
      <c r="BC192" s="139"/>
      <c r="BD192" s="139"/>
      <c r="BE192" s="3"/>
    </row>
    <row r="193" spans="1:57" ht="12.75" customHeight="1" thickBot="1" x14ac:dyDescent="0.45">
      <c r="A193" s="3"/>
      <c r="B193" s="36"/>
      <c r="C193" s="7"/>
      <c r="D193" s="924"/>
      <c r="E193" s="7"/>
      <c r="F193" s="7"/>
      <c r="G193" s="7"/>
      <c r="H193" s="14"/>
      <c r="I193" s="8"/>
      <c r="J193" s="3"/>
      <c r="K193" s="3"/>
      <c r="L193" s="3"/>
      <c r="M193" s="5"/>
      <c r="N193" s="5"/>
      <c r="O193" s="5"/>
      <c r="P193" s="5"/>
      <c r="Q193" s="5"/>
      <c r="R193" s="3"/>
      <c r="S193" s="56"/>
      <c r="T193" s="3"/>
      <c r="U193" s="14"/>
      <c r="V193" s="38" t="s">
        <v>369</v>
      </c>
      <c r="W193" s="3" t="s">
        <v>375</v>
      </c>
      <c r="X193" s="38" t="s">
        <v>369</v>
      </c>
      <c r="Y193" s="1443">
        <v>440016133</v>
      </c>
      <c r="Z193" s="1443"/>
      <c r="AA193" s="1443"/>
      <c r="AB193" s="14"/>
      <c r="AC193" s="3"/>
      <c r="AD193" s="3"/>
      <c r="AE193" s="56"/>
      <c r="AF193" s="3"/>
      <c r="AG193" s="38"/>
      <c r="AH193" s="38"/>
      <c r="AI193" s="1841">
        <v>2.3E-2</v>
      </c>
      <c r="AJ193" s="1842"/>
      <c r="AK193" s="1842"/>
      <c r="AL193" s="1842"/>
      <c r="AM193" s="1843">
        <f t="shared" ref="AM193" si="39">AE$188*AI193+SUM(AJ193:AL193)</f>
        <v>9.1999999999999998E-2</v>
      </c>
      <c r="AN193" s="1844" t="s">
        <v>371</v>
      </c>
      <c r="AO193" s="1844" t="s">
        <v>371</v>
      </c>
      <c r="AP193" s="1844" t="s">
        <v>371</v>
      </c>
      <c r="AQ193" s="1844" t="s">
        <v>371</v>
      </c>
      <c r="AR193" s="1844" t="s">
        <v>92</v>
      </c>
      <c r="AS193" s="1844" t="s">
        <v>92</v>
      </c>
      <c r="AT193" s="1844" t="s">
        <v>371</v>
      </c>
      <c r="AU193" s="1844" t="s">
        <v>371</v>
      </c>
      <c r="AV193" s="1844" t="s">
        <v>371</v>
      </c>
      <c r="AW193" s="1844" t="s">
        <v>92</v>
      </c>
      <c r="AX193" s="1883" t="s">
        <v>371</v>
      </c>
      <c r="AY193" s="1844"/>
      <c r="AZ193" s="139"/>
      <c r="BA193" s="139"/>
      <c r="BB193" s="139"/>
      <c r="BC193" s="139"/>
      <c r="BD193" s="139"/>
      <c r="BE193" s="3"/>
    </row>
    <row r="194" spans="1:57" ht="15" customHeight="1" x14ac:dyDescent="0.4">
      <c r="A194" s="3"/>
      <c r="B194" s="4"/>
      <c r="C194" s="181" t="s">
        <v>417</v>
      </c>
      <c r="D194" s="4"/>
      <c r="E194" s="182"/>
      <c r="F194" s="430" t="s">
        <v>418</v>
      </c>
      <c r="G194" s="431">
        <v>3</v>
      </c>
      <c r="H194" s="175"/>
      <c r="I194" s="432" t="str">
        <f xml:space="preserve"> "Length = INT ( ( UW - " &amp;FIXED(G195,2)&amp;") / "&amp;FIXED(G194,2)&amp;" ) *"&amp;FIXED(G194,2)</f>
        <v>Length = INT ( ( UW - 2.00) / 3.00 ) *3.00</v>
      </c>
      <c r="J194" s="116"/>
      <c r="K194" s="116"/>
      <c r="L194" s="114"/>
      <c r="M194" s="628"/>
      <c r="N194" s="177"/>
      <c r="O194" s="177"/>
      <c r="P194" s="178"/>
      <c r="Q194" s="178"/>
      <c r="R194" s="116" t="s">
        <v>352</v>
      </c>
      <c r="S194" s="177">
        <f>INT((SHWidth-G195)/G194)*G194</f>
        <v>36</v>
      </c>
      <c r="T194" s="116" t="s">
        <v>366</v>
      </c>
      <c r="U194" s="175"/>
      <c r="V194" s="179"/>
      <c r="W194" s="116"/>
      <c r="X194" s="179"/>
      <c r="Y194" s="1449"/>
      <c r="Z194" s="1449"/>
      <c r="AA194" s="1449"/>
      <c r="AB194" s="175"/>
      <c r="AC194" s="116">
        <v>45</v>
      </c>
      <c r="AD194" s="116">
        <v>1</v>
      </c>
      <c r="AE194" s="177">
        <f>S194*AD194/12</f>
        <v>3</v>
      </c>
      <c r="AF194" s="116" t="s">
        <v>367</v>
      </c>
      <c r="AG194" s="116">
        <v>0.13900000000000001</v>
      </c>
      <c r="AH194" s="177">
        <f>AG194*AtolbperftSH</f>
        <v>8.7917499999999996E-2</v>
      </c>
      <c r="AI194" s="51"/>
      <c r="AJ194" s="51"/>
      <c r="AK194" s="51"/>
      <c r="AL194" s="51"/>
      <c r="AM194" s="39"/>
      <c r="AN194" s="3" t="s">
        <v>371</v>
      </c>
      <c r="AO194" s="3" t="s">
        <v>371</v>
      </c>
      <c r="AP194" s="3" t="s">
        <v>371</v>
      </c>
      <c r="AQ194" s="3" t="s">
        <v>371</v>
      </c>
      <c r="AR194" s="3" t="s">
        <v>92</v>
      </c>
      <c r="AS194" s="3" t="s">
        <v>92</v>
      </c>
      <c r="AT194" s="3" t="s">
        <v>371</v>
      </c>
      <c r="AU194" s="3" t="s">
        <v>371</v>
      </c>
      <c r="AV194" s="3" t="s">
        <v>371</v>
      </c>
      <c r="AW194" s="3" t="s">
        <v>92</v>
      </c>
      <c r="AX194" s="1414" t="s">
        <v>371</v>
      </c>
      <c r="AY194" s="3"/>
      <c r="AZ194" s="139"/>
      <c r="BA194" s="139"/>
      <c r="BB194" s="139"/>
      <c r="BC194" s="139"/>
      <c r="BD194" s="139"/>
      <c r="BE194" s="3"/>
    </row>
    <row r="195" spans="1:57" ht="15" customHeight="1" x14ac:dyDescent="0.4">
      <c r="A195" s="3"/>
      <c r="B195" s="36"/>
      <c r="C195" s="155"/>
      <c r="D195" s="155"/>
      <c r="E195" s="155"/>
      <c r="F195" s="434" t="s">
        <v>419</v>
      </c>
      <c r="G195" s="435">
        <v>2</v>
      </c>
      <c r="H195" s="20"/>
      <c r="I195" s="3"/>
      <c r="J195" s="3"/>
      <c r="K195" s="3"/>
      <c r="L195" s="3"/>
      <c r="M195" s="5"/>
      <c r="N195" s="5"/>
      <c r="O195" s="5"/>
      <c r="P195" s="24"/>
      <c r="Q195" s="24"/>
      <c r="R195" s="3"/>
      <c r="S195" s="5"/>
      <c r="T195" s="3"/>
      <c r="U195" s="20"/>
      <c r="V195" s="38" t="s">
        <v>369</v>
      </c>
      <c r="W195" s="3" t="s">
        <v>370</v>
      </c>
      <c r="X195" s="38" t="s">
        <v>369</v>
      </c>
      <c r="Y195" s="1443">
        <v>200143003</v>
      </c>
      <c r="Z195" s="1443"/>
      <c r="AA195" s="1443"/>
      <c r="AB195" s="20"/>
      <c r="AC195" s="3"/>
      <c r="AD195" s="3"/>
      <c r="AE195" s="5"/>
      <c r="AF195" s="3"/>
      <c r="AG195" s="38"/>
      <c r="AH195" s="5"/>
      <c r="AI195" s="353">
        <v>0.1434</v>
      </c>
      <c r="AJ195" s="39"/>
      <c r="AK195" s="39"/>
      <c r="AL195" s="39"/>
      <c r="AM195" s="39">
        <f>AE$194*AI195+SUM(AJ195:AL195)</f>
        <v>0.43020000000000003</v>
      </c>
      <c r="AN195" s="3" t="s">
        <v>371</v>
      </c>
      <c r="AO195" s="3" t="s">
        <v>371</v>
      </c>
      <c r="AP195" s="3" t="s">
        <v>371</v>
      </c>
      <c r="AQ195" s="3" t="s">
        <v>371</v>
      </c>
      <c r="AR195" s="3" t="s">
        <v>92</v>
      </c>
      <c r="AS195" s="3" t="s">
        <v>92</v>
      </c>
      <c r="AT195" s="3" t="s">
        <v>371</v>
      </c>
      <c r="AU195" s="3" t="s">
        <v>371</v>
      </c>
      <c r="AV195" s="3" t="s">
        <v>371</v>
      </c>
      <c r="AW195" s="3" t="s">
        <v>92</v>
      </c>
      <c r="AX195" s="1414" t="s">
        <v>371</v>
      </c>
      <c r="AY195" s="3"/>
      <c r="AZ195" s="139"/>
      <c r="BA195" s="139"/>
      <c r="BB195" s="139"/>
      <c r="BC195" s="139"/>
      <c r="BD195" s="139"/>
      <c r="BE195" s="3"/>
    </row>
    <row r="196" spans="1:57" ht="15" customHeight="1" x14ac:dyDescent="0.4">
      <c r="A196" s="3"/>
      <c r="B196" s="36"/>
      <c r="C196" s="155"/>
      <c r="D196" s="155"/>
      <c r="E196" s="155"/>
      <c r="F196" s="155"/>
      <c r="G196" s="7"/>
      <c r="H196" s="20"/>
      <c r="I196" s="3"/>
      <c r="J196" s="3"/>
      <c r="K196" s="3"/>
      <c r="L196" s="3"/>
      <c r="M196" s="5"/>
      <c r="N196" s="5"/>
      <c r="O196" s="5"/>
      <c r="P196" s="24"/>
      <c r="Q196" s="24"/>
      <c r="R196" s="3"/>
      <c r="S196" s="5"/>
      <c r="T196" s="3"/>
      <c r="U196" s="20"/>
      <c r="V196" s="38" t="s">
        <v>369</v>
      </c>
      <c r="W196" s="3" t="s">
        <v>372</v>
      </c>
      <c r="X196" s="38" t="s">
        <v>369</v>
      </c>
      <c r="Y196" s="1443">
        <v>200143021</v>
      </c>
      <c r="Z196" s="1443"/>
      <c r="AA196" s="1443"/>
      <c r="AB196" s="20"/>
      <c r="AC196" s="3"/>
      <c r="AD196" s="3"/>
      <c r="AE196" s="5"/>
      <c r="AF196" s="3"/>
      <c r="AG196" s="3"/>
      <c r="AH196" s="5"/>
      <c r="AI196" s="353">
        <v>0.182</v>
      </c>
      <c r="AJ196" s="39"/>
      <c r="AK196" s="39"/>
      <c r="AL196" s="39"/>
      <c r="AM196" s="39">
        <f t="shared" ref="AM196:AM200" si="40">AE$194*AI196+SUM(AJ196:AL196)</f>
        <v>0.54600000000000004</v>
      </c>
      <c r="AN196" s="3" t="s">
        <v>371</v>
      </c>
      <c r="AO196" s="3" t="s">
        <v>371</v>
      </c>
      <c r="AP196" s="3" t="s">
        <v>371</v>
      </c>
      <c r="AQ196" s="3" t="s">
        <v>371</v>
      </c>
      <c r="AR196" s="3" t="s">
        <v>92</v>
      </c>
      <c r="AS196" s="3" t="s">
        <v>92</v>
      </c>
      <c r="AT196" s="3" t="s">
        <v>371</v>
      </c>
      <c r="AU196" s="3" t="s">
        <v>371</v>
      </c>
      <c r="AV196" s="3" t="s">
        <v>371</v>
      </c>
      <c r="AW196" s="3" t="s">
        <v>92</v>
      </c>
      <c r="AX196" s="1414" t="s">
        <v>371</v>
      </c>
      <c r="AY196" s="3"/>
      <c r="AZ196" s="139"/>
      <c r="BA196" s="139"/>
      <c r="BB196" s="139"/>
      <c r="BC196" s="139"/>
      <c r="BD196" s="139"/>
      <c r="BE196" s="3"/>
    </row>
    <row r="197" spans="1:57" ht="15" customHeight="1" x14ac:dyDescent="0.4">
      <c r="A197" s="3"/>
      <c r="B197" s="36"/>
      <c r="C197" s="155"/>
      <c r="D197" s="155"/>
      <c r="E197" s="155"/>
      <c r="F197" s="155"/>
      <c r="G197" s="7"/>
      <c r="H197" s="20"/>
      <c r="I197" s="3"/>
      <c r="J197" s="3"/>
      <c r="K197" s="3"/>
      <c r="L197" s="3"/>
      <c r="M197" s="5"/>
      <c r="N197" s="5"/>
      <c r="O197" s="5"/>
      <c r="P197" s="24"/>
      <c r="Q197" s="24"/>
      <c r="R197" s="3"/>
      <c r="S197" s="5"/>
      <c r="T197" s="3"/>
      <c r="U197" s="20"/>
      <c r="V197" s="38" t="s">
        <v>369</v>
      </c>
      <c r="W197" s="3" t="s">
        <v>373</v>
      </c>
      <c r="X197" s="38" t="s">
        <v>369</v>
      </c>
      <c r="Y197" s="1443">
        <v>200143033</v>
      </c>
      <c r="Z197" s="1443"/>
      <c r="AA197" s="1443"/>
      <c r="AB197" s="20"/>
      <c r="AC197" s="3"/>
      <c r="AD197" s="3"/>
      <c r="AE197" s="5"/>
      <c r="AF197" s="3"/>
      <c r="AG197" s="3"/>
      <c r="AH197" s="5"/>
      <c r="AI197" s="353">
        <v>0.16950000000000001</v>
      </c>
      <c r="AJ197" s="39"/>
      <c r="AK197" s="39"/>
      <c r="AL197" s="39"/>
      <c r="AM197" s="39">
        <f t="shared" si="40"/>
        <v>0.50850000000000006</v>
      </c>
      <c r="AN197" s="3" t="s">
        <v>371</v>
      </c>
      <c r="AO197" s="3" t="s">
        <v>371</v>
      </c>
      <c r="AP197" s="3" t="s">
        <v>371</v>
      </c>
      <c r="AQ197" s="3" t="s">
        <v>371</v>
      </c>
      <c r="AR197" s="3" t="s">
        <v>92</v>
      </c>
      <c r="AS197" s="3" t="s">
        <v>92</v>
      </c>
      <c r="AT197" s="3" t="s">
        <v>371</v>
      </c>
      <c r="AU197" s="3" t="s">
        <v>371</v>
      </c>
      <c r="AV197" s="3" t="s">
        <v>371</v>
      </c>
      <c r="AW197" s="3" t="s">
        <v>92</v>
      </c>
      <c r="AX197" s="1414" t="s">
        <v>371</v>
      </c>
      <c r="AY197" s="3"/>
      <c r="AZ197" s="139"/>
      <c r="BA197" s="139"/>
      <c r="BB197" s="139"/>
      <c r="BC197" s="139"/>
      <c r="BD197" s="139"/>
      <c r="BE197" s="3"/>
    </row>
    <row r="198" spans="1:57" ht="15" customHeight="1" x14ac:dyDescent="0.4">
      <c r="A198" s="3"/>
      <c r="B198" s="3"/>
      <c r="C198" s="155"/>
      <c r="D198" s="155"/>
      <c r="E198" s="155"/>
      <c r="F198" s="4"/>
      <c r="G198" s="7"/>
      <c r="H198" s="20"/>
      <c r="I198" s="3"/>
      <c r="J198" s="3"/>
      <c r="K198" s="3"/>
      <c r="L198" s="3"/>
      <c r="M198" s="5"/>
      <c r="N198" s="5"/>
      <c r="O198" s="5"/>
      <c r="P198" s="24"/>
      <c r="Q198" s="24"/>
      <c r="R198" s="3"/>
      <c r="S198" s="5"/>
      <c r="T198" s="3"/>
      <c r="U198" s="20"/>
      <c r="V198" s="38" t="s">
        <v>369</v>
      </c>
      <c r="W198" s="3" t="s">
        <v>374</v>
      </c>
      <c r="X198" s="38" t="s">
        <v>369</v>
      </c>
      <c r="Y198" s="1443">
        <v>200143090</v>
      </c>
      <c r="Z198" s="1443"/>
      <c r="AA198" s="1443"/>
      <c r="AB198" s="20"/>
      <c r="AC198" s="3"/>
      <c r="AD198" s="3"/>
      <c r="AE198" s="5"/>
      <c r="AF198" s="3"/>
      <c r="AG198" s="3"/>
      <c r="AH198" s="5"/>
      <c r="AI198" s="353">
        <v>0.43090000000000001</v>
      </c>
      <c r="AJ198" s="39"/>
      <c r="AK198" s="39"/>
      <c r="AL198" s="39"/>
      <c r="AM198" s="39">
        <f>AE$194*AI198+SUM(AJ198:AL198)</f>
        <v>1.2927</v>
      </c>
      <c r="AN198" s="3" t="s">
        <v>371</v>
      </c>
      <c r="AO198" s="3" t="s">
        <v>371</v>
      </c>
      <c r="AP198" s="3" t="s">
        <v>371</v>
      </c>
      <c r="AQ198" s="3" t="s">
        <v>371</v>
      </c>
      <c r="AR198" s="3" t="s">
        <v>92</v>
      </c>
      <c r="AS198" s="3" t="s">
        <v>92</v>
      </c>
      <c r="AT198" s="3" t="s">
        <v>371</v>
      </c>
      <c r="AU198" s="3" t="s">
        <v>371</v>
      </c>
      <c r="AV198" s="3" t="s">
        <v>371</v>
      </c>
      <c r="AW198" s="3" t="s">
        <v>92</v>
      </c>
      <c r="AX198" s="1414" t="s">
        <v>371</v>
      </c>
      <c r="AY198" s="3"/>
      <c r="AZ198" s="139"/>
      <c r="BA198" s="139"/>
      <c r="BB198" s="139"/>
      <c r="BC198" s="139"/>
      <c r="BD198" s="139"/>
      <c r="BE198" s="3"/>
    </row>
    <row r="199" spans="1:57" ht="15" customHeight="1" x14ac:dyDescent="0.4">
      <c r="A199" s="3"/>
      <c r="B199" s="36"/>
      <c r="C199" s="155"/>
      <c r="D199" s="155"/>
      <c r="E199" s="155"/>
      <c r="F199" s="155"/>
      <c r="G199" s="7"/>
      <c r="H199" s="20"/>
      <c r="I199" s="3"/>
      <c r="J199" s="3"/>
      <c r="K199" s="3"/>
      <c r="L199" s="3"/>
      <c r="M199" s="5"/>
      <c r="N199" s="5"/>
      <c r="O199" s="5"/>
      <c r="P199" s="24"/>
      <c r="Q199" s="24"/>
      <c r="R199" s="3"/>
      <c r="S199" s="5"/>
      <c r="T199" s="3"/>
      <c r="U199" s="20"/>
      <c r="V199" s="38" t="s">
        <v>369</v>
      </c>
      <c r="W199" s="3" t="s">
        <v>375</v>
      </c>
      <c r="X199" s="38" t="s">
        <v>369</v>
      </c>
      <c r="Y199" s="1443">
        <v>200143133</v>
      </c>
      <c r="Z199" s="1443"/>
      <c r="AA199" s="1443"/>
      <c r="AB199" s="20"/>
      <c r="AC199" s="3"/>
      <c r="AD199" s="3"/>
      <c r="AE199" s="5"/>
      <c r="AF199" s="3"/>
      <c r="AG199" s="3"/>
      <c r="AH199" s="5"/>
      <c r="AI199" s="353">
        <v>0.37780000000000002</v>
      </c>
      <c r="AJ199" s="39"/>
      <c r="AK199" s="39"/>
      <c r="AL199" s="39"/>
      <c r="AM199" s="39">
        <f t="shared" ref="AM199" si="41">AE$194*AI199+SUM(AJ199:AL199)</f>
        <v>1.1334</v>
      </c>
      <c r="AN199" s="3" t="s">
        <v>371</v>
      </c>
      <c r="AO199" s="3" t="s">
        <v>371</v>
      </c>
      <c r="AP199" s="3" t="s">
        <v>371</v>
      </c>
      <c r="AQ199" s="3" t="s">
        <v>371</v>
      </c>
      <c r="AR199" s="3" t="s">
        <v>92</v>
      </c>
      <c r="AS199" s="3" t="s">
        <v>92</v>
      </c>
      <c r="AT199" s="3" t="s">
        <v>371</v>
      </c>
      <c r="AU199" s="3" t="s">
        <v>371</v>
      </c>
      <c r="AV199" s="3" t="s">
        <v>371</v>
      </c>
      <c r="AW199" s="3" t="s">
        <v>92</v>
      </c>
      <c r="AX199" s="1414" t="s">
        <v>371</v>
      </c>
      <c r="AY199" s="3"/>
      <c r="AZ199" s="139"/>
      <c r="BA199" s="139"/>
      <c r="BB199" s="139"/>
      <c r="BC199" s="139"/>
      <c r="BD199" s="139"/>
      <c r="BE199" s="3"/>
    </row>
    <row r="200" spans="1:57" ht="15" customHeight="1" thickBot="1" x14ac:dyDescent="0.45">
      <c r="A200" s="3"/>
      <c r="B200" s="3"/>
      <c r="C200" s="925"/>
      <c r="D200" s="925"/>
      <c r="E200" s="925"/>
      <c r="F200" s="925"/>
      <c r="G200" s="924"/>
      <c r="H200" s="887"/>
      <c r="I200" s="889"/>
      <c r="J200" s="889"/>
      <c r="K200" s="889"/>
      <c r="L200" s="889"/>
      <c r="M200" s="945"/>
      <c r="N200" s="945"/>
      <c r="O200" s="945"/>
      <c r="P200" s="1020"/>
      <c r="Q200" s="1020"/>
      <c r="R200" s="889"/>
      <c r="S200" s="945"/>
      <c r="T200" s="889"/>
      <c r="U200" s="887"/>
      <c r="V200" s="1876" t="s">
        <v>369</v>
      </c>
      <c r="W200" s="1877" t="s">
        <v>1849</v>
      </c>
      <c r="X200" s="1876" t="s">
        <v>369</v>
      </c>
      <c r="Y200" s="1878">
        <v>200143148</v>
      </c>
      <c r="Z200" s="1444"/>
      <c r="AA200" s="1444"/>
      <c r="AB200" s="887"/>
      <c r="AC200" s="889"/>
      <c r="AD200" s="889"/>
      <c r="AE200" s="945"/>
      <c r="AF200" s="889"/>
      <c r="AG200" s="889"/>
      <c r="AH200" s="945"/>
      <c r="AI200" s="1424">
        <v>0.48980000000000001</v>
      </c>
      <c r="AJ200" s="947"/>
      <c r="AK200" s="947"/>
      <c r="AL200" s="947"/>
      <c r="AM200" s="947">
        <f t="shared" si="40"/>
        <v>1.4694</v>
      </c>
      <c r="AN200" s="889" t="s">
        <v>371</v>
      </c>
      <c r="AO200" s="889" t="s">
        <v>371</v>
      </c>
      <c r="AP200" s="889" t="s">
        <v>371</v>
      </c>
      <c r="AQ200" s="889" t="s">
        <v>371</v>
      </c>
      <c r="AR200" s="889" t="s">
        <v>92</v>
      </c>
      <c r="AS200" s="889" t="s">
        <v>92</v>
      </c>
      <c r="AT200" s="889" t="s">
        <v>371</v>
      </c>
      <c r="AU200" s="889" t="s">
        <v>371</v>
      </c>
      <c r="AV200" s="889" t="s">
        <v>371</v>
      </c>
      <c r="AW200" s="889" t="s">
        <v>92</v>
      </c>
      <c r="AX200" s="1590" t="s">
        <v>371</v>
      </c>
      <c r="AY200" s="889"/>
      <c r="AZ200" s="139"/>
      <c r="BA200" s="139"/>
      <c r="BB200" s="139"/>
      <c r="BC200" s="139"/>
      <c r="BD200" s="139"/>
      <c r="BE200" s="3"/>
    </row>
    <row r="201" spans="1:57" ht="12.75" customHeight="1" x14ac:dyDescent="0.4">
      <c r="A201" s="3"/>
      <c r="B201" s="3"/>
      <c r="C201" s="1387" t="s">
        <v>1992</v>
      </c>
      <c r="D201" s="155"/>
      <c r="E201" s="155"/>
      <c r="F201" s="155"/>
      <c r="G201" s="7"/>
      <c r="H201" s="20"/>
      <c r="I201" s="116" t="s">
        <v>392</v>
      </c>
      <c r="J201" s="116"/>
      <c r="K201" s="116"/>
      <c r="L201" s="116" t="s">
        <v>348</v>
      </c>
      <c r="M201" s="177">
        <v>-5</v>
      </c>
      <c r="N201" s="177"/>
      <c r="O201" s="177"/>
      <c r="P201" s="178"/>
      <c r="Q201" s="178"/>
      <c r="R201" s="116" t="s">
        <v>352</v>
      </c>
      <c r="S201" s="177">
        <f>SHWidth+M201+O201</f>
        <v>33.5625</v>
      </c>
      <c r="T201" s="116" t="s">
        <v>366</v>
      </c>
      <c r="U201" s="20"/>
      <c r="V201" s="3"/>
      <c r="W201" s="3"/>
      <c r="X201" s="3"/>
      <c r="Y201" s="1443"/>
      <c r="Z201" s="1443"/>
      <c r="AA201" s="1443"/>
      <c r="AB201" s="20"/>
      <c r="AC201" s="3">
        <v>45</v>
      </c>
      <c r="AD201" s="3">
        <v>1</v>
      </c>
      <c r="AE201" s="5">
        <f>S201/12</f>
        <v>2.796875</v>
      </c>
      <c r="AF201" s="3" t="s">
        <v>367</v>
      </c>
      <c r="AG201" s="3"/>
      <c r="AH201" s="5"/>
      <c r="AI201" s="844"/>
      <c r="AJ201" s="39"/>
      <c r="AK201" s="39"/>
      <c r="AL201" s="39"/>
      <c r="AM201" s="39">
        <f>AI203*AE201</f>
        <v>0.90870468750000011</v>
      </c>
      <c r="AN201" s="116" t="s">
        <v>371</v>
      </c>
      <c r="AO201" s="116" t="s">
        <v>371</v>
      </c>
      <c r="AP201" s="116" t="s">
        <v>371</v>
      </c>
      <c r="AQ201" s="116" t="s">
        <v>371</v>
      </c>
      <c r="AR201" s="116" t="s">
        <v>92</v>
      </c>
      <c r="AS201" s="116" t="s">
        <v>92</v>
      </c>
      <c r="AT201" s="116" t="s">
        <v>81</v>
      </c>
      <c r="AU201" s="116" t="s">
        <v>371</v>
      </c>
      <c r="AV201" s="116" t="s">
        <v>371</v>
      </c>
      <c r="AW201" s="116" t="s">
        <v>92</v>
      </c>
      <c r="AX201" s="1884" t="s">
        <v>371</v>
      </c>
      <c r="AY201" s="3"/>
      <c r="AZ201" s="139"/>
      <c r="BA201" s="139"/>
      <c r="BB201" s="139"/>
      <c r="BC201" s="139"/>
      <c r="BD201" s="139"/>
      <c r="BE201" s="3"/>
    </row>
    <row r="202" spans="1:57" ht="15" customHeight="1" x14ac:dyDescent="0.4">
      <c r="A202" s="3"/>
      <c r="B202" s="3"/>
      <c r="C202" s="155" t="s">
        <v>2137</v>
      </c>
      <c r="D202" s="155"/>
      <c r="E202" s="155"/>
      <c r="F202" s="155"/>
      <c r="G202" s="7"/>
      <c r="H202" s="20"/>
      <c r="I202" s="3"/>
      <c r="J202" s="3"/>
      <c r="K202" s="3"/>
      <c r="L202" s="3"/>
      <c r="M202" s="5"/>
      <c r="N202" s="5"/>
      <c r="O202" s="5"/>
      <c r="P202" s="24"/>
      <c r="Q202" s="24"/>
      <c r="R202" s="3"/>
      <c r="S202" s="5"/>
      <c r="T202" s="3"/>
      <c r="U202" s="20"/>
      <c r="V202" s="38" t="s">
        <v>369</v>
      </c>
      <c r="W202" s="3" t="s">
        <v>374</v>
      </c>
      <c r="X202" s="38" t="s">
        <v>369</v>
      </c>
      <c r="Y202" s="1443">
        <v>230327090</v>
      </c>
      <c r="Z202" s="1443"/>
      <c r="AA202" s="1443"/>
      <c r="AB202" s="20"/>
      <c r="AC202" s="3"/>
      <c r="AD202" s="3"/>
      <c r="AE202" s="5"/>
      <c r="AF202" s="3"/>
      <c r="AG202" s="3"/>
      <c r="AH202" s="5"/>
      <c r="AI202" s="844"/>
      <c r="AJ202" s="39"/>
      <c r="AK202" s="39"/>
      <c r="AL202" s="39"/>
      <c r="AM202" s="39"/>
      <c r="AN202" s="3" t="s">
        <v>371</v>
      </c>
      <c r="AO202" s="3" t="s">
        <v>371</v>
      </c>
      <c r="AP202" s="3" t="s">
        <v>371</v>
      </c>
      <c r="AQ202" s="3" t="s">
        <v>371</v>
      </c>
      <c r="AR202" s="3" t="s">
        <v>92</v>
      </c>
      <c r="AS202" s="3" t="s">
        <v>92</v>
      </c>
      <c r="AT202" s="3" t="s">
        <v>81</v>
      </c>
      <c r="AU202" s="3" t="s">
        <v>371</v>
      </c>
      <c r="AV202" s="3" t="s">
        <v>371</v>
      </c>
      <c r="AW202" s="3" t="s">
        <v>92</v>
      </c>
      <c r="AX202" s="1414" t="s">
        <v>371</v>
      </c>
      <c r="AY202" s="3"/>
      <c r="AZ202" s="139"/>
      <c r="BA202" s="139"/>
      <c r="BB202" s="139"/>
      <c r="BC202" s="139"/>
      <c r="BD202" s="139"/>
      <c r="BE202" s="3"/>
    </row>
    <row r="203" spans="1:57" ht="12.75" customHeight="1" x14ac:dyDescent="0.4">
      <c r="A203" s="3"/>
      <c r="B203" s="1387"/>
      <c r="C203" s="3"/>
      <c r="D203" s="155"/>
      <c r="E203" s="155"/>
      <c r="F203" s="155"/>
      <c r="G203" s="7"/>
      <c r="H203" s="20"/>
      <c r="I203" s="3"/>
      <c r="J203" s="3"/>
      <c r="K203" s="3"/>
      <c r="L203" s="3"/>
      <c r="M203" s="5"/>
      <c r="N203" s="5"/>
      <c r="O203" s="5"/>
      <c r="P203" s="24"/>
      <c r="Q203" s="24"/>
      <c r="R203" s="3"/>
      <c r="S203" s="5"/>
      <c r="T203" s="3"/>
      <c r="U203" s="20"/>
      <c r="V203" s="38" t="s">
        <v>369</v>
      </c>
      <c r="W203" s="3" t="s">
        <v>375</v>
      </c>
      <c r="X203" s="38" t="s">
        <v>369</v>
      </c>
      <c r="Y203" s="1443">
        <v>230327012</v>
      </c>
      <c r="Z203" s="1443"/>
      <c r="AA203" s="1443"/>
      <c r="AB203" s="20"/>
      <c r="AC203" s="3"/>
      <c r="AD203" s="3"/>
      <c r="AE203" s="5"/>
      <c r="AF203" s="3"/>
      <c r="AG203" s="3"/>
      <c r="AH203" s="5"/>
      <c r="AI203" s="844">
        <v>0.32490000000000002</v>
      </c>
      <c r="AJ203" s="39"/>
      <c r="AK203" s="39"/>
      <c r="AL203" s="39"/>
      <c r="AM203" s="39"/>
      <c r="AN203" s="3" t="s">
        <v>371</v>
      </c>
      <c r="AO203" s="3" t="s">
        <v>371</v>
      </c>
      <c r="AP203" s="3" t="s">
        <v>371</v>
      </c>
      <c r="AQ203" s="3" t="s">
        <v>371</v>
      </c>
      <c r="AR203" s="3" t="s">
        <v>92</v>
      </c>
      <c r="AS203" s="3" t="s">
        <v>92</v>
      </c>
      <c r="AT203" s="3" t="s">
        <v>371</v>
      </c>
      <c r="AU203" s="3" t="s">
        <v>371</v>
      </c>
      <c r="AV203" s="3" t="s">
        <v>371</v>
      </c>
      <c r="AW203" s="3" t="s">
        <v>92</v>
      </c>
      <c r="AX203" s="1414" t="s">
        <v>371</v>
      </c>
      <c r="AY203" s="3"/>
      <c r="AZ203" s="139"/>
      <c r="BA203" s="139"/>
      <c r="BB203" s="139"/>
      <c r="BC203" s="139"/>
      <c r="BD203" s="139"/>
      <c r="BE203" s="3"/>
    </row>
    <row r="204" spans="1:57" ht="12.75" customHeight="1" thickBot="1" x14ac:dyDescent="0.45">
      <c r="A204" s="3"/>
      <c r="B204" s="4"/>
      <c r="C204" s="949"/>
      <c r="D204" s="968"/>
      <c r="E204" s="968"/>
      <c r="F204" s="968"/>
      <c r="G204" s="968"/>
      <c r="H204" s="948"/>
      <c r="I204" s="889"/>
      <c r="J204" s="889"/>
      <c r="K204" s="889"/>
      <c r="L204" s="889"/>
      <c r="M204" s="945"/>
      <c r="N204" s="945"/>
      <c r="O204" s="945"/>
      <c r="P204" s="945"/>
      <c r="Q204" s="945"/>
      <c r="R204" s="889"/>
      <c r="S204" s="945"/>
      <c r="T204" s="889"/>
      <c r="U204" s="948"/>
      <c r="V204" s="889"/>
      <c r="W204" s="889"/>
      <c r="X204" s="889"/>
      <c r="Y204" s="889"/>
      <c r="Z204" s="889"/>
      <c r="AA204" s="889"/>
      <c r="AB204" s="948"/>
      <c r="AC204" s="889"/>
      <c r="AD204" s="889"/>
      <c r="AE204" s="945"/>
      <c r="AF204" s="945"/>
      <c r="AG204" s="945"/>
      <c r="AH204" s="945"/>
      <c r="AI204" s="937"/>
      <c r="AJ204" s="937"/>
      <c r="AK204" s="937"/>
      <c r="AL204" s="937"/>
      <c r="AM204" s="947"/>
      <c r="AN204" s="889" t="s">
        <v>371</v>
      </c>
      <c r="AO204" s="889" t="s">
        <v>371</v>
      </c>
      <c r="AP204" s="889" t="s">
        <v>371</v>
      </c>
      <c r="AQ204" s="889" t="s">
        <v>371</v>
      </c>
      <c r="AR204" s="889" t="s">
        <v>92</v>
      </c>
      <c r="AS204" s="889" t="s">
        <v>92</v>
      </c>
      <c r="AT204" s="889" t="s">
        <v>371</v>
      </c>
      <c r="AU204" s="889" t="s">
        <v>371</v>
      </c>
      <c r="AV204" s="889" t="s">
        <v>371</v>
      </c>
      <c r="AW204" s="889" t="s">
        <v>92</v>
      </c>
      <c r="AX204" s="1590" t="s">
        <v>371</v>
      </c>
      <c r="AY204" s="889"/>
      <c r="AZ204" s="3"/>
      <c r="BA204" s="3"/>
      <c r="BB204" s="3"/>
      <c r="BC204" s="3"/>
      <c r="BD204" s="3"/>
      <c r="BE204" s="3"/>
    </row>
    <row r="205" spans="1:57" ht="15" customHeight="1" x14ac:dyDescent="0.4">
      <c r="A205" s="3"/>
      <c r="B205" s="3"/>
      <c r="C205" s="1387" t="s">
        <v>1948</v>
      </c>
      <c r="D205" s="155"/>
      <c r="E205" s="155"/>
      <c r="F205" s="155"/>
      <c r="G205" s="7"/>
      <c r="H205" s="20"/>
      <c r="I205" s="3"/>
      <c r="J205" s="3"/>
      <c r="K205" s="3"/>
      <c r="L205" s="3"/>
      <c r="M205" s="5"/>
      <c r="N205" s="5"/>
      <c r="O205" s="5"/>
      <c r="P205" s="24"/>
      <c r="Q205" s="24"/>
      <c r="R205" s="3"/>
      <c r="S205" s="5">
        <v>1</v>
      </c>
      <c r="T205" s="3"/>
      <c r="U205" s="20"/>
      <c r="V205" s="38"/>
      <c r="W205" s="3"/>
      <c r="X205" s="38"/>
      <c r="Y205" s="1443"/>
      <c r="Z205" s="1443"/>
      <c r="AA205" s="1443"/>
      <c r="AB205" s="20"/>
      <c r="AC205" s="3">
        <v>45</v>
      </c>
      <c r="AD205" s="3">
        <v>2</v>
      </c>
      <c r="AE205" s="5">
        <v>2</v>
      </c>
      <c r="AF205" s="3" t="s">
        <v>385</v>
      </c>
      <c r="AG205" s="3"/>
      <c r="AH205" s="5"/>
      <c r="AI205" s="844"/>
      <c r="AJ205" s="39"/>
      <c r="AK205" s="39"/>
      <c r="AL205" s="39"/>
      <c r="AM205" s="39">
        <f>AI206*AE205</f>
        <v>1.9800000000000002E-2</v>
      </c>
      <c r="AN205" s="3" t="s">
        <v>371</v>
      </c>
      <c r="AO205" s="3" t="s">
        <v>371</v>
      </c>
      <c r="AP205" s="3" t="s">
        <v>371</v>
      </c>
      <c r="AQ205" s="3" t="s">
        <v>371</v>
      </c>
      <c r="AR205" s="3" t="s">
        <v>92</v>
      </c>
      <c r="AS205" s="3" t="s">
        <v>92</v>
      </c>
      <c r="AT205" s="3" t="s">
        <v>81</v>
      </c>
      <c r="AU205" s="3" t="s">
        <v>371</v>
      </c>
      <c r="AV205" s="3" t="s">
        <v>371</v>
      </c>
      <c r="AW205" s="3" t="s">
        <v>92</v>
      </c>
      <c r="AX205" s="1414" t="s">
        <v>371</v>
      </c>
      <c r="AY205" s="3"/>
      <c r="AZ205" s="139"/>
      <c r="BA205" s="139"/>
      <c r="BB205" s="139"/>
      <c r="BC205" s="139"/>
      <c r="BD205" s="139"/>
      <c r="BE205" s="3"/>
    </row>
    <row r="206" spans="1:57" ht="15" customHeight="1" thickBot="1" x14ac:dyDescent="0.45">
      <c r="A206" s="3"/>
      <c r="B206" s="3"/>
      <c r="C206" s="925"/>
      <c r="D206" s="925"/>
      <c r="E206" s="925"/>
      <c r="F206" s="925"/>
      <c r="G206" s="924"/>
      <c r="H206" s="887"/>
      <c r="I206" s="889"/>
      <c r="J206" s="889"/>
      <c r="K206" s="889"/>
      <c r="L206" s="889"/>
      <c r="M206" s="945"/>
      <c r="N206" s="945"/>
      <c r="O206" s="945"/>
      <c r="P206" s="1020"/>
      <c r="Q206" s="1020"/>
      <c r="R206" s="889"/>
      <c r="S206" s="945"/>
      <c r="T206" s="889"/>
      <c r="U206" s="887"/>
      <c r="V206" s="888" t="s">
        <v>369</v>
      </c>
      <c r="W206" s="889" t="s">
        <v>405</v>
      </c>
      <c r="X206" s="888" t="s">
        <v>369</v>
      </c>
      <c r="Y206" s="1444">
        <v>600102010</v>
      </c>
      <c r="Z206" s="1444"/>
      <c r="AA206" s="1444"/>
      <c r="AB206" s="887"/>
      <c r="AC206" s="889"/>
      <c r="AD206" s="889"/>
      <c r="AE206" s="945"/>
      <c r="AF206" s="889"/>
      <c r="AG206" s="889"/>
      <c r="AH206" s="945"/>
      <c r="AI206" s="1424">
        <v>9.9000000000000008E-3</v>
      </c>
      <c r="AJ206" s="947"/>
      <c r="AK206" s="947"/>
      <c r="AL206" s="947"/>
      <c r="AM206" s="947"/>
      <c r="AN206" s="889" t="s">
        <v>371</v>
      </c>
      <c r="AO206" s="889" t="s">
        <v>371</v>
      </c>
      <c r="AP206" s="889" t="s">
        <v>371</v>
      </c>
      <c r="AQ206" s="889" t="s">
        <v>371</v>
      </c>
      <c r="AR206" s="889" t="s">
        <v>92</v>
      </c>
      <c r="AS206" s="889" t="s">
        <v>92</v>
      </c>
      <c r="AT206" s="889" t="s">
        <v>81</v>
      </c>
      <c r="AU206" s="889" t="s">
        <v>371</v>
      </c>
      <c r="AV206" s="889" t="s">
        <v>371</v>
      </c>
      <c r="AW206" s="889" t="s">
        <v>92</v>
      </c>
      <c r="AX206" s="1590" t="s">
        <v>371</v>
      </c>
      <c r="AY206" s="889"/>
      <c r="AZ206" s="139"/>
      <c r="BA206" s="139"/>
      <c r="BB206" s="139"/>
      <c r="BC206" s="139"/>
      <c r="BD206" s="139"/>
      <c r="BE206" s="3"/>
    </row>
    <row r="207" spans="1:57" ht="15" customHeight="1" x14ac:dyDescent="0.4">
      <c r="A207" s="3"/>
      <c r="B207" s="3"/>
      <c r="C207" s="1387" t="s">
        <v>1949</v>
      </c>
      <c r="D207" s="155"/>
      <c r="E207" s="155"/>
      <c r="F207" s="155"/>
      <c r="G207" s="7"/>
      <c r="H207" s="20"/>
      <c r="I207" s="116" t="s">
        <v>392</v>
      </c>
      <c r="J207" s="116"/>
      <c r="K207" s="116"/>
      <c r="L207" s="116" t="s">
        <v>348</v>
      </c>
      <c r="M207" s="177">
        <v>-8</v>
      </c>
      <c r="N207" s="177"/>
      <c r="O207" s="177"/>
      <c r="P207" s="178"/>
      <c r="Q207" s="178"/>
      <c r="R207" s="116" t="s">
        <v>352</v>
      </c>
      <c r="S207" s="177">
        <f>SHWidth+M207+O207</f>
        <v>30.5625</v>
      </c>
      <c r="T207" s="116" t="s">
        <v>366</v>
      </c>
      <c r="U207" s="20"/>
      <c r="V207" s="38"/>
      <c r="W207" s="3"/>
      <c r="X207" s="38"/>
      <c r="Y207" s="1443"/>
      <c r="Z207" s="1443"/>
      <c r="AA207" s="1443"/>
      <c r="AB207" s="20"/>
      <c r="AC207" s="3">
        <v>45</v>
      </c>
      <c r="AD207" s="3">
        <v>1</v>
      </c>
      <c r="AE207" s="5">
        <f>S207/12</f>
        <v>2.546875</v>
      </c>
      <c r="AF207" s="3" t="s">
        <v>367</v>
      </c>
      <c r="AG207" s="3"/>
      <c r="AH207" s="5"/>
      <c r="AI207" s="844"/>
      <c r="AJ207" s="39"/>
      <c r="AK207" s="39"/>
      <c r="AL207" s="39"/>
      <c r="AM207" s="39">
        <f>AI208*AE207</f>
        <v>0.1467</v>
      </c>
      <c r="AN207" s="116" t="s">
        <v>371</v>
      </c>
      <c r="AO207" s="116" t="s">
        <v>371</v>
      </c>
      <c r="AP207" s="116" t="s">
        <v>371</v>
      </c>
      <c r="AQ207" s="116" t="s">
        <v>371</v>
      </c>
      <c r="AR207" s="116" t="s">
        <v>92</v>
      </c>
      <c r="AS207" s="116" t="s">
        <v>92</v>
      </c>
      <c r="AT207" s="116" t="s">
        <v>81</v>
      </c>
      <c r="AU207" s="116" t="s">
        <v>371</v>
      </c>
      <c r="AV207" s="116" t="s">
        <v>371</v>
      </c>
      <c r="AW207" s="116" t="s">
        <v>92</v>
      </c>
      <c r="AX207" s="1884" t="s">
        <v>371</v>
      </c>
      <c r="AY207" s="3"/>
      <c r="AZ207" s="139"/>
      <c r="BA207" s="139"/>
      <c r="BB207" s="139"/>
      <c r="BC207" s="139"/>
      <c r="BD207" s="139"/>
      <c r="BE207" s="3"/>
    </row>
    <row r="208" spans="1:57" ht="15" customHeight="1" thickBot="1" x14ac:dyDescent="0.45">
      <c r="A208" s="3"/>
      <c r="B208" s="889"/>
      <c r="C208" s="925"/>
      <c r="D208" s="925"/>
      <c r="E208" s="925"/>
      <c r="F208" s="925"/>
      <c r="G208" s="924"/>
      <c r="H208" s="887"/>
      <c r="I208" s="889"/>
      <c r="J208" s="889"/>
      <c r="K208" s="889"/>
      <c r="L208" s="889"/>
      <c r="M208" s="945"/>
      <c r="N208" s="945"/>
      <c r="O208" s="945"/>
      <c r="P208" s="1020"/>
      <c r="Q208" s="1020"/>
      <c r="R208" s="889"/>
      <c r="S208" s="945"/>
      <c r="T208" s="889"/>
      <c r="U208" s="887"/>
      <c r="V208" s="888" t="s">
        <v>369</v>
      </c>
      <c r="W208" s="889"/>
      <c r="X208" s="888" t="s">
        <v>369</v>
      </c>
      <c r="Y208" s="1444">
        <v>120035013</v>
      </c>
      <c r="Z208" s="1444"/>
      <c r="AA208" s="1444"/>
      <c r="AB208" s="887"/>
      <c r="AC208" s="889"/>
      <c r="AD208" s="889"/>
      <c r="AE208" s="945"/>
      <c r="AF208" s="889"/>
      <c r="AG208" s="889"/>
      <c r="AH208" s="945"/>
      <c r="AI208" s="1424">
        <v>5.7599999999999998E-2</v>
      </c>
      <c r="AJ208" s="947"/>
      <c r="AK208" s="947"/>
      <c r="AL208" s="947"/>
      <c r="AM208" s="947"/>
      <c r="AN208" s="889" t="s">
        <v>371</v>
      </c>
      <c r="AO208" s="889" t="s">
        <v>371</v>
      </c>
      <c r="AP208" s="889" t="s">
        <v>371</v>
      </c>
      <c r="AQ208" s="889" t="s">
        <v>371</v>
      </c>
      <c r="AR208" s="889" t="s">
        <v>92</v>
      </c>
      <c r="AS208" s="889" t="s">
        <v>92</v>
      </c>
      <c r="AT208" s="889" t="s">
        <v>81</v>
      </c>
      <c r="AU208" s="889" t="s">
        <v>371</v>
      </c>
      <c r="AV208" s="889" t="s">
        <v>371</v>
      </c>
      <c r="AW208" s="889" t="s">
        <v>92</v>
      </c>
      <c r="AX208" s="1590" t="s">
        <v>371</v>
      </c>
      <c r="AY208" s="889"/>
      <c r="AZ208" s="139"/>
      <c r="BA208" s="139"/>
      <c r="BB208" s="139"/>
      <c r="BC208" s="139"/>
      <c r="BD208" s="139"/>
      <c r="BE208" s="3"/>
    </row>
    <row r="209" spans="1:57" ht="15" customHeight="1" thickBot="1" x14ac:dyDescent="0.45">
      <c r="A209" s="3"/>
      <c r="B209" s="135" t="s">
        <v>420</v>
      </c>
      <c r="C209" s="827"/>
      <c r="D209" s="827"/>
      <c r="E209" s="827"/>
      <c r="F209" s="827"/>
      <c r="G209" s="135"/>
      <c r="H209" s="828"/>
      <c r="I209" s="136"/>
      <c r="J209" s="136"/>
      <c r="K209" s="136"/>
      <c r="L209" s="136"/>
      <c r="M209" s="506"/>
      <c r="N209" s="506"/>
      <c r="O209" s="506"/>
      <c r="P209" s="496"/>
      <c r="Q209" s="496"/>
      <c r="R209" s="136"/>
      <c r="S209" s="506"/>
      <c r="T209" s="136"/>
      <c r="U209" s="828"/>
      <c r="V209" s="557"/>
      <c r="W209" s="136"/>
      <c r="X209" s="557"/>
      <c r="Y209" s="829"/>
      <c r="Z209" s="829"/>
      <c r="AA209" s="829"/>
      <c r="AB209" s="828"/>
      <c r="AC209" s="136"/>
      <c r="AD209" s="136"/>
      <c r="AE209" s="506"/>
      <c r="AF209" s="136"/>
      <c r="AG209" s="136"/>
      <c r="AH209" s="506"/>
      <c r="AI209" s="475"/>
      <c r="AJ209" s="137"/>
      <c r="AK209" s="137"/>
      <c r="AL209" s="137"/>
      <c r="AM209" s="137"/>
      <c r="AN209" s="136" t="s">
        <v>371</v>
      </c>
      <c r="AO209" s="136" t="s">
        <v>371</v>
      </c>
      <c r="AP209" s="136" t="s">
        <v>371</v>
      </c>
      <c r="AQ209" s="136" t="s">
        <v>371</v>
      </c>
      <c r="AR209" s="136" t="s">
        <v>92</v>
      </c>
      <c r="AS209" s="136" t="s">
        <v>92</v>
      </c>
      <c r="AT209" s="136" t="s">
        <v>371</v>
      </c>
      <c r="AU209" s="136" t="s">
        <v>371</v>
      </c>
      <c r="AV209" s="136" t="s">
        <v>371</v>
      </c>
      <c r="AW209" s="136" t="s">
        <v>92</v>
      </c>
      <c r="AX209" s="1882" t="s">
        <v>371</v>
      </c>
      <c r="AY209" s="136"/>
      <c r="AZ209" s="139"/>
      <c r="BA209" s="139"/>
      <c r="BB209" s="139"/>
      <c r="BC209" s="139"/>
      <c r="BD209" s="139"/>
      <c r="BE209" s="3"/>
    </row>
    <row r="210" spans="1:57" ht="15" customHeight="1" x14ac:dyDescent="0.4">
      <c r="A210" s="3"/>
      <c r="B210" s="36"/>
      <c r="C210" s="476" t="s">
        <v>421</v>
      </c>
      <c r="D210" s="4"/>
      <c r="E210" s="4"/>
      <c r="F210" s="4"/>
      <c r="G210" s="7"/>
      <c r="H210" s="20"/>
      <c r="I210" s="3"/>
      <c r="J210" s="3"/>
      <c r="K210" s="3"/>
      <c r="L210" s="3"/>
      <c r="M210" s="5"/>
      <c r="N210" s="5"/>
      <c r="O210" s="5"/>
      <c r="P210" s="24"/>
      <c r="Q210" s="24"/>
      <c r="R210" s="3"/>
      <c r="S210" s="5">
        <v>1</v>
      </c>
      <c r="T210" s="3"/>
      <c r="U210" s="20"/>
      <c r="V210" s="38" t="s">
        <v>369</v>
      </c>
      <c r="W210" s="3" t="s">
        <v>422</v>
      </c>
      <c r="X210" s="38" t="s">
        <v>369</v>
      </c>
      <c r="Y210" s="1443">
        <v>120032000</v>
      </c>
      <c r="Z210" s="41">
        <v>251334</v>
      </c>
      <c r="AA210" s="41"/>
      <c r="AB210" s="20"/>
      <c r="AC210" s="3">
        <v>45</v>
      </c>
      <c r="AD210" s="3">
        <v>1</v>
      </c>
      <c r="AE210" s="177">
        <f>S210*AD210</f>
        <v>1</v>
      </c>
      <c r="AF210" s="3"/>
      <c r="AG210" s="3"/>
      <c r="AH210" s="5"/>
      <c r="AI210" s="353">
        <v>7.7700000000000005E-2</v>
      </c>
      <c r="AJ210" s="39"/>
      <c r="AK210" s="39"/>
      <c r="AL210" s="39"/>
      <c r="AM210" s="39">
        <f>AE$210*AI210+SUM(AJ210:AL210)</f>
        <v>7.7700000000000005E-2</v>
      </c>
      <c r="AN210" s="3" t="s">
        <v>371</v>
      </c>
      <c r="AO210" s="3" t="s">
        <v>371</v>
      </c>
      <c r="AP210" s="3" t="s">
        <v>371</v>
      </c>
      <c r="AQ210" s="3" t="s">
        <v>371</v>
      </c>
      <c r="AR210" s="3" t="s">
        <v>92</v>
      </c>
      <c r="AS210" s="3" t="s">
        <v>92</v>
      </c>
      <c r="AT210" s="3" t="s">
        <v>371</v>
      </c>
      <c r="AU210" s="3" t="s">
        <v>371</v>
      </c>
      <c r="AV210" s="3" t="s">
        <v>371</v>
      </c>
      <c r="AW210" s="3" t="s">
        <v>92</v>
      </c>
      <c r="AX210" s="1414" t="s">
        <v>371</v>
      </c>
      <c r="AY210" s="3"/>
      <c r="AZ210" s="139"/>
      <c r="BA210" s="139"/>
      <c r="BB210" s="139"/>
      <c r="BC210" s="139"/>
      <c r="BD210" s="139"/>
      <c r="BE210" s="3"/>
    </row>
    <row r="211" spans="1:57" ht="15" customHeight="1" thickBot="1" x14ac:dyDescent="0.45">
      <c r="A211" s="3"/>
      <c r="B211" s="36"/>
      <c r="C211" s="1191"/>
      <c r="D211" s="968"/>
      <c r="E211" s="968"/>
      <c r="F211" s="968"/>
      <c r="G211" s="924"/>
      <c r="H211" s="887"/>
      <c r="I211" s="889"/>
      <c r="J211" s="889"/>
      <c r="K211" s="889"/>
      <c r="L211" s="889"/>
      <c r="M211" s="945"/>
      <c r="N211" s="945"/>
      <c r="O211" s="945"/>
      <c r="P211" s="1020"/>
      <c r="Q211" s="1020"/>
      <c r="R211" s="889"/>
      <c r="S211" s="945"/>
      <c r="T211" s="889"/>
      <c r="U211" s="887"/>
      <c r="V211" s="888"/>
      <c r="W211" s="889"/>
      <c r="X211" s="888"/>
      <c r="Y211" s="1444"/>
      <c r="Z211" s="946"/>
      <c r="AA211" s="946"/>
      <c r="AB211" s="887"/>
      <c r="AC211" s="889"/>
      <c r="AD211" s="889"/>
      <c r="AE211" s="945"/>
      <c r="AF211" s="889"/>
      <c r="AG211" s="889"/>
      <c r="AH211" s="945"/>
      <c r="AI211" s="937"/>
      <c r="AJ211" s="947"/>
      <c r="AK211" s="947"/>
      <c r="AL211" s="947"/>
      <c r="AM211" s="947"/>
      <c r="AN211" s="889" t="s">
        <v>371</v>
      </c>
      <c r="AO211" s="889" t="s">
        <v>371</v>
      </c>
      <c r="AP211" s="889" t="s">
        <v>371</v>
      </c>
      <c r="AQ211" s="889" t="s">
        <v>371</v>
      </c>
      <c r="AR211" s="889" t="s">
        <v>92</v>
      </c>
      <c r="AS211" s="889" t="s">
        <v>92</v>
      </c>
      <c r="AT211" s="889" t="s">
        <v>371</v>
      </c>
      <c r="AU211" s="889" t="s">
        <v>371</v>
      </c>
      <c r="AV211" s="889" t="s">
        <v>371</v>
      </c>
      <c r="AW211" s="889" t="s">
        <v>92</v>
      </c>
      <c r="AX211" s="1590" t="s">
        <v>371</v>
      </c>
      <c r="AY211" s="889"/>
      <c r="AZ211" s="139"/>
      <c r="BA211" s="139"/>
      <c r="BB211" s="139"/>
      <c r="BC211" s="139"/>
      <c r="BD211" s="139"/>
      <c r="BE211" s="3"/>
    </row>
    <row r="212" spans="1:57" ht="15" customHeight="1" x14ac:dyDescent="0.4">
      <c r="A212" s="3"/>
      <c r="B212" s="36"/>
      <c r="C212" s="7" t="s">
        <v>423</v>
      </c>
      <c r="D212" s="4"/>
      <c r="E212" s="4"/>
      <c r="F212" s="4"/>
      <c r="G212" s="7"/>
      <c r="H212" s="20"/>
      <c r="I212" s="3"/>
      <c r="J212" s="3"/>
      <c r="K212" s="3"/>
      <c r="L212" s="3"/>
      <c r="M212" s="5"/>
      <c r="N212" s="5"/>
      <c r="O212" s="5"/>
      <c r="P212" s="24"/>
      <c r="Q212" s="24"/>
      <c r="R212" s="3"/>
      <c r="S212" s="5">
        <v>1</v>
      </c>
      <c r="T212" s="3"/>
      <c r="U212" s="20"/>
      <c r="V212" s="38" t="s">
        <v>369</v>
      </c>
      <c r="W212" s="3"/>
      <c r="X212" s="38" t="s">
        <v>369</v>
      </c>
      <c r="Y212" s="1443">
        <v>170243000</v>
      </c>
      <c r="Z212" s="41" t="s">
        <v>424</v>
      </c>
      <c r="AA212" s="41"/>
      <c r="AB212" s="20"/>
      <c r="AC212" s="3">
        <v>42</v>
      </c>
      <c r="AD212" s="3">
        <v>1</v>
      </c>
      <c r="AE212" s="5">
        <f>S212*AD212</f>
        <v>1</v>
      </c>
      <c r="AF212" s="3"/>
      <c r="AG212" s="3"/>
      <c r="AH212" s="5"/>
      <c r="AI212" s="844">
        <v>0</v>
      </c>
      <c r="AJ212" s="39"/>
      <c r="AK212" s="39"/>
      <c r="AL212" s="39"/>
      <c r="AM212" s="39">
        <f>AE$212*AI212+SUM(AJ212:AL212)</f>
        <v>0</v>
      </c>
      <c r="AN212" s="3" t="s">
        <v>371</v>
      </c>
      <c r="AO212" s="3" t="s">
        <v>371</v>
      </c>
      <c r="AP212" s="3" t="s">
        <v>371</v>
      </c>
      <c r="AQ212" s="3" t="s">
        <v>371</v>
      </c>
      <c r="AR212" s="3" t="s">
        <v>92</v>
      </c>
      <c r="AS212" s="3" t="s">
        <v>92</v>
      </c>
      <c r="AT212" s="3" t="s">
        <v>371</v>
      </c>
      <c r="AU212" s="3" t="s">
        <v>371</v>
      </c>
      <c r="AV212" s="3" t="s">
        <v>371</v>
      </c>
      <c r="AW212" s="3" t="s">
        <v>92</v>
      </c>
      <c r="AX212" s="1414" t="s">
        <v>371</v>
      </c>
      <c r="AY212" s="3"/>
      <c r="AZ212" s="139"/>
      <c r="BA212" s="139"/>
      <c r="BB212" s="139"/>
      <c r="BC212" s="139"/>
      <c r="BD212" s="139"/>
      <c r="BE212" s="3"/>
    </row>
    <row r="213" spans="1:57" ht="15" customHeight="1" thickBot="1" x14ac:dyDescent="0.45">
      <c r="A213" s="3"/>
      <c r="B213" s="36"/>
      <c r="C213" s="924"/>
      <c r="D213" s="968"/>
      <c r="E213" s="968"/>
      <c r="F213" s="968"/>
      <c r="G213" s="924"/>
      <c r="H213" s="887"/>
      <c r="I213" s="889"/>
      <c r="J213" s="889"/>
      <c r="K213" s="889"/>
      <c r="L213" s="889"/>
      <c r="M213" s="945"/>
      <c r="N213" s="945"/>
      <c r="O213" s="945"/>
      <c r="P213" s="1020"/>
      <c r="Q213" s="1020"/>
      <c r="R213" s="889"/>
      <c r="S213" s="945"/>
      <c r="T213" s="889"/>
      <c r="U213" s="887"/>
      <c r="V213" s="888"/>
      <c r="W213" s="889"/>
      <c r="X213" s="888"/>
      <c r="Y213" s="1444"/>
      <c r="Z213" s="946"/>
      <c r="AA213" s="946"/>
      <c r="AB213" s="887"/>
      <c r="AC213" s="889"/>
      <c r="AD213" s="889"/>
      <c r="AE213" s="945"/>
      <c r="AF213" s="889"/>
      <c r="AG213" s="889"/>
      <c r="AH213" s="945"/>
      <c r="AI213" s="937"/>
      <c r="AJ213" s="947"/>
      <c r="AK213" s="947"/>
      <c r="AL213" s="947"/>
      <c r="AM213" s="947"/>
      <c r="AN213" s="889" t="s">
        <v>371</v>
      </c>
      <c r="AO213" s="889" t="s">
        <v>371</v>
      </c>
      <c r="AP213" s="889" t="s">
        <v>371</v>
      </c>
      <c r="AQ213" s="889" t="s">
        <v>371</v>
      </c>
      <c r="AR213" s="889" t="s">
        <v>92</v>
      </c>
      <c r="AS213" s="889" t="s">
        <v>92</v>
      </c>
      <c r="AT213" s="889" t="s">
        <v>371</v>
      </c>
      <c r="AU213" s="889" t="s">
        <v>371</v>
      </c>
      <c r="AV213" s="889" t="s">
        <v>371</v>
      </c>
      <c r="AW213" s="889" t="s">
        <v>92</v>
      </c>
      <c r="AX213" s="1590" t="s">
        <v>371</v>
      </c>
      <c r="AY213" s="889"/>
      <c r="AZ213" s="139"/>
      <c r="BA213" s="139"/>
      <c r="BB213" s="139"/>
      <c r="BC213" s="139"/>
      <c r="BD213" s="139"/>
      <c r="BE213" s="3"/>
    </row>
    <row r="214" spans="1:57" ht="15" customHeight="1" x14ac:dyDescent="0.4">
      <c r="A214" s="3"/>
      <c r="B214" s="36"/>
      <c r="C214" s="7" t="s">
        <v>425</v>
      </c>
      <c r="D214" s="4"/>
      <c r="E214" s="4"/>
      <c r="F214" s="4"/>
      <c r="G214" s="7"/>
      <c r="H214" s="20"/>
      <c r="I214" s="3"/>
      <c r="J214" s="3"/>
      <c r="K214" s="3"/>
      <c r="L214" s="3"/>
      <c r="M214" s="5" t="s">
        <v>426</v>
      </c>
      <c r="N214" s="5"/>
      <c r="O214" s="5"/>
      <c r="P214" s="24"/>
      <c r="Q214" s="24"/>
      <c r="R214" s="3"/>
      <c r="S214" s="5">
        <v>1</v>
      </c>
      <c r="T214" s="3"/>
      <c r="U214" s="20"/>
      <c r="V214" s="38" t="s">
        <v>369</v>
      </c>
      <c r="W214" s="3"/>
      <c r="X214" s="38" t="s">
        <v>369</v>
      </c>
      <c r="Y214" s="1443">
        <v>440121000</v>
      </c>
      <c r="Z214" s="41">
        <v>254058</v>
      </c>
      <c r="AA214" s="41"/>
      <c r="AB214" s="20"/>
      <c r="AC214" s="3">
        <v>45</v>
      </c>
      <c r="AD214" s="3">
        <v>6</v>
      </c>
      <c r="AE214" s="5">
        <f>S214*AD214</f>
        <v>6</v>
      </c>
      <c r="AF214" s="3"/>
      <c r="AG214" s="3"/>
      <c r="AH214" s="5"/>
      <c r="AI214" s="353">
        <v>1.67E-2</v>
      </c>
      <c r="AJ214" s="39"/>
      <c r="AK214" s="39"/>
      <c r="AL214" s="39"/>
      <c r="AM214" s="39">
        <f>AE$214*AI214+SUM(AJ214:AL214)</f>
        <v>0.1002</v>
      </c>
      <c r="AN214" s="3" t="s">
        <v>371</v>
      </c>
      <c r="AO214" s="3" t="s">
        <v>371</v>
      </c>
      <c r="AP214" s="3" t="s">
        <v>371</v>
      </c>
      <c r="AQ214" s="3" t="s">
        <v>371</v>
      </c>
      <c r="AR214" s="3" t="s">
        <v>92</v>
      </c>
      <c r="AS214" s="3" t="s">
        <v>92</v>
      </c>
      <c r="AT214" s="3" t="s">
        <v>371</v>
      </c>
      <c r="AU214" s="3" t="s">
        <v>371</v>
      </c>
      <c r="AV214" s="3" t="s">
        <v>371</v>
      </c>
      <c r="AW214" s="3" t="s">
        <v>92</v>
      </c>
      <c r="AX214" s="1414" t="s">
        <v>371</v>
      </c>
      <c r="AY214" s="3"/>
      <c r="AZ214" s="139"/>
      <c r="BA214" s="139"/>
      <c r="BB214" s="139"/>
      <c r="BC214" s="139"/>
      <c r="BD214" s="139"/>
      <c r="BE214" s="3"/>
    </row>
    <row r="215" spans="1:57" ht="15" customHeight="1" x14ac:dyDescent="0.4">
      <c r="A215" s="3"/>
      <c r="B215" s="36"/>
      <c r="C215" s="4"/>
      <c r="D215" s="4"/>
      <c r="E215" s="4"/>
      <c r="F215" s="4"/>
      <c r="G215" s="7"/>
      <c r="H215" s="20"/>
      <c r="I215" s="3"/>
      <c r="J215" s="3"/>
      <c r="K215" s="3"/>
      <c r="L215" s="3"/>
      <c r="M215" s="5"/>
      <c r="N215" s="5"/>
      <c r="O215" s="5"/>
      <c r="P215" s="24"/>
      <c r="Q215" s="24"/>
      <c r="R215" s="3"/>
      <c r="S215" s="5"/>
      <c r="T215" s="3"/>
      <c r="U215" s="20"/>
      <c r="V215" s="38"/>
      <c r="W215" s="3"/>
      <c r="X215" s="38"/>
      <c r="Y215" s="41"/>
      <c r="Z215" s="41"/>
      <c r="AA215" s="41"/>
      <c r="AB215" s="20"/>
      <c r="AC215" s="3"/>
      <c r="AD215" s="3"/>
      <c r="AE215" s="5"/>
      <c r="AF215" s="3"/>
      <c r="AG215" s="3"/>
      <c r="AH215" s="5"/>
      <c r="AI215" s="51"/>
      <c r="AJ215" s="39"/>
      <c r="AK215" s="39"/>
      <c r="AL215" s="39"/>
      <c r="AM215" s="39"/>
      <c r="AN215" s="3" t="s">
        <v>371</v>
      </c>
      <c r="AO215" s="3" t="s">
        <v>371</v>
      </c>
      <c r="AP215" s="3" t="s">
        <v>371</v>
      </c>
      <c r="AQ215" s="3" t="s">
        <v>371</v>
      </c>
      <c r="AR215" s="3" t="s">
        <v>92</v>
      </c>
      <c r="AS215" s="3" t="s">
        <v>92</v>
      </c>
      <c r="AT215" s="3" t="s">
        <v>371</v>
      </c>
      <c r="AU215" s="3" t="s">
        <v>371</v>
      </c>
      <c r="AV215" s="3" t="s">
        <v>371</v>
      </c>
      <c r="AW215" s="3" t="s">
        <v>92</v>
      </c>
      <c r="AX215" s="1414" t="s">
        <v>371</v>
      </c>
      <c r="AY215" s="3"/>
      <c r="AZ215" s="139"/>
      <c r="BA215" s="139"/>
      <c r="BB215" s="139"/>
      <c r="BC215" s="139"/>
      <c r="BD215" s="139"/>
      <c r="BE215" s="3"/>
    </row>
    <row r="216" spans="1:57" ht="15" customHeight="1" thickBot="1" x14ac:dyDescent="0.45">
      <c r="A216" s="3"/>
      <c r="B216" s="36"/>
      <c r="C216" s="4"/>
      <c r="D216" s="4"/>
      <c r="E216" s="4"/>
      <c r="F216" s="4"/>
      <c r="G216" s="7"/>
      <c r="H216" s="20"/>
      <c r="I216" s="3"/>
      <c r="J216" s="3"/>
      <c r="K216" s="3"/>
      <c r="L216" s="3"/>
      <c r="M216" s="5"/>
      <c r="N216" s="5"/>
      <c r="O216" s="5"/>
      <c r="P216" s="24"/>
      <c r="Q216" s="24"/>
      <c r="R216" s="3"/>
      <c r="S216" s="5"/>
      <c r="T216" s="3"/>
      <c r="U216" s="20"/>
      <c r="V216" s="38"/>
      <c r="W216" s="3"/>
      <c r="X216" s="38"/>
      <c r="Y216" s="41"/>
      <c r="Z216" s="41"/>
      <c r="AA216" s="41"/>
      <c r="AB216" s="20"/>
      <c r="AC216" s="3"/>
      <c r="AD216" s="3"/>
      <c r="AE216" s="5"/>
      <c r="AF216" s="3"/>
      <c r="AG216" s="3"/>
      <c r="AH216" s="5"/>
      <c r="AI216" s="51"/>
      <c r="AJ216" s="39"/>
      <c r="AK216" s="39"/>
      <c r="AL216" s="39"/>
      <c r="AM216" s="39"/>
      <c r="AN216" s="889" t="s">
        <v>371</v>
      </c>
      <c r="AO216" s="889" t="s">
        <v>371</v>
      </c>
      <c r="AP216" s="889" t="s">
        <v>371</v>
      </c>
      <c r="AQ216" s="889" t="s">
        <v>371</v>
      </c>
      <c r="AR216" s="889" t="s">
        <v>92</v>
      </c>
      <c r="AS216" s="889" t="s">
        <v>92</v>
      </c>
      <c r="AT216" s="889" t="s">
        <v>371</v>
      </c>
      <c r="AU216" s="889" t="s">
        <v>371</v>
      </c>
      <c r="AV216" s="889" t="s">
        <v>371</v>
      </c>
      <c r="AW216" s="889" t="s">
        <v>92</v>
      </c>
      <c r="AX216" s="1590" t="s">
        <v>371</v>
      </c>
      <c r="AY216" s="889"/>
      <c r="AZ216" s="139"/>
      <c r="BA216" s="139"/>
      <c r="BB216" s="139"/>
      <c r="BC216" s="139"/>
      <c r="BD216" s="139"/>
      <c r="BE216" s="3"/>
    </row>
    <row r="217" spans="1:57" ht="15" customHeight="1" thickBot="1" x14ac:dyDescent="0.45">
      <c r="A217" s="3"/>
      <c r="B217" s="629" t="s">
        <v>427</v>
      </c>
      <c r="C217" s="630"/>
      <c r="D217" s="631"/>
      <c r="E217" s="631"/>
      <c r="F217" s="631"/>
      <c r="G217" s="631"/>
      <c r="H217" s="632"/>
      <c r="I217" s="632"/>
      <c r="J217" s="632"/>
      <c r="K217" s="632"/>
      <c r="L217" s="632"/>
      <c r="M217" s="633"/>
      <c r="N217" s="633"/>
      <c r="O217" s="633"/>
      <c r="P217" s="633"/>
      <c r="Q217" s="633"/>
      <c r="R217" s="632"/>
      <c r="S217" s="633"/>
      <c r="T217" s="632"/>
      <c r="U217" s="632"/>
      <c r="V217" s="631"/>
      <c r="W217" s="631"/>
      <c r="X217" s="631"/>
      <c r="Y217" s="634"/>
      <c r="Z217" s="634"/>
      <c r="AA217" s="634"/>
      <c r="AB217" s="632"/>
      <c r="AC217" s="635"/>
      <c r="AD217" s="632"/>
      <c r="AE217" s="633"/>
      <c r="AF217" s="632"/>
      <c r="AG217" s="632"/>
      <c r="AH217" s="632"/>
      <c r="AI217" s="636"/>
      <c r="AJ217" s="636"/>
      <c r="AK217" s="636"/>
      <c r="AL217" s="637" t="s">
        <v>428</v>
      </c>
      <c r="AM217" s="638">
        <f>SUBTOTAL(109,AM218:AM363)</f>
        <v>303.63629104166665</v>
      </c>
      <c r="AN217" s="618" t="s">
        <v>92</v>
      </c>
      <c r="AO217" s="618" t="s">
        <v>92</v>
      </c>
      <c r="AP217" s="618" t="s">
        <v>92</v>
      </c>
      <c r="AQ217" s="618" t="s">
        <v>92</v>
      </c>
      <c r="AR217" s="618" t="s">
        <v>81</v>
      </c>
      <c r="AS217" s="618" t="s">
        <v>81</v>
      </c>
      <c r="AT217" s="618" t="s">
        <v>92</v>
      </c>
      <c r="AU217" s="618" t="s">
        <v>92</v>
      </c>
      <c r="AV217" s="618" t="s">
        <v>92</v>
      </c>
      <c r="AW217" s="618" t="s">
        <v>81</v>
      </c>
      <c r="AX217" s="618" t="s">
        <v>92</v>
      </c>
      <c r="AY217" s="618"/>
      <c r="AZ217" s="139"/>
      <c r="BA217" s="139"/>
      <c r="BB217" s="139"/>
      <c r="BC217" s="139"/>
      <c r="BD217" s="139"/>
      <c r="BE217" s="3"/>
    </row>
    <row r="218" spans="1:57" ht="15" customHeight="1" thickBot="1" x14ac:dyDescent="0.45">
      <c r="A218" s="3"/>
      <c r="B218" s="173" t="s">
        <v>429</v>
      </c>
      <c r="C218" s="173"/>
      <c r="D218" s="116"/>
      <c r="E218" s="116"/>
      <c r="F218" s="174"/>
      <c r="G218" s="173"/>
      <c r="H218" s="175"/>
      <c r="I218" s="116"/>
      <c r="J218" s="116"/>
      <c r="K218" s="116"/>
      <c r="L218" s="116"/>
      <c r="M218" s="177"/>
      <c r="N218" s="177"/>
      <c r="O218" s="177"/>
      <c r="P218" s="177"/>
      <c r="Q218" s="177"/>
      <c r="R218" s="116"/>
      <c r="S218" s="177"/>
      <c r="T218" s="116"/>
      <c r="U218" s="175"/>
      <c r="V218" s="173"/>
      <c r="W218" s="173"/>
      <c r="X218" s="173"/>
      <c r="Y218" s="116"/>
      <c r="Z218" s="116"/>
      <c r="AA218" s="116"/>
      <c r="AB218" s="175"/>
      <c r="AC218" s="116"/>
      <c r="AD218" s="116"/>
      <c r="AE218" s="177"/>
      <c r="AF218" s="116"/>
      <c r="AG218" s="179"/>
      <c r="AH218" s="177"/>
      <c r="AI218" s="185"/>
      <c r="AJ218" s="185"/>
      <c r="AK218" s="185"/>
      <c r="AL218" s="185"/>
      <c r="AM218" s="180"/>
      <c r="AN218" s="136" t="s">
        <v>92</v>
      </c>
      <c r="AO218" s="136" t="s">
        <v>92</v>
      </c>
      <c r="AP218" s="136" t="s">
        <v>92</v>
      </c>
      <c r="AQ218" s="136" t="s">
        <v>92</v>
      </c>
      <c r="AR218" s="136" t="s">
        <v>81</v>
      </c>
      <c r="AS218" s="136" t="s">
        <v>81</v>
      </c>
      <c r="AT218" s="136" t="s">
        <v>92</v>
      </c>
      <c r="AU218" s="136" t="s">
        <v>92</v>
      </c>
      <c r="AV218" s="136" t="s">
        <v>92</v>
      </c>
      <c r="AW218" s="136" t="s">
        <v>81</v>
      </c>
      <c r="AX218" s="1882" t="s">
        <v>92</v>
      </c>
      <c r="AY218" s="136"/>
      <c r="AZ218" s="139"/>
      <c r="BA218" s="139"/>
      <c r="BB218" s="139"/>
      <c r="BC218" s="139"/>
      <c r="BD218" s="139"/>
      <c r="BE218" s="3"/>
    </row>
    <row r="219" spans="1:57" ht="15" customHeight="1" x14ac:dyDescent="0.4">
      <c r="A219" s="3" t="s">
        <v>362</v>
      </c>
      <c r="B219" s="173"/>
      <c r="C219" s="173" t="s">
        <v>430</v>
      </c>
      <c r="D219" s="116"/>
      <c r="E219" s="116"/>
      <c r="F219" s="174" t="s">
        <v>431</v>
      </c>
      <c r="G219" s="173"/>
      <c r="H219" s="175"/>
      <c r="I219" s="116" t="s">
        <v>365</v>
      </c>
      <c r="J219" s="116"/>
      <c r="K219" s="116"/>
      <c r="L219" s="116" t="s">
        <v>348</v>
      </c>
      <c r="M219" s="177">
        <f>1.5+1.375*2</f>
        <v>4.25</v>
      </c>
      <c r="N219" s="177" t="s">
        <v>348</v>
      </c>
      <c r="O219" s="177">
        <f>0.25</f>
        <v>0.25</v>
      </c>
      <c r="P219" s="177"/>
      <c r="Q219" s="177"/>
      <c r="R219" s="116" t="s">
        <v>352</v>
      </c>
      <c r="S219" s="177">
        <f>SHHeight+M219+O219</f>
        <v>78.5</v>
      </c>
      <c r="T219" s="116" t="s">
        <v>366</v>
      </c>
      <c r="U219" s="175"/>
      <c r="V219" s="173"/>
      <c r="W219" s="173"/>
      <c r="X219" s="173"/>
      <c r="Y219" s="116"/>
      <c r="Z219" s="116"/>
      <c r="AA219" s="116"/>
      <c r="AB219" s="175"/>
      <c r="AC219" s="116">
        <v>45</v>
      </c>
      <c r="AD219" s="116">
        <v>2</v>
      </c>
      <c r="AE219" s="177">
        <f>S219*AD219/12</f>
        <v>13.083333333333334</v>
      </c>
      <c r="AF219" s="116" t="s">
        <v>367</v>
      </c>
      <c r="AG219" s="179">
        <v>1.073</v>
      </c>
      <c r="AH219" s="177">
        <f>AG219*AtolbperftSH</f>
        <v>0.6786724999999999</v>
      </c>
      <c r="AI219" s="185"/>
      <c r="AJ219" s="185"/>
      <c r="AK219" s="185"/>
      <c r="AL219" s="185"/>
      <c r="AM219" s="180"/>
      <c r="AN219" s="3" t="s">
        <v>92</v>
      </c>
      <c r="AO219" s="3" t="s">
        <v>92</v>
      </c>
      <c r="AP219" s="3" t="s">
        <v>92</v>
      </c>
      <c r="AQ219" s="3" t="s">
        <v>92</v>
      </c>
      <c r="AR219" s="3" t="s">
        <v>81</v>
      </c>
      <c r="AS219" s="3" t="s">
        <v>92</v>
      </c>
      <c r="AT219" s="3" t="s">
        <v>92</v>
      </c>
      <c r="AU219" s="3" t="s">
        <v>92</v>
      </c>
      <c r="AV219" s="3" t="s">
        <v>92</v>
      </c>
      <c r="AW219" s="3" t="s">
        <v>81</v>
      </c>
      <c r="AX219" s="1414" t="s">
        <v>92</v>
      </c>
      <c r="AY219" s="3"/>
      <c r="AZ219" s="139"/>
      <c r="BA219" s="139"/>
      <c r="BB219" s="139"/>
      <c r="BC219" s="139"/>
      <c r="BD219" s="139"/>
      <c r="BE219" s="3"/>
    </row>
    <row r="220" spans="1:57" ht="15" customHeight="1" x14ac:dyDescent="0.4">
      <c r="A220" s="3"/>
      <c r="B220" s="36"/>
      <c r="C220" s="36"/>
      <c r="D220" s="155"/>
      <c r="E220" s="4"/>
      <c r="F220" s="155" t="s">
        <v>432</v>
      </c>
      <c r="G220" s="7"/>
      <c r="H220" s="20"/>
      <c r="I220" s="3" t="s">
        <v>365</v>
      </c>
      <c r="J220" s="3"/>
      <c r="K220" s="3"/>
      <c r="L220" s="3" t="s">
        <v>348</v>
      </c>
      <c r="M220" s="5">
        <v>0</v>
      </c>
      <c r="N220" s="5" t="s">
        <v>348</v>
      </c>
      <c r="O220" s="5">
        <f>0.25</f>
        <v>0.25</v>
      </c>
      <c r="P220" s="24"/>
      <c r="Q220" s="24"/>
      <c r="R220" s="3" t="s">
        <v>352</v>
      </c>
      <c r="S220" s="5">
        <f>SHHeight+M220+O220</f>
        <v>74.25</v>
      </c>
      <c r="T220" s="3" t="s">
        <v>366</v>
      </c>
      <c r="U220" s="20"/>
      <c r="V220" s="38" t="s">
        <v>369</v>
      </c>
      <c r="W220" s="3" t="s">
        <v>370</v>
      </c>
      <c r="X220" s="38" t="s">
        <v>369</v>
      </c>
      <c r="Y220" s="1443">
        <v>200134003</v>
      </c>
      <c r="Z220" s="1443"/>
      <c r="AA220" s="1443"/>
      <c r="AB220" s="20"/>
      <c r="AC220" s="3"/>
      <c r="AD220" s="3"/>
      <c r="AE220" s="5"/>
      <c r="AF220" s="3"/>
      <c r="AG220" s="38"/>
      <c r="AH220" s="5"/>
      <c r="AI220" s="353">
        <v>0.61450000000000005</v>
      </c>
      <c r="AJ220" s="39"/>
      <c r="AK220" s="39"/>
      <c r="AL220" s="39"/>
      <c r="AM220" s="39">
        <f>AE$219*AI220+SUM(AJ220:AL220)</f>
        <v>8.0397083333333335</v>
      </c>
      <c r="AN220" s="3" t="s">
        <v>92</v>
      </c>
      <c r="AO220" s="3" t="s">
        <v>92</v>
      </c>
      <c r="AP220" s="3" t="s">
        <v>92</v>
      </c>
      <c r="AQ220" s="3" t="s">
        <v>92</v>
      </c>
      <c r="AR220" s="3" t="s">
        <v>81</v>
      </c>
      <c r="AS220" s="3" t="s">
        <v>92</v>
      </c>
      <c r="AT220" s="3" t="s">
        <v>92</v>
      </c>
      <c r="AU220" s="3" t="s">
        <v>92</v>
      </c>
      <c r="AV220" s="3" t="s">
        <v>92</v>
      </c>
      <c r="AW220" s="3" t="s">
        <v>81</v>
      </c>
      <c r="AX220" s="1414" t="s">
        <v>92</v>
      </c>
      <c r="AY220" s="3"/>
      <c r="AZ220" s="139"/>
      <c r="BA220" s="139"/>
      <c r="BB220" s="139"/>
      <c r="BC220" s="139"/>
      <c r="BD220" s="139"/>
      <c r="BE220" s="3"/>
    </row>
    <row r="221" spans="1:57" ht="15" customHeight="1" x14ac:dyDescent="0.4">
      <c r="A221" s="3"/>
      <c r="B221" s="36"/>
      <c r="C221" s="36"/>
      <c r="D221" s="155"/>
      <c r="E221" s="155"/>
      <c r="F221" s="155"/>
      <c r="G221" s="7"/>
      <c r="H221" s="20"/>
      <c r="I221" s="3"/>
      <c r="J221" s="3"/>
      <c r="K221" s="3"/>
      <c r="L221" s="3"/>
      <c r="M221" s="5"/>
      <c r="N221" s="5"/>
      <c r="O221" s="5"/>
      <c r="P221" s="24"/>
      <c r="Q221" s="24"/>
      <c r="R221" s="3"/>
      <c r="S221" s="5"/>
      <c r="T221" s="3"/>
      <c r="U221" s="20"/>
      <c r="V221" s="38" t="s">
        <v>369</v>
      </c>
      <c r="W221" s="3" t="s">
        <v>372</v>
      </c>
      <c r="X221" s="38" t="s">
        <v>369</v>
      </c>
      <c r="Y221" s="1443">
        <v>200134021</v>
      </c>
      <c r="Z221" s="1443"/>
      <c r="AA221" s="1443"/>
      <c r="AB221" s="20"/>
      <c r="AC221" s="3"/>
      <c r="AD221" s="3"/>
      <c r="AE221" s="5"/>
      <c r="AF221" s="3"/>
      <c r="AG221" s="3"/>
      <c r="AH221" s="5"/>
      <c r="AI221" s="353">
        <v>0.65790000000000004</v>
      </c>
      <c r="AJ221" s="39"/>
      <c r="AK221" s="39"/>
      <c r="AL221" s="39"/>
      <c r="AM221" s="39">
        <f t="shared" ref="AM221:AM222" si="42">AE$219*AI221+SUM(AJ221:AL221)</f>
        <v>8.6075250000000008</v>
      </c>
      <c r="AN221" s="3" t="s">
        <v>92</v>
      </c>
      <c r="AO221" s="3" t="s">
        <v>92</v>
      </c>
      <c r="AP221" s="3" t="s">
        <v>92</v>
      </c>
      <c r="AQ221" s="3" t="s">
        <v>92</v>
      </c>
      <c r="AR221" s="3" t="s">
        <v>371</v>
      </c>
      <c r="AS221" s="3" t="s">
        <v>92</v>
      </c>
      <c r="AT221" s="3" t="s">
        <v>92</v>
      </c>
      <c r="AU221" s="3" t="s">
        <v>92</v>
      </c>
      <c r="AV221" s="3" t="s">
        <v>92</v>
      </c>
      <c r="AW221" s="3" t="s">
        <v>371</v>
      </c>
      <c r="AX221" s="1414" t="s">
        <v>92</v>
      </c>
      <c r="AY221" s="3"/>
      <c r="AZ221" s="139"/>
      <c r="BA221" s="139"/>
      <c r="BB221" s="139"/>
      <c r="BC221" s="139"/>
      <c r="BD221" s="139"/>
      <c r="BE221" s="3"/>
    </row>
    <row r="222" spans="1:57" ht="15.75" customHeight="1" x14ac:dyDescent="0.4">
      <c r="A222" s="3"/>
      <c r="B222" s="4"/>
      <c r="C222" s="36"/>
      <c r="D222" s="155"/>
      <c r="E222" s="155"/>
      <c r="F222" s="155"/>
      <c r="G222" s="7"/>
      <c r="H222" s="20"/>
      <c r="I222" s="3"/>
      <c r="J222" s="3"/>
      <c r="K222" s="3"/>
      <c r="L222" s="3"/>
      <c r="M222" s="5"/>
      <c r="N222" s="5"/>
      <c r="O222" s="5"/>
      <c r="P222" s="24"/>
      <c r="Q222" s="24"/>
      <c r="R222" s="3"/>
      <c r="S222" s="5"/>
      <c r="T222" s="3"/>
      <c r="U222" s="20"/>
      <c r="V222" s="38" t="s">
        <v>369</v>
      </c>
      <c r="W222" s="3" t="s">
        <v>373</v>
      </c>
      <c r="X222" s="38" t="s">
        <v>369</v>
      </c>
      <c r="Y222" s="1443">
        <v>200134033</v>
      </c>
      <c r="Z222" s="1443"/>
      <c r="AA222" s="1443"/>
      <c r="AB222" s="20"/>
      <c r="AC222" s="3"/>
      <c r="AD222" s="3"/>
      <c r="AE222" s="5"/>
      <c r="AF222" s="3"/>
      <c r="AG222" s="3"/>
      <c r="AH222" s="5"/>
      <c r="AI222" s="353">
        <v>0.70960000000000001</v>
      </c>
      <c r="AJ222" s="39"/>
      <c r="AK222" s="39"/>
      <c r="AL222" s="39"/>
      <c r="AM222" s="39">
        <f t="shared" si="42"/>
        <v>9.2839333333333336</v>
      </c>
      <c r="AN222" s="3" t="s">
        <v>92</v>
      </c>
      <c r="AO222" s="3" t="s">
        <v>92</v>
      </c>
      <c r="AP222" s="3" t="s">
        <v>92</v>
      </c>
      <c r="AQ222" s="3" t="s">
        <v>92</v>
      </c>
      <c r="AR222" s="3" t="s">
        <v>371</v>
      </c>
      <c r="AS222" s="3" t="s">
        <v>92</v>
      </c>
      <c r="AT222" s="3" t="s">
        <v>92</v>
      </c>
      <c r="AU222" s="3" t="s">
        <v>92</v>
      </c>
      <c r="AV222" s="3" t="s">
        <v>92</v>
      </c>
      <c r="AW222" s="3" t="s">
        <v>371</v>
      </c>
      <c r="AX222" s="1414" t="s">
        <v>92</v>
      </c>
      <c r="AY222" s="3"/>
      <c r="AZ222" s="139"/>
      <c r="BA222" s="139"/>
      <c r="BB222" s="139"/>
      <c r="BC222" s="139"/>
      <c r="BD222" s="139"/>
      <c r="BE222" s="3"/>
    </row>
    <row r="223" spans="1:57" ht="15.75" customHeight="1" x14ac:dyDescent="0.4">
      <c r="A223" s="3"/>
      <c r="B223" s="4"/>
      <c r="C223" s="36"/>
      <c r="D223" s="155"/>
      <c r="E223" s="155"/>
      <c r="F223" s="155"/>
      <c r="G223" s="7"/>
      <c r="H223" s="20"/>
      <c r="I223" s="3"/>
      <c r="J223" s="3"/>
      <c r="K223" s="3"/>
      <c r="L223" s="3"/>
      <c r="M223" s="5"/>
      <c r="N223" s="5"/>
      <c r="O223" s="5"/>
      <c r="P223" s="24"/>
      <c r="Q223" s="24"/>
      <c r="R223" s="3"/>
      <c r="S223" s="5"/>
      <c r="T223" s="3"/>
      <c r="U223" s="20"/>
      <c r="V223" s="3" t="s">
        <v>2363</v>
      </c>
      <c r="W223" s="3" t="s">
        <v>370</v>
      </c>
      <c r="X223" s="38" t="s">
        <v>369</v>
      </c>
      <c r="Y223" s="1443">
        <v>200134127</v>
      </c>
      <c r="Z223" s="1443"/>
      <c r="AA223" s="1443"/>
      <c r="AB223" s="20"/>
      <c r="AC223" s="3"/>
      <c r="AD223" s="3"/>
      <c r="AE223" s="5"/>
      <c r="AF223" s="3"/>
      <c r="AG223" s="3"/>
      <c r="AH223" s="5"/>
      <c r="AI223" s="353">
        <v>0.81020000000000003</v>
      </c>
      <c r="AJ223" s="39"/>
      <c r="AK223" s="39"/>
      <c r="AL223" s="39"/>
      <c r="AM223" s="39">
        <f t="shared" ref="AM223:AM224" si="43">AE$219*AI223+SUM(AJ223:AL223)</f>
        <v>10.600116666666668</v>
      </c>
      <c r="AN223" s="3" t="s">
        <v>92</v>
      </c>
      <c r="AO223" s="3" t="s">
        <v>92</v>
      </c>
      <c r="AP223" s="3" t="s">
        <v>92</v>
      </c>
      <c r="AQ223" s="3" t="s">
        <v>92</v>
      </c>
      <c r="AR223" s="3" t="s">
        <v>371</v>
      </c>
      <c r="AS223" s="3" t="s">
        <v>92</v>
      </c>
      <c r="AT223" s="3" t="s">
        <v>92</v>
      </c>
      <c r="AU223" s="3" t="s">
        <v>92</v>
      </c>
      <c r="AV223" s="3" t="s">
        <v>92</v>
      </c>
      <c r="AW223" s="3" t="s">
        <v>371</v>
      </c>
      <c r="AX223" s="1414" t="s">
        <v>92</v>
      </c>
      <c r="AY223" s="3"/>
      <c r="AZ223" s="139"/>
      <c r="BA223" s="139"/>
      <c r="BB223" s="139"/>
      <c r="BC223" s="139"/>
      <c r="BD223" s="139"/>
      <c r="BE223" s="3"/>
    </row>
    <row r="224" spans="1:57" ht="15.75" customHeight="1" x14ac:dyDescent="0.4">
      <c r="A224" s="3"/>
      <c r="B224" s="4"/>
      <c r="C224" s="36"/>
      <c r="D224" s="155"/>
      <c r="E224" s="155"/>
      <c r="F224" s="155"/>
      <c r="G224" s="7"/>
      <c r="H224" s="20"/>
      <c r="I224" s="3"/>
      <c r="J224" s="3"/>
      <c r="K224" s="3"/>
      <c r="L224" s="3"/>
      <c r="M224" s="5"/>
      <c r="N224" s="5"/>
      <c r="O224" s="5"/>
      <c r="P224" s="24"/>
      <c r="Q224" s="24"/>
      <c r="R224" s="3"/>
      <c r="S224" s="5"/>
      <c r="T224" s="3"/>
      <c r="U224" s="20"/>
      <c r="V224" s="3" t="s">
        <v>2365</v>
      </c>
      <c r="W224" s="3" t="s">
        <v>370</v>
      </c>
      <c r="X224" s="38" t="s">
        <v>369</v>
      </c>
      <c r="Y224" s="1443">
        <v>200134180</v>
      </c>
      <c r="Z224" s="1443"/>
      <c r="AA224" s="1443"/>
      <c r="AB224" s="20"/>
      <c r="AC224" s="3"/>
      <c r="AD224" s="3"/>
      <c r="AE224" s="5"/>
      <c r="AF224" s="3"/>
      <c r="AG224" s="3"/>
      <c r="AH224" s="5"/>
      <c r="AI224" s="353">
        <v>0.87970000000000004</v>
      </c>
      <c r="AJ224" s="39"/>
      <c r="AK224" s="39"/>
      <c r="AL224" s="39"/>
      <c r="AM224" s="39">
        <f t="shared" si="43"/>
        <v>11.509408333333335</v>
      </c>
      <c r="AN224" s="3" t="s">
        <v>92</v>
      </c>
      <c r="AO224" s="3" t="s">
        <v>92</v>
      </c>
      <c r="AP224" s="3" t="s">
        <v>92</v>
      </c>
      <c r="AQ224" s="3" t="s">
        <v>92</v>
      </c>
      <c r="AR224" s="3" t="s">
        <v>371</v>
      </c>
      <c r="AS224" s="3" t="s">
        <v>92</v>
      </c>
      <c r="AT224" s="3" t="s">
        <v>92</v>
      </c>
      <c r="AU224" s="3" t="s">
        <v>92</v>
      </c>
      <c r="AV224" s="3" t="s">
        <v>92</v>
      </c>
      <c r="AW224" s="3" t="s">
        <v>371</v>
      </c>
      <c r="AX224" s="1414" t="s">
        <v>92</v>
      </c>
      <c r="AY224" s="3"/>
      <c r="AZ224" s="139"/>
      <c r="BA224" s="139"/>
      <c r="BB224" s="139"/>
      <c r="BC224" s="139"/>
      <c r="BD224" s="139"/>
      <c r="BE224" s="3"/>
    </row>
    <row r="225" spans="1:57" ht="15.75" customHeight="1" thickBot="1" x14ac:dyDescent="0.45">
      <c r="A225" s="3"/>
      <c r="B225" s="4"/>
      <c r="C225" s="943"/>
      <c r="D225" s="1037" t="s">
        <v>2353</v>
      </c>
      <c r="E225" s="1038"/>
      <c r="F225" s="1038"/>
      <c r="G225" s="1039"/>
      <c r="H225" s="1040"/>
      <c r="I225" s="710" t="s">
        <v>365</v>
      </c>
      <c r="J225" s="710"/>
      <c r="K225" s="710"/>
      <c r="L225" s="710"/>
      <c r="M225" s="1041"/>
      <c r="N225" s="1041"/>
      <c r="O225" s="1041"/>
      <c r="P225" s="1042"/>
      <c r="Q225" s="1042"/>
      <c r="R225" s="710" t="s">
        <v>352</v>
      </c>
      <c r="S225" s="1041">
        <f>SHHeight</f>
        <v>74</v>
      </c>
      <c r="T225" s="710" t="s">
        <v>366</v>
      </c>
      <c r="U225" s="1040"/>
      <c r="V225" s="1043" t="s">
        <v>369</v>
      </c>
      <c r="W225" s="710" t="s">
        <v>370</v>
      </c>
      <c r="X225" s="1043" t="s">
        <v>369</v>
      </c>
      <c r="Y225" s="1846">
        <v>120074014938</v>
      </c>
      <c r="Z225" s="1608"/>
      <c r="AA225" s="1608"/>
      <c r="AB225" s="1040"/>
      <c r="AC225" s="710"/>
      <c r="AD225" s="710">
        <v>2</v>
      </c>
      <c r="AE225" s="1041">
        <f>AD225*S225/12</f>
        <v>12.333333333333334</v>
      </c>
      <c r="AF225" s="710" t="s">
        <v>367</v>
      </c>
      <c r="AG225" s="710"/>
      <c r="AH225" s="1041"/>
      <c r="AI225" s="1611">
        <v>9.1199999999999996E-3</v>
      </c>
      <c r="AJ225" s="1044"/>
      <c r="AK225" s="1044"/>
      <c r="AL225" s="1044"/>
      <c r="AM225" s="1044">
        <f t="shared" ref="AM225" si="44">AE$220*AI225+SUM(AJ225:AL225)</f>
        <v>0</v>
      </c>
      <c r="AN225" s="710" t="s">
        <v>92</v>
      </c>
      <c r="AO225" s="710" t="s">
        <v>92</v>
      </c>
      <c r="AP225" s="710" t="s">
        <v>92</v>
      </c>
      <c r="AQ225" s="710" t="s">
        <v>92</v>
      </c>
      <c r="AR225" s="710" t="s">
        <v>92</v>
      </c>
      <c r="AS225" s="710" t="s">
        <v>92</v>
      </c>
      <c r="AT225" s="710" t="s">
        <v>92</v>
      </c>
      <c r="AU225" s="710" t="s">
        <v>92</v>
      </c>
      <c r="AV225" s="710" t="s">
        <v>92</v>
      </c>
      <c r="AW225" s="710" t="s">
        <v>92</v>
      </c>
      <c r="AX225" s="1880" t="s">
        <v>92</v>
      </c>
      <c r="AY225" s="710"/>
      <c r="AZ225" s="139"/>
      <c r="BA225" s="139"/>
      <c r="BB225" s="139"/>
      <c r="BC225" s="139"/>
      <c r="BD225" s="139"/>
      <c r="BE225" s="3"/>
    </row>
    <row r="226" spans="1:57" ht="15.75" customHeight="1" x14ac:dyDescent="0.4">
      <c r="A226" s="3"/>
      <c r="B226" s="4"/>
      <c r="C226" s="8" t="s">
        <v>1946</v>
      </c>
      <c r="D226" s="155"/>
      <c r="E226" s="155"/>
      <c r="F226" s="155"/>
      <c r="G226" s="7"/>
      <c r="H226" s="20"/>
      <c r="I226" s="3"/>
      <c r="J226" s="3"/>
      <c r="K226" s="3"/>
      <c r="L226" s="3"/>
      <c r="M226" s="5"/>
      <c r="N226" s="5"/>
      <c r="O226" s="5"/>
      <c r="P226" s="24"/>
      <c r="Q226" s="24"/>
      <c r="R226" s="3"/>
      <c r="S226" s="5"/>
      <c r="T226" s="3"/>
      <c r="U226" s="20"/>
      <c r="V226" s="571" t="s">
        <v>369</v>
      </c>
      <c r="W226" s="572" t="s">
        <v>370</v>
      </c>
      <c r="X226" s="571" t="s">
        <v>369</v>
      </c>
      <c r="Y226" s="1824">
        <v>200134003001</v>
      </c>
      <c r="Z226" s="1550"/>
      <c r="AA226" s="1550"/>
      <c r="AB226" s="20"/>
      <c r="AC226" s="3"/>
      <c r="AD226" s="3"/>
      <c r="AE226" s="5"/>
      <c r="AF226" s="3"/>
      <c r="AG226" s="3"/>
      <c r="AH226" s="5"/>
      <c r="AI226" s="51"/>
      <c r="AJ226" s="39"/>
      <c r="AK226" s="39"/>
      <c r="AL226" s="39"/>
      <c r="AM226" s="39"/>
      <c r="AN226" s="3" t="s">
        <v>92</v>
      </c>
      <c r="AO226" s="3" t="s">
        <v>92</v>
      </c>
      <c r="AP226" s="3" t="s">
        <v>92</v>
      </c>
      <c r="AQ226" s="3" t="s">
        <v>92</v>
      </c>
      <c r="AR226" s="3" t="s">
        <v>371</v>
      </c>
      <c r="AS226" s="3" t="s">
        <v>92</v>
      </c>
      <c r="AT226" s="3" t="s">
        <v>92</v>
      </c>
      <c r="AU226" s="3" t="s">
        <v>92</v>
      </c>
      <c r="AV226" s="3" t="s">
        <v>92</v>
      </c>
      <c r="AW226" s="3" t="s">
        <v>371</v>
      </c>
      <c r="AX226" s="1414" t="s">
        <v>92</v>
      </c>
      <c r="AY226" s="3"/>
      <c r="AZ226" s="139"/>
      <c r="BA226" s="139"/>
      <c r="BB226" s="139"/>
      <c r="BC226" s="139"/>
      <c r="BD226" s="139"/>
      <c r="BE226" s="3"/>
    </row>
    <row r="227" spans="1:57" ht="15.75" customHeight="1" x14ac:dyDescent="0.4">
      <c r="A227" s="3"/>
      <c r="B227" s="4"/>
      <c r="C227" s="36"/>
      <c r="D227" s="155"/>
      <c r="E227" s="155"/>
      <c r="F227" s="155"/>
      <c r="G227" s="7"/>
      <c r="H227" s="20"/>
      <c r="I227" s="3"/>
      <c r="J227" s="3"/>
      <c r="K227" s="3"/>
      <c r="L227" s="3"/>
      <c r="M227" s="5"/>
      <c r="N227" s="5"/>
      <c r="O227" s="5"/>
      <c r="P227" s="24"/>
      <c r="Q227" s="24"/>
      <c r="R227" s="3"/>
      <c r="S227" s="5"/>
      <c r="T227" s="3"/>
      <c r="U227" s="20"/>
      <c r="V227" s="571" t="s">
        <v>369</v>
      </c>
      <c r="W227" s="572" t="s">
        <v>373</v>
      </c>
      <c r="X227" s="571" t="s">
        <v>369</v>
      </c>
      <c r="Y227" s="1824">
        <v>200134033001</v>
      </c>
      <c r="Z227" s="1550"/>
      <c r="AA227" s="1550"/>
      <c r="AB227" s="20"/>
      <c r="AC227" s="3"/>
      <c r="AD227" s="3"/>
      <c r="AE227" s="5"/>
      <c r="AF227" s="3"/>
      <c r="AG227" s="3"/>
      <c r="AH227" s="5"/>
      <c r="AI227" s="51"/>
      <c r="AJ227" s="39"/>
      <c r="AK227" s="39"/>
      <c r="AL227" s="39"/>
      <c r="AM227" s="39"/>
      <c r="AN227" s="3" t="s">
        <v>92</v>
      </c>
      <c r="AO227" s="3" t="s">
        <v>92</v>
      </c>
      <c r="AP227" s="3" t="s">
        <v>92</v>
      </c>
      <c r="AQ227" s="3" t="s">
        <v>92</v>
      </c>
      <c r="AR227" s="3" t="s">
        <v>371</v>
      </c>
      <c r="AS227" s="3" t="s">
        <v>92</v>
      </c>
      <c r="AT227" s="3" t="s">
        <v>92</v>
      </c>
      <c r="AU227" s="3" t="s">
        <v>92</v>
      </c>
      <c r="AV227" s="3" t="s">
        <v>92</v>
      </c>
      <c r="AW227" s="3" t="s">
        <v>371</v>
      </c>
      <c r="AX227" s="1414" t="s">
        <v>92</v>
      </c>
      <c r="AY227" s="3"/>
      <c r="AZ227" s="139"/>
      <c r="BA227" s="139"/>
      <c r="BB227" s="139"/>
      <c r="BC227" s="139"/>
      <c r="BD227" s="139"/>
      <c r="BE227" s="3"/>
    </row>
    <row r="228" spans="1:57" ht="15.75" customHeight="1" x14ac:dyDescent="0.4">
      <c r="A228" s="3"/>
      <c r="B228" s="4"/>
      <c r="C228" s="36"/>
      <c r="D228" s="155"/>
      <c r="E228" s="155"/>
      <c r="F228" s="155"/>
      <c r="G228" s="7"/>
      <c r="H228" s="20"/>
      <c r="I228" s="3"/>
      <c r="J228" s="3"/>
      <c r="K228" s="3"/>
      <c r="L228" s="3"/>
      <c r="M228" s="5"/>
      <c r="N228" s="5"/>
      <c r="O228" s="5"/>
      <c r="P228" s="24"/>
      <c r="Q228" s="24"/>
      <c r="R228" s="3"/>
      <c r="S228" s="5"/>
      <c r="T228" s="3"/>
      <c r="U228" s="20"/>
      <c r="V228" s="571" t="s">
        <v>369</v>
      </c>
      <c r="W228" s="572" t="s">
        <v>372</v>
      </c>
      <c r="X228" s="571" t="s">
        <v>369</v>
      </c>
      <c r="Y228" s="1824">
        <v>200134021001</v>
      </c>
      <c r="Z228" s="1550"/>
      <c r="AA228" s="1550"/>
      <c r="AB228" s="20"/>
      <c r="AC228" s="3"/>
      <c r="AD228" s="3"/>
      <c r="AE228" s="5"/>
      <c r="AF228" s="3"/>
      <c r="AG228" s="3"/>
      <c r="AH228" s="5"/>
      <c r="AI228" s="51"/>
      <c r="AJ228" s="39"/>
      <c r="AK228" s="39"/>
      <c r="AL228" s="39"/>
      <c r="AM228" s="39"/>
      <c r="AN228" s="3" t="s">
        <v>92</v>
      </c>
      <c r="AO228" s="3" t="s">
        <v>92</v>
      </c>
      <c r="AP228" s="3" t="s">
        <v>92</v>
      </c>
      <c r="AQ228" s="3" t="s">
        <v>92</v>
      </c>
      <c r="AR228" s="3" t="s">
        <v>371</v>
      </c>
      <c r="AS228" s="3" t="s">
        <v>92</v>
      </c>
      <c r="AT228" s="3" t="s">
        <v>92</v>
      </c>
      <c r="AU228" s="3" t="s">
        <v>92</v>
      </c>
      <c r="AV228" s="3" t="s">
        <v>92</v>
      </c>
      <c r="AW228" s="3" t="s">
        <v>371</v>
      </c>
      <c r="AX228" s="1414" t="s">
        <v>92</v>
      </c>
      <c r="AY228" s="3"/>
      <c r="AZ228" s="139"/>
      <c r="BA228" s="139"/>
      <c r="BB228" s="139"/>
      <c r="BC228" s="139"/>
      <c r="BD228" s="139"/>
      <c r="BE228" s="3"/>
    </row>
    <row r="229" spans="1:57" ht="15.75" customHeight="1" x14ac:dyDescent="0.4">
      <c r="A229" s="3"/>
      <c r="B229" s="4"/>
      <c r="C229" s="36"/>
      <c r="D229" s="155"/>
      <c r="E229" s="155"/>
      <c r="F229" s="155"/>
      <c r="G229" s="7"/>
      <c r="H229" s="20"/>
      <c r="I229" s="3"/>
      <c r="J229" s="3"/>
      <c r="K229" s="3"/>
      <c r="L229" s="3"/>
      <c r="M229" s="5"/>
      <c r="N229" s="5"/>
      <c r="O229" s="5"/>
      <c r="P229" s="24"/>
      <c r="Q229" s="24"/>
      <c r="R229" s="3"/>
      <c r="S229" s="5"/>
      <c r="T229" s="3"/>
      <c r="U229" s="20"/>
      <c r="V229" s="572" t="s">
        <v>2363</v>
      </c>
      <c r="W229" s="572" t="s">
        <v>370</v>
      </c>
      <c r="X229" s="571" t="s">
        <v>369</v>
      </c>
      <c r="Y229" s="1824">
        <v>200134127001</v>
      </c>
      <c r="Z229" s="1550"/>
      <c r="AA229" s="1550"/>
      <c r="AB229" s="20"/>
      <c r="AC229" s="3"/>
      <c r="AD229" s="3"/>
      <c r="AE229" s="5"/>
      <c r="AF229" s="3"/>
      <c r="AG229" s="3"/>
      <c r="AH229" s="5"/>
      <c r="AI229" s="51"/>
      <c r="AJ229" s="39"/>
      <c r="AK229" s="39"/>
      <c r="AL229" s="39"/>
      <c r="AM229" s="39"/>
      <c r="AN229" s="3" t="s">
        <v>92</v>
      </c>
      <c r="AO229" s="3" t="s">
        <v>92</v>
      </c>
      <c r="AP229" s="3" t="s">
        <v>92</v>
      </c>
      <c r="AQ229" s="3" t="s">
        <v>92</v>
      </c>
      <c r="AR229" s="3" t="s">
        <v>371</v>
      </c>
      <c r="AS229" s="3" t="s">
        <v>92</v>
      </c>
      <c r="AT229" s="3" t="s">
        <v>92</v>
      </c>
      <c r="AU229" s="3" t="s">
        <v>92</v>
      </c>
      <c r="AV229" s="3" t="s">
        <v>92</v>
      </c>
      <c r="AW229" s="3" t="s">
        <v>371</v>
      </c>
      <c r="AX229" s="1414" t="s">
        <v>92</v>
      </c>
      <c r="AY229" s="3"/>
      <c r="AZ229" s="139"/>
      <c r="BA229" s="139"/>
      <c r="BB229" s="139"/>
      <c r="BC229" s="139"/>
      <c r="BD229" s="139"/>
      <c r="BE229" s="3"/>
    </row>
    <row r="230" spans="1:57" ht="15.75" customHeight="1" thickBot="1" x14ac:dyDescent="0.45">
      <c r="A230" s="3"/>
      <c r="B230" s="4"/>
      <c r="C230" s="36"/>
      <c r="D230" s="155"/>
      <c r="E230" s="155"/>
      <c r="F230" s="155"/>
      <c r="G230" s="7"/>
      <c r="H230" s="20"/>
      <c r="I230" s="3"/>
      <c r="J230" s="3"/>
      <c r="K230" s="3"/>
      <c r="L230" s="3"/>
      <c r="M230" s="5"/>
      <c r="N230" s="5"/>
      <c r="O230" s="5"/>
      <c r="P230" s="24"/>
      <c r="Q230" s="24"/>
      <c r="R230" s="3"/>
      <c r="S230" s="5"/>
      <c r="T230" s="3"/>
      <c r="U230" s="20"/>
      <c r="V230" s="1189" t="s">
        <v>2365</v>
      </c>
      <c r="W230" s="1189" t="s">
        <v>370</v>
      </c>
      <c r="X230" s="1188" t="s">
        <v>369</v>
      </c>
      <c r="Y230" s="1825">
        <v>200134134001</v>
      </c>
      <c r="Z230" s="1550"/>
      <c r="AA230" s="1550"/>
      <c r="AB230" s="20"/>
      <c r="AC230" s="3"/>
      <c r="AD230" s="3"/>
      <c r="AE230" s="5"/>
      <c r="AF230" s="3"/>
      <c r="AG230" s="3"/>
      <c r="AH230" s="5"/>
      <c r="AI230" s="51"/>
      <c r="AJ230" s="39"/>
      <c r="AK230" s="39"/>
      <c r="AL230" s="39"/>
      <c r="AM230" s="39"/>
      <c r="AN230" s="889" t="s">
        <v>92</v>
      </c>
      <c r="AO230" s="889" t="s">
        <v>92</v>
      </c>
      <c r="AP230" s="889" t="s">
        <v>92</v>
      </c>
      <c r="AQ230" s="889" t="s">
        <v>92</v>
      </c>
      <c r="AR230" s="889" t="s">
        <v>371</v>
      </c>
      <c r="AS230" s="889" t="s">
        <v>92</v>
      </c>
      <c r="AT230" s="889" t="s">
        <v>92</v>
      </c>
      <c r="AU230" s="889" t="s">
        <v>92</v>
      </c>
      <c r="AV230" s="889" t="s">
        <v>92</v>
      </c>
      <c r="AW230" s="889" t="s">
        <v>371</v>
      </c>
      <c r="AX230" s="1590" t="s">
        <v>92</v>
      </c>
      <c r="AY230" s="889"/>
      <c r="AZ230" s="139"/>
      <c r="BA230" s="139"/>
      <c r="BB230" s="139"/>
      <c r="BC230" s="139"/>
      <c r="BD230" s="139"/>
      <c r="BE230" s="3"/>
    </row>
    <row r="231" spans="1:57" ht="15.75" customHeight="1" thickBot="1" x14ac:dyDescent="0.45">
      <c r="A231" s="3"/>
      <c r="B231" s="4"/>
      <c r="C231" s="943"/>
      <c r="D231" s="1037" t="s">
        <v>2353</v>
      </c>
      <c r="E231" s="1038"/>
      <c r="F231" s="1038"/>
      <c r="G231" s="1039"/>
      <c r="H231" s="1040"/>
      <c r="I231" s="710" t="s">
        <v>365</v>
      </c>
      <c r="J231" s="710"/>
      <c r="K231" s="710"/>
      <c r="L231" s="710"/>
      <c r="M231" s="1041"/>
      <c r="N231" s="1041"/>
      <c r="O231" s="1041"/>
      <c r="P231" s="1042"/>
      <c r="Q231" s="1042"/>
      <c r="R231" s="710" t="s">
        <v>352</v>
      </c>
      <c r="S231" s="1041">
        <f>SHHeight</f>
        <v>74</v>
      </c>
      <c r="T231" s="710" t="s">
        <v>366</v>
      </c>
      <c r="U231" s="1040"/>
      <c r="V231" s="1043" t="s">
        <v>369</v>
      </c>
      <c r="W231" s="710" t="s">
        <v>370</v>
      </c>
      <c r="X231" s="1043" t="s">
        <v>369</v>
      </c>
      <c r="Y231" s="1846">
        <v>120074014938</v>
      </c>
      <c r="Z231" s="1608"/>
      <c r="AA231" s="1608"/>
      <c r="AB231" s="1040"/>
      <c r="AC231" s="710"/>
      <c r="AD231" s="710">
        <v>2</v>
      </c>
      <c r="AE231" s="1041">
        <f>AD231*S231/12</f>
        <v>12.333333333333334</v>
      </c>
      <c r="AF231" s="710" t="s">
        <v>367</v>
      </c>
      <c r="AG231" s="710"/>
      <c r="AH231" s="1041"/>
      <c r="AI231" s="1611">
        <v>9.1199999999999996E-3</v>
      </c>
      <c r="AJ231" s="1044"/>
      <c r="AK231" s="1044"/>
      <c r="AL231" s="1044"/>
      <c r="AM231" s="1044">
        <f>AE$220*AI231+SUM(AJ231:AL231)</f>
        <v>0</v>
      </c>
      <c r="AN231" s="710" t="s">
        <v>92</v>
      </c>
      <c r="AO231" s="710" t="s">
        <v>92</v>
      </c>
      <c r="AP231" s="710" t="s">
        <v>92</v>
      </c>
      <c r="AQ231" s="710" t="s">
        <v>92</v>
      </c>
      <c r="AR231" s="710" t="s">
        <v>92</v>
      </c>
      <c r="AS231" s="710" t="s">
        <v>92</v>
      </c>
      <c r="AT231" s="710" t="s">
        <v>92</v>
      </c>
      <c r="AU231" s="710" t="s">
        <v>92</v>
      </c>
      <c r="AV231" s="710" t="s">
        <v>92</v>
      </c>
      <c r="AW231" s="710" t="s">
        <v>92</v>
      </c>
      <c r="AX231" s="1880" t="s">
        <v>92</v>
      </c>
      <c r="AY231" s="710"/>
      <c r="AZ231" s="139"/>
      <c r="BA231" s="139"/>
      <c r="BB231" s="139"/>
      <c r="BC231" s="139"/>
      <c r="BD231" s="139"/>
      <c r="BE231" s="3"/>
    </row>
    <row r="232" spans="1:57" ht="15" customHeight="1" x14ac:dyDescent="0.4">
      <c r="A232" s="3"/>
      <c r="B232" s="4"/>
      <c r="C232" s="173" t="s">
        <v>433</v>
      </c>
      <c r="D232" s="116"/>
      <c r="E232" s="116"/>
      <c r="F232" s="174" t="s">
        <v>431</v>
      </c>
      <c r="G232" s="173"/>
      <c r="H232" s="175"/>
      <c r="I232" s="116" t="s">
        <v>365</v>
      </c>
      <c r="J232" s="116"/>
      <c r="K232" s="116"/>
      <c r="L232" s="116" t="s">
        <v>348</v>
      </c>
      <c r="M232" s="177">
        <f>1.5+1.375*2</f>
        <v>4.25</v>
      </c>
      <c r="N232" s="177" t="s">
        <v>348</v>
      </c>
      <c r="O232" s="177">
        <f>0.25</f>
        <v>0.25</v>
      </c>
      <c r="P232" s="177"/>
      <c r="Q232" s="177"/>
      <c r="R232" s="116" t="s">
        <v>352</v>
      </c>
      <c r="S232" s="177">
        <f>SHHeight+M232+O232</f>
        <v>78.5</v>
      </c>
      <c r="T232" s="116" t="s">
        <v>366</v>
      </c>
      <c r="U232" s="175"/>
      <c r="V232" s="173"/>
      <c r="W232" s="173"/>
      <c r="X232" s="173"/>
      <c r="Y232" s="116"/>
      <c r="Z232" s="116"/>
      <c r="AA232" s="116"/>
      <c r="AB232" s="175"/>
      <c r="AC232" s="116">
        <v>45</v>
      </c>
      <c r="AD232" s="116">
        <v>2</v>
      </c>
      <c r="AE232" s="177">
        <f>S232*AD232/12</f>
        <v>13.083333333333334</v>
      </c>
      <c r="AF232" s="116" t="s">
        <v>367</v>
      </c>
      <c r="AG232" s="179">
        <f>AG219</f>
        <v>1.073</v>
      </c>
      <c r="AH232" s="177">
        <f>AG232*AtolbperftSH</f>
        <v>0.6786724999999999</v>
      </c>
      <c r="AI232" s="185"/>
      <c r="AJ232" s="185"/>
      <c r="AK232" s="185"/>
      <c r="AL232" s="185"/>
      <c r="AM232" s="180"/>
      <c r="AN232" s="3" t="s">
        <v>92</v>
      </c>
      <c r="AO232" s="3" t="s">
        <v>92</v>
      </c>
      <c r="AP232" s="3" t="s">
        <v>92</v>
      </c>
      <c r="AQ232" s="3" t="s">
        <v>92</v>
      </c>
      <c r="AR232" s="3" t="s">
        <v>92</v>
      </c>
      <c r="AS232" s="3" t="s">
        <v>81</v>
      </c>
      <c r="AT232" s="3" t="s">
        <v>92</v>
      </c>
      <c r="AU232" s="3" t="s">
        <v>92</v>
      </c>
      <c r="AV232" s="3" t="s">
        <v>92</v>
      </c>
      <c r="AW232" s="3" t="s">
        <v>92</v>
      </c>
      <c r="AX232" s="1414" t="s">
        <v>92</v>
      </c>
      <c r="AY232" s="3"/>
      <c r="AZ232" s="139"/>
      <c r="BA232" s="139"/>
      <c r="BB232" s="139"/>
      <c r="BC232" s="139"/>
      <c r="BD232" s="139"/>
      <c r="BE232" s="3"/>
    </row>
    <row r="233" spans="1:57" ht="15" customHeight="1" x14ac:dyDescent="0.4">
      <c r="A233" s="3"/>
      <c r="B233" s="36"/>
      <c r="C233" s="36"/>
      <c r="D233" s="155"/>
      <c r="E233" s="4"/>
      <c r="F233" s="155" t="s">
        <v>432</v>
      </c>
      <c r="G233" s="7"/>
      <c r="H233" s="20"/>
      <c r="I233" s="3" t="s">
        <v>365</v>
      </c>
      <c r="J233" s="3"/>
      <c r="K233" s="3"/>
      <c r="L233" s="3" t="s">
        <v>348</v>
      </c>
      <c r="M233" s="5">
        <f>M220</f>
        <v>0</v>
      </c>
      <c r="N233" s="5" t="s">
        <v>348</v>
      </c>
      <c r="O233" s="5">
        <f>0.25</f>
        <v>0.25</v>
      </c>
      <c r="P233" s="24"/>
      <c r="Q233" s="24"/>
      <c r="R233" s="3" t="s">
        <v>352</v>
      </c>
      <c r="S233" s="5">
        <f>SHHeight+M233+O233</f>
        <v>74.25</v>
      </c>
      <c r="T233" s="3" t="s">
        <v>366</v>
      </c>
      <c r="U233" s="20"/>
      <c r="V233" s="38" t="s">
        <v>369</v>
      </c>
      <c r="W233" s="3" t="s">
        <v>370</v>
      </c>
      <c r="X233" s="38" t="s">
        <v>369</v>
      </c>
      <c r="Y233" s="1443">
        <v>200133003</v>
      </c>
      <c r="Z233" s="1443"/>
      <c r="AA233" s="1443"/>
      <c r="AB233" s="20"/>
      <c r="AC233" s="3"/>
      <c r="AD233" s="3"/>
      <c r="AE233" s="5"/>
      <c r="AF233" s="3"/>
      <c r="AG233" s="38"/>
      <c r="AH233" s="5"/>
      <c r="AI233" s="994">
        <f>AI220</f>
        <v>0.61450000000000005</v>
      </c>
      <c r="AJ233" s="39"/>
      <c r="AK233" s="39"/>
      <c r="AL233" s="39"/>
      <c r="AM233" s="39">
        <f>AE$232*AI233+SUM(AJ233:AL233)</f>
        <v>8.0397083333333335</v>
      </c>
      <c r="AN233" s="3" t="s">
        <v>92</v>
      </c>
      <c r="AO233" s="3" t="s">
        <v>92</v>
      </c>
      <c r="AP233" s="3" t="s">
        <v>92</v>
      </c>
      <c r="AQ233" s="3" t="s">
        <v>92</v>
      </c>
      <c r="AR233" s="3" t="s">
        <v>92</v>
      </c>
      <c r="AS233" s="3" t="s">
        <v>81</v>
      </c>
      <c r="AT233" s="3" t="s">
        <v>92</v>
      </c>
      <c r="AU233" s="3" t="s">
        <v>92</v>
      </c>
      <c r="AV233" s="3" t="s">
        <v>92</v>
      </c>
      <c r="AW233" s="3" t="s">
        <v>92</v>
      </c>
      <c r="AX233" s="1414" t="s">
        <v>92</v>
      </c>
      <c r="AY233" s="3"/>
      <c r="AZ233" s="139"/>
      <c r="BA233" s="139"/>
      <c r="BB233" s="139"/>
      <c r="BC233" s="139"/>
      <c r="BD233" s="139"/>
      <c r="BE233" s="3"/>
    </row>
    <row r="234" spans="1:57" ht="15" customHeight="1" x14ac:dyDescent="0.4">
      <c r="A234" s="3"/>
      <c r="B234" s="36"/>
      <c r="C234" s="36"/>
      <c r="D234" s="155"/>
      <c r="E234" s="155"/>
      <c r="F234" s="155"/>
      <c r="G234" s="7"/>
      <c r="H234" s="20"/>
      <c r="I234" s="3"/>
      <c r="J234" s="3"/>
      <c r="K234" s="3"/>
      <c r="L234" s="3"/>
      <c r="M234" s="5"/>
      <c r="N234" s="5"/>
      <c r="O234" s="5"/>
      <c r="P234" s="24"/>
      <c r="Q234" s="24"/>
      <c r="R234" s="3"/>
      <c r="S234" s="5"/>
      <c r="T234" s="3"/>
      <c r="U234" s="20"/>
      <c r="V234" s="38" t="s">
        <v>369</v>
      </c>
      <c r="W234" s="3" t="s">
        <v>372</v>
      </c>
      <c r="X234" s="38" t="s">
        <v>369</v>
      </c>
      <c r="Y234" s="1443">
        <v>200133021</v>
      </c>
      <c r="Z234" s="1443"/>
      <c r="AA234" s="1443"/>
      <c r="AB234" s="20"/>
      <c r="AC234" s="3"/>
      <c r="AD234" s="3"/>
      <c r="AE234" s="5"/>
      <c r="AF234" s="3"/>
      <c r="AG234" s="3"/>
      <c r="AH234" s="5"/>
      <c r="AI234" s="994">
        <f>AI221</f>
        <v>0.65790000000000004</v>
      </c>
      <c r="AJ234" s="39"/>
      <c r="AK234" s="39"/>
      <c r="AL234" s="39"/>
      <c r="AM234" s="39">
        <f t="shared" ref="AM234:AM235" si="45">AE$232*AI234+SUM(AJ234:AL234)</f>
        <v>8.6075250000000008</v>
      </c>
      <c r="AN234" s="3" t="s">
        <v>92</v>
      </c>
      <c r="AO234" s="3" t="s">
        <v>92</v>
      </c>
      <c r="AP234" s="3" t="s">
        <v>92</v>
      </c>
      <c r="AQ234" s="3" t="s">
        <v>92</v>
      </c>
      <c r="AR234" s="3" t="s">
        <v>92</v>
      </c>
      <c r="AS234" s="3" t="s">
        <v>371</v>
      </c>
      <c r="AT234" s="3" t="s">
        <v>92</v>
      </c>
      <c r="AU234" s="3" t="s">
        <v>92</v>
      </c>
      <c r="AV234" s="3" t="s">
        <v>92</v>
      </c>
      <c r="AW234" s="3" t="s">
        <v>92</v>
      </c>
      <c r="AX234" s="1414" t="s">
        <v>92</v>
      </c>
      <c r="AY234" s="3"/>
      <c r="AZ234" s="139"/>
      <c r="BA234" s="139"/>
      <c r="BB234" s="139"/>
      <c r="BC234" s="139"/>
      <c r="BD234" s="139"/>
      <c r="BE234" s="3"/>
    </row>
    <row r="235" spans="1:57" ht="15.75" customHeight="1" x14ac:dyDescent="0.4">
      <c r="A235" s="3"/>
      <c r="B235" s="36"/>
      <c r="C235" s="36"/>
      <c r="D235" s="155"/>
      <c r="E235" s="155"/>
      <c r="F235" s="155"/>
      <c r="G235" s="7"/>
      <c r="H235" s="20"/>
      <c r="I235" s="3"/>
      <c r="J235" s="3"/>
      <c r="K235" s="3"/>
      <c r="L235" s="3"/>
      <c r="M235" s="5"/>
      <c r="N235" s="5"/>
      <c r="O235" s="5"/>
      <c r="P235" s="24"/>
      <c r="Q235" s="24"/>
      <c r="R235" s="3"/>
      <c r="S235" s="5"/>
      <c r="T235" s="3"/>
      <c r="U235" s="20"/>
      <c r="V235" s="38" t="s">
        <v>369</v>
      </c>
      <c r="W235" s="3" t="s">
        <v>373</v>
      </c>
      <c r="X235" s="38" t="s">
        <v>369</v>
      </c>
      <c r="Y235" s="1443">
        <v>200133033</v>
      </c>
      <c r="Z235" s="1443"/>
      <c r="AA235" s="1443"/>
      <c r="AB235" s="20"/>
      <c r="AC235" s="3"/>
      <c r="AD235" s="3"/>
      <c r="AE235" s="5"/>
      <c r="AF235" s="3"/>
      <c r="AG235" s="3"/>
      <c r="AH235" s="5"/>
      <c r="AI235" s="994">
        <f>AI222</f>
        <v>0.70960000000000001</v>
      </c>
      <c r="AJ235" s="39"/>
      <c r="AK235" s="39"/>
      <c r="AL235" s="39"/>
      <c r="AM235" s="39">
        <f t="shared" si="45"/>
        <v>9.2839333333333336</v>
      </c>
      <c r="AN235" s="3" t="s">
        <v>92</v>
      </c>
      <c r="AO235" s="3" t="s">
        <v>92</v>
      </c>
      <c r="AP235" s="3" t="s">
        <v>92</v>
      </c>
      <c r="AQ235" s="3" t="s">
        <v>92</v>
      </c>
      <c r="AR235" s="3" t="s">
        <v>92</v>
      </c>
      <c r="AS235" s="3" t="s">
        <v>371</v>
      </c>
      <c r="AT235" s="3" t="s">
        <v>92</v>
      </c>
      <c r="AU235" s="3" t="s">
        <v>92</v>
      </c>
      <c r="AV235" s="3" t="s">
        <v>92</v>
      </c>
      <c r="AW235" s="3" t="s">
        <v>92</v>
      </c>
      <c r="AX235" s="1414" t="s">
        <v>92</v>
      </c>
      <c r="AY235" s="3"/>
      <c r="AZ235" s="139"/>
      <c r="BA235" s="139"/>
      <c r="BB235" s="139"/>
      <c r="BC235" s="139"/>
      <c r="BD235" s="139"/>
      <c r="BE235" s="3"/>
    </row>
    <row r="236" spans="1:57" ht="15.75" customHeight="1" x14ac:dyDescent="0.4">
      <c r="A236" s="3"/>
      <c r="B236" s="4"/>
      <c r="C236" s="36"/>
      <c r="D236" s="155"/>
      <c r="E236" s="155"/>
      <c r="F236" s="155"/>
      <c r="G236" s="7"/>
      <c r="H236" s="20"/>
      <c r="I236" s="3"/>
      <c r="J236" s="3"/>
      <c r="K236" s="3"/>
      <c r="L236" s="3"/>
      <c r="M236" s="5"/>
      <c r="N236" s="5"/>
      <c r="O236" s="5"/>
      <c r="P236" s="24"/>
      <c r="Q236" s="24"/>
      <c r="R236" s="3"/>
      <c r="S236" s="5"/>
      <c r="T236" s="3"/>
      <c r="U236" s="20"/>
      <c r="V236" s="3" t="s">
        <v>2363</v>
      </c>
      <c r="W236" s="3" t="s">
        <v>370</v>
      </c>
      <c r="X236" s="38" t="s">
        <v>369</v>
      </c>
      <c r="Y236" s="1443">
        <v>200133127</v>
      </c>
      <c r="Z236" s="1443"/>
      <c r="AA236" s="1443"/>
      <c r="AB236" s="20"/>
      <c r="AC236" s="3"/>
      <c r="AD236" s="3"/>
      <c r="AE236" s="5"/>
      <c r="AF236" s="3"/>
      <c r="AG236" s="3"/>
      <c r="AH236" s="5"/>
      <c r="AI236" s="994">
        <f>AI223</f>
        <v>0.81020000000000003</v>
      </c>
      <c r="AJ236" s="39"/>
      <c r="AK236" s="39"/>
      <c r="AL236" s="39"/>
      <c r="AM236" s="39">
        <f t="shared" ref="AM236:AM237" si="46">AE$219*AI236+SUM(AJ236:AL236)</f>
        <v>10.600116666666668</v>
      </c>
      <c r="AN236" s="3" t="s">
        <v>92</v>
      </c>
      <c r="AO236" s="3" t="s">
        <v>92</v>
      </c>
      <c r="AP236" s="3" t="s">
        <v>92</v>
      </c>
      <c r="AQ236" s="3" t="s">
        <v>92</v>
      </c>
      <c r="AR236" s="3" t="s">
        <v>92</v>
      </c>
      <c r="AS236" s="3" t="s">
        <v>371</v>
      </c>
      <c r="AT236" s="3" t="s">
        <v>92</v>
      </c>
      <c r="AU236" s="3" t="s">
        <v>92</v>
      </c>
      <c r="AV236" s="3" t="s">
        <v>92</v>
      </c>
      <c r="AW236" s="3" t="s">
        <v>92</v>
      </c>
      <c r="AX236" s="1414" t="s">
        <v>92</v>
      </c>
      <c r="AY236" s="3"/>
      <c r="AZ236" s="139"/>
      <c r="BA236" s="139"/>
      <c r="BB236" s="139"/>
      <c r="BC236" s="139"/>
      <c r="BD236" s="139"/>
      <c r="BE236" s="3"/>
    </row>
    <row r="237" spans="1:57" ht="15.75" customHeight="1" thickBot="1" x14ac:dyDescent="0.45">
      <c r="A237" s="3"/>
      <c r="B237" s="4"/>
      <c r="C237" s="943"/>
      <c r="D237" s="925"/>
      <c r="E237" s="925"/>
      <c r="F237" s="925"/>
      <c r="G237" s="924"/>
      <c r="H237" s="887"/>
      <c r="I237" s="889"/>
      <c r="J237" s="889"/>
      <c r="K237" s="889"/>
      <c r="L237" s="889"/>
      <c r="M237" s="945"/>
      <c r="N237" s="945"/>
      <c r="O237" s="945"/>
      <c r="P237" s="1020"/>
      <c r="Q237" s="1020"/>
      <c r="R237" s="889"/>
      <c r="S237" s="945"/>
      <c r="T237" s="889"/>
      <c r="U237" s="887"/>
      <c r="V237" s="889" t="s">
        <v>2365</v>
      </c>
      <c r="W237" s="889" t="s">
        <v>370</v>
      </c>
      <c r="X237" s="888" t="s">
        <v>369</v>
      </c>
      <c r="Y237" s="1444">
        <v>200133180</v>
      </c>
      <c r="Z237" s="1444"/>
      <c r="AA237" s="1444"/>
      <c r="AB237" s="887"/>
      <c r="AC237" s="889"/>
      <c r="AD237" s="889"/>
      <c r="AE237" s="945"/>
      <c r="AF237" s="889"/>
      <c r="AG237" s="889"/>
      <c r="AH237" s="945"/>
      <c r="AI237" s="1429">
        <f>AI224</f>
        <v>0.87970000000000004</v>
      </c>
      <c r="AJ237" s="947"/>
      <c r="AK237" s="947"/>
      <c r="AL237" s="947"/>
      <c r="AM237" s="947">
        <f t="shared" si="46"/>
        <v>11.509408333333335</v>
      </c>
      <c r="AN237" s="889" t="s">
        <v>92</v>
      </c>
      <c r="AO237" s="889" t="s">
        <v>92</v>
      </c>
      <c r="AP237" s="889" t="s">
        <v>92</v>
      </c>
      <c r="AQ237" s="889" t="s">
        <v>92</v>
      </c>
      <c r="AR237" s="889" t="s">
        <v>92</v>
      </c>
      <c r="AS237" s="889" t="s">
        <v>371</v>
      </c>
      <c r="AT237" s="889" t="s">
        <v>92</v>
      </c>
      <c r="AU237" s="889" t="s">
        <v>92</v>
      </c>
      <c r="AV237" s="889" t="s">
        <v>92</v>
      </c>
      <c r="AW237" s="889" t="s">
        <v>92</v>
      </c>
      <c r="AX237" s="1590" t="s">
        <v>92</v>
      </c>
      <c r="AY237" s="889"/>
      <c r="AZ237" s="139"/>
      <c r="BA237" s="139"/>
      <c r="BB237" s="139"/>
      <c r="BC237" s="139"/>
      <c r="BD237" s="139"/>
      <c r="BE237" s="3"/>
    </row>
    <row r="238" spans="1:57" ht="15.75" customHeight="1" x14ac:dyDescent="0.4">
      <c r="A238" s="3"/>
      <c r="B238" s="4"/>
      <c r="C238" s="8" t="s">
        <v>1946</v>
      </c>
      <c r="D238" s="155"/>
      <c r="E238" s="155"/>
      <c r="F238" s="155"/>
      <c r="G238" s="7"/>
      <c r="H238" s="20"/>
      <c r="I238" s="3"/>
      <c r="J238" s="3"/>
      <c r="K238" s="3"/>
      <c r="L238" s="3"/>
      <c r="M238" s="5"/>
      <c r="N238" s="5"/>
      <c r="O238" s="5"/>
      <c r="P238" s="24"/>
      <c r="Q238" s="24"/>
      <c r="R238" s="3"/>
      <c r="S238" s="5"/>
      <c r="T238" s="3"/>
      <c r="U238" s="20"/>
      <c r="V238" s="279" t="s">
        <v>369</v>
      </c>
      <c r="W238" s="112" t="s">
        <v>370</v>
      </c>
      <c r="X238" s="279" t="s">
        <v>369</v>
      </c>
      <c r="Y238" s="1872">
        <v>200133003001</v>
      </c>
      <c r="Z238" s="1445"/>
      <c r="AA238" s="1445"/>
      <c r="AB238" s="20"/>
      <c r="AC238" s="3"/>
      <c r="AD238" s="3"/>
      <c r="AE238" s="5"/>
      <c r="AF238" s="3"/>
      <c r="AG238" s="3"/>
      <c r="AH238" s="5"/>
      <c r="AI238" s="51"/>
      <c r="AJ238" s="39"/>
      <c r="AK238" s="39"/>
      <c r="AL238" s="39"/>
      <c r="AM238" s="39"/>
      <c r="AN238" s="3" t="s">
        <v>92</v>
      </c>
      <c r="AO238" s="3" t="s">
        <v>92</v>
      </c>
      <c r="AP238" s="3" t="s">
        <v>92</v>
      </c>
      <c r="AQ238" s="3" t="s">
        <v>92</v>
      </c>
      <c r="AR238" s="3" t="s">
        <v>92</v>
      </c>
      <c r="AS238" s="3" t="s">
        <v>371</v>
      </c>
      <c r="AT238" s="3" t="s">
        <v>92</v>
      </c>
      <c r="AU238" s="3" t="s">
        <v>92</v>
      </c>
      <c r="AV238" s="3" t="s">
        <v>92</v>
      </c>
      <c r="AW238" s="3" t="s">
        <v>92</v>
      </c>
      <c r="AX238" s="1414" t="s">
        <v>92</v>
      </c>
      <c r="AY238" s="3"/>
      <c r="AZ238" s="139"/>
      <c r="BA238" s="139"/>
      <c r="BB238" s="139"/>
      <c r="BC238" s="139"/>
      <c r="BD238" s="139"/>
      <c r="BE238" s="3"/>
    </row>
    <row r="239" spans="1:57" ht="15.75" customHeight="1" x14ac:dyDescent="0.4">
      <c r="A239" s="3"/>
      <c r="B239" s="4"/>
      <c r="C239" s="36"/>
      <c r="D239" s="155"/>
      <c r="E239" s="155"/>
      <c r="F239" s="155"/>
      <c r="G239" s="7"/>
      <c r="H239" s="20"/>
      <c r="I239" s="3"/>
      <c r="J239" s="3"/>
      <c r="K239" s="3"/>
      <c r="L239" s="3"/>
      <c r="M239" s="5"/>
      <c r="N239" s="5"/>
      <c r="O239" s="5"/>
      <c r="P239" s="24"/>
      <c r="Q239" s="24"/>
      <c r="R239" s="3"/>
      <c r="S239" s="5"/>
      <c r="T239" s="3"/>
      <c r="U239" s="20"/>
      <c r="V239" s="279" t="s">
        <v>369</v>
      </c>
      <c r="W239" s="112" t="s">
        <v>373</v>
      </c>
      <c r="X239" s="279" t="s">
        <v>369</v>
      </c>
      <c r="Y239" s="1824">
        <v>200133033001</v>
      </c>
      <c r="Z239" s="1550"/>
      <c r="AA239" s="1550"/>
      <c r="AB239" s="20"/>
      <c r="AC239" s="3"/>
      <c r="AD239" s="3"/>
      <c r="AE239" s="5"/>
      <c r="AF239" s="3"/>
      <c r="AG239" s="3"/>
      <c r="AH239" s="5"/>
      <c r="AI239" s="51"/>
      <c r="AJ239" s="39"/>
      <c r="AK239" s="39"/>
      <c r="AL239" s="39"/>
      <c r="AM239" s="39"/>
      <c r="AN239" s="3" t="s">
        <v>92</v>
      </c>
      <c r="AO239" s="3" t="s">
        <v>92</v>
      </c>
      <c r="AP239" s="3" t="s">
        <v>92</v>
      </c>
      <c r="AQ239" s="3" t="s">
        <v>92</v>
      </c>
      <c r="AR239" s="3" t="s">
        <v>92</v>
      </c>
      <c r="AS239" s="3" t="s">
        <v>371</v>
      </c>
      <c r="AT239" s="3" t="s">
        <v>92</v>
      </c>
      <c r="AU239" s="3" t="s">
        <v>92</v>
      </c>
      <c r="AV239" s="3" t="s">
        <v>92</v>
      </c>
      <c r="AW239" s="3" t="s">
        <v>92</v>
      </c>
      <c r="AX239" s="1414" t="s">
        <v>92</v>
      </c>
      <c r="AY239" s="3"/>
      <c r="AZ239" s="139"/>
      <c r="BA239" s="139"/>
      <c r="BB239" s="139"/>
      <c r="BC239" s="139"/>
      <c r="BD239" s="139"/>
      <c r="BE239" s="3"/>
    </row>
    <row r="240" spans="1:57" ht="15.75" customHeight="1" x14ac:dyDescent="0.4">
      <c r="A240" s="3"/>
      <c r="B240" s="4"/>
      <c r="C240" s="36"/>
      <c r="D240" s="155"/>
      <c r="E240" s="155"/>
      <c r="F240" s="155"/>
      <c r="G240" s="7"/>
      <c r="H240" s="20"/>
      <c r="I240" s="3"/>
      <c r="J240" s="3"/>
      <c r="K240" s="3"/>
      <c r="L240" s="3"/>
      <c r="M240" s="5"/>
      <c r="N240" s="5"/>
      <c r="O240" s="5"/>
      <c r="P240" s="24"/>
      <c r="Q240" s="24"/>
      <c r="R240" s="3"/>
      <c r="S240" s="5"/>
      <c r="T240" s="3"/>
      <c r="U240" s="20"/>
      <c r="V240" s="279" t="s">
        <v>369</v>
      </c>
      <c r="W240" s="112" t="s">
        <v>372</v>
      </c>
      <c r="X240" s="279" t="s">
        <v>369</v>
      </c>
      <c r="Y240" s="1824">
        <v>200133021001</v>
      </c>
      <c r="Z240" s="1550"/>
      <c r="AA240" s="1550"/>
      <c r="AB240" s="20"/>
      <c r="AC240" s="3"/>
      <c r="AD240" s="3"/>
      <c r="AE240" s="5"/>
      <c r="AF240" s="3"/>
      <c r="AG240" s="3"/>
      <c r="AH240" s="5"/>
      <c r="AI240" s="51"/>
      <c r="AJ240" s="39"/>
      <c r="AK240" s="39"/>
      <c r="AL240" s="39"/>
      <c r="AM240" s="39"/>
      <c r="AN240" s="3" t="s">
        <v>92</v>
      </c>
      <c r="AO240" s="3" t="s">
        <v>92</v>
      </c>
      <c r="AP240" s="3" t="s">
        <v>92</v>
      </c>
      <c r="AQ240" s="3" t="s">
        <v>92</v>
      </c>
      <c r="AR240" s="3" t="s">
        <v>92</v>
      </c>
      <c r="AS240" s="3" t="s">
        <v>371</v>
      </c>
      <c r="AT240" s="3" t="s">
        <v>92</v>
      </c>
      <c r="AU240" s="3" t="s">
        <v>92</v>
      </c>
      <c r="AV240" s="3" t="s">
        <v>92</v>
      </c>
      <c r="AW240" s="3" t="s">
        <v>92</v>
      </c>
      <c r="AX240" s="1414" t="s">
        <v>92</v>
      </c>
      <c r="AY240" s="3"/>
      <c r="AZ240" s="139"/>
      <c r="BA240" s="139"/>
      <c r="BB240" s="139"/>
      <c r="BC240" s="139"/>
      <c r="BD240" s="139"/>
      <c r="BE240" s="3"/>
    </row>
    <row r="241" spans="1:57" ht="15.75" customHeight="1" x14ac:dyDescent="0.4">
      <c r="A241" s="3"/>
      <c r="B241" s="4"/>
      <c r="C241" s="36"/>
      <c r="D241" s="155"/>
      <c r="E241" s="155"/>
      <c r="F241" s="155"/>
      <c r="G241" s="7"/>
      <c r="H241" s="20"/>
      <c r="I241" s="3"/>
      <c r="J241" s="3"/>
      <c r="K241" s="3"/>
      <c r="L241" s="3"/>
      <c r="M241" s="5"/>
      <c r="N241" s="5"/>
      <c r="O241" s="5"/>
      <c r="P241" s="24"/>
      <c r="Q241" s="24"/>
      <c r="R241" s="3"/>
      <c r="S241" s="5"/>
      <c r="T241" s="3"/>
      <c r="U241" s="20"/>
      <c r="V241" s="112" t="s">
        <v>2363</v>
      </c>
      <c r="W241" s="112" t="s">
        <v>370</v>
      </c>
      <c r="X241" s="279" t="s">
        <v>369</v>
      </c>
      <c r="Y241" s="1824">
        <v>200133127001</v>
      </c>
      <c r="Z241" s="1550"/>
      <c r="AA241" s="1550"/>
      <c r="AB241" s="20"/>
      <c r="AC241" s="3"/>
      <c r="AD241" s="3"/>
      <c r="AE241" s="5"/>
      <c r="AF241" s="3"/>
      <c r="AG241" s="3"/>
      <c r="AH241" s="5"/>
      <c r="AI241" s="51"/>
      <c r="AJ241" s="39"/>
      <c r="AK241" s="39"/>
      <c r="AL241" s="39"/>
      <c r="AM241" s="39"/>
      <c r="AN241" s="3" t="s">
        <v>92</v>
      </c>
      <c r="AO241" s="3" t="s">
        <v>92</v>
      </c>
      <c r="AP241" s="3" t="s">
        <v>92</v>
      </c>
      <c r="AQ241" s="3" t="s">
        <v>92</v>
      </c>
      <c r="AR241" s="3" t="s">
        <v>92</v>
      </c>
      <c r="AS241" s="3" t="s">
        <v>371</v>
      </c>
      <c r="AT241" s="3" t="s">
        <v>92</v>
      </c>
      <c r="AU241" s="3" t="s">
        <v>92</v>
      </c>
      <c r="AV241" s="3" t="s">
        <v>92</v>
      </c>
      <c r="AW241" s="3" t="s">
        <v>92</v>
      </c>
      <c r="AX241" s="1414" t="s">
        <v>92</v>
      </c>
      <c r="AY241" s="3"/>
      <c r="AZ241" s="139"/>
      <c r="BA241" s="139"/>
      <c r="BB241" s="139"/>
      <c r="BC241" s="139"/>
      <c r="BD241" s="139"/>
      <c r="BE241" s="3"/>
    </row>
    <row r="242" spans="1:57" ht="15.75" customHeight="1" thickBot="1" x14ac:dyDescent="0.45">
      <c r="A242" s="3"/>
      <c r="B242" s="4"/>
      <c r="C242" s="943"/>
      <c r="D242" s="925"/>
      <c r="E242" s="925"/>
      <c r="F242" s="925"/>
      <c r="G242" s="924"/>
      <c r="H242" s="20"/>
      <c r="I242" s="3"/>
      <c r="J242" s="3"/>
      <c r="K242" s="3"/>
      <c r="L242" s="3"/>
      <c r="M242" s="5"/>
      <c r="N242" s="5"/>
      <c r="O242" s="5"/>
      <c r="P242" s="24"/>
      <c r="Q242" s="24"/>
      <c r="R242" s="3"/>
      <c r="S242" s="5"/>
      <c r="T242" s="3"/>
      <c r="U242" s="20"/>
      <c r="V242" s="1877" t="s">
        <v>2365</v>
      </c>
      <c r="W242" s="1877" t="s">
        <v>370</v>
      </c>
      <c r="X242" s="1876" t="s">
        <v>369</v>
      </c>
      <c r="Y242" s="1825">
        <v>200133134001</v>
      </c>
      <c r="Z242" s="1444"/>
      <c r="AA242" s="1444"/>
      <c r="AB242" s="20"/>
      <c r="AC242" s="3"/>
      <c r="AD242" s="3"/>
      <c r="AE242" s="5"/>
      <c r="AF242" s="3"/>
      <c r="AG242" s="3"/>
      <c r="AH242" s="5"/>
      <c r="AI242" s="51"/>
      <c r="AJ242" s="39"/>
      <c r="AK242" s="39"/>
      <c r="AL242" s="39"/>
      <c r="AM242" s="39"/>
      <c r="AN242" s="889" t="s">
        <v>92</v>
      </c>
      <c r="AO242" s="889" t="s">
        <v>92</v>
      </c>
      <c r="AP242" s="889" t="s">
        <v>92</v>
      </c>
      <c r="AQ242" s="889" t="s">
        <v>92</v>
      </c>
      <c r="AR242" s="889" t="s">
        <v>92</v>
      </c>
      <c r="AS242" s="889" t="s">
        <v>371</v>
      </c>
      <c r="AT242" s="889" t="s">
        <v>92</v>
      </c>
      <c r="AU242" s="889" t="s">
        <v>92</v>
      </c>
      <c r="AV242" s="889" t="s">
        <v>92</v>
      </c>
      <c r="AW242" s="889" t="s">
        <v>92</v>
      </c>
      <c r="AX242" s="1590" t="s">
        <v>92</v>
      </c>
      <c r="AY242" s="889"/>
      <c r="AZ242" s="139"/>
      <c r="BA242" s="139"/>
      <c r="BB242" s="139"/>
      <c r="BC242" s="139"/>
      <c r="BD242" s="139"/>
      <c r="BE242" s="3"/>
    </row>
    <row r="243" spans="1:57" ht="15.75" customHeight="1" x14ac:dyDescent="0.4">
      <c r="A243" s="3"/>
      <c r="B243" s="36"/>
      <c r="C243" s="7" t="s">
        <v>434</v>
      </c>
      <c r="D243" s="155"/>
      <c r="E243" s="155"/>
      <c r="F243" s="47" t="s">
        <v>431</v>
      </c>
      <c r="G243" s="7"/>
      <c r="H243" s="20"/>
      <c r="I243" s="116" t="s">
        <v>365</v>
      </c>
      <c r="J243" s="116"/>
      <c r="K243" s="116"/>
      <c r="L243" s="116" t="s">
        <v>348</v>
      </c>
      <c r="M243" s="177">
        <f>1.5+1.375*2</f>
        <v>4.25</v>
      </c>
      <c r="N243" s="177" t="s">
        <v>348</v>
      </c>
      <c r="O243" s="177">
        <f>0.25</f>
        <v>0.25</v>
      </c>
      <c r="P243" s="177"/>
      <c r="Q243" s="177"/>
      <c r="R243" s="116" t="s">
        <v>352</v>
      </c>
      <c r="S243" s="177">
        <f>SHHeight+M243+O243</f>
        <v>78.5</v>
      </c>
      <c r="T243" s="116" t="s">
        <v>366</v>
      </c>
      <c r="U243" s="20"/>
      <c r="V243" s="38"/>
      <c r="W243" s="3"/>
      <c r="X243" s="38"/>
      <c r="Y243" s="41"/>
      <c r="Z243" s="41"/>
      <c r="AA243" s="41"/>
      <c r="AB243" s="20"/>
      <c r="AC243" s="116">
        <v>45</v>
      </c>
      <c r="AD243" s="116">
        <v>2</v>
      </c>
      <c r="AE243" s="177">
        <f>S243*AD243/12</f>
        <v>13.083333333333334</v>
      </c>
      <c r="AF243" s="116" t="s">
        <v>367</v>
      </c>
      <c r="AG243" s="179">
        <f>AG232</f>
        <v>1.073</v>
      </c>
      <c r="AH243" s="177">
        <f>AG243*AtolbperftSH</f>
        <v>0.6786724999999999</v>
      </c>
      <c r="AI243" s="185"/>
      <c r="AJ243" s="185"/>
      <c r="AK243" s="185"/>
      <c r="AL243" s="185"/>
      <c r="AM243" s="180"/>
      <c r="AN243" s="3" t="s">
        <v>92</v>
      </c>
      <c r="AO243" s="3" t="s">
        <v>92</v>
      </c>
      <c r="AP243" s="3" t="s">
        <v>92</v>
      </c>
      <c r="AQ243" s="3" t="s">
        <v>92</v>
      </c>
      <c r="AR243" s="3" t="s">
        <v>92</v>
      </c>
      <c r="AS243" s="3" t="s">
        <v>92</v>
      </c>
      <c r="AT243" s="3" t="s">
        <v>92</v>
      </c>
      <c r="AU243" s="3" t="s">
        <v>92</v>
      </c>
      <c r="AV243" s="3" t="s">
        <v>92</v>
      </c>
      <c r="AW243" s="3" t="s">
        <v>92</v>
      </c>
      <c r="AX243" s="1414" t="s">
        <v>92</v>
      </c>
      <c r="AY243" s="3"/>
      <c r="AZ243" s="139"/>
      <c r="BA243" s="139"/>
      <c r="BB243" s="139"/>
      <c r="BC243" s="139"/>
      <c r="BD243" s="139"/>
      <c r="BE243" s="3"/>
    </row>
    <row r="244" spans="1:57" ht="15.75" customHeight="1" x14ac:dyDescent="0.4">
      <c r="A244" s="3"/>
      <c r="B244" s="36"/>
      <c r="C244" s="36"/>
      <c r="D244" s="155"/>
      <c r="E244" s="155"/>
      <c r="F244" s="155" t="s">
        <v>432</v>
      </c>
      <c r="G244" s="7"/>
      <c r="H244" s="20"/>
      <c r="I244" s="3" t="s">
        <v>365</v>
      </c>
      <c r="J244" s="3"/>
      <c r="K244" s="3"/>
      <c r="L244" s="3" t="s">
        <v>348</v>
      </c>
      <c r="M244" s="5">
        <f>M233</f>
        <v>0</v>
      </c>
      <c r="N244" s="5" t="s">
        <v>348</v>
      </c>
      <c r="O244" s="5">
        <f>0.25</f>
        <v>0.25</v>
      </c>
      <c r="P244" s="24"/>
      <c r="Q244" s="24"/>
      <c r="R244" s="3" t="s">
        <v>352</v>
      </c>
      <c r="S244" s="5">
        <f>SHHeight+M244+O244</f>
        <v>74.25</v>
      </c>
      <c r="T244" s="3" t="s">
        <v>366</v>
      </c>
      <c r="U244" s="20"/>
      <c r="V244" s="38" t="s">
        <v>369</v>
      </c>
      <c r="W244" s="3" t="s">
        <v>370</v>
      </c>
      <c r="X244" s="38" t="s">
        <v>369</v>
      </c>
      <c r="Y244" s="1443">
        <v>200237003</v>
      </c>
      <c r="Z244" s="1443"/>
      <c r="AA244" s="1443"/>
      <c r="AB244" s="20"/>
      <c r="AC244" s="3"/>
      <c r="AD244" s="3"/>
      <c r="AE244" s="5"/>
      <c r="AF244" s="3"/>
      <c r="AG244" s="38"/>
      <c r="AH244" s="5"/>
      <c r="AI244" s="994">
        <f>AI233</f>
        <v>0.61450000000000005</v>
      </c>
      <c r="AJ244" s="39"/>
      <c r="AK244" s="39"/>
      <c r="AL244" s="39"/>
      <c r="AM244" s="39">
        <f>AE$232*AI244+SUM(AJ244:AL244)</f>
        <v>8.0397083333333335</v>
      </c>
      <c r="AN244" s="3" t="s">
        <v>92</v>
      </c>
      <c r="AO244" s="3" t="s">
        <v>92</v>
      </c>
      <c r="AP244" s="3" t="s">
        <v>92</v>
      </c>
      <c r="AQ244" s="3" t="s">
        <v>92</v>
      </c>
      <c r="AR244" s="3" t="s">
        <v>92</v>
      </c>
      <c r="AS244" s="3" t="s">
        <v>92</v>
      </c>
      <c r="AT244" s="3" t="s">
        <v>92</v>
      </c>
      <c r="AU244" s="3" t="s">
        <v>92</v>
      </c>
      <c r="AV244" s="3" t="s">
        <v>92</v>
      </c>
      <c r="AW244" s="3" t="s">
        <v>92</v>
      </c>
      <c r="AX244" s="1414" t="s">
        <v>92</v>
      </c>
      <c r="AY244" s="3"/>
      <c r="AZ244" s="139"/>
      <c r="BA244" s="139"/>
      <c r="BB244" s="139"/>
      <c r="BC244" s="139"/>
      <c r="BD244" s="139"/>
      <c r="BE244" s="3"/>
    </row>
    <row r="245" spans="1:57" ht="15.75" customHeight="1" x14ac:dyDescent="0.4">
      <c r="A245" s="3"/>
      <c r="B245" s="36"/>
      <c r="C245" s="36"/>
      <c r="D245" s="155"/>
      <c r="E245" s="155"/>
      <c r="F245" s="155"/>
      <c r="G245" s="7"/>
      <c r="H245" s="20"/>
      <c r="I245" s="3"/>
      <c r="J245" s="3"/>
      <c r="K245" s="3"/>
      <c r="L245" s="3"/>
      <c r="M245" s="5"/>
      <c r="N245" s="5"/>
      <c r="O245" s="5"/>
      <c r="P245" s="24"/>
      <c r="Q245" s="24"/>
      <c r="R245" s="3"/>
      <c r="S245" s="5"/>
      <c r="T245" s="3"/>
      <c r="U245" s="20"/>
      <c r="V245" s="38" t="s">
        <v>369</v>
      </c>
      <c r="W245" s="3" t="s">
        <v>372</v>
      </c>
      <c r="X245" s="38" t="s">
        <v>369</v>
      </c>
      <c r="Y245" s="1443">
        <v>200237021</v>
      </c>
      <c r="Z245" s="1443"/>
      <c r="AA245" s="1443"/>
      <c r="AB245" s="20"/>
      <c r="AC245" s="3"/>
      <c r="AD245" s="3"/>
      <c r="AE245" s="5"/>
      <c r="AF245" s="3"/>
      <c r="AG245" s="3"/>
      <c r="AH245" s="5"/>
      <c r="AI245" s="994">
        <f>AI234</f>
        <v>0.65790000000000004</v>
      </c>
      <c r="AJ245" s="39"/>
      <c r="AK245" s="39"/>
      <c r="AL245" s="39"/>
      <c r="AM245" s="39">
        <f t="shared" ref="AM245:AM246" si="47">AE$232*AI245+SUM(AJ245:AL245)</f>
        <v>8.6075250000000008</v>
      </c>
      <c r="AN245" s="3" t="s">
        <v>92</v>
      </c>
      <c r="AO245" s="3" t="s">
        <v>92</v>
      </c>
      <c r="AP245" s="3" t="s">
        <v>92</v>
      </c>
      <c r="AQ245" s="3" t="s">
        <v>92</v>
      </c>
      <c r="AR245" s="3" t="s">
        <v>92</v>
      </c>
      <c r="AS245" s="3" t="s">
        <v>92</v>
      </c>
      <c r="AT245" s="3" t="s">
        <v>92</v>
      </c>
      <c r="AU245" s="3" t="s">
        <v>92</v>
      </c>
      <c r="AV245" s="3" t="s">
        <v>92</v>
      </c>
      <c r="AW245" s="3" t="s">
        <v>92</v>
      </c>
      <c r="AX245" s="1414" t="s">
        <v>92</v>
      </c>
      <c r="AY245" s="3"/>
      <c r="AZ245" s="139"/>
      <c r="BA245" s="139"/>
      <c r="BB245" s="139"/>
      <c r="BC245" s="139"/>
      <c r="BD245" s="139"/>
      <c r="BE245" s="3"/>
    </row>
    <row r="246" spans="1:57" ht="15.75" customHeight="1" x14ac:dyDescent="0.4">
      <c r="A246" s="3"/>
      <c r="B246" s="36"/>
      <c r="C246" s="36"/>
      <c r="D246" s="155"/>
      <c r="E246" s="155"/>
      <c r="F246" s="1490" t="s">
        <v>2086</v>
      </c>
      <c r="G246" s="7"/>
      <c r="H246" s="20"/>
      <c r="I246" s="3"/>
      <c r="J246" s="3"/>
      <c r="K246" s="3"/>
      <c r="L246" s="3"/>
      <c r="M246" s="5"/>
      <c r="N246" s="5"/>
      <c r="O246" s="5"/>
      <c r="P246" s="24"/>
      <c r="Q246" s="24"/>
      <c r="R246" s="3"/>
      <c r="S246" s="5"/>
      <c r="T246" s="3"/>
      <c r="U246" s="20"/>
      <c r="V246" s="38" t="s">
        <v>369</v>
      </c>
      <c r="W246" s="3" t="s">
        <v>373</v>
      </c>
      <c r="X246" s="38" t="s">
        <v>369</v>
      </c>
      <c r="Y246" s="1443">
        <v>200237033</v>
      </c>
      <c r="Z246" s="1443"/>
      <c r="AA246" s="1443"/>
      <c r="AB246" s="20"/>
      <c r="AC246" s="3"/>
      <c r="AD246" s="3"/>
      <c r="AE246" s="5"/>
      <c r="AF246" s="3"/>
      <c r="AG246" s="3"/>
      <c r="AH246" s="5"/>
      <c r="AI246" s="994">
        <f>AI235</f>
        <v>0.70960000000000001</v>
      </c>
      <c r="AJ246" s="39"/>
      <c r="AK246" s="39"/>
      <c r="AL246" s="39"/>
      <c r="AM246" s="39">
        <f t="shared" si="47"/>
        <v>9.2839333333333336</v>
      </c>
      <c r="AN246" s="3" t="s">
        <v>92</v>
      </c>
      <c r="AO246" s="3" t="s">
        <v>92</v>
      </c>
      <c r="AP246" s="3" t="s">
        <v>92</v>
      </c>
      <c r="AQ246" s="3" t="s">
        <v>92</v>
      </c>
      <c r="AR246" s="3" t="s">
        <v>92</v>
      </c>
      <c r="AS246" s="3" t="s">
        <v>92</v>
      </c>
      <c r="AT246" s="3" t="s">
        <v>92</v>
      </c>
      <c r="AU246" s="3" t="s">
        <v>92</v>
      </c>
      <c r="AV246" s="3" t="s">
        <v>92</v>
      </c>
      <c r="AW246" s="3" t="s">
        <v>92</v>
      </c>
      <c r="AX246" s="1414" t="s">
        <v>92</v>
      </c>
      <c r="AY246" s="3"/>
      <c r="AZ246" s="139"/>
      <c r="BA246" s="139"/>
      <c r="BB246" s="139"/>
      <c r="BC246" s="139"/>
      <c r="BD246" s="139"/>
      <c r="BE246" s="3"/>
    </row>
    <row r="247" spans="1:57" ht="15.75" customHeight="1" x14ac:dyDescent="0.4">
      <c r="A247" s="3"/>
      <c r="B247" s="4"/>
      <c r="C247" s="36"/>
      <c r="D247" s="155"/>
      <c r="E247" s="155"/>
      <c r="F247" s="155"/>
      <c r="G247" s="7"/>
      <c r="H247" s="20"/>
      <c r="I247" s="3"/>
      <c r="J247" s="3"/>
      <c r="K247" s="3"/>
      <c r="L247" s="3"/>
      <c r="M247" s="5"/>
      <c r="N247" s="5"/>
      <c r="O247" s="5"/>
      <c r="P247" s="24"/>
      <c r="Q247" s="24"/>
      <c r="R247" s="3"/>
      <c r="S247" s="5"/>
      <c r="T247" s="3"/>
      <c r="U247" s="20"/>
      <c r="V247" s="3" t="s">
        <v>2363</v>
      </c>
      <c r="W247" s="3" t="s">
        <v>370</v>
      </c>
      <c r="X247" s="38" t="s">
        <v>369</v>
      </c>
      <c r="Y247" s="1443">
        <v>200237127</v>
      </c>
      <c r="Z247" s="1443"/>
      <c r="AA247" s="1443"/>
      <c r="AB247" s="20"/>
      <c r="AC247" s="3"/>
      <c r="AD247" s="3"/>
      <c r="AE247" s="5"/>
      <c r="AF247" s="3"/>
      <c r="AG247" s="3"/>
      <c r="AH247" s="5"/>
      <c r="AI247" s="994">
        <f>AI236</f>
        <v>0.81020000000000003</v>
      </c>
      <c r="AJ247" s="39"/>
      <c r="AK247" s="39"/>
      <c r="AL247" s="39"/>
      <c r="AM247" s="39">
        <f t="shared" ref="AM247:AM248" si="48">AE$219*AI247+SUM(AJ247:AL247)</f>
        <v>10.600116666666668</v>
      </c>
      <c r="AN247" s="3" t="s">
        <v>92</v>
      </c>
      <c r="AO247" s="3" t="s">
        <v>92</v>
      </c>
      <c r="AP247" s="3" t="s">
        <v>92</v>
      </c>
      <c r="AQ247" s="3" t="s">
        <v>92</v>
      </c>
      <c r="AR247" s="3" t="s">
        <v>92</v>
      </c>
      <c r="AS247" s="3" t="s">
        <v>92</v>
      </c>
      <c r="AT247" s="3" t="s">
        <v>92</v>
      </c>
      <c r="AU247" s="3" t="s">
        <v>92</v>
      </c>
      <c r="AV247" s="3" t="s">
        <v>92</v>
      </c>
      <c r="AW247" s="3" t="s">
        <v>92</v>
      </c>
      <c r="AX247" s="1414" t="s">
        <v>92</v>
      </c>
      <c r="AY247" s="3"/>
      <c r="AZ247" s="139"/>
      <c r="BA247" s="139"/>
      <c r="BB247" s="139"/>
      <c r="BC247" s="139"/>
      <c r="BD247" s="139"/>
      <c r="BE247" s="3"/>
    </row>
    <row r="248" spans="1:57" ht="15.75" customHeight="1" thickBot="1" x14ac:dyDescent="0.45">
      <c r="A248" s="3"/>
      <c r="B248" s="4"/>
      <c r="C248" s="943"/>
      <c r="D248" s="925"/>
      <c r="E248" s="925"/>
      <c r="F248" s="925"/>
      <c r="G248" s="924"/>
      <c r="H248" s="887"/>
      <c r="I248" s="889"/>
      <c r="J248" s="889"/>
      <c r="K248" s="889"/>
      <c r="L248" s="889"/>
      <c r="M248" s="945"/>
      <c r="N248" s="945"/>
      <c r="O248" s="945"/>
      <c r="P248" s="1020"/>
      <c r="Q248" s="1020"/>
      <c r="R248" s="889"/>
      <c r="S248" s="945"/>
      <c r="T248" s="889"/>
      <c r="U248" s="887"/>
      <c r="V248" s="889" t="s">
        <v>2365</v>
      </c>
      <c r="W248" s="889" t="s">
        <v>370</v>
      </c>
      <c r="X248" s="888" t="s">
        <v>369</v>
      </c>
      <c r="Y248" s="1444">
        <v>200237180</v>
      </c>
      <c r="Z248" s="1444"/>
      <c r="AA248" s="1444"/>
      <c r="AB248" s="887"/>
      <c r="AC248" s="889"/>
      <c r="AD248" s="889"/>
      <c r="AE248" s="945"/>
      <c r="AF248" s="889"/>
      <c r="AG248" s="889"/>
      <c r="AH248" s="945"/>
      <c r="AI248" s="1429">
        <f>AI237</f>
        <v>0.87970000000000004</v>
      </c>
      <c r="AJ248" s="947"/>
      <c r="AK248" s="947"/>
      <c r="AL248" s="947"/>
      <c r="AM248" s="947">
        <f t="shared" si="48"/>
        <v>11.509408333333335</v>
      </c>
      <c r="AN248" s="889" t="s">
        <v>92</v>
      </c>
      <c r="AO248" s="889" t="s">
        <v>92</v>
      </c>
      <c r="AP248" s="889" t="s">
        <v>92</v>
      </c>
      <c r="AQ248" s="889" t="s">
        <v>92</v>
      </c>
      <c r="AR248" s="889" t="s">
        <v>92</v>
      </c>
      <c r="AS248" s="889" t="s">
        <v>92</v>
      </c>
      <c r="AT248" s="889" t="s">
        <v>92</v>
      </c>
      <c r="AU248" s="889" t="s">
        <v>92</v>
      </c>
      <c r="AV248" s="889" t="s">
        <v>92</v>
      </c>
      <c r="AW248" s="889" t="s">
        <v>92</v>
      </c>
      <c r="AX248" s="1590" t="s">
        <v>92</v>
      </c>
      <c r="AY248" s="889"/>
      <c r="AZ248" s="139"/>
      <c r="BA248" s="139"/>
      <c r="BB248" s="139"/>
      <c r="BC248" s="139"/>
      <c r="BD248" s="139"/>
      <c r="BE248" s="3"/>
    </row>
    <row r="249" spans="1:57" ht="15.75" customHeight="1" x14ac:dyDescent="0.4">
      <c r="A249" s="3"/>
      <c r="B249" s="4"/>
      <c r="C249" s="8" t="s">
        <v>1946</v>
      </c>
      <c r="D249" s="155"/>
      <c r="E249" s="155"/>
      <c r="F249" s="155"/>
      <c r="G249" s="7"/>
      <c r="H249" s="20"/>
      <c r="I249" s="3"/>
      <c r="J249" s="3"/>
      <c r="K249" s="3"/>
      <c r="L249" s="3"/>
      <c r="M249" s="5"/>
      <c r="N249" s="5"/>
      <c r="O249" s="5"/>
      <c r="P249" s="24"/>
      <c r="Q249" s="24"/>
      <c r="R249" s="3"/>
      <c r="S249" s="5"/>
      <c r="T249" s="3"/>
      <c r="U249" s="20"/>
      <c r="V249" s="571" t="s">
        <v>369</v>
      </c>
      <c r="W249" s="572" t="s">
        <v>370</v>
      </c>
      <c r="X249" s="571" t="s">
        <v>369</v>
      </c>
      <c r="Y249" s="1824">
        <v>200237003001</v>
      </c>
      <c r="Z249" s="1550"/>
      <c r="AA249" s="1550"/>
      <c r="AB249" s="20"/>
      <c r="AC249" s="3"/>
      <c r="AD249" s="3"/>
      <c r="AE249" s="5"/>
      <c r="AF249" s="3"/>
      <c r="AG249" s="3"/>
      <c r="AH249" s="5"/>
      <c r="AI249" s="51"/>
      <c r="AJ249" s="39"/>
      <c r="AK249" s="39"/>
      <c r="AL249" s="39"/>
      <c r="AM249" s="39"/>
      <c r="AN249" s="3" t="s">
        <v>92</v>
      </c>
      <c r="AO249" s="3" t="s">
        <v>92</v>
      </c>
      <c r="AP249" s="3" t="s">
        <v>92</v>
      </c>
      <c r="AQ249" s="3" t="s">
        <v>92</v>
      </c>
      <c r="AR249" s="3" t="s">
        <v>92</v>
      </c>
      <c r="AS249" s="3" t="s">
        <v>92</v>
      </c>
      <c r="AT249" s="3" t="s">
        <v>92</v>
      </c>
      <c r="AU249" s="3" t="s">
        <v>92</v>
      </c>
      <c r="AV249" s="3" t="s">
        <v>92</v>
      </c>
      <c r="AW249" s="3" t="s">
        <v>92</v>
      </c>
      <c r="AX249" s="1414" t="s">
        <v>92</v>
      </c>
      <c r="AY249" s="3"/>
      <c r="AZ249" s="139"/>
      <c r="BA249" s="139"/>
      <c r="BB249" s="139"/>
      <c r="BC249" s="139"/>
      <c r="BD249" s="139"/>
      <c r="BE249" s="3"/>
    </row>
    <row r="250" spans="1:57" ht="15.75" customHeight="1" x14ac:dyDescent="0.4">
      <c r="A250" s="3"/>
      <c r="B250" s="4"/>
      <c r="C250" s="36"/>
      <c r="D250" s="155"/>
      <c r="E250" s="155"/>
      <c r="F250" s="155"/>
      <c r="G250" s="7"/>
      <c r="H250" s="20"/>
      <c r="I250" s="3"/>
      <c r="J250" s="3"/>
      <c r="K250" s="3"/>
      <c r="L250" s="3"/>
      <c r="M250" s="5"/>
      <c r="N250" s="5"/>
      <c r="O250" s="5"/>
      <c r="P250" s="24"/>
      <c r="Q250" s="24"/>
      <c r="R250" s="3"/>
      <c r="S250" s="5"/>
      <c r="T250" s="3"/>
      <c r="U250" s="20"/>
      <c r="V250" s="571" t="s">
        <v>369</v>
      </c>
      <c r="W250" s="572" t="s">
        <v>372</v>
      </c>
      <c r="X250" s="571" t="s">
        <v>369</v>
      </c>
      <c r="Y250" s="1824">
        <v>200237021001</v>
      </c>
      <c r="Z250" s="1550"/>
      <c r="AA250" s="1550"/>
      <c r="AB250" s="20"/>
      <c r="AC250" s="3"/>
      <c r="AD250" s="3"/>
      <c r="AE250" s="5"/>
      <c r="AF250" s="3"/>
      <c r="AG250" s="3"/>
      <c r="AH250" s="5"/>
      <c r="AI250" s="51"/>
      <c r="AJ250" s="39"/>
      <c r="AK250" s="39"/>
      <c r="AL250" s="39"/>
      <c r="AM250" s="39"/>
      <c r="AN250" s="3" t="s">
        <v>92</v>
      </c>
      <c r="AO250" s="3" t="s">
        <v>92</v>
      </c>
      <c r="AP250" s="3" t="s">
        <v>92</v>
      </c>
      <c r="AQ250" s="3" t="s">
        <v>92</v>
      </c>
      <c r="AR250" s="3" t="s">
        <v>92</v>
      </c>
      <c r="AS250" s="3" t="s">
        <v>92</v>
      </c>
      <c r="AT250" s="3" t="s">
        <v>92</v>
      </c>
      <c r="AU250" s="3" t="s">
        <v>92</v>
      </c>
      <c r="AV250" s="3" t="s">
        <v>92</v>
      </c>
      <c r="AW250" s="3" t="s">
        <v>92</v>
      </c>
      <c r="AX250" s="1414" t="s">
        <v>92</v>
      </c>
      <c r="AY250" s="3"/>
      <c r="AZ250" s="139"/>
      <c r="BA250" s="139"/>
      <c r="BB250" s="139"/>
      <c r="BC250" s="139"/>
      <c r="BD250" s="139"/>
      <c r="BE250" s="3"/>
    </row>
    <row r="251" spans="1:57" ht="15.75" customHeight="1" x14ac:dyDescent="0.4">
      <c r="A251" s="3"/>
      <c r="B251" s="4"/>
      <c r="C251" s="36"/>
      <c r="D251" s="155"/>
      <c r="E251" s="155"/>
      <c r="F251" s="155"/>
      <c r="G251" s="7"/>
      <c r="H251" s="20"/>
      <c r="I251" s="3"/>
      <c r="J251" s="3"/>
      <c r="K251" s="3"/>
      <c r="L251" s="3"/>
      <c r="M251" s="5"/>
      <c r="N251" s="5"/>
      <c r="O251" s="5"/>
      <c r="P251" s="24"/>
      <c r="Q251" s="24"/>
      <c r="R251" s="3"/>
      <c r="S251" s="5"/>
      <c r="T251" s="3"/>
      <c r="U251" s="20"/>
      <c r="V251" s="571" t="s">
        <v>369</v>
      </c>
      <c r="W251" s="572" t="s">
        <v>373</v>
      </c>
      <c r="X251" s="571" t="s">
        <v>369</v>
      </c>
      <c r="Y251" s="1824">
        <v>200237033001</v>
      </c>
      <c r="Z251" s="1550"/>
      <c r="AA251" s="1550"/>
      <c r="AB251" s="20"/>
      <c r="AC251" s="3"/>
      <c r="AD251" s="3"/>
      <c r="AE251" s="5"/>
      <c r="AF251" s="3"/>
      <c r="AG251" s="3"/>
      <c r="AH251" s="5"/>
      <c r="AI251" s="51"/>
      <c r="AJ251" s="39"/>
      <c r="AK251" s="39"/>
      <c r="AL251" s="39"/>
      <c r="AM251" s="39"/>
      <c r="AN251" s="3" t="s">
        <v>92</v>
      </c>
      <c r="AO251" s="3" t="s">
        <v>92</v>
      </c>
      <c r="AP251" s="3" t="s">
        <v>92</v>
      </c>
      <c r="AQ251" s="3" t="s">
        <v>92</v>
      </c>
      <c r="AR251" s="3" t="s">
        <v>92</v>
      </c>
      <c r="AS251" s="3" t="s">
        <v>92</v>
      </c>
      <c r="AT251" s="3" t="s">
        <v>92</v>
      </c>
      <c r="AU251" s="3" t="s">
        <v>92</v>
      </c>
      <c r="AV251" s="3" t="s">
        <v>92</v>
      </c>
      <c r="AW251" s="3" t="s">
        <v>92</v>
      </c>
      <c r="AX251" s="1414" t="s">
        <v>92</v>
      </c>
      <c r="AY251" s="3"/>
      <c r="AZ251" s="139"/>
      <c r="BA251" s="139"/>
      <c r="BB251" s="139"/>
      <c r="BC251" s="139"/>
      <c r="BD251" s="139"/>
      <c r="BE251" s="3"/>
    </row>
    <row r="252" spans="1:57" ht="15.75" customHeight="1" x14ac:dyDescent="0.4">
      <c r="A252" s="3"/>
      <c r="B252" s="4"/>
      <c r="C252" s="36"/>
      <c r="D252" s="155"/>
      <c r="E252" s="155"/>
      <c r="F252" s="155"/>
      <c r="G252" s="7"/>
      <c r="H252" s="20"/>
      <c r="I252" s="3"/>
      <c r="J252" s="3"/>
      <c r="K252" s="3"/>
      <c r="L252" s="3"/>
      <c r="M252" s="5"/>
      <c r="N252" s="5"/>
      <c r="O252" s="5"/>
      <c r="P252" s="24"/>
      <c r="Q252" s="24"/>
      <c r="R252" s="3"/>
      <c r="S252" s="5"/>
      <c r="T252" s="3"/>
      <c r="U252" s="20"/>
      <c r="V252" s="572" t="s">
        <v>2363</v>
      </c>
      <c r="W252" s="572" t="s">
        <v>370</v>
      </c>
      <c r="X252" s="571" t="s">
        <v>369</v>
      </c>
      <c r="Y252" s="1824">
        <v>200237127001</v>
      </c>
      <c r="Z252" s="1550"/>
      <c r="AA252" s="1550"/>
      <c r="AB252" s="20"/>
      <c r="AC252" s="3"/>
      <c r="AD252" s="3"/>
      <c r="AE252" s="5"/>
      <c r="AF252" s="3"/>
      <c r="AG252" s="3"/>
      <c r="AH252" s="5"/>
      <c r="AI252" s="51"/>
      <c r="AJ252" s="39"/>
      <c r="AK252" s="39"/>
      <c r="AL252" s="39"/>
      <c r="AM252" s="39"/>
      <c r="AN252" s="3" t="s">
        <v>92</v>
      </c>
      <c r="AO252" s="3" t="s">
        <v>92</v>
      </c>
      <c r="AP252" s="3" t="s">
        <v>92</v>
      </c>
      <c r="AQ252" s="3" t="s">
        <v>92</v>
      </c>
      <c r="AR252" s="3" t="s">
        <v>92</v>
      </c>
      <c r="AS252" s="3" t="s">
        <v>92</v>
      </c>
      <c r="AT252" s="3" t="s">
        <v>92</v>
      </c>
      <c r="AU252" s="3" t="s">
        <v>92</v>
      </c>
      <c r="AV252" s="3" t="s">
        <v>92</v>
      </c>
      <c r="AW252" s="3" t="s">
        <v>92</v>
      </c>
      <c r="AX252" s="1414" t="s">
        <v>92</v>
      </c>
      <c r="AY252" s="3"/>
      <c r="AZ252" s="139"/>
      <c r="BA252" s="139"/>
      <c r="BB252" s="139"/>
      <c r="BC252" s="139"/>
      <c r="BD252" s="139"/>
      <c r="BE252" s="3"/>
    </row>
    <row r="253" spans="1:57" ht="15.75" customHeight="1" thickBot="1" x14ac:dyDescent="0.45">
      <c r="A253" s="3"/>
      <c r="B253" s="4"/>
      <c r="C253" s="943"/>
      <c r="D253" s="925"/>
      <c r="E253" s="925"/>
      <c r="F253" s="925"/>
      <c r="G253" s="7"/>
      <c r="H253" s="20"/>
      <c r="I253" s="3"/>
      <c r="J253" s="3"/>
      <c r="K253" s="3"/>
      <c r="L253" s="3"/>
      <c r="M253" s="5"/>
      <c r="N253" s="5"/>
      <c r="O253" s="5"/>
      <c r="P253" s="24"/>
      <c r="Q253" s="24"/>
      <c r="R253" s="3"/>
      <c r="S253" s="5"/>
      <c r="T253" s="3"/>
      <c r="U253" s="20"/>
      <c r="V253" s="1189" t="s">
        <v>2365</v>
      </c>
      <c r="W253" s="1189" t="s">
        <v>370</v>
      </c>
      <c r="X253" s="1188" t="s">
        <v>369</v>
      </c>
      <c r="Y253" s="1825">
        <v>200237134001</v>
      </c>
      <c r="Z253" s="1550"/>
      <c r="AA253" s="1550"/>
      <c r="AB253" s="20"/>
      <c r="AC253" s="3"/>
      <c r="AD253" s="3"/>
      <c r="AE253" s="5"/>
      <c r="AF253" s="3"/>
      <c r="AG253" s="3"/>
      <c r="AH253" s="5"/>
      <c r="AI253" s="51"/>
      <c r="AJ253" s="39"/>
      <c r="AK253" s="39"/>
      <c r="AL253" s="39"/>
      <c r="AM253" s="39"/>
      <c r="AN253" s="889" t="s">
        <v>92</v>
      </c>
      <c r="AO253" s="889" t="s">
        <v>92</v>
      </c>
      <c r="AP253" s="889" t="s">
        <v>92</v>
      </c>
      <c r="AQ253" s="889" t="s">
        <v>92</v>
      </c>
      <c r="AR253" s="889" t="s">
        <v>92</v>
      </c>
      <c r="AS253" s="889" t="s">
        <v>92</v>
      </c>
      <c r="AT253" s="889" t="s">
        <v>92</v>
      </c>
      <c r="AU253" s="889" t="s">
        <v>92</v>
      </c>
      <c r="AV253" s="889" t="s">
        <v>92</v>
      </c>
      <c r="AW253" s="889" t="s">
        <v>92</v>
      </c>
      <c r="AX253" s="1590" t="s">
        <v>92</v>
      </c>
      <c r="AY253" s="889"/>
      <c r="AZ253" s="139"/>
      <c r="BA253" s="139"/>
      <c r="BB253" s="139"/>
      <c r="BC253" s="139"/>
      <c r="BD253" s="139"/>
      <c r="BE253" s="3"/>
    </row>
    <row r="254" spans="1:57" ht="15" customHeight="1" x14ac:dyDescent="0.4">
      <c r="A254" s="3"/>
      <c r="B254" s="4"/>
      <c r="C254" s="7" t="s">
        <v>382</v>
      </c>
      <c r="D254" s="155"/>
      <c r="E254" s="4"/>
      <c r="F254" s="155"/>
      <c r="G254" s="430" t="s">
        <v>383</v>
      </c>
      <c r="H254" s="175"/>
      <c r="I254" s="116" t="s">
        <v>365</v>
      </c>
      <c r="J254" s="116"/>
      <c r="K254" s="116"/>
      <c r="L254" s="116" t="s">
        <v>348</v>
      </c>
      <c r="M254" s="177">
        <f>M299</f>
        <v>3</v>
      </c>
      <c r="N254" s="177" t="s">
        <v>348</v>
      </c>
      <c r="O254" s="177">
        <f>0.25</f>
        <v>0.25</v>
      </c>
      <c r="P254" s="178"/>
      <c r="Q254" s="178"/>
      <c r="R254" s="116" t="s">
        <v>352</v>
      </c>
      <c r="S254" s="177">
        <f>SHHeight+M254+O254</f>
        <v>77.25</v>
      </c>
      <c r="T254" s="116" t="s">
        <v>366</v>
      </c>
      <c r="U254" s="175"/>
      <c r="V254" s="179"/>
      <c r="W254" s="116"/>
      <c r="X254" s="179"/>
      <c r="Y254" s="184"/>
      <c r="Z254" s="184"/>
      <c r="AA254" s="184"/>
      <c r="AB254" s="175"/>
      <c r="AC254" s="116">
        <v>45</v>
      </c>
      <c r="AD254" s="116">
        <v>2</v>
      </c>
      <c r="AE254" s="177">
        <f>S254*AD254/12</f>
        <v>12.875</v>
      </c>
      <c r="AF254" s="116" t="s">
        <v>367</v>
      </c>
      <c r="AG254" s="177">
        <v>0.08</v>
      </c>
      <c r="AH254" s="177">
        <f>AG254*AtolbperftSH</f>
        <v>5.0599999999999999E-2</v>
      </c>
      <c r="AI254" s="185"/>
      <c r="AJ254" s="185"/>
      <c r="AK254" s="185"/>
      <c r="AL254" s="185"/>
      <c r="AM254" s="180"/>
      <c r="AN254" s="3" t="s">
        <v>92</v>
      </c>
      <c r="AO254" s="3" t="s">
        <v>92</v>
      </c>
      <c r="AP254" s="3" t="s">
        <v>92</v>
      </c>
      <c r="AQ254" s="3" t="s">
        <v>92</v>
      </c>
      <c r="AR254" s="3" t="s">
        <v>371</v>
      </c>
      <c r="AS254" s="3" t="s">
        <v>371</v>
      </c>
      <c r="AT254" s="3" t="s">
        <v>92</v>
      </c>
      <c r="AU254" s="3" t="s">
        <v>92</v>
      </c>
      <c r="AV254" s="3" t="s">
        <v>92</v>
      </c>
      <c r="AW254" s="3" t="s">
        <v>371</v>
      </c>
      <c r="AX254" s="1414" t="s">
        <v>92</v>
      </c>
      <c r="AY254" s="3"/>
      <c r="AZ254" s="139"/>
      <c r="BA254" s="139"/>
      <c r="BB254" s="139"/>
      <c r="BC254" s="139"/>
      <c r="BD254" s="139"/>
      <c r="BE254" s="3"/>
    </row>
    <row r="255" spans="1:57" ht="15" customHeight="1" x14ac:dyDescent="0.4">
      <c r="A255" s="3"/>
      <c r="B255" s="36"/>
      <c r="C255" s="36"/>
      <c r="D255" s="155"/>
      <c r="E255" s="155"/>
      <c r="F255" s="155"/>
      <c r="G255" s="7"/>
      <c r="H255" s="20"/>
      <c r="I255" s="3"/>
      <c r="J255" s="3"/>
      <c r="K255" s="3"/>
      <c r="L255" s="3"/>
      <c r="M255" s="5"/>
      <c r="N255" s="5"/>
      <c r="O255" s="5"/>
      <c r="P255" s="24"/>
      <c r="Q255" s="24"/>
      <c r="R255" s="3"/>
      <c r="S255" s="5"/>
      <c r="T255" s="3"/>
      <c r="U255" s="20"/>
      <c r="V255" s="38" t="s">
        <v>369</v>
      </c>
      <c r="W255" s="3" t="s">
        <v>370</v>
      </c>
      <c r="X255" s="38" t="s">
        <v>369</v>
      </c>
      <c r="Y255" s="1443">
        <v>200114003</v>
      </c>
      <c r="Z255" s="1443"/>
      <c r="AA255" s="1443"/>
      <c r="AB255" s="20"/>
      <c r="AC255" s="3"/>
      <c r="AD255" s="3"/>
      <c r="AE255" s="5"/>
      <c r="AF255" s="3"/>
      <c r="AG255" s="38"/>
      <c r="AH255" s="5"/>
      <c r="AI255" s="353">
        <v>9.3600000000000003E-2</v>
      </c>
      <c r="AJ255" s="39"/>
      <c r="AK255" s="39"/>
      <c r="AL255" s="39"/>
      <c r="AM255" s="39">
        <f>AE$254*AI255+SUM(AJ255:AL255)</f>
        <v>1.2051000000000001</v>
      </c>
      <c r="AN255" s="3" t="s">
        <v>92</v>
      </c>
      <c r="AO255" s="3" t="s">
        <v>92</v>
      </c>
      <c r="AP255" s="3" t="s">
        <v>92</v>
      </c>
      <c r="AQ255" s="3" t="s">
        <v>92</v>
      </c>
      <c r="AR255" s="3" t="s">
        <v>371</v>
      </c>
      <c r="AS255" s="3" t="s">
        <v>371</v>
      </c>
      <c r="AT255" s="3" t="s">
        <v>92</v>
      </c>
      <c r="AU255" s="3" t="s">
        <v>92</v>
      </c>
      <c r="AV255" s="3" t="s">
        <v>92</v>
      </c>
      <c r="AW255" s="3" t="s">
        <v>371</v>
      </c>
      <c r="AX255" s="1414" t="s">
        <v>92</v>
      </c>
      <c r="AY255" s="3"/>
      <c r="AZ255" s="139"/>
      <c r="BA255" s="139"/>
      <c r="BB255" s="139"/>
      <c r="BC255" s="139"/>
      <c r="BD255" s="139"/>
      <c r="BE255" s="3"/>
    </row>
    <row r="256" spans="1:57" ht="15" customHeight="1" x14ac:dyDescent="0.4">
      <c r="A256" s="3"/>
      <c r="B256" s="36"/>
      <c r="C256" s="36"/>
      <c r="D256" s="155"/>
      <c r="E256" s="155"/>
      <c r="F256" s="155"/>
      <c r="G256" s="7"/>
      <c r="H256" s="20"/>
      <c r="I256" s="3"/>
      <c r="J256" s="3"/>
      <c r="K256" s="3"/>
      <c r="L256" s="3"/>
      <c r="M256" s="5"/>
      <c r="N256" s="5"/>
      <c r="O256" s="5"/>
      <c r="P256" s="24"/>
      <c r="Q256" s="24"/>
      <c r="R256" s="3"/>
      <c r="S256" s="5"/>
      <c r="T256" s="3"/>
      <c r="U256" s="20"/>
      <c r="V256" s="38" t="s">
        <v>369</v>
      </c>
      <c r="W256" s="3" t="s">
        <v>372</v>
      </c>
      <c r="X256" s="38" t="s">
        <v>369</v>
      </c>
      <c r="Y256" s="1443">
        <v>200114021</v>
      </c>
      <c r="Z256" s="1443"/>
      <c r="AA256" s="1443"/>
      <c r="AB256" s="20"/>
      <c r="AC256" s="3"/>
      <c r="AD256" s="3"/>
      <c r="AE256" s="5"/>
      <c r="AF256" s="3"/>
      <c r="AG256" s="3"/>
      <c r="AH256" s="5"/>
      <c r="AI256" s="353">
        <v>0.10050000000000001</v>
      </c>
      <c r="AJ256" s="39"/>
      <c r="AK256" s="39"/>
      <c r="AL256" s="39"/>
      <c r="AM256" s="39">
        <f t="shared" ref="AM256:AM257" si="49">AE$254*AI256+SUM(AJ256:AL256)</f>
        <v>1.2939375000000002</v>
      </c>
      <c r="AN256" s="3" t="s">
        <v>92</v>
      </c>
      <c r="AO256" s="3" t="s">
        <v>92</v>
      </c>
      <c r="AP256" s="3" t="s">
        <v>92</v>
      </c>
      <c r="AQ256" s="3" t="s">
        <v>92</v>
      </c>
      <c r="AR256" s="3" t="s">
        <v>371</v>
      </c>
      <c r="AS256" s="3" t="s">
        <v>371</v>
      </c>
      <c r="AT256" s="3" t="s">
        <v>92</v>
      </c>
      <c r="AU256" s="3" t="s">
        <v>92</v>
      </c>
      <c r="AV256" s="3" t="s">
        <v>92</v>
      </c>
      <c r="AW256" s="3" t="s">
        <v>371</v>
      </c>
      <c r="AX256" s="1414" t="s">
        <v>92</v>
      </c>
      <c r="AY256" s="3"/>
      <c r="AZ256" s="139"/>
      <c r="BA256" s="139"/>
      <c r="BB256" s="139"/>
      <c r="BC256" s="139"/>
      <c r="BD256" s="139"/>
      <c r="BE256" s="3"/>
    </row>
    <row r="257" spans="1:57" ht="15" customHeight="1" x14ac:dyDescent="0.4">
      <c r="A257" s="3"/>
      <c r="B257" s="36"/>
      <c r="C257" s="36"/>
      <c r="D257" s="155"/>
      <c r="E257" s="155"/>
      <c r="F257" s="155"/>
      <c r="G257" s="7"/>
      <c r="H257" s="20"/>
      <c r="I257" s="3"/>
      <c r="J257" s="3"/>
      <c r="K257" s="3"/>
      <c r="L257" s="3"/>
      <c r="M257" s="5"/>
      <c r="N257" s="5"/>
      <c r="O257" s="5"/>
      <c r="P257" s="24"/>
      <c r="Q257" s="24"/>
      <c r="R257" s="3"/>
      <c r="S257" s="5"/>
      <c r="T257" s="3"/>
      <c r="U257" s="20"/>
      <c r="V257" s="38" t="s">
        <v>369</v>
      </c>
      <c r="W257" s="3" t="s">
        <v>373</v>
      </c>
      <c r="X257" s="38" t="s">
        <v>369</v>
      </c>
      <c r="Y257" s="1443">
        <v>200114033</v>
      </c>
      <c r="Z257" s="1443"/>
      <c r="AA257" s="1443"/>
      <c r="AB257" s="20"/>
      <c r="AC257" s="3"/>
      <c r="AD257" s="3"/>
      <c r="AE257" s="5"/>
      <c r="AF257" s="3"/>
      <c r="AG257" s="3"/>
      <c r="AH257" s="5"/>
      <c r="AI257" s="353">
        <v>0.1021</v>
      </c>
      <c r="AJ257" s="39"/>
      <c r="AK257" s="39"/>
      <c r="AL257" s="39"/>
      <c r="AM257" s="39">
        <f t="shared" si="49"/>
        <v>1.3145374999999999</v>
      </c>
      <c r="AN257" s="3" t="s">
        <v>92</v>
      </c>
      <c r="AO257" s="3" t="s">
        <v>92</v>
      </c>
      <c r="AP257" s="3" t="s">
        <v>92</v>
      </c>
      <c r="AQ257" s="3" t="s">
        <v>92</v>
      </c>
      <c r="AR257" s="3" t="s">
        <v>371</v>
      </c>
      <c r="AS257" s="3" t="s">
        <v>371</v>
      </c>
      <c r="AT257" s="3" t="s">
        <v>92</v>
      </c>
      <c r="AU257" s="3" t="s">
        <v>92</v>
      </c>
      <c r="AV257" s="3" t="s">
        <v>92</v>
      </c>
      <c r="AW257" s="3" t="s">
        <v>371</v>
      </c>
      <c r="AX257" s="1414" t="s">
        <v>92</v>
      </c>
      <c r="AY257" s="3"/>
      <c r="AZ257" s="139"/>
      <c r="BA257" s="139"/>
      <c r="BB257" s="139"/>
      <c r="BC257" s="139"/>
      <c r="BD257" s="139"/>
      <c r="BE257" s="3"/>
    </row>
    <row r="258" spans="1:57" ht="15" customHeight="1" x14ac:dyDescent="0.4">
      <c r="A258" s="3"/>
      <c r="B258" s="36"/>
      <c r="C258" s="36"/>
      <c r="D258" s="155"/>
      <c r="E258" s="155"/>
      <c r="F258" s="155"/>
      <c r="G258" s="7"/>
      <c r="H258" s="20"/>
      <c r="I258" s="3"/>
      <c r="J258" s="3"/>
      <c r="K258" s="3"/>
      <c r="L258" s="3"/>
      <c r="M258" s="5"/>
      <c r="N258" s="5"/>
      <c r="O258" s="5"/>
      <c r="P258" s="24"/>
      <c r="Q258" s="24"/>
      <c r="R258" s="3"/>
      <c r="S258" s="5"/>
      <c r="T258" s="3"/>
      <c r="U258" s="20"/>
      <c r="V258" s="38" t="s">
        <v>369</v>
      </c>
      <c r="W258" s="3" t="s">
        <v>374</v>
      </c>
      <c r="X258" s="38" t="s">
        <v>369</v>
      </c>
      <c r="Y258" s="1443">
        <v>200114090</v>
      </c>
      <c r="Z258" s="1443"/>
      <c r="AA258" s="1443"/>
      <c r="AB258" s="20"/>
      <c r="AC258" s="3"/>
      <c r="AD258" s="3"/>
      <c r="AE258" s="5"/>
      <c r="AF258" s="3"/>
      <c r="AG258" s="3"/>
      <c r="AH258" s="5"/>
      <c r="AI258" s="353">
        <v>0.26579999999999998</v>
      </c>
      <c r="AJ258" s="39"/>
      <c r="AK258" s="39"/>
      <c r="AL258" s="39"/>
      <c r="AM258" s="39"/>
      <c r="AN258" s="3" t="s">
        <v>92</v>
      </c>
      <c r="AO258" s="3" t="s">
        <v>92</v>
      </c>
      <c r="AP258" s="3" t="s">
        <v>92</v>
      </c>
      <c r="AQ258" s="3" t="s">
        <v>92</v>
      </c>
      <c r="AR258" s="3" t="s">
        <v>371</v>
      </c>
      <c r="AS258" s="3" t="s">
        <v>371</v>
      </c>
      <c r="AT258" s="3" t="s">
        <v>92</v>
      </c>
      <c r="AU258" s="3" t="s">
        <v>92</v>
      </c>
      <c r="AV258" s="3" t="s">
        <v>92</v>
      </c>
      <c r="AW258" s="3" t="s">
        <v>371</v>
      </c>
      <c r="AX258" s="1414" t="s">
        <v>92</v>
      </c>
      <c r="AY258" s="3"/>
      <c r="AZ258" s="139"/>
      <c r="BA258" s="139"/>
      <c r="BB258" s="139"/>
      <c r="BC258" s="139"/>
      <c r="BD258" s="139"/>
      <c r="BE258" s="3"/>
    </row>
    <row r="259" spans="1:57" ht="15" customHeight="1" thickBot="1" x14ac:dyDescent="0.45">
      <c r="A259" s="3"/>
      <c r="B259" s="36"/>
      <c r="C259" s="36"/>
      <c r="D259" s="155"/>
      <c r="E259" s="155"/>
      <c r="F259" s="155"/>
      <c r="G259" s="7"/>
      <c r="H259" s="20"/>
      <c r="I259" s="3"/>
      <c r="J259" s="3"/>
      <c r="K259" s="3"/>
      <c r="L259" s="3"/>
      <c r="M259" s="5"/>
      <c r="N259" s="5"/>
      <c r="O259" s="5"/>
      <c r="P259" s="24"/>
      <c r="Q259" s="24"/>
      <c r="R259" s="3"/>
      <c r="S259" s="5"/>
      <c r="T259" s="3"/>
      <c r="U259" s="20"/>
      <c r="V259" s="888" t="s">
        <v>369</v>
      </c>
      <c r="W259" s="889" t="s">
        <v>375</v>
      </c>
      <c r="X259" s="888" t="s">
        <v>369</v>
      </c>
      <c r="Y259" s="1444">
        <v>200114133</v>
      </c>
      <c r="Z259" s="1443"/>
      <c r="AA259" s="1443"/>
      <c r="AB259" s="20"/>
      <c r="AC259" s="3"/>
      <c r="AD259" s="3"/>
      <c r="AE259" s="5"/>
      <c r="AF259" s="3"/>
      <c r="AG259" s="3"/>
      <c r="AH259" s="5"/>
      <c r="AI259" s="844">
        <v>0.28470000000000001</v>
      </c>
      <c r="AJ259" s="39"/>
      <c r="AK259" s="39"/>
      <c r="AL259" s="39"/>
      <c r="AM259" s="39"/>
      <c r="AN259" s="889" t="s">
        <v>92</v>
      </c>
      <c r="AO259" s="889" t="s">
        <v>92</v>
      </c>
      <c r="AP259" s="889" t="s">
        <v>92</v>
      </c>
      <c r="AQ259" s="889" t="s">
        <v>92</v>
      </c>
      <c r="AR259" s="889" t="s">
        <v>371</v>
      </c>
      <c r="AS259" s="889" t="s">
        <v>371</v>
      </c>
      <c r="AT259" s="889" t="s">
        <v>92</v>
      </c>
      <c r="AU259" s="889" t="s">
        <v>92</v>
      </c>
      <c r="AV259" s="889" t="s">
        <v>92</v>
      </c>
      <c r="AW259" s="889" t="s">
        <v>371</v>
      </c>
      <c r="AX259" s="1590" t="s">
        <v>92</v>
      </c>
      <c r="AY259" s="889"/>
      <c r="AZ259" s="139"/>
      <c r="BA259" s="139"/>
      <c r="BB259" s="139"/>
      <c r="BC259" s="139"/>
      <c r="BD259" s="139"/>
      <c r="BE259" s="3"/>
    </row>
    <row r="260" spans="1:57" ht="15" customHeight="1" x14ac:dyDescent="0.4">
      <c r="A260" s="3"/>
      <c r="B260" s="3"/>
      <c r="C260" s="173" t="s">
        <v>435</v>
      </c>
      <c r="D260" s="181"/>
      <c r="E260" s="182"/>
      <c r="F260" s="182"/>
      <c r="G260" s="173"/>
      <c r="H260" s="175"/>
      <c r="I260" s="116"/>
      <c r="J260" s="116"/>
      <c r="K260" s="116"/>
      <c r="L260" s="116"/>
      <c r="M260" s="177"/>
      <c r="N260" s="177"/>
      <c r="O260" s="177"/>
      <c r="P260" s="178"/>
      <c r="Q260" s="178"/>
      <c r="R260" s="116"/>
      <c r="S260" s="198">
        <v>1</v>
      </c>
      <c r="T260" s="116" t="s">
        <v>385</v>
      </c>
      <c r="U260" s="175"/>
      <c r="V260" s="179"/>
      <c r="W260" s="116"/>
      <c r="X260" s="179"/>
      <c r="Y260" s="184"/>
      <c r="Z260" s="184"/>
      <c r="AA260" s="184"/>
      <c r="AB260" s="175"/>
      <c r="AC260" s="116">
        <v>45</v>
      </c>
      <c r="AD260" s="116">
        <v>2</v>
      </c>
      <c r="AE260" s="198">
        <f>S260*AD260</f>
        <v>2</v>
      </c>
      <c r="AF260" s="116" t="s">
        <v>385</v>
      </c>
      <c r="AG260" s="116">
        <v>0.126</v>
      </c>
      <c r="AH260" s="177">
        <f>AG260*AtolbperftSH</f>
        <v>7.9694999999999988E-2</v>
      </c>
      <c r="AI260" s="185"/>
      <c r="AJ260" s="185"/>
      <c r="AK260" s="185"/>
      <c r="AL260" s="185"/>
      <c r="AM260" s="180"/>
      <c r="AN260" s="3" t="s">
        <v>92</v>
      </c>
      <c r="AO260" s="3" t="s">
        <v>92</v>
      </c>
      <c r="AP260" s="3" t="s">
        <v>92</v>
      </c>
      <c r="AQ260" s="3" t="s">
        <v>92</v>
      </c>
      <c r="AR260" s="3" t="s">
        <v>81</v>
      </c>
      <c r="AS260" s="3" t="s">
        <v>81</v>
      </c>
      <c r="AT260" s="3" t="s">
        <v>92</v>
      </c>
      <c r="AU260" s="3" t="s">
        <v>92</v>
      </c>
      <c r="AV260" s="3" t="s">
        <v>92</v>
      </c>
      <c r="AW260" s="3" t="s">
        <v>81</v>
      </c>
      <c r="AX260" s="1414" t="s">
        <v>92</v>
      </c>
      <c r="AY260" s="3"/>
      <c r="AZ260" s="139"/>
      <c r="BA260" s="139"/>
      <c r="BB260" s="139"/>
      <c r="BC260" s="139"/>
      <c r="BD260" s="139"/>
      <c r="BE260" s="3"/>
    </row>
    <row r="261" spans="1:57" ht="15" customHeight="1" x14ac:dyDescent="0.4">
      <c r="A261" s="3"/>
      <c r="B261" s="36"/>
      <c r="C261" s="36"/>
      <c r="D261" s="155"/>
      <c r="E261" s="155"/>
      <c r="F261" s="155"/>
      <c r="G261" s="7"/>
      <c r="H261" s="20"/>
      <c r="I261" s="3"/>
      <c r="J261" s="3"/>
      <c r="K261" s="3"/>
      <c r="L261" s="3"/>
      <c r="M261" s="5"/>
      <c r="N261" s="5"/>
      <c r="O261" s="5"/>
      <c r="P261" s="24"/>
      <c r="Q261" s="24"/>
      <c r="R261" s="3"/>
      <c r="S261" s="5"/>
      <c r="T261" s="3"/>
      <c r="U261" s="20"/>
      <c r="V261" s="38" t="s">
        <v>369</v>
      </c>
      <c r="W261" s="3" t="s">
        <v>386</v>
      </c>
      <c r="X261" s="38" t="s">
        <v>369</v>
      </c>
      <c r="Y261" s="1443">
        <v>200161008</v>
      </c>
      <c r="Z261" s="1443"/>
      <c r="AA261" s="1443"/>
      <c r="AB261" s="20"/>
      <c r="AC261" s="3"/>
      <c r="AD261" s="3"/>
      <c r="AE261" s="5"/>
      <c r="AF261" s="3"/>
      <c r="AG261" s="38"/>
      <c r="AH261" s="5"/>
      <c r="AI261" s="353">
        <v>5.16E-2</v>
      </c>
      <c r="AJ261" s="39"/>
      <c r="AK261" s="39"/>
      <c r="AL261" s="39"/>
      <c r="AM261" s="39">
        <f>AE$260*AI261+SUM(AJ261:AL261)</f>
        <v>0.1032</v>
      </c>
      <c r="AN261" s="3" t="s">
        <v>92</v>
      </c>
      <c r="AO261" s="3" t="s">
        <v>92</v>
      </c>
      <c r="AP261" s="3" t="s">
        <v>92</v>
      </c>
      <c r="AQ261" s="3" t="s">
        <v>92</v>
      </c>
      <c r="AR261" s="3" t="s">
        <v>81</v>
      </c>
      <c r="AS261" s="3" t="s">
        <v>81</v>
      </c>
      <c r="AT261" s="3" t="s">
        <v>92</v>
      </c>
      <c r="AU261" s="3" t="s">
        <v>92</v>
      </c>
      <c r="AV261" s="3" t="s">
        <v>92</v>
      </c>
      <c r="AW261" s="3" t="s">
        <v>81</v>
      </c>
      <c r="AX261" s="1414" t="s">
        <v>92</v>
      </c>
      <c r="AY261" s="3"/>
      <c r="AZ261" s="139"/>
      <c r="BA261" s="139"/>
      <c r="BB261" s="139"/>
      <c r="BC261" s="139"/>
      <c r="BD261" s="139"/>
      <c r="BE261" s="3"/>
    </row>
    <row r="262" spans="1:57" ht="15" customHeight="1" thickBot="1" x14ac:dyDescent="0.45">
      <c r="A262" s="3"/>
      <c r="B262" s="943"/>
      <c r="C262" s="943"/>
      <c r="D262" s="925"/>
      <c r="E262" s="925"/>
      <c r="F262" s="925"/>
      <c r="G262" s="924"/>
      <c r="H262" s="887"/>
      <c r="I262" s="889"/>
      <c r="J262" s="889"/>
      <c r="K262" s="889"/>
      <c r="L262" s="889"/>
      <c r="M262" s="945"/>
      <c r="N262" s="945"/>
      <c r="O262" s="945"/>
      <c r="P262" s="1020"/>
      <c r="Q262" s="1020"/>
      <c r="R262" s="889"/>
      <c r="S262" s="945"/>
      <c r="T262" s="889"/>
      <c r="U262" s="887"/>
      <c r="V262" s="1188"/>
      <c r="W262" s="1189"/>
      <c r="X262" s="1188"/>
      <c r="Y262" s="1190"/>
      <c r="Z262" s="1190"/>
      <c r="AA262" s="1190"/>
      <c r="AB262" s="887"/>
      <c r="AC262" s="889"/>
      <c r="AD262" s="889"/>
      <c r="AE262" s="945"/>
      <c r="AF262" s="889"/>
      <c r="AG262" s="889"/>
      <c r="AH262" s="945"/>
      <c r="AI262" s="937"/>
      <c r="AJ262" s="947"/>
      <c r="AK262" s="947"/>
      <c r="AL262" s="947"/>
      <c r="AM262" s="947"/>
      <c r="AN262" s="889" t="s">
        <v>92</v>
      </c>
      <c r="AO262" s="889" t="s">
        <v>92</v>
      </c>
      <c r="AP262" s="889" t="s">
        <v>92</v>
      </c>
      <c r="AQ262" s="889" t="s">
        <v>92</v>
      </c>
      <c r="AR262" s="889" t="s">
        <v>81</v>
      </c>
      <c r="AS262" s="889" t="s">
        <v>81</v>
      </c>
      <c r="AT262" s="889" t="s">
        <v>92</v>
      </c>
      <c r="AU262" s="889" t="s">
        <v>92</v>
      </c>
      <c r="AV262" s="889" t="s">
        <v>92</v>
      </c>
      <c r="AW262" s="889" t="s">
        <v>81</v>
      </c>
      <c r="AX262" s="1590" t="s">
        <v>92</v>
      </c>
      <c r="AY262" s="889"/>
      <c r="AZ262" s="139"/>
      <c r="BA262" s="139"/>
      <c r="BB262" s="139"/>
      <c r="BC262" s="139"/>
      <c r="BD262" s="139"/>
      <c r="BE262" s="3"/>
    </row>
    <row r="263" spans="1:57" ht="15" customHeight="1" thickBot="1" x14ac:dyDescent="0.45">
      <c r="A263" s="3"/>
      <c r="B263" s="173" t="s">
        <v>436</v>
      </c>
      <c r="C263" s="173"/>
      <c r="D263" s="116"/>
      <c r="E263" s="116"/>
      <c r="F263" s="174"/>
      <c r="G263" s="173"/>
      <c r="H263" s="175"/>
      <c r="I263" s="116"/>
      <c r="J263" s="116"/>
      <c r="K263" s="116"/>
      <c r="L263" s="116"/>
      <c r="M263" s="116"/>
      <c r="N263" s="177"/>
      <c r="O263" s="177"/>
      <c r="P263" s="177"/>
      <c r="Q263" s="177"/>
      <c r="R263" s="116"/>
      <c r="S263" s="177"/>
      <c r="T263" s="116"/>
      <c r="U263" s="175"/>
      <c r="V263" s="173"/>
      <c r="W263" s="173"/>
      <c r="X263" s="173"/>
      <c r="Y263" s="116"/>
      <c r="Z263" s="116"/>
      <c r="AA263" s="116"/>
      <c r="AB263" s="175"/>
      <c r="AC263" s="116"/>
      <c r="AD263" s="116"/>
      <c r="AE263" s="177"/>
      <c r="AF263" s="116"/>
      <c r="AG263" s="179"/>
      <c r="AH263" s="177"/>
      <c r="AI263" s="185"/>
      <c r="AJ263" s="185"/>
      <c r="AK263" s="185"/>
      <c r="AL263" s="185"/>
      <c r="AM263" s="39"/>
      <c r="AN263" s="136" t="s">
        <v>92</v>
      </c>
      <c r="AO263" s="136" t="s">
        <v>92</v>
      </c>
      <c r="AP263" s="136" t="s">
        <v>92</v>
      </c>
      <c r="AQ263" s="136" t="s">
        <v>92</v>
      </c>
      <c r="AR263" s="136" t="s">
        <v>81</v>
      </c>
      <c r="AS263" s="136" t="s">
        <v>81</v>
      </c>
      <c r="AT263" s="136" t="s">
        <v>92</v>
      </c>
      <c r="AU263" s="136" t="s">
        <v>92</v>
      </c>
      <c r="AV263" s="136" t="s">
        <v>92</v>
      </c>
      <c r="AW263" s="136" t="s">
        <v>81</v>
      </c>
      <c r="AX263" s="1882" t="s">
        <v>92</v>
      </c>
      <c r="AY263" s="136"/>
      <c r="AZ263" s="139"/>
      <c r="BA263" s="139"/>
      <c r="BB263" s="139"/>
      <c r="BC263" s="139"/>
      <c r="BD263" s="139"/>
      <c r="BE263" s="3"/>
    </row>
    <row r="264" spans="1:57" ht="15" customHeight="1" x14ac:dyDescent="0.4">
      <c r="A264" s="3" t="s">
        <v>389</v>
      </c>
      <c r="B264" s="173"/>
      <c r="C264" s="173" t="s">
        <v>437</v>
      </c>
      <c r="D264" s="116"/>
      <c r="E264" s="182"/>
      <c r="F264" s="182" t="s">
        <v>438</v>
      </c>
      <c r="G264" s="173"/>
      <c r="H264" s="175"/>
      <c r="I264" s="116" t="s">
        <v>392</v>
      </c>
      <c r="J264" s="116"/>
      <c r="K264" s="116"/>
      <c r="L264" s="116" t="s">
        <v>348</v>
      </c>
      <c r="M264" s="177">
        <f>1.5*2</f>
        <v>3</v>
      </c>
      <c r="N264" s="177" t="s">
        <v>348</v>
      </c>
      <c r="O264" s="177">
        <f>0.25</f>
        <v>0.25</v>
      </c>
      <c r="P264" s="177"/>
      <c r="Q264" s="177"/>
      <c r="R264" s="116" t="s">
        <v>352</v>
      </c>
      <c r="S264" s="177">
        <f>SHWidth+M264+O264</f>
        <v>41.8125</v>
      </c>
      <c r="T264" s="116" t="s">
        <v>366</v>
      </c>
      <c r="U264" s="175"/>
      <c r="V264" s="179"/>
      <c r="W264" s="116"/>
      <c r="X264" s="179"/>
      <c r="Y264" s="116"/>
      <c r="Z264" s="116"/>
      <c r="AA264" s="116"/>
      <c r="AB264" s="175"/>
      <c r="AC264" s="116">
        <v>45</v>
      </c>
      <c r="AD264" s="116">
        <v>1</v>
      </c>
      <c r="AE264" s="177">
        <f>S264*AD264/12</f>
        <v>3.484375</v>
      </c>
      <c r="AF264" s="116" t="s">
        <v>367</v>
      </c>
      <c r="AG264" s="179">
        <f>AG219</f>
        <v>1.073</v>
      </c>
      <c r="AH264" s="177">
        <f>AG264*AtolbperftSH</f>
        <v>0.6786724999999999</v>
      </c>
      <c r="AI264" s="185"/>
      <c r="AJ264" s="185"/>
      <c r="AK264" s="185"/>
      <c r="AL264" s="185"/>
      <c r="AM264" s="180"/>
      <c r="AN264" s="3" t="s">
        <v>92</v>
      </c>
      <c r="AO264" s="3" t="s">
        <v>92</v>
      </c>
      <c r="AP264" s="3" t="s">
        <v>92</v>
      </c>
      <c r="AQ264" s="3" t="s">
        <v>92</v>
      </c>
      <c r="AR264" s="3" t="s">
        <v>81</v>
      </c>
      <c r="AS264" s="3" t="s">
        <v>92</v>
      </c>
      <c r="AT264" s="3" t="s">
        <v>92</v>
      </c>
      <c r="AU264" s="3" t="s">
        <v>92</v>
      </c>
      <c r="AV264" s="3" t="s">
        <v>92</v>
      </c>
      <c r="AW264" s="3" t="s">
        <v>81</v>
      </c>
      <c r="AX264" s="1414" t="s">
        <v>92</v>
      </c>
      <c r="AY264" s="3"/>
      <c r="AZ264" s="139"/>
      <c r="BA264" s="139"/>
      <c r="BB264" s="139"/>
      <c r="BC264" s="139"/>
      <c r="BD264" s="139"/>
      <c r="BE264" s="3"/>
    </row>
    <row r="265" spans="1:57" ht="15" customHeight="1" x14ac:dyDescent="0.4">
      <c r="A265" s="3"/>
      <c r="B265" s="36"/>
      <c r="C265" s="155"/>
      <c r="D265" s="155"/>
      <c r="E265" s="4"/>
      <c r="F265" s="155" t="s">
        <v>439</v>
      </c>
      <c r="G265" s="7"/>
      <c r="H265" s="20"/>
      <c r="I265" s="3" t="s">
        <v>392</v>
      </c>
      <c r="J265" s="3"/>
      <c r="K265" s="3"/>
      <c r="L265" s="3" t="s">
        <v>348</v>
      </c>
      <c r="M265" s="5">
        <v>0</v>
      </c>
      <c r="N265" s="5" t="s">
        <v>348</v>
      </c>
      <c r="O265" s="5">
        <f>0.25</f>
        <v>0.25</v>
      </c>
      <c r="P265" s="24"/>
      <c r="Q265" s="24"/>
      <c r="R265" s="3" t="s">
        <v>352</v>
      </c>
      <c r="S265" s="5">
        <f>SHWidth+M265+O265</f>
        <v>38.8125</v>
      </c>
      <c r="T265" s="3" t="s">
        <v>366</v>
      </c>
      <c r="U265" s="20"/>
      <c r="V265" s="38" t="s">
        <v>369</v>
      </c>
      <c r="W265" s="3" t="s">
        <v>370</v>
      </c>
      <c r="X265" s="38" t="s">
        <v>369</v>
      </c>
      <c r="Y265" s="1443">
        <v>200134003</v>
      </c>
      <c r="Z265" s="1443"/>
      <c r="AA265" s="1443"/>
      <c r="AB265" s="20"/>
      <c r="AC265" s="3"/>
      <c r="AD265" s="3"/>
      <c r="AE265" s="5"/>
      <c r="AF265" s="3"/>
      <c r="AG265" s="38"/>
      <c r="AH265" s="5"/>
      <c r="AI265" s="51">
        <f>AI220</f>
        <v>0.61450000000000005</v>
      </c>
      <c r="AJ265" s="39"/>
      <c r="AK265" s="39"/>
      <c r="AL265" s="39"/>
      <c r="AM265" s="39">
        <f>AE$264*AI265+SUM(AJ265:AL265)</f>
        <v>2.1411484375000001</v>
      </c>
      <c r="AN265" s="3" t="s">
        <v>92</v>
      </c>
      <c r="AO265" s="3" t="s">
        <v>92</v>
      </c>
      <c r="AP265" s="3" t="s">
        <v>92</v>
      </c>
      <c r="AQ265" s="3" t="s">
        <v>92</v>
      </c>
      <c r="AR265" s="3" t="s">
        <v>81</v>
      </c>
      <c r="AS265" s="3" t="s">
        <v>92</v>
      </c>
      <c r="AT265" s="3" t="s">
        <v>92</v>
      </c>
      <c r="AU265" s="3" t="s">
        <v>92</v>
      </c>
      <c r="AV265" s="3" t="s">
        <v>92</v>
      </c>
      <c r="AW265" s="3" t="s">
        <v>81</v>
      </c>
      <c r="AX265" s="1414" t="s">
        <v>92</v>
      </c>
      <c r="AY265" s="3"/>
      <c r="AZ265" s="139"/>
      <c r="BA265" s="139"/>
      <c r="BB265" s="139"/>
      <c r="BC265" s="139"/>
      <c r="BD265" s="139"/>
      <c r="BE265" s="3"/>
    </row>
    <row r="266" spans="1:57" ht="15" customHeight="1" x14ac:dyDescent="0.4">
      <c r="A266" s="3"/>
      <c r="B266" s="36"/>
      <c r="C266" s="155"/>
      <c r="D266" s="155"/>
      <c r="E266" s="155"/>
      <c r="F266" s="155"/>
      <c r="G266" s="7"/>
      <c r="H266" s="20"/>
      <c r="I266" s="3"/>
      <c r="J266" s="3"/>
      <c r="K266" s="3"/>
      <c r="L266" s="3"/>
      <c r="M266" s="5"/>
      <c r="N266" s="5"/>
      <c r="O266" s="5"/>
      <c r="P266" s="5"/>
      <c r="Q266" s="5"/>
      <c r="R266" s="3"/>
      <c r="S266" s="5"/>
      <c r="T266" s="3"/>
      <c r="U266" s="20"/>
      <c r="V266" s="38" t="s">
        <v>369</v>
      </c>
      <c r="W266" s="3" t="s">
        <v>372</v>
      </c>
      <c r="X266" s="38" t="s">
        <v>369</v>
      </c>
      <c r="Y266" s="1443">
        <v>200134021</v>
      </c>
      <c r="Z266" s="1443"/>
      <c r="AA266" s="1443"/>
      <c r="AB266" s="20"/>
      <c r="AC266" s="3"/>
      <c r="AD266" s="3"/>
      <c r="AE266" s="5"/>
      <c r="AF266" s="3"/>
      <c r="AG266" s="38"/>
      <c r="AH266" s="5"/>
      <c r="AI266" s="51">
        <f>AI221</f>
        <v>0.65790000000000004</v>
      </c>
      <c r="AJ266" s="39"/>
      <c r="AK266" s="39"/>
      <c r="AL266" s="39"/>
      <c r="AM266" s="39">
        <f t="shared" ref="AM266:AM267" si="50">AE$264*AI266+SUM(AJ266:AL266)</f>
        <v>2.2923703125000001</v>
      </c>
      <c r="AN266" s="3" t="s">
        <v>92</v>
      </c>
      <c r="AO266" s="3" t="s">
        <v>92</v>
      </c>
      <c r="AP266" s="3" t="s">
        <v>92</v>
      </c>
      <c r="AQ266" s="3" t="s">
        <v>92</v>
      </c>
      <c r="AR266" s="3" t="s">
        <v>371</v>
      </c>
      <c r="AS266" s="3" t="s">
        <v>92</v>
      </c>
      <c r="AT266" s="3" t="s">
        <v>92</v>
      </c>
      <c r="AU266" s="3" t="s">
        <v>92</v>
      </c>
      <c r="AV266" s="3" t="s">
        <v>92</v>
      </c>
      <c r="AW266" s="3" t="s">
        <v>371</v>
      </c>
      <c r="AX266" s="1414" t="s">
        <v>92</v>
      </c>
      <c r="AY266" s="3"/>
      <c r="AZ266" s="139"/>
      <c r="BA266" s="139"/>
      <c r="BB266" s="139"/>
      <c r="BC266" s="139"/>
      <c r="BD266" s="139"/>
      <c r="BE266" s="3"/>
    </row>
    <row r="267" spans="1:57" ht="15" customHeight="1" x14ac:dyDescent="0.4">
      <c r="A267" s="3"/>
      <c r="B267" s="3"/>
      <c r="C267" s="36"/>
      <c r="D267" s="155"/>
      <c r="E267" s="155"/>
      <c r="F267" s="155"/>
      <c r="G267" s="7"/>
      <c r="H267" s="20"/>
      <c r="I267" s="3"/>
      <c r="J267" s="3"/>
      <c r="K267" s="3"/>
      <c r="L267" s="3"/>
      <c r="M267" s="5"/>
      <c r="N267" s="5"/>
      <c r="O267" s="5"/>
      <c r="P267" s="5"/>
      <c r="Q267" s="5"/>
      <c r="R267" s="3"/>
      <c r="S267" s="5"/>
      <c r="T267" s="3"/>
      <c r="U267" s="20"/>
      <c r="V267" s="38" t="s">
        <v>369</v>
      </c>
      <c r="W267" s="3" t="s">
        <v>373</v>
      </c>
      <c r="X267" s="38" t="s">
        <v>369</v>
      </c>
      <c r="Y267" s="1443">
        <v>200134033</v>
      </c>
      <c r="Z267" s="1443"/>
      <c r="AA267" s="1443"/>
      <c r="AB267" s="20"/>
      <c r="AC267" s="3"/>
      <c r="AD267" s="3"/>
      <c r="AE267" s="5"/>
      <c r="AF267" s="3"/>
      <c r="AG267" s="38"/>
      <c r="AH267" s="5"/>
      <c r="AI267" s="51">
        <f>AI222</f>
        <v>0.70960000000000001</v>
      </c>
      <c r="AJ267" s="39"/>
      <c r="AK267" s="39"/>
      <c r="AL267" s="39"/>
      <c r="AM267" s="39">
        <f t="shared" si="50"/>
        <v>2.4725125000000001</v>
      </c>
      <c r="AN267" s="3" t="s">
        <v>92</v>
      </c>
      <c r="AO267" s="3" t="s">
        <v>92</v>
      </c>
      <c r="AP267" s="3" t="s">
        <v>92</v>
      </c>
      <c r="AQ267" s="3" t="s">
        <v>92</v>
      </c>
      <c r="AR267" s="3" t="s">
        <v>371</v>
      </c>
      <c r="AS267" s="3" t="s">
        <v>92</v>
      </c>
      <c r="AT267" s="3" t="s">
        <v>92</v>
      </c>
      <c r="AU267" s="3" t="s">
        <v>92</v>
      </c>
      <c r="AV267" s="3" t="s">
        <v>92</v>
      </c>
      <c r="AW267" s="3" t="s">
        <v>371</v>
      </c>
      <c r="AX267" s="1414" t="s">
        <v>92</v>
      </c>
      <c r="AY267" s="3"/>
      <c r="AZ267" s="139"/>
      <c r="BA267" s="139"/>
      <c r="BB267" s="139"/>
      <c r="BC267" s="139"/>
      <c r="BD267" s="139"/>
      <c r="BE267" s="3"/>
    </row>
    <row r="268" spans="1:57" ht="15.75" customHeight="1" x14ac:dyDescent="0.4">
      <c r="A268" s="3"/>
      <c r="B268" s="4"/>
      <c r="C268" s="36"/>
      <c r="D268" s="155"/>
      <c r="E268" s="155"/>
      <c r="F268" s="155"/>
      <c r="G268" s="7"/>
      <c r="H268" s="20"/>
      <c r="I268" s="3"/>
      <c r="J268" s="3"/>
      <c r="K268" s="3"/>
      <c r="L268" s="3"/>
      <c r="M268" s="5"/>
      <c r="N268" s="5"/>
      <c r="O268" s="5"/>
      <c r="P268" s="24"/>
      <c r="Q268" s="24"/>
      <c r="R268" s="3"/>
      <c r="S268" s="5"/>
      <c r="T268" s="3"/>
      <c r="U268" s="20"/>
      <c r="V268" s="3" t="s">
        <v>2363</v>
      </c>
      <c r="W268" s="3" t="s">
        <v>370</v>
      </c>
      <c r="X268" s="38" t="s">
        <v>369</v>
      </c>
      <c r="Y268" s="1443">
        <v>200134127</v>
      </c>
      <c r="Z268" s="1443"/>
      <c r="AA268" s="1443"/>
      <c r="AB268" s="20"/>
      <c r="AC268" s="3"/>
      <c r="AD268" s="3"/>
      <c r="AE268" s="5"/>
      <c r="AF268" s="3"/>
      <c r="AG268" s="3"/>
      <c r="AH268" s="5"/>
      <c r="AI268" s="51">
        <f>AI223</f>
        <v>0.81020000000000003</v>
      </c>
      <c r="AJ268" s="39"/>
      <c r="AK268" s="39"/>
      <c r="AL268" s="39"/>
      <c r="AM268" s="39">
        <f t="shared" ref="AM268:AM269" si="51">AE$219*AI268+SUM(AJ268:AL268)</f>
        <v>10.600116666666668</v>
      </c>
      <c r="AN268" s="3" t="s">
        <v>92</v>
      </c>
      <c r="AO268" s="3" t="s">
        <v>92</v>
      </c>
      <c r="AP268" s="3" t="s">
        <v>92</v>
      </c>
      <c r="AQ268" s="3" t="s">
        <v>92</v>
      </c>
      <c r="AR268" s="3" t="s">
        <v>371</v>
      </c>
      <c r="AS268" s="3" t="s">
        <v>92</v>
      </c>
      <c r="AT268" s="3" t="s">
        <v>92</v>
      </c>
      <c r="AU268" s="3" t="s">
        <v>92</v>
      </c>
      <c r="AV268" s="3" t="s">
        <v>92</v>
      </c>
      <c r="AW268" s="3" t="s">
        <v>371</v>
      </c>
      <c r="AX268" s="1414" t="s">
        <v>92</v>
      </c>
      <c r="AY268" s="3"/>
      <c r="AZ268" s="139"/>
      <c r="BA268" s="139"/>
      <c r="BB268" s="139"/>
      <c r="BC268" s="139"/>
      <c r="BD268" s="139"/>
      <c r="BE268" s="3"/>
    </row>
    <row r="269" spans="1:57" ht="15.75" customHeight="1" x14ac:dyDescent="0.4">
      <c r="A269" s="3"/>
      <c r="B269" s="4"/>
      <c r="C269" s="36"/>
      <c r="D269" s="155"/>
      <c r="E269" s="155"/>
      <c r="F269" s="155"/>
      <c r="G269" s="7"/>
      <c r="H269" s="20"/>
      <c r="I269" s="3"/>
      <c r="J269" s="3"/>
      <c r="K269" s="3"/>
      <c r="L269" s="3"/>
      <c r="M269" s="5"/>
      <c r="N269" s="5"/>
      <c r="O269" s="5"/>
      <c r="P269" s="24"/>
      <c r="Q269" s="24"/>
      <c r="R269" s="3"/>
      <c r="S269" s="5"/>
      <c r="T269" s="3"/>
      <c r="U269" s="20"/>
      <c r="V269" s="3" t="s">
        <v>2365</v>
      </c>
      <c r="W269" s="3" t="s">
        <v>370</v>
      </c>
      <c r="X269" s="38" t="s">
        <v>369</v>
      </c>
      <c r="Y269" s="1443">
        <v>200134180</v>
      </c>
      <c r="Z269" s="1443"/>
      <c r="AA269" s="1443"/>
      <c r="AB269" s="20"/>
      <c r="AC269" s="3"/>
      <c r="AD269" s="3"/>
      <c r="AE269" s="5"/>
      <c r="AF269" s="3"/>
      <c r="AG269" s="3"/>
      <c r="AH269" s="5"/>
      <c r="AI269" s="51">
        <f>AI224</f>
        <v>0.87970000000000004</v>
      </c>
      <c r="AJ269" s="39"/>
      <c r="AK269" s="39"/>
      <c r="AL269" s="39"/>
      <c r="AM269" s="39">
        <f t="shared" si="51"/>
        <v>11.509408333333335</v>
      </c>
      <c r="AN269" s="3" t="s">
        <v>92</v>
      </c>
      <c r="AO269" s="3" t="s">
        <v>92</v>
      </c>
      <c r="AP269" s="3" t="s">
        <v>92</v>
      </c>
      <c r="AQ269" s="3" t="s">
        <v>92</v>
      </c>
      <c r="AR269" s="3" t="s">
        <v>371</v>
      </c>
      <c r="AS269" s="3" t="s">
        <v>92</v>
      </c>
      <c r="AT269" s="3" t="s">
        <v>92</v>
      </c>
      <c r="AU269" s="3" t="s">
        <v>92</v>
      </c>
      <c r="AV269" s="3" t="s">
        <v>92</v>
      </c>
      <c r="AW269" s="3" t="s">
        <v>371</v>
      </c>
      <c r="AX269" s="1414" t="s">
        <v>92</v>
      </c>
      <c r="AY269" s="3"/>
      <c r="AZ269" s="139"/>
      <c r="BA269" s="139"/>
      <c r="BB269" s="139"/>
      <c r="BC269" s="139"/>
      <c r="BD269" s="139"/>
      <c r="BE269" s="3"/>
    </row>
    <row r="270" spans="1:57" ht="15.75" customHeight="1" thickBot="1" x14ac:dyDescent="0.45">
      <c r="A270" s="3"/>
      <c r="B270" s="4"/>
      <c r="C270" s="943"/>
      <c r="D270" s="1037" t="s">
        <v>2353</v>
      </c>
      <c r="E270" s="1038"/>
      <c r="F270" s="1038"/>
      <c r="G270" s="1039"/>
      <c r="H270" s="1040"/>
      <c r="I270" s="710" t="s">
        <v>392</v>
      </c>
      <c r="J270" s="710"/>
      <c r="K270" s="710"/>
      <c r="L270" s="710"/>
      <c r="M270" s="1041"/>
      <c r="N270" s="1041"/>
      <c r="O270" s="1041"/>
      <c r="P270" s="1042"/>
      <c r="Q270" s="1042"/>
      <c r="R270" s="710" t="s">
        <v>352</v>
      </c>
      <c r="S270" s="1041">
        <f>SHWidth</f>
        <v>38.5625</v>
      </c>
      <c r="T270" s="710" t="s">
        <v>366</v>
      </c>
      <c r="U270" s="1040"/>
      <c r="V270" s="1043" t="s">
        <v>369</v>
      </c>
      <c r="W270" s="710" t="s">
        <v>370</v>
      </c>
      <c r="X270" s="1043" t="s">
        <v>369</v>
      </c>
      <c r="Y270" s="1846">
        <v>120074014938</v>
      </c>
      <c r="Z270" s="1608"/>
      <c r="AA270" s="1608"/>
      <c r="AB270" s="1040"/>
      <c r="AC270" s="710"/>
      <c r="AD270" s="710">
        <v>1</v>
      </c>
      <c r="AE270" s="1041">
        <f>S270*AD270/12</f>
        <v>3.2135416666666665</v>
      </c>
      <c r="AF270" s="710" t="s">
        <v>367</v>
      </c>
      <c r="AG270" s="710"/>
      <c r="AH270" s="1041"/>
      <c r="AI270" s="1611">
        <v>9.1199999999999996E-3</v>
      </c>
      <c r="AJ270" s="1044"/>
      <c r="AK270" s="1044"/>
      <c r="AL270" s="1044"/>
      <c r="AM270" s="1044">
        <f>AE270*AI270</f>
        <v>2.9307499999999997E-2</v>
      </c>
      <c r="AN270" s="710" t="s">
        <v>92</v>
      </c>
      <c r="AO270" s="710" t="s">
        <v>92</v>
      </c>
      <c r="AP270" s="710" t="s">
        <v>92</v>
      </c>
      <c r="AQ270" s="710" t="s">
        <v>92</v>
      </c>
      <c r="AR270" s="710" t="s">
        <v>92</v>
      </c>
      <c r="AS270" s="710" t="s">
        <v>92</v>
      </c>
      <c r="AT270" s="710" t="s">
        <v>92</v>
      </c>
      <c r="AU270" s="710" t="s">
        <v>92</v>
      </c>
      <c r="AV270" s="710" t="s">
        <v>92</v>
      </c>
      <c r="AW270" s="710" t="s">
        <v>92</v>
      </c>
      <c r="AX270" s="1880" t="s">
        <v>92</v>
      </c>
      <c r="AY270" s="710"/>
      <c r="AZ270" s="139"/>
      <c r="BA270" s="139"/>
      <c r="BB270" s="139"/>
      <c r="BC270" s="139"/>
      <c r="BD270" s="139"/>
      <c r="BE270" s="3"/>
    </row>
    <row r="271" spans="1:57" ht="15.75" customHeight="1" x14ac:dyDescent="0.4">
      <c r="A271" s="3"/>
      <c r="B271" s="4"/>
      <c r="C271" s="8" t="s">
        <v>1946</v>
      </c>
      <c r="D271" s="155"/>
      <c r="E271" s="155"/>
      <c r="F271" s="155"/>
      <c r="G271" s="7"/>
      <c r="H271" s="20"/>
      <c r="I271" s="3"/>
      <c r="J271" s="3"/>
      <c r="K271" s="3"/>
      <c r="L271" s="3"/>
      <c r="M271" s="5"/>
      <c r="N271" s="5"/>
      <c r="O271" s="5"/>
      <c r="P271" s="24"/>
      <c r="Q271" s="24"/>
      <c r="R271" s="3"/>
      <c r="S271" s="5"/>
      <c r="T271" s="3"/>
      <c r="U271" s="20"/>
      <c r="V271" s="571" t="s">
        <v>369</v>
      </c>
      <c r="W271" s="572" t="s">
        <v>370</v>
      </c>
      <c r="X271" s="571" t="s">
        <v>369</v>
      </c>
      <c r="Y271" s="1824">
        <v>200134003001</v>
      </c>
      <c r="Z271" s="1550"/>
      <c r="AA271" s="1550"/>
      <c r="AB271" s="20"/>
      <c r="AC271" s="3"/>
      <c r="AD271" s="3"/>
      <c r="AE271" s="5"/>
      <c r="AF271" s="3"/>
      <c r="AG271" s="3"/>
      <c r="AH271" s="5"/>
      <c r="AI271" s="51"/>
      <c r="AJ271" s="39"/>
      <c r="AK271" s="39"/>
      <c r="AL271" s="39"/>
      <c r="AM271" s="39"/>
      <c r="AN271" s="3" t="s">
        <v>92</v>
      </c>
      <c r="AO271" s="3" t="s">
        <v>92</v>
      </c>
      <c r="AP271" s="3" t="s">
        <v>92</v>
      </c>
      <c r="AQ271" s="3" t="s">
        <v>92</v>
      </c>
      <c r="AR271" s="3" t="s">
        <v>371</v>
      </c>
      <c r="AS271" s="3" t="s">
        <v>92</v>
      </c>
      <c r="AT271" s="3" t="s">
        <v>92</v>
      </c>
      <c r="AU271" s="3" t="s">
        <v>92</v>
      </c>
      <c r="AV271" s="3" t="s">
        <v>92</v>
      </c>
      <c r="AW271" s="3" t="s">
        <v>371</v>
      </c>
      <c r="AX271" s="1414" t="s">
        <v>92</v>
      </c>
      <c r="AY271" s="3"/>
      <c r="AZ271" s="139"/>
      <c r="BA271" s="139"/>
      <c r="BB271" s="139"/>
      <c r="BC271" s="139"/>
      <c r="BD271" s="139"/>
      <c r="BE271" s="3"/>
    </row>
    <row r="272" spans="1:57" ht="15.75" customHeight="1" x14ac:dyDescent="0.4">
      <c r="A272" s="3"/>
      <c r="B272" s="4"/>
      <c r="C272" s="36"/>
      <c r="D272" s="155"/>
      <c r="E272" s="155"/>
      <c r="F272" s="155"/>
      <c r="G272" s="7"/>
      <c r="H272" s="20"/>
      <c r="I272" s="3"/>
      <c r="J272" s="3"/>
      <c r="K272" s="3"/>
      <c r="L272" s="3"/>
      <c r="M272" s="5"/>
      <c r="N272" s="5"/>
      <c r="O272" s="5"/>
      <c r="P272" s="24"/>
      <c r="Q272" s="24"/>
      <c r="R272" s="3"/>
      <c r="S272" s="5"/>
      <c r="T272" s="3"/>
      <c r="U272" s="20"/>
      <c r="V272" s="571" t="s">
        <v>369</v>
      </c>
      <c r="W272" s="572" t="s">
        <v>373</v>
      </c>
      <c r="X272" s="571" t="s">
        <v>369</v>
      </c>
      <c r="Y272" s="1824">
        <v>200134033001</v>
      </c>
      <c r="Z272" s="1550"/>
      <c r="AA272" s="1550"/>
      <c r="AB272" s="20"/>
      <c r="AC272" s="3"/>
      <c r="AD272" s="3"/>
      <c r="AE272" s="5"/>
      <c r="AF272" s="3"/>
      <c r="AG272" s="3"/>
      <c r="AH272" s="5"/>
      <c r="AI272" s="51"/>
      <c r="AJ272" s="39"/>
      <c r="AK272" s="39"/>
      <c r="AL272" s="39"/>
      <c r="AM272" s="39"/>
      <c r="AN272" s="3" t="s">
        <v>92</v>
      </c>
      <c r="AO272" s="3" t="s">
        <v>92</v>
      </c>
      <c r="AP272" s="3" t="s">
        <v>92</v>
      </c>
      <c r="AQ272" s="3" t="s">
        <v>92</v>
      </c>
      <c r="AR272" s="3" t="s">
        <v>371</v>
      </c>
      <c r="AS272" s="3" t="s">
        <v>92</v>
      </c>
      <c r="AT272" s="3" t="s">
        <v>92</v>
      </c>
      <c r="AU272" s="3" t="s">
        <v>92</v>
      </c>
      <c r="AV272" s="3" t="s">
        <v>92</v>
      </c>
      <c r="AW272" s="3" t="s">
        <v>371</v>
      </c>
      <c r="AX272" s="1414" t="s">
        <v>92</v>
      </c>
      <c r="AY272" s="3"/>
      <c r="AZ272" s="139"/>
      <c r="BA272" s="139"/>
      <c r="BB272" s="139"/>
      <c r="BC272" s="139"/>
      <c r="BD272" s="139"/>
      <c r="BE272" s="3"/>
    </row>
    <row r="273" spans="1:57" ht="15.75" customHeight="1" x14ac:dyDescent="0.4">
      <c r="A273" s="3"/>
      <c r="B273" s="4"/>
      <c r="C273" s="36"/>
      <c r="D273" s="155"/>
      <c r="E273" s="155"/>
      <c r="F273" s="155"/>
      <c r="G273" s="7"/>
      <c r="H273" s="20"/>
      <c r="I273" s="3"/>
      <c r="J273" s="3"/>
      <c r="K273" s="3"/>
      <c r="L273" s="3"/>
      <c r="M273" s="5"/>
      <c r="N273" s="5"/>
      <c r="O273" s="5"/>
      <c r="P273" s="24"/>
      <c r="Q273" s="24"/>
      <c r="R273" s="3"/>
      <c r="S273" s="5"/>
      <c r="T273" s="3"/>
      <c r="U273" s="20"/>
      <c r="V273" s="571" t="s">
        <v>369</v>
      </c>
      <c r="W273" s="572" t="s">
        <v>372</v>
      </c>
      <c r="X273" s="571" t="s">
        <v>369</v>
      </c>
      <c r="Y273" s="1824">
        <v>200134021001</v>
      </c>
      <c r="Z273" s="1550"/>
      <c r="AA273" s="1550"/>
      <c r="AB273" s="20"/>
      <c r="AC273" s="3"/>
      <c r="AD273" s="3"/>
      <c r="AE273" s="5"/>
      <c r="AF273" s="3"/>
      <c r="AG273" s="3"/>
      <c r="AH273" s="5"/>
      <c r="AI273" s="51"/>
      <c r="AJ273" s="39"/>
      <c r="AK273" s="39"/>
      <c r="AL273" s="39"/>
      <c r="AM273" s="39"/>
      <c r="AN273" s="3" t="s">
        <v>92</v>
      </c>
      <c r="AO273" s="3" t="s">
        <v>92</v>
      </c>
      <c r="AP273" s="3" t="s">
        <v>92</v>
      </c>
      <c r="AQ273" s="3" t="s">
        <v>92</v>
      </c>
      <c r="AR273" s="3" t="s">
        <v>371</v>
      </c>
      <c r="AS273" s="3" t="s">
        <v>92</v>
      </c>
      <c r="AT273" s="3" t="s">
        <v>92</v>
      </c>
      <c r="AU273" s="3" t="s">
        <v>92</v>
      </c>
      <c r="AV273" s="3" t="s">
        <v>92</v>
      </c>
      <c r="AW273" s="3" t="s">
        <v>371</v>
      </c>
      <c r="AX273" s="1414" t="s">
        <v>92</v>
      </c>
      <c r="AY273" s="3"/>
      <c r="AZ273" s="139"/>
      <c r="BA273" s="139"/>
      <c r="BB273" s="139"/>
      <c r="BC273" s="139"/>
      <c r="BD273" s="139"/>
      <c r="BE273" s="3"/>
    </row>
    <row r="274" spans="1:57" ht="15.75" customHeight="1" x14ac:dyDescent="0.4">
      <c r="A274" s="3"/>
      <c r="B274" s="4"/>
      <c r="C274" s="36"/>
      <c r="D274" s="155"/>
      <c r="E274" s="155"/>
      <c r="F274" s="155"/>
      <c r="G274" s="7"/>
      <c r="H274" s="20"/>
      <c r="I274" s="3"/>
      <c r="J274" s="3"/>
      <c r="K274" s="3"/>
      <c r="L274" s="3"/>
      <c r="M274" s="5"/>
      <c r="N274" s="5"/>
      <c r="O274" s="5"/>
      <c r="P274" s="24"/>
      <c r="Q274" s="24"/>
      <c r="R274" s="3"/>
      <c r="S274" s="5"/>
      <c r="T274" s="3"/>
      <c r="U274" s="20"/>
      <c r="V274" s="572" t="s">
        <v>2363</v>
      </c>
      <c r="W274" s="572" t="s">
        <v>370</v>
      </c>
      <c r="X274" s="571" t="s">
        <v>369</v>
      </c>
      <c r="Y274" s="1824">
        <v>200134127001</v>
      </c>
      <c r="Z274" s="1550"/>
      <c r="AA274" s="1550"/>
      <c r="AB274" s="20"/>
      <c r="AC274" s="3"/>
      <c r="AD274" s="3"/>
      <c r="AE274" s="5"/>
      <c r="AF274" s="3"/>
      <c r="AG274" s="3"/>
      <c r="AH274" s="5"/>
      <c r="AI274" s="51"/>
      <c r="AJ274" s="39"/>
      <c r="AK274" s="39"/>
      <c r="AL274" s="39"/>
      <c r="AM274" s="39"/>
      <c r="AN274" s="3" t="s">
        <v>92</v>
      </c>
      <c r="AO274" s="3" t="s">
        <v>92</v>
      </c>
      <c r="AP274" s="3" t="s">
        <v>92</v>
      </c>
      <c r="AQ274" s="3" t="s">
        <v>92</v>
      </c>
      <c r="AR274" s="3" t="s">
        <v>371</v>
      </c>
      <c r="AS274" s="3" t="s">
        <v>92</v>
      </c>
      <c r="AT274" s="3" t="s">
        <v>92</v>
      </c>
      <c r="AU274" s="3" t="s">
        <v>92</v>
      </c>
      <c r="AV274" s="3" t="s">
        <v>92</v>
      </c>
      <c r="AW274" s="3" t="s">
        <v>371</v>
      </c>
      <c r="AX274" s="1414" t="s">
        <v>92</v>
      </c>
      <c r="AY274" s="3"/>
      <c r="AZ274" s="139"/>
      <c r="BA274" s="139"/>
      <c r="BB274" s="139"/>
      <c r="BC274" s="139"/>
      <c r="BD274" s="139"/>
      <c r="BE274" s="3"/>
    </row>
    <row r="275" spans="1:57" ht="15.75" customHeight="1" thickBot="1" x14ac:dyDescent="0.45">
      <c r="A275" s="3"/>
      <c r="B275" s="4"/>
      <c r="C275" s="36"/>
      <c r="D275" s="155"/>
      <c r="E275" s="155"/>
      <c r="F275" s="155"/>
      <c r="G275" s="7"/>
      <c r="H275" s="20"/>
      <c r="I275" s="3"/>
      <c r="J275" s="3"/>
      <c r="K275" s="3"/>
      <c r="L275" s="3"/>
      <c r="M275" s="5"/>
      <c r="N275" s="5"/>
      <c r="O275" s="5"/>
      <c r="P275" s="24"/>
      <c r="Q275" s="24"/>
      <c r="R275" s="3"/>
      <c r="S275" s="5"/>
      <c r="T275" s="3"/>
      <c r="U275" s="20"/>
      <c r="V275" s="1189" t="s">
        <v>2365</v>
      </c>
      <c r="W275" s="1189" t="s">
        <v>370</v>
      </c>
      <c r="X275" s="1188" t="s">
        <v>369</v>
      </c>
      <c r="Y275" s="1825">
        <v>200134134001</v>
      </c>
      <c r="Z275" s="1550"/>
      <c r="AA275" s="1550"/>
      <c r="AB275" s="20"/>
      <c r="AC275" s="3"/>
      <c r="AD275" s="3"/>
      <c r="AE275" s="5"/>
      <c r="AF275" s="3"/>
      <c r="AG275" s="3"/>
      <c r="AH275" s="5"/>
      <c r="AI275" s="51"/>
      <c r="AJ275" s="39"/>
      <c r="AK275" s="39"/>
      <c r="AL275" s="39"/>
      <c r="AM275" s="947"/>
      <c r="AN275" s="889" t="s">
        <v>92</v>
      </c>
      <c r="AO275" s="889" t="s">
        <v>92</v>
      </c>
      <c r="AP275" s="889" t="s">
        <v>92</v>
      </c>
      <c r="AQ275" s="889" t="s">
        <v>92</v>
      </c>
      <c r="AR275" s="889" t="s">
        <v>371</v>
      </c>
      <c r="AS275" s="889" t="s">
        <v>92</v>
      </c>
      <c r="AT275" s="889" t="s">
        <v>92</v>
      </c>
      <c r="AU275" s="889" t="s">
        <v>92</v>
      </c>
      <c r="AV275" s="889" t="s">
        <v>92</v>
      </c>
      <c r="AW275" s="889" t="s">
        <v>371</v>
      </c>
      <c r="AX275" s="1590" t="s">
        <v>92</v>
      </c>
      <c r="AY275" s="889"/>
      <c r="AZ275" s="139"/>
      <c r="BA275" s="139"/>
      <c r="BB275" s="139"/>
      <c r="BC275" s="139"/>
      <c r="BD275" s="139"/>
      <c r="BE275" s="3"/>
    </row>
    <row r="276" spans="1:57" ht="15" customHeight="1" x14ac:dyDescent="0.4">
      <c r="A276" s="3"/>
      <c r="B276" s="3"/>
      <c r="C276" s="173" t="s">
        <v>440</v>
      </c>
      <c r="D276" s="116"/>
      <c r="E276" s="182"/>
      <c r="F276" s="182" t="s">
        <v>438</v>
      </c>
      <c r="G276" s="173"/>
      <c r="H276" s="175"/>
      <c r="I276" s="116" t="s">
        <v>392</v>
      </c>
      <c r="J276" s="116"/>
      <c r="K276" s="116"/>
      <c r="L276" s="116" t="s">
        <v>348</v>
      </c>
      <c r="M276" s="177">
        <f>1.5*2</f>
        <v>3</v>
      </c>
      <c r="N276" s="177" t="s">
        <v>348</v>
      </c>
      <c r="O276" s="177">
        <f>0.25</f>
        <v>0.25</v>
      </c>
      <c r="P276" s="177"/>
      <c r="Q276" s="177"/>
      <c r="R276" s="116" t="s">
        <v>352</v>
      </c>
      <c r="S276" s="177">
        <f>SHWidth+M276+O276</f>
        <v>41.8125</v>
      </c>
      <c r="T276" s="116" t="s">
        <v>366</v>
      </c>
      <c r="U276" s="175"/>
      <c r="V276" s="179"/>
      <c r="W276" s="116"/>
      <c r="X276" s="179"/>
      <c r="Y276" s="116"/>
      <c r="Z276" s="116"/>
      <c r="AA276" s="116"/>
      <c r="AB276" s="175"/>
      <c r="AC276" s="116">
        <v>45</v>
      </c>
      <c r="AD276" s="116">
        <v>1</v>
      </c>
      <c r="AE276" s="177">
        <f>S276*AD276/12</f>
        <v>3.484375</v>
      </c>
      <c r="AF276" s="116" t="s">
        <v>367</v>
      </c>
      <c r="AG276" s="179">
        <f>AG264</f>
        <v>1.073</v>
      </c>
      <c r="AH276" s="177">
        <f>AG276*AtolbperftSH</f>
        <v>0.6786724999999999</v>
      </c>
      <c r="AI276" s="185"/>
      <c r="AJ276" s="185"/>
      <c r="AK276" s="185"/>
      <c r="AL276" s="185"/>
      <c r="AM276" s="39"/>
      <c r="AN276" s="3" t="s">
        <v>92</v>
      </c>
      <c r="AO276" s="3" t="s">
        <v>92</v>
      </c>
      <c r="AP276" s="3" t="s">
        <v>92</v>
      </c>
      <c r="AQ276" s="3" t="s">
        <v>92</v>
      </c>
      <c r="AR276" s="3" t="s">
        <v>92</v>
      </c>
      <c r="AS276" s="3" t="s">
        <v>81</v>
      </c>
      <c r="AT276" s="3" t="s">
        <v>92</v>
      </c>
      <c r="AU276" s="3" t="s">
        <v>92</v>
      </c>
      <c r="AV276" s="3" t="s">
        <v>92</v>
      </c>
      <c r="AW276" s="3" t="s">
        <v>92</v>
      </c>
      <c r="AX276" s="1414" t="s">
        <v>92</v>
      </c>
      <c r="AY276" s="3"/>
      <c r="AZ276" s="139"/>
      <c r="BA276" s="139"/>
      <c r="BB276" s="139"/>
      <c r="BC276" s="139"/>
      <c r="BD276" s="139"/>
      <c r="BE276" s="3"/>
    </row>
    <row r="277" spans="1:57" ht="15" customHeight="1" x14ac:dyDescent="0.4">
      <c r="A277" s="3"/>
      <c r="B277" s="36"/>
      <c r="C277" s="155"/>
      <c r="D277" s="155"/>
      <c r="E277" s="4"/>
      <c r="F277" s="155" t="s">
        <v>439</v>
      </c>
      <c r="G277" s="7"/>
      <c r="H277" s="20"/>
      <c r="I277" s="3" t="s">
        <v>392</v>
      </c>
      <c r="J277" s="3"/>
      <c r="K277" s="3"/>
      <c r="L277" s="3" t="s">
        <v>348</v>
      </c>
      <c r="M277" s="5">
        <v>0</v>
      </c>
      <c r="N277" s="5" t="s">
        <v>348</v>
      </c>
      <c r="O277" s="5">
        <f>0.25</f>
        <v>0.25</v>
      </c>
      <c r="P277" s="24"/>
      <c r="Q277" s="24"/>
      <c r="R277" s="3" t="s">
        <v>352</v>
      </c>
      <c r="S277" s="5">
        <f>SHWidth+M277+O277</f>
        <v>38.8125</v>
      </c>
      <c r="T277" s="3" t="s">
        <v>366</v>
      </c>
      <c r="U277" s="20"/>
      <c r="V277" s="38" t="s">
        <v>369</v>
      </c>
      <c r="W277" s="3" t="s">
        <v>370</v>
      </c>
      <c r="X277" s="38" t="s">
        <v>369</v>
      </c>
      <c r="Y277" s="1443">
        <v>200133003</v>
      </c>
      <c r="Z277" s="1443"/>
      <c r="AA277" s="1443"/>
      <c r="AB277" s="20"/>
      <c r="AC277" s="3"/>
      <c r="AD277" s="3"/>
      <c r="AE277" s="5"/>
      <c r="AF277" s="3"/>
      <c r="AG277" s="38"/>
      <c r="AH277" s="5"/>
      <c r="AI277" s="994">
        <f>AI265</f>
        <v>0.61450000000000005</v>
      </c>
      <c r="AJ277" s="39"/>
      <c r="AK277" s="39"/>
      <c r="AL277" s="39"/>
      <c r="AM277" s="39">
        <f>AE$276*AI277+SUM(AJ277:AL277)</f>
        <v>2.1411484375000001</v>
      </c>
      <c r="AN277" s="3" t="s">
        <v>92</v>
      </c>
      <c r="AO277" s="3" t="s">
        <v>92</v>
      </c>
      <c r="AP277" s="3" t="s">
        <v>92</v>
      </c>
      <c r="AQ277" s="3" t="s">
        <v>92</v>
      </c>
      <c r="AR277" s="3" t="s">
        <v>92</v>
      </c>
      <c r="AS277" s="3" t="s">
        <v>81</v>
      </c>
      <c r="AT277" s="3" t="s">
        <v>92</v>
      </c>
      <c r="AU277" s="3" t="s">
        <v>92</v>
      </c>
      <c r="AV277" s="3" t="s">
        <v>92</v>
      </c>
      <c r="AW277" s="3" t="s">
        <v>92</v>
      </c>
      <c r="AX277" s="1414" t="s">
        <v>92</v>
      </c>
      <c r="AY277" s="3"/>
      <c r="AZ277" s="139"/>
      <c r="BA277" s="139"/>
      <c r="BB277" s="139"/>
      <c r="BC277" s="139"/>
      <c r="BD277" s="139"/>
      <c r="BE277" s="3"/>
    </row>
    <row r="278" spans="1:57" ht="15" customHeight="1" x14ac:dyDescent="0.4">
      <c r="A278" s="3"/>
      <c r="B278" s="36"/>
      <c r="C278" s="155"/>
      <c r="D278" s="155"/>
      <c r="E278" s="155"/>
      <c r="F278" s="155"/>
      <c r="G278" s="7"/>
      <c r="H278" s="20"/>
      <c r="I278" s="3"/>
      <c r="J278" s="3"/>
      <c r="K278" s="3"/>
      <c r="L278" s="3"/>
      <c r="M278" s="5"/>
      <c r="N278" s="5"/>
      <c r="O278" s="5"/>
      <c r="P278" s="5"/>
      <c r="Q278" s="5"/>
      <c r="R278" s="3"/>
      <c r="S278" s="5"/>
      <c r="T278" s="3"/>
      <c r="U278" s="20"/>
      <c r="V278" s="38" t="s">
        <v>369</v>
      </c>
      <c r="W278" s="3" t="s">
        <v>372</v>
      </c>
      <c r="X278" s="38" t="s">
        <v>369</v>
      </c>
      <c r="Y278" s="1443">
        <v>200133021</v>
      </c>
      <c r="Z278" s="1443"/>
      <c r="AA278" s="1443"/>
      <c r="AB278" s="20"/>
      <c r="AC278" s="3"/>
      <c r="AD278" s="3"/>
      <c r="AE278" s="5"/>
      <c r="AF278" s="3"/>
      <c r="AG278" s="38"/>
      <c r="AH278" s="5"/>
      <c r="AI278" s="994">
        <f>AI266</f>
        <v>0.65790000000000004</v>
      </c>
      <c r="AJ278" s="39"/>
      <c r="AK278" s="39"/>
      <c r="AL278" s="39"/>
      <c r="AM278" s="39">
        <f>AE$276*AI278+SUM(AJ278:AL278)</f>
        <v>2.2923703125000001</v>
      </c>
      <c r="AN278" s="3" t="s">
        <v>92</v>
      </c>
      <c r="AO278" s="3" t="s">
        <v>92</v>
      </c>
      <c r="AP278" s="3" t="s">
        <v>92</v>
      </c>
      <c r="AQ278" s="3" t="s">
        <v>92</v>
      </c>
      <c r="AR278" s="3" t="s">
        <v>92</v>
      </c>
      <c r="AS278" s="3" t="s">
        <v>371</v>
      </c>
      <c r="AT278" s="3" t="s">
        <v>92</v>
      </c>
      <c r="AU278" s="3" t="s">
        <v>92</v>
      </c>
      <c r="AV278" s="3" t="s">
        <v>92</v>
      </c>
      <c r="AW278" s="3" t="s">
        <v>92</v>
      </c>
      <c r="AX278" s="1414" t="s">
        <v>92</v>
      </c>
      <c r="AY278" s="3"/>
      <c r="AZ278" s="139"/>
      <c r="BA278" s="139"/>
      <c r="BB278" s="139"/>
      <c r="BC278" s="139"/>
      <c r="BD278" s="139"/>
      <c r="BE278" s="3"/>
    </row>
    <row r="279" spans="1:57" ht="15" customHeight="1" x14ac:dyDescent="0.4">
      <c r="A279" s="3"/>
      <c r="B279" s="4"/>
      <c r="C279" s="155"/>
      <c r="D279" s="36"/>
      <c r="E279" s="155"/>
      <c r="F279" s="155"/>
      <c r="G279" s="7"/>
      <c r="H279" s="20"/>
      <c r="I279" s="3"/>
      <c r="J279" s="3"/>
      <c r="K279" s="3"/>
      <c r="L279" s="3"/>
      <c r="M279" s="5"/>
      <c r="N279" s="5"/>
      <c r="O279" s="5"/>
      <c r="P279" s="5"/>
      <c r="Q279" s="5"/>
      <c r="R279" s="3"/>
      <c r="S279" s="5"/>
      <c r="T279" s="3"/>
      <c r="U279" s="20"/>
      <c r="V279" s="38" t="s">
        <v>369</v>
      </c>
      <c r="W279" s="3" t="s">
        <v>373</v>
      </c>
      <c r="X279" s="38" t="s">
        <v>369</v>
      </c>
      <c r="Y279" s="1443">
        <v>200133033</v>
      </c>
      <c r="Z279" s="1443"/>
      <c r="AA279" s="1443"/>
      <c r="AB279" s="20"/>
      <c r="AC279" s="3"/>
      <c r="AD279" s="3"/>
      <c r="AE279" s="5"/>
      <c r="AF279" s="3"/>
      <c r="AG279" s="38"/>
      <c r="AH279" s="5"/>
      <c r="AI279" s="994">
        <f>AI267</f>
        <v>0.70960000000000001</v>
      </c>
      <c r="AJ279" s="39"/>
      <c r="AK279" s="39"/>
      <c r="AL279" s="39"/>
      <c r="AM279" s="39">
        <f>AE$276*AI279+SUM(AJ279:AL279)</f>
        <v>2.4725125000000001</v>
      </c>
      <c r="AN279" s="3" t="s">
        <v>92</v>
      </c>
      <c r="AO279" s="3" t="s">
        <v>92</v>
      </c>
      <c r="AP279" s="3" t="s">
        <v>92</v>
      </c>
      <c r="AQ279" s="3" t="s">
        <v>92</v>
      </c>
      <c r="AR279" s="3" t="s">
        <v>92</v>
      </c>
      <c r="AS279" s="3" t="s">
        <v>371</v>
      </c>
      <c r="AT279" s="3" t="s">
        <v>92</v>
      </c>
      <c r="AU279" s="3" t="s">
        <v>92</v>
      </c>
      <c r="AV279" s="3" t="s">
        <v>92</v>
      </c>
      <c r="AW279" s="3" t="s">
        <v>92</v>
      </c>
      <c r="AX279" s="1414" t="s">
        <v>92</v>
      </c>
      <c r="AY279" s="3"/>
      <c r="AZ279" s="139"/>
      <c r="BA279" s="139"/>
      <c r="BB279" s="139"/>
      <c r="BC279" s="139"/>
      <c r="BD279" s="139"/>
      <c r="BE279" s="3"/>
    </row>
    <row r="280" spans="1:57" ht="15.75" customHeight="1" x14ac:dyDescent="0.4">
      <c r="A280" s="3"/>
      <c r="B280" s="4"/>
      <c r="C280" s="36"/>
      <c r="D280" s="155"/>
      <c r="E280" s="155"/>
      <c r="F280" s="155"/>
      <c r="G280" s="7"/>
      <c r="H280" s="20"/>
      <c r="I280" s="3"/>
      <c r="J280" s="3"/>
      <c r="K280" s="3"/>
      <c r="L280" s="3"/>
      <c r="M280" s="5"/>
      <c r="N280" s="5"/>
      <c r="O280" s="5"/>
      <c r="P280" s="24"/>
      <c r="Q280" s="24"/>
      <c r="R280" s="3"/>
      <c r="S280" s="5"/>
      <c r="T280" s="3"/>
      <c r="U280" s="20"/>
      <c r="V280" s="3" t="s">
        <v>2363</v>
      </c>
      <c r="W280" s="3" t="s">
        <v>370</v>
      </c>
      <c r="X280" s="38" t="s">
        <v>369</v>
      </c>
      <c r="Y280" s="1443">
        <v>200133127</v>
      </c>
      <c r="Z280" s="1443"/>
      <c r="AA280" s="1443"/>
      <c r="AB280" s="20"/>
      <c r="AC280" s="3"/>
      <c r="AD280" s="3"/>
      <c r="AE280" s="5"/>
      <c r="AF280" s="3"/>
      <c r="AG280" s="3"/>
      <c r="AH280" s="5"/>
      <c r="AI280" s="994">
        <f>AI268</f>
        <v>0.81020000000000003</v>
      </c>
      <c r="AJ280" s="39"/>
      <c r="AK280" s="39"/>
      <c r="AL280" s="39"/>
      <c r="AM280" s="39">
        <f t="shared" ref="AM280:AM281" si="52">AE$219*AI280+SUM(AJ280:AL280)</f>
        <v>10.600116666666668</v>
      </c>
      <c r="AN280" s="3" t="s">
        <v>92</v>
      </c>
      <c r="AO280" s="3" t="s">
        <v>92</v>
      </c>
      <c r="AP280" s="3" t="s">
        <v>92</v>
      </c>
      <c r="AQ280" s="3" t="s">
        <v>92</v>
      </c>
      <c r="AR280" s="3" t="s">
        <v>92</v>
      </c>
      <c r="AS280" s="3" t="s">
        <v>371</v>
      </c>
      <c r="AT280" s="3" t="s">
        <v>92</v>
      </c>
      <c r="AU280" s="3" t="s">
        <v>92</v>
      </c>
      <c r="AV280" s="3" t="s">
        <v>92</v>
      </c>
      <c r="AW280" s="3" t="s">
        <v>92</v>
      </c>
      <c r="AX280" s="1414" t="s">
        <v>92</v>
      </c>
      <c r="AY280" s="3"/>
      <c r="AZ280" s="139"/>
      <c r="BA280" s="139"/>
      <c r="BB280" s="139"/>
      <c r="BC280" s="139"/>
      <c r="BD280" s="139"/>
      <c r="BE280" s="3"/>
    </row>
    <row r="281" spans="1:57" ht="15.75" customHeight="1" x14ac:dyDescent="0.4">
      <c r="A281" s="3"/>
      <c r="B281" s="4"/>
      <c r="C281" s="36"/>
      <c r="D281" s="155"/>
      <c r="E281" s="155"/>
      <c r="F281" s="155"/>
      <c r="G281" s="7"/>
      <c r="H281" s="20"/>
      <c r="I281" s="3"/>
      <c r="J281" s="3"/>
      <c r="K281" s="3"/>
      <c r="L281" s="3"/>
      <c r="M281" s="5"/>
      <c r="N281" s="5"/>
      <c r="O281" s="5"/>
      <c r="P281" s="24"/>
      <c r="Q281" s="24"/>
      <c r="R281" s="3"/>
      <c r="S281" s="5"/>
      <c r="T281" s="3"/>
      <c r="U281" s="20"/>
      <c r="V281" s="3" t="s">
        <v>2365</v>
      </c>
      <c r="W281" s="3" t="s">
        <v>370</v>
      </c>
      <c r="X281" s="38" t="s">
        <v>369</v>
      </c>
      <c r="Y281" s="1443">
        <v>200133180</v>
      </c>
      <c r="Z281" s="1443"/>
      <c r="AA281" s="1443"/>
      <c r="AB281" s="20"/>
      <c r="AC281" s="3"/>
      <c r="AD281" s="3"/>
      <c r="AE281" s="5"/>
      <c r="AF281" s="3"/>
      <c r="AG281" s="3"/>
      <c r="AH281" s="5"/>
      <c r="AI281" s="994">
        <f>AI269</f>
        <v>0.87970000000000004</v>
      </c>
      <c r="AJ281" s="39"/>
      <c r="AK281" s="39"/>
      <c r="AL281" s="39"/>
      <c r="AM281" s="39">
        <f t="shared" si="52"/>
        <v>11.509408333333335</v>
      </c>
      <c r="AN281" s="3" t="s">
        <v>92</v>
      </c>
      <c r="AO281" s="3" t="s">
        <v>92</v>
      </c>
      <c r="AP281" s="3" t="s">
        <v>92</v>
      </c>
      <c r="AQ281" s="3" t="s">
        <v>92</v>
      </c>
      <c r="AR281" s="3" t="s">
        <v>92</v>
      </c>
      <c r="AS281" s="3" t="s">
        <v>371</v>
      </c>
      <c r="AT281" s="3" t="s">
        <v>92</v>
      </c>
      <c r="AU281" s="3" t="s">
        <v>92</v>
      </c>
      <c r="AV281" s="3" t="s">
        <v>92</v>
      </c>
      <c r="AW281" s="3" t="s">
        <v>92</v>
      </c>
      <c r="AX281" s="1414" t="s">
        <v>92</v>
      </c>
      <c r="AY281" s="3"/>
      <c r="AZ281" s="139"/>
      <c r="BA281" s="139"/>
      <c r="BB281" s="139"/>
      <c r="BC281" s="139"/>
      <c r="BD281" s="139"/>
      <c r="BE281" s="3"/>
    </row>
    <row r="282" spans="1:57" ht="15.75" customHeight="1" thickBot="1" x14ac:dyDescent="0.45">
      <c r="A282" s="3"/>
      <c r="B282" s="4"/>
      <c r="C282" s="943"/>
      <c r="D282" s="1037" t="s">
        <v>2353</v>
      </c>
      <c r="E282" s="1038"/>
      <c r="F282" s="1038"/>
      <c r="G282" s="1039"/>
      <c r="H282" s="1040"/>
      <c r="I282" s="710" t="s">
        <v>392</v>
      </c>
      <c r="J282" s="710"/>
      <c r="K282" s="710"/>
      <c r="L282" s="710"/>
      <c r="M282" s="1041"/>
      <c r="N282" s="1041"/>
      <c r="O282" s="1041"/>
      <c r="P282" s="1042"/>
      <c r="Q282" s="1042"/>
      <c r="R282" s="710" t="s">
        <v>352</v>
      </c>
      <c r="S282" s="1041">
        <f>SHWidth</f>
        <v>38.5625</v>
      </c>
      <c r="T282" s="710" t="s">
        <v>366</v>
      </c>
      <c r="U282" s="1040"/>
      <c r="V282" s="1043" t="s">
        <v>369</v>
      </c>
      <c r="W282" s="710" t="s">
        <v>370</v>
      </c>
      <c r="X282" s="1043" t="s">
        <v>369</v>
      </c>
      <c r="Y282" s="1846">
        <v>120074014938</v>
      </c>
      <c r="Z282" s="1608"/>
      <c r="AA282" s="1608"/>
      <c r="AB282" s="1040"/>
      <c r="AC282" s="710"/>
      <c r="AD282" s="710">
        <v>1</v>
      </c>
      <c r="AE282" s="1041">
        <f>S282*AD282/12</f>
        <v>3.2135416666666665</v>
      </c>
      <c r="AF282" s="710" t="s">
        <v>367</v>
      </c>
      <c r="AG282" s="710"/>
      <c r="AH282" s="1041"/>
      <c r="AI282" s="1611">
        <v>9.1199999999999996E-3</v>
      </c>
      <c r="AJ282" s="1044"/>
      <c r="AK282" s="1044"/>
      <c r="AL282" s="1044"/>
      <c r="AM282" s="1044">
        <f>AE282*AI282</f>
        <v>2.9307499999999997E-2</v>
      </c>
      <c r="AN282" s="710" t="s">
        <v>92</v>
      </c>
      <c r="AO282" s="710" t="s">
        <v>92</v>
      </c>
      <c r="AP282" s="710" t="s">
        <v>92</v>
      </c>
      <c r="AQ282" s="710" t="s">
        <v>92</v>
      </c>
      <c r="AR282" s="710" t="s">
        <v>92</v>
      </c>
      <c r="AS282" s="710" t="s">
        <v>92</v>
      </c>
      <c r="AT282" s="710" t="s">
        <v>81</v>
      </c>
      <c r="AU282" s="710" t="s">
        <v>92</v>
      </c>
      <c r="AV282" s="710" t="s">
        <v>92</v>
      </c>
      <c r="AW282" s="710" t="s">
        <v>92</v>
      </c>
      <c r="AX282" s="1880" t="s">
        <v>92</v>
      </c>
      <c r="AY282" s="710"/>
      <c r="AZ282" s="139"/>
      <c r="BA282" s="139"/>
      <c r="BB282" s="139"/>
      <c r="BC282" s="139"/>
      <c r="BD282" s="139"/>
      <c r="BE282" s="3"/>
    </row>
    <row r="283" spans="1:57" ht="15.75" customHeight="1" x14ac:dyDescent="0.4">
      <c r="A283" s="3"/>
      <c r="B283" s="4"/>
      <c r="C283" s="8" t="s">
        <v>1946</v>
      </c>
      <c r="D283" s="155"/>
      <c r="E283" s="155"/>
      <c r="F283" s="155"/>
      <c r="G283" s="7"/>
      <c r="H283" s="20"/>
      <c r="I283" s="3"/>
      <c r="J283" s="3"/>
      <c r="K283" s="3"/>
      <c r="L283" s="3"/>
      <c r="M283" s="5"/>
      <c r="N283" s="5"/>
      <c r="O283" s="5"/>
      <c r="P283" s="24"/>
      <c r="Q283" s="24"/>
      <c r="R283" s="3"/>
      <c r="S283" s="5"/>
      <c r="T283" s="3"/>
      <c r="U283" s="20"/>
      <c r="V283" s="279" t="s">
        <v>369</v>
      </c>
      <c r="W283" s="112" t="s">
        <v>370</v>
      </c>
      <c r="X283" s="279" t="s">
        <v>369</v>
      </c>
      <c r="Y283" s="1872">
        <v>200133003001</v>
      </c>
      <c r="Z283" s="1445"/>
      <c r="AA283" s="1445"/>
      <c r="AB283" s="20"/>
      <c r="AC283" s="3"/>
      <c r="AD283" s="3"/>
      <c r="AE283" s="5"/>
      <c r="AF283" s="3"/>
      <c r="AG283" s="3"/>
      <c r="AH283" s="5"/>
      <c r="AI283" s="51"/>
      <c r="AJ283" s="39"/>
      <c r="AK283" s="39"/>
      <c r="AL283" s="39"/>
      <c r="AM283" s="39"/>
      <c r="AN283" s="3" t="s">
        <v>92</v>
      </c>
      <c r="AO283" s="3" t="s">
        <v>92</v>
      </c>
      <c r="AP283" s="3" t="s">
        <v>92</v>
      </c>
      <c r="AQ283" s="3" t="s">
        <v>92</v>
      </c>
      <c r="AR283" s="3" t="s">
        <v>92</v>
      </c>
      <c r="AS283" s="3" t="s">
        <v>371</v>
      </c>
      <c r="AT283" s="3" t="s">
        <v>92</v>
      </c>
      <c r="AU283" s="3" t="s">
        <v>92</v>
      </c>
      <c r="AV283" s="3" t="s">
        <v>92</v>
      </c>
      <c r="AW283" s="3" t="s">
        <v>92</v>
      </c>
      <c r="AX283" s="1414" t="s">
        <v>92</v>
      </c>
      <c r="AY283" s="3"/>
      <c r="AZ283" s="139"/>
      <c r="BA283" s="139"/>
      <c r="BB283" s="139"/>
      <c r="BC283" s="139"/>
      <c r="BD283" s="139"/>
      <c r="BE283" s="3"/>
    </row>
    <row r="284" spans="1:57" ht="15.75" customHeight="1" x14ac:dyDescent="0.4">
      <c r="A284" s="3"/>
      <c r="B284" s="4"/>
      <c r="C284" s="36"/>
      <c r="D284" s="155"/>
      <c r="E284" s="155"/>
      <c r="F284" s="155"/>
      <c r="G284" s="7"/>
      <c r="H284" s="20"/>
      <c r="I284" s="3"/>
      <c r="J284" s="3"/>
      <c r="K284" s="3"/>
      <c r="L284" s="3"/>
      <c r="M284" s="5"/>
      <c r="N284" s="5"/>
      <c r="O284" s="5"/>
      <c r="P284" s="24"/>
      <c r="Q284" s="24"/>
      <c r="R284" s="3"/>
      <c r="S284" s="5"/>
      <c r="T284" s="3"/>
      <c r="U284" s="20"/>
      <c r="V284" s="571" t="s">
        <v>369</v>
      </c>
      <c r="W284" s="572" t="s">
        <v>372</v>
      </c>
      <c r="X284" s="571" t="s">
        <v>369</v>
      </c>
      <c r="Y284" s="1824">
        <v>200133021001</v>
      </c>
      <c r="Z284" s="1550"/>
      <c r="AA284" s="1550"/>
      <c r="AB284" s="20"/>
      <c r="AC284" s="3"/>
      <c r="AD284" s="3"/>
      <c r="AE284" s="5"/>
      <c r="AF284" s="3"/>
      <c r="AG284" s="3"/>
      <c r="AH284" s="5"/>
      <c r="AI284" s="51"/>
      <c r="AJ284" s="39"/>
      <c r="AK284" s="39"/>
      <c r="AL284" s="39"/>
      <c r="AM284" s="39"/>
      <c r="AN284" s="3" t="s">
        <v>92</v>
      </c>
      <c r="AO284" s="3" t="s">
        <v>92</v>
      </c>
      <c r="AP284" s="3" t="s">
        <v>92</v>
      </c>
      <c r="AQ284" s="3" t="s">
        <v>92</v>
      </c>
      <c r="AR284" s="3" t="s">
        <v>92</v>
      </c>
      <c r="AS284" s="3" t="s">
        <v>371</v>
      </c>
      <c r="AT284" s="3" t="s">
        <v>92</v>
      </c>
      <c r="AU284" s="3" t="s">
        <v>92</v>
      </c>
      <c r="AV284" s="3" t="s">
        <v>92</v>
      </c>
      <c r="AW284" s="3" t="s">
        <v>92</v>
      </c>
      <c r="AX284" s="1414" t="s">
        <v>92</v>
      </c>
      <c r="AY284" s="3"/>
      <c r="AZ284" s="139"/>
      <c r="BA284" s="139"/>
      <c r="BB284" s="139"/>
      <c r="BC284" s="139"/>
      <c r="BD284" s="139"/>
      <c r="BE284" s="3"/>
    </row>
    <row r="285" spans="1:57" ht="15.75" customHeight="1" x14ac:dyDescent="0.4">
      <c r="A285" s="3"/>
      <c r="B285" s="4"/>
      <c r="C285" s="36"/>
      <c r="D285" s="155"/>
      <c r="E285" s="155"/>
      <c r="F285" s="155"/>
      <c r="G285" s="7"/>
      <c r="H285" s="20"/>
      <c r="I285" s="3"/>
      <c r="J285" s="3"/>
      <c r="K285" s="3"/>
      <c r="L285" s="3"/>
      <c r="M285" s="5"/>
      <c r="N285" s="5"/>
      <c r="O285" s="5"/>
      <c r="P285" s="24"/>
      <c r="Q285" s="24"/>
      <c r="R285" s="3"/>
      <c r="S285" s="5"/>
      <c r="T285" s="3"/>
      <c r="U285" s="20"/>
      <c r="V285" s="571" t="s">
        <v>369</v>
      </c>
      <c r="W285" s="572" t="s">
        <v>373</v>
      </c>
      <c r="X285" s="571" t="s">
        <v>369</v>
      </c>
      <c r="Y285" s="1824">
        <v>200133033001</v>
      </c>
      <c r="Z285" s="1550"/>
      <c r="AA285" s="1550"/>
      <c r="AB285" s="20"/>
      <c r="AC285" s="3"/>
      <c r="AD285" s="3"/>
      <c r="AE285" s="5"/>
      <c r="AF285" s="3"/>
      <c r="AG285" s="3"/>
      <c r="AH285" s="5"/>
      <c r="AI285" s="51"/>
      <c r="AJ285" s="39"/>
      <c r="AK285" s="39"/>
      <c r="AL285" s="39"/>
      <c r="AM285" s="39"/>
      <c r="AN285" s="3" t="s">
        <v>92</v>
      </c>
      <c r="AO285" s="3" t="s">
        <v>92</v>
      </c>
      <c r="AP285" s="3" t="s">
        <v>92</v>
      </c>
      <c r="AQ285" s="3" t="s">
        <v>92</v>
      </c>
      <c r="AR285" s="3" t="s">
        <v>92</v>
      </c>
      <c r="AS285" s="3" t="s">
        <v>371</v>
      </c>
      <c r="AT285" s="3" t="s">
        <v>92</v>
      </c>
      <c r="AU285" s="3" t="s">
        <v>92</v>
      </c>
      <c r="AV285" s="3" t="s">
        <v>92</v>
      </c>
      <c r="AW285" s="3" t="s">
        <v>92</v>
      </c>
      <c r="AX285" s="1414" t="s">
        <v>92</v>
      </c>
      <c r="AY285" s="3"/>
      <c r="AZ285" s="139"/>
      <c r="BA285" s="139"/>
      <c r="BB285" s="139"/>
      <c r="BC285" s="139"/>
      <c r="BD285" s="139"/>
      <c r="BE285" s="3"/>
    </row>
    <row r="286" spans="1:57" ht="15.75" customHeight="1" x14ac:dyDescent="0.4">
      <c r="A286" s="3"/>
      <c r="B286" s="4"/>
      <c r="C286" s="36"/>
      <c r="D286" s="155"/>
      <c r="E286" s="155"/>
      <c r="F286" s="155"/>
      <c r="G286" s="7"/>
      <c r="H286" s="20"/>
      <c r="I286" s="3"/>
      <c r="J286" s="3"/>
      <c r="K286" s="3"/>
      <c r="L286" s="3"/>
      <c r="M286" s="5"/>
      <c r="N286" s="5"/>
      <c r="O286" s="5"/>
      <c r="P286" s="24"/>
      <c r="Q286" s="24"/>
      <c r="R286" s="3"/>
      <c r="S286" s="5"/>
      <c r="T286" s="3"/>
      <c r="U286" s="20"/>
      <c r="V286" s="572" t="s">
        <v>2363</v>
      </c>
      <c r="W286" s="572" t="s">
        <v>370</v>
      </c>
      <c r="X286" s="571" t="s">
        <v>369</v>
      </c>
      <c r="Y286" s="1824">
        <v>200133127001</v>
      </c>
      <c r="Z286" s="1550"/>
      <c r="AA286" s="1550"/>
      <c r="AB286" s="20"/>
      <c r="AC286" s="3"/>
      <c r="AD286" s="3"/>
      <c r="AE286" s="5"/>
      <c r="AF286" s="3"/>
      <c r="AG286" s="3"/>
      <c r="AH286" s="5"/>
      <c r="AI286" s="51"/>
      <c r="AJ286" s="39"/>
      <c r="AK286" s="39"/>
      <c r="AL286" s="39"/>
      <c r="AM286" s="39"/>
      <c r="AN286" s="3" t="s">
        <v>92</v>
      </c>
      <c r="AO286" s="3" t="s">
        <v>92</v>
      </c>
      <c r="AP286" s="3" t="s">
        <v>92</v>
      </c>
      <c r="AQ286" s="3" t="s">
        <v>92</v>
      </c>
      <c r="AR286" s="3" t="s">
        <v>92</v>
      </c>
      <c r="AS286" s="3" t="s">
        <v>371</v>
      </c>
      <c r="AT286" s="3" t="s">
        <v>92</v>
      </c>
      <c r="AU286" s="3" t="s">
        <v>92</v>
      </c>
      <c r="AV286" s="3" t="s">
        <v>92</v>
      </c>
      <c r="AW286" s="3" t="s">
        <v>92</v>
      </c>
      <c r="AX286" s="1414" t="s">
        <v>92</v>
      </c>
      <c r="AY286" s="3"/>
      <c r="AZ286" s="139"/>
      <c r="BA286" s="139"/>
      <c r="BB286" s="139"/>
      <c r="BC286" s="139"/>
      <c r="BD286" s="139"/>
      <c r="BE286" s="3"/>
    </row>
    <row r="287" spans="1:57" ht="15.75" customHeight="1" thickBot="1" x14ac:dyDescent="0.45">
      <c r="A287" s="3"/>
      <c r="B287" s="4"/>
      <c r="C287" s="943"/>
      <c r="D287" s="925"/>
      <c r="E287" s="925"/>
      <c r="F287" s="925"/>
      <c r="G287" s="924"/>
      <c r="H287" s="20"/>
      <c r="I287" s="3"/>
      <c r="J287" s="3"/>
      <c r="K287" s="3"/>
      <c r="L287" s="3"/>
      <c r="M287" s="5"/>
      <c r="N287" s="5"/>
      <c r="O287" s="5"/>
      <c r="P287" s="24"/>
      <c r="Q287" s="24"/>
      <c r="R287" s="3"/>
      <c r="S287" s="5"/>
      <c r="T287" s="3"/>
      <c r="U287" s="20"/>
      <c r="V287" s="1189" t="s">
        <v>2365</v>
      </c>
      <c r="W287" s="1189" t="s">
        <v>370</v>
      </c>
      <c r="X287" s="1188" t="s">
        <v>369</v>
      </c>
      <c r="Y287" s="1825">
        <v>200133134001</v>
      </c>
      <c r="Z287" s="1551"/>
      <c r="AA287" s="1551"/>
      <c r="AB287" s="20"/>
      <c r="AC287" s="3"/>
      <c r="AD287" s="3"/>
      <c r="AE287" s="5"/>
      <c r="AF287" s="3"/>
      <c r="AG287" s="3"/>
      <c r="AH287" s="5"/>
      <c r="AI287" s="51"/>
      <c r="AJ287" s="39"/>
      <c r="AK287" s="39"/>
      <c r="AL287" s="39"/>
      <c r="AM287" s="947"/>
      <c r="AN287" s="889" t="s">
        <v>92</v>
      </c>
      <c r="AO287" s="889" t="s">
        <v>92</v>
      </c>
      <c r="AP287" s="889" t="s">
        <v>92</v>
      </c>
      <c r="AQ287" s="889" t="s">
        <v>92</v>
      </c>
      <c r="AR287" s="889" t="s">
        <v>92</v>
      </c>
      <c r="AS287" s="889" t="s">
        <v>371</v>
      </c>
      <c r="AT287" s="889" t="s">
        <v>92</v>
      </c>
      <c r="AU287" s="889" t="s">
        <v>92</v>
      </c>
      <c r="AV287" s="889" t="s">
        <v>92</v>
      </c>
      <c r="AW287" s="889" t="s">
        <v>92</v>
      </c>
      <c r="AX287" s="1590" t="s">
        <v>92</v>
      </c>
      <c r="AY287" s="889"/>
      <c r="AZ287" s="139"/>
      <c r="BA287" s="139"/>
      <c r="BB287" s="139"/>
      <c r="BC287" s="139"/>
      <c r="BD287" s="139"/>
      <c r="BE287" s="3"/>
    </row>
    <row r="288" spans="1:57" ht="15" customHeight="1" x14ac:dyDescent="0.4">
      <c r="A288" s="3"/>
      <c r="B288" s="4"/>
      <c r="C288" s="7" t="s">
        <v>441</v>
      </c>
      <c r="D288" s="36"/>
      <c r="E288" s="155"/>
      <c r="F288" s="182" t="s">
        <v>438</v>
      </c>
      <c r="G288" s="173"/>
      <c r="H288" s="20"/>
      <c r="I288" s="116" t="s">
        <v>392</v>
      </c>
      <c r="J288" s="116"/>
      <c r="K288" s="116"/>
      <c r="L288" s="116" t="s">
        <v>348</v>
      </c>
      <c r="M288" s="177">
        <f>1.5*2</f>
        <v>3</v>
      </c>
      <c r="N288" s="177" t="s">
        <v>348</v>
      </c>
      <c r="O288" s="177">
        <f>0.25</f>
        <v>0.25</v>
      </c>
      <c r="P288" s="177"/>
      <c r="Q288" s="177"/>
      <c r="R288" s="116" t="s">
        <v>352</v>
      </c>
      <c r="S288" s="177">
        <f>SHWidth+M288+O288</f>
        <v>41.8125</v>
      </c>
      <c r="T288" s="116" t="s">
        <v>366</v>
      </c>
      <c r="U288" s="20"/>
      <c r="V288" s="179"/>
      <c r="W288" s="116"/>
      <c r="X288" s="179"/>
      <c r="Y288" s="3"/>
      <c r="Z288" s="3"/>
      <c r="AA288" s="3"/>
      <c r="AB288" s="20"/>
      <c r="AC288" s="116">
        <v>45</v>
      </c>
      <c r="AD288" s="116">
        <v>1</v>
      </c>
      <c r="AE288" s="177">
        <f>S288*AD288/12</f>
        <v>3.484375</v>
      </c>
      <c r="AF288" s="116" t="s">
        <v>367</v>
      </c>
      <c r="AG288" s="179">
        <f>AG276</f>
        <v>1.073</v>
      </c>
      <c r="AH288" s="177">
        <f>AG288*AtolbperftSH</f>
        <v>0.6786724999999999</v>
      </c>
      <c r="AI288" s="185"/>
      <c r="AJ288" s="185"/>
      <c r="AK288" s="185"/>
      <c r="AL288" s="185"/>
      <c r="AM288" s="39"/>
      <c r="AN288" s="3" t="s">
        <v>92</v>
      </c>
      <c r="AO288" s="3" t="s">
        <v>92</v>
      </c>
      <c r="AP288" s="3" t="s">
        <v>92</v>
      </c>
      <c r="AQ288" s="3" t="s">
        <v>92</v>
      </c>
      <c r="AR288" s="3" t="s">
        <v>92</v>
      </c>
      <c r="AS288" s="3" t="s">
        <v>92</v>
      </c>
      <c r="AT288" s="3" t="s">
        <v>92</v>
      </c>
      <c r="AU288" s="3" t="s">
        <v>92</v>
      </c>
      <c r="AV288" s="3" t="s">
        <v>92</v>
      </c>
      <c r="AW288" s="3" t="s">
        <v>92</v>
      </c>
      <c r="AX288" s="1414" t="s">
        <v>92</v>
      </c>
      <c r="AY288" s="3"/>
      <c r="AZ288" s="139"/>
      <c r="BA288" s="139"/>
      <c r="BB288" s="139"/>
      <c r="BC288" s="139"/>
      <c r="BD288" s="139"/>
      <c r="BE288" s="3"/>
    </row>
    <row r="289" spans="1:57" ht="15" customHeight="1" x14ac:dyDescent="0.4">
      <c r="A289" s="3"/>
      <c r="B289" s="4"/>
      <c r="C289" s="155"/>
      <c r="D289" s="36"/>
      <c r="E289" s="155"/>
      <c r="F289" s="155" t="s">
        <v>439</v>
      </c>
      <c r="G289" s="7"/>
      <c r="H289" s="20"/>
      <c r="I289" s="3" t="s">
        <v>392</v>
      </c>
      <c r="J289" s="3"/>
      <c r="K289" s="3"/>
      <c r="L289" s="3" t="s">
        <v>348</v>
      </c>
      <c r="M289" s="5">
        <v>0</v>
      </c>
      <c r="N289" s="5" t="s">
        <v>348</v>
      </c>
      <c r="O289" s="5">
        <f>0.25</f>
        <v>0.25</v>
      </c>
      <c r="P289" s="24"/>
      <c r="Q289" s="24"/>
      <c r="R289" s="3" t="s">
        <v>352</v>
      </c>
      <c r="S289" s="5">
        <f>SHWidth+M289+O289</f>
        <v>38.8125</v>
      </c>
      <c r="T289" s="3" t="s">
        <v>366</v>
      </c>
      <c r="U289" s="20"/>
      <c r="V289" s="38" t="s">
        <v>369</v>
      </c>
      <c r="W289" s="3" t="s">
        <v>370</v>
      </c>
      <c r="X289" s="38" t="s">
        <v>369</v>
      </c>
      <c r="Y289" s="1443">
        <v>200237003</v>
      </c>
      <c r="Z289" s="1443"/>
      <c r="AA289" s="1443"/>
      <c r="AB289" s="20"/>
      <c r="AC289" s="3"/>
      <c r="AD289" s="3"/>
      <c r="AE289" s="5"/>
      <c r="AF289" s="3"/>
      <c r="AG289" s="38"/>
      <c r="AH289" s="5"/>
      <c r="AI289" s="994">
        <f>AI277</f>
        <v>0.61450000000000005</v>
      </c>
      <c r="AJ289" s="39"/>
      <c r="AK289" s="39"/>
      <c r="AL289" s="39"/>
      <c r="AM289" s="39">
        <f>AE$276*AI289+SUM(AJ289:AL289)</f>
        <v>2.1411484375000001</v>
      </c>
      <c r="AN289" s="3" t="s">
        <v>92</v>
      </c>
      <c r="AO289" s="3" t="s">
        <v>92</v>
      </c>
      <c r="AP289" s="3" t="s">
        <v>92</v>
      </c>
      <c r="AQ289" s="3" t="s">
        <v>92</v>
      </c>
      <c r="AR289" s="3" t="s">
        <v>92</v>
      </c>
      <c r="AS289" s="3" t="s">
        <v>92</v>
      </c>
      <c r="AT289" s="3" t="s">
        <v>92</v>
      </c>
      <c r="AU289" s="3" t="s">
        <v>92</v>
      </c>
      <c r="AV289" s="3" t="s">
        <v>92</v>
      </c>
      <c r="AW289" s="3" t="s">
        <v>92</v>
      </c>
      <c r="AX289" s="1414" t="s">
        <v>92</v>
      </c>
      <c r="AY289" s="3"/>
      <c r="AZ289" s="139"/>
      <c r="BA289" s="139"/>
      <c r="BB289" s="139"/>
      <c r="BC289" s="139"/>
      <c r="BD289" s="139"/>
      <c r="BE289" s="3"/>
    </row>
    <row r="290" spans="1:57" ht="15" customHeight="1" x14ac:dyDescent="0.4">
      <c r="A290" s="3"/>
      <c r="B290" s="4"/>
      <c r="C290" s="155"/>
      <c r="D290" s="36"/>
      <c r="E290" s="155"/>
      <c r="F290" s="155"/>
      <c r="G290" s="7"/>
      <c r="H290" s="20"/>
      <c r="I290" s="3"/>
      <c r="J290" s="3"/>
      <c r="K290" s="3"/>
      <c r="L290" s="3"/>
      <c r="M290" s="5"/>
      <c r="N290" s="5"/>
      <c r="O290" s="5"/>
      <c r="P290" s="5"/>
      <c r="Q290" s="5"/>
      <c r="R290" s="3"/>
      <c r="S290" s="5"/>
      <c r="T290" s="3"/>
      <c r="U290" s="20"/>
      <c r="V290" s="38" t="s">
        <v>369</v>
      </c>
      <c r="W290" s="3" t="s">
        <v>372</v>
      </c>
      <c r="X290" s="38" t="s">
        <v>369</v>
      </c>
      <c r="Y290" s="1443">
        <v>200237021</v>
      </c>
      <c r="Z290" s="1443"/>
      <c r="AA290" s="1443"/>
      <c r="AB290" s="20"/>
      <c r="AC290" s="3"/>
      <c r="AD290" s="3"/>
      <c r="AE290" s="5"/>
      <c r="AF290" s="3"/>
      <c r="AG290" s="38"/>
      <c r="AH290" s="5"/>
      <c r="AI290" s="994">
        <f>AI278</f>
        <v>0.65790000000000004</v>
      </c>
      <c r="AJ290" s="39"/>
      <c r="AK290" s="39"/>
      <c r="AL290" s="39"/>
      <c r="AM290" s="39">
        <f>AE$276*AI290+SUM(AJ290:AL290)</f>
        <v>2.2923703125000001</v>
      </c>
      <c r="AN290" s="3" t="s">
        <v>92</v>
      </c>
      <c r="AO290" s="3" t="s">
        <v>92</v>
      </c>
      <c r="AP290" s="3" t="s">
        <v>92</v>
      </c>
      <c r="AQ290" s="3" t="s">
        <v>92</v>
      </c>
      <c r="AR290" s="3" t="s">
        <v>92</v>
      </c>
      <c r="AS290" s="3" t="s">
        <v>92</v>
      </c>
      <c r="AT290" s="3" t="s">
        <v>92</v>
      </c>
      <c r="AU290" s="3" t="s">
        <v>92</v>
      </c>
      <c r="AV290" s="3" t="s">
        <v>92</v>
      </c>
      <c r="AW290" s="3" t="s">
        <v>92</v>
      </c>
      <c r="AX290" s="1414" t="s">
        <v>92</v>
      </c>
      <c r="AY290" s="3"/>
      <c r="AZ290" s="139"/>
      <c r="BA290" s="139"/>
      <c r="BB290" s="139"/>
      <c r="BC290" s="139"/>
      <c r="BD290" s="139"/>
      <c r="BE290" s="3"/>
    </row>
    <row r="291" spans="1:57" ht="15" customHeight="1" x14ac:dyDescent="0.4">
      <c r="A291" s="3"/>
      <c r="B291" s="4"/>
      <c r="C291" s="155"/>
      <c r="D291" s="36"/>
      <c r="E291" s="155"/>
      <c r="F291" s="1490" t="s">
        <v>2140</v>
      </c>
      <c r="G291" s="7"/>
      <c r="H291" s="20"/>
      <c r="I291" s="3"/>
      <c r="J291" s="3"/>
      <c r="K291" s="3"/>
      <c r="L291" s="3"/>
      <c r="M291" s="5"/>
      <c r="N291" s="5"/>
      <c r="O291" s="5"/>
      <c r="P291" s="5"/>
      <c r="Q291" s="5"/>
      <c r="R291" s="3"/>
      <c r="S291" s="5"/>
      <c r="T291" s="3"/>
      <c r="U291" s="20"/>
      <c r="V291" s="38" t="s">
        <v>369</v>
      </c>
      <c r="W291" s="3" t="s">
        <v>373</v>
      </c>
      <c r="X291" s="38" t="s">
        <v>369</v>
      </c>
      <c r="Y291" s="1443">
        <v>200237033</v>
      </c>
      <c r="Z291" s="1443"/>
      <c r="AA291" s="1443"/>
      <c r="AB291" s="20"/>
      <c r="AC291" s="3"/>
      <c r="AD291" s="3"/>
      <c r="AE291" s="5"/>
      <c r="AF291" s="3"/>
      <c r="AG291" s="38"/>
      <c r="AH291" s="5"/>
      <c r="AI291" s="994">
        <f>AI279</f>
        <v>0.70960000000000001</v>
      </c>
      <c r="AJ291" s="39"/>
      <c r="AK291" s="39"/>
      <c r="AL291" s="39"/>
      <c r="AM291" s="39">
        <f>AE$276*AI291+SUM(AJ291:AL291)</f>
        <v>2.4725125000000001</v>
      </c>
      <c r="AN291" s="3" t="s">
        <v>92</v>
      </c>
      <c r="AO291" s="3" t="s">
        <v>92</v>
      </c>
      <c r="AP291" s="3" t="s">
        <v>92</v>
      </c>
      <c r="AQ291" s="3" t="s">
        <v>92</v>
      </c>
      <c r="AR291" s="3" t="s">
        <v>92</v>
      </c>
      <c r="AS291" s="3" t="s">
        <v>92</v>
      </c>
      <c r="AT291" s="3" t="s">
        <v>92</v>
      </c>
      <c r="AU291" s="3" t="s">
        <v>92</v>
      </c>
      <c r="AV291" s="3" t="s">
        <v>92</v>
      </c>
      <c r="AW291" s="3" t="s">
        <v>92</v>
      </c>
      <c r="AX291" s="1414" t="s">
        <v>92</v>
      </c>
      <c r="AY291" s="3"/>
      <c r="AZ291" s="139"/>
      <c r="BA291" s="139"/>
      <c r="BB291" s="139"/>
      <c r="BC291" s="139"/>
      <c r="BD291" s="139"/>
      <c r="BE291" s="3"/>
    </row>
    <row r="292" spans="1:57" ht="15.75" customHeight="1" x14ac:dyDescent="0.4">
      <c r="A292" s="3"/>
      <c r="B292" s="4"/>
      <c r="C292" s="36"/>
      <c r="D292" s="155"/>
      <c r="E292" s="155"/>
      <c r="F292" s="155"/>
      <c r="G292" s="7"/>
      <c r="H292" s="20"/>
      <c r="I292" s="3"/>
      <c r="J292" s="3"/>
      <c r="K292" s="3"/>
      <c r="L292" s="3"/>
      <c r="M292" s="5"/>
      <c r="N292" s="5"/>
      <c r="O292" s="5"/>
      <c r="P292" s="24"/>
      <c r="Q292" s="24"/>
      <c r="R292" s="3"/>
      <c r="S292" s="5"/>
      <c r="T292" s="3"/>
      <c r="U292" s="20"/>
      <c r="V292" s="3" t="s">
        <v>2363</v>
      </c>
      <c r="W292" s="3" t="s">
        <v>370</v>
      </c>
      <c r="X292" s="38" t="s">
        <v>369</v>
      </c>
      <c r="Y292" s="1443">
        <v>200237127</v>
      </c>
      <c r="Z292" s="1443"/>
      <c r="AA292" s="1443"/>
      <c r="AB292" s="20"/>
      <c r="AC292" s="3"/>
      <c r="AD292" s="3"/>
      <c r="AE292" s="5"/>
      <c r="AF292" s="3"/>
      <c r="AG292" s="3"/>
      <c r="AH292" s="5"/>
      <c r="AI292" s="994">
        <f>AI280</f>
        <v>0.81020000000000003</v>
      </c>
      <c r="AJ292" s="39"/>
      <c r="AK292" s="39"/>
      <c r="AL292" s="39"/>
      <c r="AM292" s="39">
        <f t="shared" ref="AM292:AM293" si="53">AE$219*AI292+SUM(AJ292:AL292)</f>
        <v>10.600116666666668</v>
      </c>
      <c r="AN292" s="3" t="s">
        <v>92</v>
      </c>
      <c r="AO292" s="3" t="s">
        <v>92</v>
      </c>
      <c r="AP292" s="3" t="s">
        <v>92</v>
      </c>
      <c r="AQ292" s="3" t="s">
        <v>92</v>
      </c>
      <c r="AR292" s="3" t="s">
        <v>92</v>
      </c>
      <c r="AS292" s="3" t="s">
        <v>92</v>
      </c>
      <c r="AT292" s="3" t="s">
        <v>92</v>
      </c>
      <c r="AU292" s="3" t="s">
        <v>92</v>
      </c>
      <c r="AV292" s="3" t="s">
        <v>92</v>
      </c>
      <c r="AW292" s="3" t="s">
        <v>92</v>
      </c>
      <c r="AX292" s="1414" t="s">
        <v>92</v>
      </c>
      <c r="AY292" s="3"/>
      <c r="AZ292" s="139"/>
      <c r="BA292" s="139"/>
      <c r="BB292" s="139"/>
      <c r="BC292" s="139"/>
      <c r="BD292" s="139"/>
      <c r="BE292" s="3"/>
    </row>
    <row r="293" spans="1:57" ht="15.75" customHeight="1" thickBot="1" x14ac:dyDescent="0.45">
      <c r="A293" s="3"/>
      <c r="B293" s="4"/>
      <c r="C293" s="943"/>
      <c r="D293" s="925"/>
      <c r="E293" s="925"/>
      <c r="F293" s="925"/>
      <c r="G293" s="924"/>
      <c r="H293" s="887"/>
      <c r="I293" s="889"/>
      <c r="J293" s="889"/>
      <c r="K293" s="889"/>
      <c r="L293" s="889"/>
      <c r="M293" s="945"/>
      <c r="N293" s="945"/>
      <c r="O293" s="945"/>
      <c r="P293" s="1020"/>
      <c r="Q293" s="1020"/>
      <c r="R293" s="889"/>
      <c r="S293" s="945"/>
      <c r="T293" s="889"/>
      <c r="U293" s="887"/>
      <c r="V293" s="889" t="s">
        <v>2365</v>
      </c>
      <c r="W293" s="889" t="s">
        <v>370</v>
      </c>
      <c r="X293" s="888" t="s">
        <v>369</v>
      </c>
      <c r="Y293" s="1444">
        <v>200237180</v>
      </c>
      <c r="Z293" s="1444"/>
      <c r="AA293" s="1444"/>
      <c r="AB293" s="887"/>
      <c r="AC293" s="889"/>
      <c r="AD293" s="889"/>
      <c r="AE293" s="945"/>
      <c r="AF293" s="889"/>
      <c r="AG293" s="889"/>
      <c r="AH293" s="945"/>
      <c r="AI293" s="1429">
        <f>AI281</f>
        <v>0.87970000000000004</v>
      </c>
      <c r="AJ293" s="947"/>
      <c r="AK293" s="947"/>
      <c r="AL293" s="947"/>
      <c r="AM293" s="947">
        <f t="shared" si="53"/>
        <v>11.509408333333335</v>
      </c>
      <c r="AN293" s="889" t="s">
        <v>92</v>
      </c>
      <c r="AO293" s="889" t="s">
        <v>92</v>
      </c>
      <c r="AP293" s="889" t="s">
        <v>92</v>
      </c>
      <c r="AQ293" s="889" t="s">
        <v>92</v>
      </c>
      <c r="AR293" s="889" t="s">
        <v>92</v>
      </c>
      <c r="AS293" s="889" t="s">
        <v>92</v>
      </c>
      <c r="AT293" s="889" t="s">
        <v>92</v>
      </c>
      <c r="AU293" s="889" t="s">
        <v>92</v>
      </c>
      <c r="AV293" s="889" t="s">
        <v>92</v>
      </c>
      <c r="AW293" s="889" t="s">
        <v>92</v>
      </c>
      <c r="AX293" s="1590" t="s">
        <v>92</v>
      </c>
      <c r="AY293" s="889"/>
      <c r="AZ293" s="139"/>
      <c r="BA293" s="139"/>
      <c r="BB293" s="139"/>
      <c r="BC293" s="139"/>
      <c r="BD293" s="139"/>
      <c r="BE293" s="3"/>
    </row>
    <row r="294" spans="1:57" ht="15.75" customHeight="1" x14ac:dyDescent="0.4">
      <c r="A294" s="3"/>
      <c r="B294" s="4"/>
      <c r="C294" s="8" t="s">
        <v>1946</v>
      </c>
      <c r="D294" s="155"/>
      <c r="E294" s="155"/>
      <c r="F294" s="155"/>
      <c r="G294" s="7"/>
      <c r="H294" s="20"/>
      <c r="I294" s="3"/>
      <c r="J294" s="3"/>
      <c r="K294" s="3"/>
      <c r="L294" s="3"/>
      <c r="M294" s="5"/>
      <c r="N294" s="5"/>
      <c r="O294" s="5"/>
      <c r="P294" s="24"/>
      <c r="Q294" s="24"/>
      <c r="R294" s="3"/>
      <c r="S294" s="5"/>
      <c r="T294" s="3"/>
      <c r="U294" s="20"/>
      <c r="V294" s="571" t="s">
        <v>369</v>
      </c>
      <c r="W294" s="572" t="s">
        <v>370</v>
      </c>
      <c r="X294" s="571" t="s">
        <v>369</v>
      </c>
      <c r="Y294" s="1824">
        <v>200237003001</v>
      </c>
      <c r="Z294" s="1550"/>
      <c r="AA294" s="1550"/>
      <c r="AB294" s="20"/>
      <c r="AC294" s="3"/>
      <c r="AD294" s="3"/>
      <c r="AE294" s="5"/>
      <c r="AF294" s="3"/>
      <c r="AG294" s="3"/>
      <c r="AH294" s="5"/>
      <c r="AI294" s="51"/>
      <c r="AJ294" s="39"/>
      <c r="AK294" s="39"/>
      <c r="AL294" s="39"/>
      <c r="AM294" s="39"/>
      <c r="AN294" s="3" t="s">
        <v>92</v>
      </c>
      <c r="AO294" s="3" t="s">
        <v>92</v>
      </c>
      <c r="AP294" s="3" t="s">
        <v>92</v>
      </c>
      <c r="AQ294" s="3" t="s">
        <v>92</v>
      </c>
      <c r="AR294" s="3" t="s">
        <v>92</v>
      </c>
      <c r="AS294" s="3" t="s">
        <v>92</v>
      </c>
      <c r="AT294" s="3" t="s">
        <v>92</v>
      </c>
      <c r="AU294" s="3" t="s">
        <v>92</v>
      </c>
      <c r="AV294" s="3" t="s">
        <v>92</v>
      </c>
      <c r="AW294" s="3" t="s">
        <v>92</v>
      </c>
      <c r="AX294" s="1414" t="s">
        <v>92</v>
      </c>
      <c r="AY294" s="3"/>
      <c r="AZ294" s="139"/>
      <c r="BA294" s="139"/>
      <c r="BB294" s="139"/>
      <c r="BC294" s="139"/>
      <c r="BD294" s="139"/>
      <c r="BE294" s="3"/>
    </row>
    <row r="295" spans="1:57" ht="15.75" customHeight="1" x14ac:dyDescent="0.4">
      <c r="A295" s="3"/>
      <c r="B295" s="4"/>
      <c r="C295" s="36"/>
      <c r="D295" s="155"/>
      <c r="E295" s="155"/>
      <c r="F295" s="155"/>
      <c r="G295" s="7"/>
      <c r="H295" s="20"/>
      <c r="I295" s="3"/>
      <c r="J295" s="3"/>
      <c r="K295" s="3"/>
      <c r="L295" s="3"/>
      <c r="M295" s="5"/>
      <c r="N295" s="5"/>
      <c r="O295" s="5"/>
      <c r="P295" s="24"/>
      <c r="Q295" s="24"/>
      <c r="R295" s="3"/>
      <c r="S295" s="5"/>
      <c r="T295" s="3"/>
      <c r="U295" s="20"/>
      <c r="V295" s="571" t="s">
        <v>369</v>
      </c>
      <c r="W295" s="572" t="s">
        <v>372</v>
      </c>
      <c r="X295" s="571" t="s">
        <v>369</v>
      </c>
      <c r="Y295" s="1824">
        <v>200237021001</v>
      </c>
      <c r="Z295" s="1550"/>
      <c r="AA295" s="1550"/>
      <c r="AB295" s="20"/>
      <c r="AC295" s="3"/>
      <c r="AD295" s="3"/>
      <c r="AE295" s="5"/>
      <c r="AF295" s="3"/>
      <c r="AG295" s="3"/>
      <c r="AH295" s="5"/>
      <c r="AI295" s="51"/>
      <c r="AJ295" s="39"/>
      <c r="AK295" s="39"/>
      <c r="AL295" s="39"/>
      <c r="AM295" s="39"/>
      <c r="AN295" s="3" t="s">
        <v>92</v>
      </c>
      <c r="AO295" s="3" t="s">
        <v>92</v>
      </c>
      <c r="AP295" s="3" t="s">
        <v>92</v>
      </c>
      <c r="AQ295" s="3" t="s">
        <v>92</v>
      </c>
      <c r="AR295" s="3" t="s">
        <v>92</v>
      </c>
      <c r="AS295" s="3" t="s">
        <v>92</v>
      </c>
      <c r="AT295" s="3" t="s">
        <v>92</v>
      </c>
      <c r="AU295" s="3" t="s">
        <v>92</v>
      </c>
      <c r="AV295" s="3" t="s">
        <v>92</v>
      </c>
      <c r="AW295" s="3" t="s">
        <v>92</v>
      </c>
      <c r="AX295" s="1414" t="s">
        <v>92</v>
      </c>
      <c r="AY295" s="3"/>
      <c r="AZ295" s="139"/>
      <c r="BA295" s="139"/>
      <c r="BB295" s="139"/>
      <c r="BC295" s="139"/>
      <c r="BD295" s="139"/>
      <c r="BE295" s="3"/>
    </row>
    <row r="296" spans="1:57" ht="15.75" customHeight="1" x14ac:dyDescent="0.4">
      <c r="A296" s="3"/>
      <c r="B296" s="4"/>
      <c r="C296" s="36"/>
      <c r="D296" s="155"/>
      <c r="E296" s="155"/>
      <c r="F296" s="155"/>
      <c r="G296" s="7"/>
      <c r="H296" s="20"/>
      <c r="I296" s="3"/>
      <c r="J296" s="3"/>
      <c r="K296" s="3"/>
      <c r="L296" s="3"/>
      <c r="M296" s="5"/>
      <c r="N296" s="5"/>
      <c r="O296" s="5"/>
      <c r="P296" s="24"/>
      <c r="Q296" s="24"/>
      <c r="R296" s="3"/>
      <c r="S296" s="5"/>
      <c r="T296" s="3"/>
      <c r="U296" s="20"/>
      <c r="V296" s="571" t="s">
        <v>369</v>
      </c>
      <c r="W296" s="572" t="s">
        <v>373</v>
      </c>
      <c r="X296" s="571" t="s">
        <v>369</v>
      </c>
      <c r="Y296" s="1824">
        <v>200237033001</v>
      </c>
      <c r="Z296" s="1550"/>
      <c r="AA296" s="1550"/>
      <c r="AB296" s="20"/>
      <c r="AC296" s="3"/>
      <c r="AD296" s="3"/>
      <c r="AE296" s="5"/>
      <c r="AF296" s="3"/>
      <c r="AG296" s="3"/>
      <c r="AH296" s="5"/>
      <c r="AI296" s="51"/>
      <c r="AJ296" s="39"/>
      <c r="AK296" s="39"/>
      <c r="AL296" s="39"/>
      <c r="AM296" s="39"/>
      <c r="AN296" s="3" t="s">
        <v>92</v>
      </c>
      <c r="AO296" s="3" t="s">
        <v>92</v>
      </c>
      <c r="AP296" s="3" t="s">
        <v>92</v>
      </c>
      <c r="AQ296" s="3" t="s">
        <v>92</v>
      </c>
      <c r="AR296" s="3" t="s">
        <v>92</v>
      </c>
      <c r="AS296" s="3" t="s">
        <v>92</v>
      </c>
      <c r="AT296" s="3" t="s">
        <v>92</v>
      </c>
      <c r="AU296" s="3" t="s">
        <v>92</v>
      </c>
      <c r="AV296" s="3" t="s">
        <v>92</v>
      </c>
      <c r="AW296" s="3" t="s">
        <v>92</v>
      </c>
      <c r="AX296" s="1414" t="s">
        <v>92</v>
      </c>
      <c r="AY296" s="3"/>
      <c r="AZ296" s="139"/>
      <c r="BA296" s="139"/>
      <c r="BB296" s="139"/>
      <c r="BC296" s="139"/>
      <c r="BD296" s="139"/>
      <c r="BE296" s="3"/>
    </row>
    <row r="297" spans="1:57" ht="15.75" customHeight="1" x14ac:dyDescent="0.4">
      <c r="A297" s="3"/>
      <c r="B297" s="4"/>
      <c r="C297" s="36"/>
      <c r="D297" s="155"/>
      <c r="E297" s="155"/>
      <c r="F297" s="155"/>
      <c r="G297" s="7"/>
      <c r="H297" s="20"/>
      <c r="I297" s="3"/>
      <c r="J297" s="3"/>
      <c r="K297" s="3"/>
      <c r="L297" s="3"/>
      <c r="M297" s="5"/>
      <c r="N297" s="5"/>
      <c r="O297" s="5"/>
      <c r="P297" s="24"/>
      <c r="Q297" s="24"/>
      <c r="R297" s="3"/>
      <c r="S297" s="5"/>
      <c r="T297" s="3"/>
      <c r="U297" s="20"/>
      <c r="V297" s="572" t="s">
        <v>2363</v>
      </c>
      <c r="W297" s="572" t="s">
        <v>370</v>
      </c>
      <c r="X297" s="571" t="s">
        <v>369</v>
      </c>
      <c r="Y297" s="1824">
        <v>200237127001</v>
      </c>
      <c r="Z297" s="1550"/>
      <c r="AA297" s="1550"/>
      <c r="AB297" s="20"/>
      <c r="AC297" s="3"/>
      <c r="AD297" s="3"/>
      <c r="AE297" s="5"/>
      <c r="AF297" s="3"/>
      <c r="AG297" s="3"/>
      <c r="AH297" s="5"/>
      <c r="AI297" s="51"/>
      <c r="AJ297" s="39"/>
      <c r="AK297" s="39"/>
      <c r="AL297" s="39"/>
      <c r="AM297" s="39"/>
      <c r="AN297" s="3" t="s">
        <v>92</v>
      </c>
      <c r="AO297" s="3" t="s">
        <v>92</v>
      </c>
      <c r="AP297" s="3" t="s">
        <v>92</v>
      </c>
      <c r="AQ297" s="3" t="s">
        <v>92</v>
      </c>
      <c r="AR297" s="3" t="s">
        <v>92</v>
      </c>
      <c r="AS297" s="3" t="s">
        <v>92</v>
      </c>
      <c r="AT297" s="3" t="s">
        <v>92</v>
      </c>
      <c r="AU297" s="3" t="s">
        <v>92</v>
      </c>
      <c r="AV297" s="3" t="s">
        <v>92</v>
      </c>
      <c r="AW297" s="3" t="s">
        <v>92</v>
      </c>
      <c r="AX297" s="1414" t="s">
        <v>92</v>
      </c>
      <c r="AY297" s="3"/>
      <c r="AZ297" s="139"/>
      <c r="BA297" s="139"/>
      <c r="BB297" s="139"/>
      <c r="BC297" s="139"/>
      <c r="BD297" s="139"/>
      <c r="BE297" s="3"/>
    </row>
    <row r="298" spans="1:57" ht="15.75" customHeight="1" thickBot="1" x14ac:dyDescent="0.45">
      <c r="A298" s="3"/>
      <c r="B298" s="4"/>
      <c r="C298" s="943"/>
      <c r="D298" s="925"/>
      <c r="E298" s="925"/>
      <c r="F298" s="925"/>
      <c r="G298" s="7"/>
      <c r="H298" s="20"/>
      <c r="I298" s="3"/>
      <c r="J298" s="3"/>
      <c r="K298" s="3"/>
      <c r="L298" s="3"/>
      <c r="M298" s="5"/>
      <c r="N298" s="5"/>
      <c r="O298" s="5"/>
      <c r="P298" s="24"/>
      <c r="Q298" s="24"/>
      <c r="R298" s="3"/>
      <c r="S298" s="5"/>
      <c r="T298" s="3"/>
      <c r="U298" s="20"/>
      <c r="V298" s="1189" t="s">
        <v>2365</v>
      </c>
      <c r="W298" s="1189" t="s">
        <v>370</v>
      </c>
      <c r="X298" s="1188" t="s">
        <v>369</v>
      </c>
      <c r="Y298" s="1825">
        <v>200237134001</v>
      </c>
      <c r="Z298" s="1550"/>
      <c r="AA298" s="1550"/>
      <c r="AB298" s="20"/>
      <c r="AC298" s="3"/>
      <c r="AD298" s="3"/>
      <c r="AE298" s="5"/>
      <c r="AF298" s="3"/>
      <c r="AG298" s="3"/>
      <c r="AH298" s="5"/>
      <c r="AI298" s="51"/>
      <c r="AJ298" s="39"/>
      <c r="AK298" s="39"/>
      <c r="AL298" s="39"/>
      <c r="AM298" s="39"/>
      <c r="AN298" s="889" t="s">
        <v>92</v>
      </c>
      <c r="AO298" s="889" t="s">
        <v>92</v>
      </c>
      <c r="AP298" s="889" t="s">
        <v>92</v>
      </c>
      <c r="AQ298" s="889" t="s">
        <v>92</v>
      </c>
      <c r="AR298" s="889" t="s">
        <v>92</v>
      </c>
      <c r="AS298" s="889" t="s">
        <v>92</v>
      </c>
      <c r="AT298" s="889" t="s">
        <v>92</v>
      </c>
      <c r="AU298" s="889" t="s">
        <v>92</v>
      </c>
      <c r="AV298" s="889" t="s">
        <v>92</v>
      </c>
      <c r="AW298" s="889" t="s">
        <v>92</v>
      </c>
      <c r="AX298" s="1590" t="s">
        <v>92</v>
      </c>
      <c r="AY298" s="889"/>
      <c r="AZ298" s="139"/>
      <c r="BA298" s="139"/>
      <c r="BB298" s="139"/>
      <c r="BC298" s="139"/>
      <c r="BD298" s="139"/>
      <c r="BE298" s="3"/>
    </row>
    <row r="299" spans="1:57" ht="15" customHeight="1" x14ac:dyDescent="0.4">
      <c r="A299" s="3"/>
      <c r="B299" s="4"/>
      <c r="C299" s="173" t="s">
        <v>397</v>
      </c>
      <c r="D299" s="181"/>
      <c r="E299" s="182"/>
      <c r="F299" s="182"/>
      <c r="G299" s="430" t="s">
        <v>383</v>
      </c>
      <c r="H299" s="175"/>
      <c r="I299" s="116" t="s">
        <v>392</v>
      </c>
      <c r="J299" s="116"/>
      <c r="K299" s="116"/>
      <c r="L299" s="116" t="s">
        <v>348</v>
      </c>
      <c r="M299" s="177">
        <v>3</v>
      </c>
      <c r="N299" s="177" t="s">
        <v>348</v>
      </c>
      <c r="O299" s="177">
        <f>0.25</f>
        <v>0.25</v>
      </c>
      <c r="P299" s="178"/>
      <c r="Q299" s="178"/>
      <c r="R299" s="116" t="s">
        <v>352</v>
      </c>
      <c r="S299" s="177">
        <f>SHWidth+M299+O299</f>
        <v>41.8125</v>
      </c>
      <c r="T299" s="116" t="s">
        <v>366</v>
      </c>
      <c r="U299" s="175"/>
      <c r="V299" s="179"/>
      <c r="W299" s="116"/>
      <c r="X299" s="179"/>
      <c r="Y299" s="184"/>
      <c r="Z299" s="184"/>
      <c r="AA299" s="184"/>
      <c r="AB299" s="175"/>
      <c r="AC299" s="116">
        <v>45</v>
      </c>
      <c r="AD299" s="116">
        <v>1</v>
      </c>
      <c r="AE299" s="177">
        <f>S299*AD299/12</f>
        <v>3.484375</v>
      </c>
      <c r="AF299" s="116" t="s">
        <v>367</v>
      </c>
      <c r="AG299" s="177">
        <f>AG254</f>
        <v>0.08</v>
      </c>
      <c r="AH299" s="177">
        <f>AG299*AtolbperftSH</f>
        <v>5.0599999999999999E-2</v>
      </c>
      <c r="AI299" s="185"/>
      <c r="AJ299" s="185"/>
      <c r="AK299" s="185"/>
      <c r="AL299" s="185"/>
      <c r="AM299" s="180"/>
      <c r="AN299" s="3" t="s">
        <v>92</v>
      </c>
      <c r="AO299" s="3" t="s">
        <v>92</v>
      </c>
      <c r="AP299" s="3" t="s">
        <v>92</v>
      </c>
      <c r="AQ299" s="3" t="s">
        <v>92</v>
      </c>
      <c r="AR299" s="3" t="s">
        <v>371</v>
      </c>
      <c r="AS299" s="3" t="s">
        <v>371</v>
      </c>
      <c r="AT299" s="3" t="s">
        <v>92</v>
      </c>
      <c r="AU299" s="3" t="s">
        <v>92</v>
      </c>
      <c r="AV299" s="3" t="s">
        <v>92</v>
      </c>
      <c r="AW299" s="3" t="s">
        <v>371</v>
      </c>
      <c r="AX299" s="1414" t="s">
        <v>92</v>
      </c>
      <c r="AY299" s="3"/>
      <c r="AZ299" s="139"/>
      <c r="BA299" s="139"/>
      <c r="BB299" s="139"/>
      <c r="BC299" s="139"/>
      <c r="BD299" s="139"/>
      <c r="BE299" s="3"/>
    </row>
    <row r="300" spans="1:57" ht="15" customHeight="1" x14ac:dyDescent="0.4">
      <c r="A300" s="3"/>
      <c r="B300" s="36"/>
      <c r="C300" s="36"/>
      <c r="D300" s="155"/>
      <c r="E300" s="155"/>
      <c r="F300" s="155"/>
      <c r="G300" s="7"/>
      <c r="H300" s="20"/>
      <c r="I300" s="3"/>
      <c r="J300" s="3"/>
      <c r="K300" s="3"/>
      <c r="L300" s="3"/>
      <c r="M300" s="5"/>
      <c r="N300" s="5"/>
      <c r="O300" s="5"/>
      <c r="P300" s="24"/>
      <c r="Q300" s="24"/>
      <c r="R300" s="3"/>
      <c r="S300" s="5"/>
      <c r="T300" s="3"/>
      <c r="U300" s="20"/>
      <c r="V300" s="38" t="s">
        <v>369</v>
      </c>
      <c r="W300" s="3" t="s">
        <v>370</v>
      </c>
      <c r="X300" s="38" t="s">
        <v>369</v>
      </c>
      <c r="Y300" s="1443">
        <v>200114003</v>
      </c>
      <c r="Z300" s="1443"/>
      <c r="AA300" s="1443"/>
      <c r="AB300" s="20"/>
      <c r="AC300" s="3"/>
      <c r="AD300" s="3"/>
      <c r="AE300" s="5"/>
      <c r="AF300" s="3"/>
      <c r="AG300" s="38"/>
      <c r="AH300" s="5"/>
      <c r="AI300" s="51">
        <f>AI255</f>
        <v>9.3600000000000003E-2</v>
      </c>
      <c r="AJ300" s="39"/>
      <c r="AK300" s="39"/>
      <c r="AL300" s="39"/>
      <c r="AM300" s="39">
        <f>AE$299*AI300+SUM(AJ300:AL300)</f>
        <v>0.32613750000000002</v>
      </c>
      <c r="AN300" s="3" t="s">
        <v>92</v>
      </c>
      <c r="AO300" s="3" t="s">
        <v>92</v>
      </c>
      <c r="AP300" s="3" t="s">
        <v>92</v>
      </c>
      <c r="AQ300" s="3" t="s">
        <v>92</v>
      </c>
      <c r="AR300" s="3" t="s">
        <v>371</v>
      </c>
      <c r="AS300" s="3" t="s">
        <v>371</v>
      </c>
      <c r="AT300" s="3" t="s">
        <v>92</v>
      </c>
      <c r="AU300" s="3" t="s">
        <v>92</v>
      </c>
      <c r="AV300" s="3" t="s">
        <v>92</v>
      </c>
      <c r="AW300" s="3" t="s">
        <v>371</v>
      </c>
      <c r="AX300" s="1414" t="s">
        <v>92</v>
      </c>
      <c r="AY300" s="3"/>
      <c r="AZ300" s="139"/>
      <c r="BA300" s="139"/>
      <c r="BB300" s="139"/>
      <c r="BC300" s="139"/>
      <c r="BD300" s="139"/>
      <c r="BE300" s="3"/>
    </row>
    <row r="301" spans="1:57" ht="15" customHeight="1" x14ac:dyDescent="0.4">
      <c r="A301" s="3"/>
      <c r="B301" s="36"/>
      <c r="C301" s="36"/>
      <c r="D301" s="155"/>
      <c r="E301" s="155"/>
      <c r="F301" s="155"/>
      <c r="G301" s="7"/>
      <c r="H301" s="20"/>
      <c r="I301" s="3"/>
      <c r="J301" s="3"/>
      <c r="K301" s="3"/>
      <c r="L301" s="3"/>
      <c r="M301" s="5"/>
      <c r="N301" s="5"/>
      <c r="O301" s="5"/>
      <c r="P301" s="24"/>
      <c r="Q301" s="24"/>
      <c r="R301" s="3"/>
      <c r="S301" s="5"/>
      <c r="T301" s="3"/>
      <c r="U301" s="20"/>
      <c r="V301" s="38" t="s">
        <v>369</v>
      </c>
      <c r="W301" s="3" t="s">
        <v>372</v>
      </c>
      <c r="X301" s="38" t="s">
        <v>369</v>
      </c>
      <c r="Y301" s="1443">
        <v>200114021</v>
      </c>
      <c r="Z301" s="1443"/>
      <c r="AA301" s="1443"/>
      <c r="AB301" s="20"/>
      <c r="AC301" s="3"/>
      <c r="AD301" s="3"/>
      <c r="AE301" s="5"/>
      <c r="AF301" s="3"/>
      <c r="AG301" s="3"/>
      <c r="AH301" s="5"/>
      <c r="AI301" s="51">
        <f>AI256</f>
        <v>0.10050000000000001</v>
      </c>
      <c r="AJ301" s="39"/>
      <c r="AK301" s="39"/>
      <c r="AL301" s="39"/>
      <c r="AM301" s="39">
        <f t="shared" ref="AM301:AM302" si="54">AE$299*AI301+SUM(AJ301:AL301)</f>
        <v>0.3501796875</v>
      </c>
      <c r="AN301" s="3" t="s">
        <v>92</v>
      </c>
      <c r="AO301" s="3" t="s">
        <v>92</v>
      </c>
      <c r="AP301" s="3" t="s">
        <v>92</v>
      </c>
      <c r="AQ301" s="3" t="s">
        <v>92</v>
      </c>
      <c r="AR301" s="3" t="s">
        <v>371</v>
      </c>
      <c r="AS301" s="3" t="s">
        <v>371</v>
      </c>
      <c r="AT301" s="3" t="s">
        <v>92</v>
      </c>
      <c r="AU301" s="3" t="s">
        <v>92</v>
      </c>
      <c r="AV301" s="3" t="s">
        <v>92</v>
      </c>
      <c r="AW301" s="3" t="s">
        <v>371</v>
      </c>
      <c r="AX301" s="1414" t="s">
        <v>92</v>
      </c>
      <c r="AY301" s="3"/>
      <c r="AZ301" s="139"/>
      <c r="BA301" s="139"/>
      <c r="BB301" s="139"/>
      <c r="BC301" s="139"/>
      <c r="BD301" s="139"/>
      <c r="BE301" s="3"/>
    </row>
    <row r="302" spans="1:57" ht="15" customHeight="1" x14ac:dyDescent="0.4">
      <c r="A302" s="3"/>
      <c r="B302" s="36"/>
      <c r="C302" s="36"/>
      <c r="D302" s="155"/>
      <c r="E302" s="155"/>
      <c r="F302" s="155"/>
      <c r="G302" s="7"/>
      <c r="H302" s="20"/>
      <c r="I302" s="3"/>
      <c r="J302" s="3"/>
      <c r="K302" s="3"/>
      <c r="L302" s="3"/>
      <c r="M302" s="5"/>
      <c r="N302" s="5"/>
      <c r="O302" s="5"/>
      <c r="P302" s="24"/>
      <c r="Q302" s="24"/>
      <c r="R302" s="3"/>
      <c r="S302" s="5"/>
      <c r="T302" s="3"/>
      <c r="U302" s="20"/>
      <c r="V302" s="38" t="s">
        <v>369</v>
      </c>
      <c r="W302" s="3" t="s">
        <v>373</v>
      </c>
      <c r="X302" s="38" t="s">
        <v>369</v>
      </c>
      <c r="Y302" s="1443">
        <v>200114033</v>
      </c>
      <c r="Z302" s="1443"/>
      <c r="AA302" s="1443"/>
      <c r="AB302" s="20"/>
      <c r="AC302" s="3"/>
      <c r="AD302" s="3"/>
      <c r="AE302" s="5"/>
      <c r="AF302" s="3"/>
      <c r="AG302" s="3"/>
      <c r="AH302" s="5"/>
      <c r="AI302" s="51">
        <f>AI257</f>
        <v>0.1021</v>
      </c>
      <c r="AJ302" s="39"/>
      <c r="AK302" s="39"/>
      <c r="AL302" s="39"/>
      <c r="AM302" s="39">
        <f t="shared" si="54"/>
        <v>0.3557546875</v>
      </c>
      <c r="AN302" s="3" t="s">
        <v>92</v>
      </c>
      <c r="AO302" s="3" t="s">
        <v>92</v>
      </c>
      <c r="AP302" s="3" t="s">
        <v>92</v>
      </c>
      <c r="AQ302" s="3" t="s">
        <v>92</v>
      </c>
      <c r="AR302" s="3" t="s">
        <v>371</v>
      </c>
      <c r="AS302" s="3" t="s">
        <v>371</v>
      </c>
      <c r="AT302" s="3" t="s">
        <v>92</v>
      </c>
      <c r="AU302" s="3" t="s">
        <v>92</v>
      </c>
      <c r="AV302" s="3" t="s">
        <v>92</v>
      </c>
      <c r="AW302" s="3" t="s">
        <v>371</v>
      </c>
      <c r="AX302" s="1414" t="s">
        <v>92</v>
      </c>
      <c r="AY302" s="3"/>
      <c r="AZ302" s="139"/>
      <c r="BA302" s="139"/>
      <c r="BB302" s="139"/>
      <c r="BC302" s="139"/>
      <c r="BD302" s="139"/>
      <c r="BE302" s="3"/>
    </row>
    <row r="303" spans="1:57" ht="15" customHeight="1" x14ac:dyDescent="0.4">
      <c r="A303" s="3"/>
      <c r="B303" s="36"/>
      <c r="C303" s="36"/>
      <c r="D303" s="155"/>
      <c r="E303" s="155"/>
      <c r="F303" s="155"/>
      <c r="G303" s="7"/>
      <c r="H303" s="20"/>
      <c r="I303" s="3"/>
      <c r="J303" s="3"/>
      <c r="K303" s="3"/>
      <c r="L303" s="3"/>
      <c r="M303" s="5"/>
      <c r="N303" s="5"/>
      <c r="O303" s="5"/>
      <c r="P303" s="24"/>
      <c r="Q303" s="24"/>
      <c r="R303" s="3"/>
      <c r="S303" s="5"/>
      <c r="T303" s="3"/>
      <c r="U303" s="20"/>
      <c r="V303" s="38" t="s">
        <v>369</v>
      </c>
      <c r="W303" s="3" t="s">
        <v>374</v>
      </c>
      <c r="X303" s="38" t="s">
        <v>369</v>
      </c>
      <c r="Y303" s="1443">
        <v>200114090</v>
      </c>
      <c r="Z303" s="1443"/>
      <c r="AA303" s="1443"/>
      <c r="AB303" s="20"/>
      <c r="AC303" s="3"/>
      <c r="AD303" s="3"/>
      <c r="AE303" s="5"/>
      <c r="AF303" s="3"/>
      <c r="AG303" s="3"/>
      <c r="AH303" s="5"/>
      <c r="AI303" s="51">
        <v>0.26579999999999998</v>
      </c>
      <c r="AJ303" s="39"/>
      <c r="AK303" s="39"/>
      <c r="AL303" s="39"/>
      <c r="AM303" s="39"/>
      <c r="AN303" s="3" t="s">
        <v>92</v>
      </c>
      <c r="AO303" s="3" t="s">
        <v>92</v>
      </c>
      <c r="AP303" s="3" t="s">
        <v>92</v>
      </c>
      <c r="AQ303" s="3" t="s">
        <v>92</v>
      </c>
      <c r="AR303" s="3" t="s">
        <v>371</v>
      </c>
      <c r="AS303" s="3" t="s">
        <v>371</v>
      </c>
      <c r="AT303" s="3" t="s">
        <v>92</v>
      </c>
      <c r="AU303" s="3" t="s">
        <v>92</v>
      </c>
      <c r="AV303" s="3" t="s">
        <v>92</v>
      </c>
      <c r="AW303" s="3" t="s">
        <v>371</v>
      </c>
      <c r="AX303" s="1414" t="s">
        <v>92</v>
      </c>
      <c r="AY303" s="3"/>
      <c r="AZ303" s="139"/>
      <c r="BA303" s="139"/>
      <c r="BB303" s="139"/>
      <c r="BC303" s="139"/>
      <c r="BD303" s="139"/>
      <c r="BE303" s="3"/>
    </row>
    <row r="304" spans="1:57" ht="15" customHeight="1" thickBot="1" x14ac:dyDescent="0.45">
      <c r="A304" s="3"/>
      <c r="B304" s="36"/>
      <c r="C304" s="36"/>
      <c r="D304" s="155"/>
      <c r="E304" s="155"/>
      <c r="F304" s="155"/>
      <c r="G304" s="7"/>
      <c r="H304" s="20"/>
      <c r="I304" s="3"/>
      <c r="J304" s="3"/>
      <c r="K304" s="3"/>
      <c r="L304" s="3"/>
      <c r="M304" s="5"/>
      <c r="N304" s="5"/>
      <c r="O304" s="5"/>
      <c r="P304" s="24"/>
      <c r="Q304" s="24"/>
      <c r="R304" s="3"/>
      <c r="S304" s="5"/>
      <c r="T304" s="3"/>
      <c r="U304" s="20"/>
      <c r="V304" s="888" t="s">
        <v>369</v>
      </c>
      <c r="W304" s="889" t="s">
        <v>375</v>
      </c>
      <c r="X304" s="888" t="s">
        <v>369</v>
      </c>
      <c r="Y304" s="1444">
        <v>200114133</v>
      </c>
      <c r="Z304" s="1443"/>
      <c r="AA304" s="1443"/>
      <c r="AB304" s="20"/>
      <c r="AC304" s="3"/>
      <c r="AD304" s="3"/>
      <c r="AE304" s="5"/>
      <c r="AF304" s="3"/>
      <c r="AG304" s="3"/>
      <c r="AH304" s="5"/>
      <c r="AI304" s="51">
        <v>0.28470000000000001</v>
      </c>
      <c r="AJ304" s="39"/>
      <c r="AK304" s="39"/>
      <c r="AL304" s="39"/>
      <c r="AM304" s="39"/>
      <c r="AN304" s="889" t="s">
        <v>92</v>
      </c>
      <c r="AO304" s="889" t="s">
        <v>92</v>
      </c>
      <c r="AP304" s="889" t="s">
        <v>92</v>
      </c>
      <c r="AQ304" s="889" t="s">
        <v>92</v>
      </c>
      <c r="AR304" s="889" t="s">
        <v>371</v>
      </c>
      <c r="AS304" s="889" t="s">
        <v>371</v>
      </c>
      <c r="AT304" s="889" t="s">
        <v>92</v>
      </c>
      <c r="AU304" s="889" t="s">
        <v>92</v>
      </c>
      <c r="AV304" s="889" t="s">
        <v>92</v>
      </c>
      <c r="AW304" s="889" t="s">
        <v>371</v>
      </c>
      <c r="AX304" s="1590" t="s">
        <v>92</v>
      </c>
      <c r="AY304" s="889"/>
      <c r="AZ304" s="139"/>
      <c r="BA304" s="139"/>
      <c r="BB304" s="139"/>
      <c r="BC304" s="139"/>
      <c r="BD304" s="139"/>
      <c r="BE304" s="3"/>
    </row>
    <row r="305" spans="1:57" ht="15" customHeight="1" x14ac:dyDescent="0.4">
      <c r="A305" s="3"/>
      <c r="B305" s="173"/>
      <c r="C305" s="173" t="s">
        <v>2292</v>
      </c>
      <c r="D305" s="116"/>
      <c r="E305" s="182"/>
      <c r="F305" s="182"/>
      <c r="G305" s="173"/>
      <c r="H305" s="175"/>
      <c r="I305" s="114" t="s">
        <v>399</v>
      </c>
      <c r="J305" s="116"/>
      <c r="K305" s="116"/>
      <c r="L305" s="116"/>
      <c r="M305" s="177"/>
      <c r="N305" s="177"/>
      <c r="O305" s="177"/>
      <c r="P305" s="177"/>
      <c r="Q305" s="177"/>
      <c r="R305" s="116"/>
      <c r="S305" s="177"/>
      <c r="T305" s="116"/>
      <c r="U305" s="175"/>
      <c r="V305" s="179"/>
      <c r="W305" s="116"/>
      <c r="X305" s="179"/>
      <c r="Y305" s="1449"/>
      <c r="Z305" s="1449"/>
      <c r="AA305" s="1449"/>
      <c r="AB305" s="175"/>
      <c r="AC305" s="116">
        <v>45</v>
      </c>
      <c r="AD305" s="116">
        <v>1</v>
      </c>
      <c r="AE305" s="177">
        <f>S305*AD305/12</f>
        <v>0</v>
      </c>
      <c r="AF305" s="116" t="s">
        <v>367</v>
      </c>
      <c r="AG305" s="179">
        <v>0</v>
      </c>
      <c r="AH305" s="177">
        <f>AG305*AtolbperftSH</f>
        <v>0</v>
      </c>
      <c r="AI305" s="185"/>
      <c r="AJ305" s="185"/>
      <c r="AK305" s="185"/>
      <c r="AL305" s="185"/>
      <c r="AM305" s="180"/>
      <c r="AN305" s="3" t="s">
        <v>92</v>
      </c>
      <c r="AO305" s="3" t="s">
        <v>92</v>
      </c>
      <c r="AP305" s="3" t="s">
        <v>92</v>
      </c>
      <c r="AQ305" s="3" t="s">
        <v>92</v>
      </c>
      <c r="AR305" s="3" t="s">
        <v>371</v>
      </c>
      <c r="AS305" s="3" t="s">
        <v>92</v>
      </c>
      <c r="AT305" s="3" t="s">
        <v>92</v>
      </c>
      <c r="AU305" s="3" t="s">
        <v>92</v>
      </c>
      <c r="AV305" s="3" t="s">
        <v>92</v>
      </c>
      <c r="AW305" s="3" t="s">
        <v>371</v>
      </c>
      <c r="AX305" s="1414" t="s">
        <v>92</v>
      </c>
      <c r="AY305" s="3"/>
      <c r="AZ305" s="139"/>
      <c r="BA305" s="139"/>
      <c r="BB305" s="139"/>
      <c r="BC305" s="139"/>
      <c r="BD305" s="139"/>
      <c r="BE305" s="3"/>
    </row>
    <row r="306" spans="1:57" ht="15" customHeight="1" x14ac:dyDescent="0.4">
      <c r="A306" s="3"/>
      <c r="B306" s="36"/>
      <c r="C306" s="155"/>
      <c r="D306" s="155"/>
      <c r="E306" s="4"/>
      <c r="F306" s="155"/>
      <c r="G306" s="7"/>
      <c r="H306" s="20"/>
      <c r="I306" s="3"/>
      <c r="J306" s="3"/>
      <c r="K306" s="3"/>
      <c r="L306" s="3"/>
      <c r="M306" s="5"/>
      <c r="N306" s="5"/>
      <c r="O306" s="5"/>
      <c r="P306" s="24"/>
      <c r="Q306" s="24"/>
      <c r="R306" s="3"/>
      <c r="S306" s="5"/>
      <c r="T306" s="3"/>
      <c r="U306" s="20"/>
      <c r="V306" s="38" t="s">
        <v>369</v>
      </c>
      <c r="W306" s="3" t="s">
        <v>370</v>
      </c>
      <c r="X306" s="38" t="s">
        <v>369</v>
      </c>
      <c r="Y306" s="1443">
        <v>200242003</v>
      </c>
      <c r="Z306" s="1443"/>
      <c r="AA306" s="1443"/>
      <c r="AB306" s="20"/>
      <c r="AC306" s="3"/>
      <c r="AD306" s="3"/>
      <c r="AE306" s="5"/>
      <c r="AF306" s="3"/>
      <c r="AG306" s="38"/>
      <c r="AH306" s="5"/>
      <c r="AI306" s="844">
        <v>0</v>
      </c>
      <c r="AJ306" s="39"/>
      <c r="AK306" s="39"/>
      <c r="AL306" s="39"/>
      <c r="AM306" s="39">
        <f>AE$264*AI306+SUM(AJ306:AL306)</f>
        <v>0</v>
      </c>
      <c r="AN306" s="3" t="s">
        <v>92</v>
      </c>
      <c r="AO306" s="3" t="s">
        <v>92</v>
      </c>
      <c r="AP306" s="3" t="s">
        <v>92</v>
      </c>
      <c r="AQ306" s="3" t="s">
        <v>92</v>
      </c>
      <c r="AR306" s="3" t="s">
        <v>371</v>
      </c>
      <c r="AS306" s="3" t="s">
        <v>92</v>
      </c>
      <c r="AT306" s="3" t="s">
        <v>92</v>
      </c>
      <c r="AU306" s="3" t="s">
        <v>92</v>
      </c>
      <c r="AV306" s="3" t="s">
        <v>92</v>
      </c>
      <c r="AW306" s="3" t="s">
        <v>371</v>
      </c>
      <c r="AX306" s="1414" t="s">
        <v>92</v>
      </c>
      <c r="AY306" s="3"/>
      <c r="AZ306" s="139"/>
      <c r="BA306" s="139"/>
      <c r="BB306" s="139"/>
      <c r="BC306" s="139"/>
      <c r="BD306" s="139"/>
      <c r="BE306" s="3"/>
    </row>
    <row r="307" spans="1:57" ht="15" customHeight="1" x14ac:dyDescent="0.4">
      <c r="A307" s="3"/>
      <c r="B307" s="36"/>
      <c r="C307" s="155"/>
      <c r="D307" s="155"/>
      <c r="E307" s="155"/>
      <c r="F307" s="155"/>
      <c r="G307" s="7"/>
      <c r="H307" s="20"/>
      <c r="I307" s="3"/>
      <c r="J307" s="3"/>
      <c r="K307" s="3"/>
      <c r="L307" s="3"/>
      <c r="M307" s="5"/>
      <c r="N307" s="5"/>
      <c r="O307" s="5"/>
      <c r="P307" s="5"/>
      <c r="Q307" s="5"/>
      <c r="R307" s="3"/>
      <c r="S307" s="5"/>
      <c r="T307" s="3"/>
      <c r="U307" s="20"/>
      <c r="V307" s="38" t="s">
        <v>369</v>
      </c>
      <c r="W307" s="3" t="s">
        <v>372</v>
      </c>
      <c r="X307" s="38" t="s">
        <v>369</v>
      </c>
      <c r="Y307" s="1443">
        <v>200242021</v>
      </c>
      <c r="Z307" s="1443"/>
      <c r="AA307" s="1443"/>
      <c r="AB307" s="20"/>
      <c r="AC307" s="3"/>
      <c r="AD307" s="3"/>
      <c r="AE307" s="5"/>
      <c r="AF307" s="3"/>
      <c r="AG307" s="38"/>
      <c r="AH307" s="5"/>
      <c r="AI307" s="844">
        <v>0</v>
      </c>
      <c r="AJ307" s="39"/>
      <c r="AK307" s="39"/>
      <c r="AL307" s="39"/>
      <c r="AM307" s="39">
        <f t="shared" ref="AM307:AM308" si="55">AE$264*AI307+SUM(AJ307:AL307)</f>
        <v>0</v>
      </c>
      <c r="AN307" s="3" t="s">
        <v>92</v>
      </c>
      <c r="AO307" s="3" t="s">
        <v>92</v>
      </c>
      <c r="AP307" s="3" t="s">
        <v>92</v>
      </c>
      <c r="AQ307" s="3" t="s">
        <v>92</v>
      </c>
      <c r="AR307" s="3" t="s">
        <v>371</v>
      </c>
      <c r="AS307" s="3" t="s">
        <v>92</v>
      </c>
      <c r="AT307" s="3" t="s">
        <v>92</v>
      </c>
      <c r="AU307" s="3" t="s">
        <v>92</v>
      </c>
      <c r="AV307" s="3" t="s">
        <v>92</v>
      </c>
      <c r="AW307" s="3" t="s">
        <v>371</v>
      </c>
      <c r="AX307" s="1414" t="s">
        <v>92</v>
      </c>
      <c r="AY307" s="3"/>
      <c r="AZ307" s="139"/>
      <c r="BA307" s="139"/>
      <c r="BB307" s="139"/>
      <c r="BC307" s="139"/>
      <c r="BD307" s="139"/>
      <c r="BE307" s="3"/>
    </row>
    <row r="308" spans="1:57" ht="15" customHeight="1" x14ac:dyDescent="0.4">
      <c r="A308" s="3"/>
      <c r="B308" s="3"/>
      <c r="C308" s="36"/>
      <c r="D308" s="155"/>
      <c r="E308" s="155"/>
      <c r="F308" s="155"/>
      <c r="G308" s="7"/>
      <c r="H308" s="20"/>
      <c r="I308" s="3"/>
      <c r="J308" s="3"/>
      <c r="K308" s="3"/>
      <c r="L308" s="3"/>
      <c r="M308" s="5"/>
      <c r="N308" s="5"/>
      <c r="O308" s="5"/>
      <c r="P308" s="5"/>
      <c r="Q308" s="5"/>
      <c r="R308" s="3"/>
      <c r="S308" s="5"/>
      <c r="T308" s="3"/>
      <c r="U308" s="20"/>
      <c r="V308" s="38" t="s">
        <v>369</v>
      </c>
      <c r="W308" s="3" t="s">
        <v>373</v>
      </c>
      <c r="X308" s="38" t="s">
        <v>369</v>
      </c>
      <c r="Y308" s="1443">
        <v>200242033</v>
      </c>
      <c r="Z308" s="1443"/>
      <c r="AA308" s="1443"/>
      <c r="AB308" s="20"/>
      <c r="AC308" s="3"/>
      <c r="AD308" s="3"/>
      <c r="AE308" s="5"/>
      <c r="AF308" s="3"/>
      <c r="AG308" s="38"/>
      <c r="AH308" s="5"/>
      <c r="AI308" s="844">
        <v>0</v>
      </c>
      <c r="AJ308" s="39"/>
      <c r="AK308" s="39"/>
      <c r="AL308" s="39"/>
      <c r="AM308" s="39">
        <f t="shared" si="55"/>
        <v>0</v>
      </c>
      <c r="AN308" s="3" t="s">
        <v>92</v>
      </c>
      <c r="AO308" s="3" t="s">
        <v>92</v>
      </c>
      <c r="AP308" s="3" t="s">
        <v>92</v>
      </c>
      <c r="AQ308" s="3" t="s">
        <v>92</v>
      </c>
      <c r="AR308" s="3" t="s">
        <v>371</v>
      </c>
      <c r="AS308" s="3" t="s">
        <v>92</v>
      </c>
      <c r="AT308" s="3" t="s">
        <v>92</v>
      </c>
      <c r="AU308" s="3" t="s">
        <v>92</v>
      </c>
      <c r="AV308" s="3" t="s">
        <v>92</v>
      </c>
      <c r="AW308" s="3" t="s">
        <v>371</v>
      </c>
      <c r="AX308" s="1414" t="s">
        <v>92</v>
      </c>
      <c r="AY308" s="3"/>
      <c r="AZ308" s="139"/>
      <c r="BA308" s="139"/>
      <c r="BB308" s="139"/>
      <c r="BC308" s="139"/>
      <c r="BD308" s="139"/>
      <c r="BE308" s="3"/>
    </row>
    <row r="309" spans="1:57" ht="15" customHeight="1" x14ac:dyDescent="0.4">
      <c r="A309" s="3"/>
      <c r="B309" s="3"/>
      <c r="C309" s="36"/>
      <c r="D309" s="155"/>
      <c r="E309" s="155"/>
      <c r="F309" s="155"/>
      <c r="G309" s="7"/>
      <c r="H309" s="20"/>
      <c r="I309" s="3"/>
      <c r="J309" s="3"/>
      <c r="K309" s="3"/>
      <c r="L309" s="3"/>
      <c r="M309" s="5"/>
      <c r="N309" s="5"/>
      <c r="O309" s="5"/>
      <c r="P309" s="5"/>
      <c r="Q309" s="5"/>
      <c r="R309" s="3"/>
      <c r="S309" s="5"/>
      <c r="T309" s="3"/>
      <c r="U309" s="20"/>
      <c r="V309" s="3" t="s">
        <v>2363</v>
      </c>
      <c r="W309" s="3" t="s">
        <v>370</v>
      </c>
      <c r="X309" s="38" t="s">
        <v>369</v>
      </c>
      <c r="Y309" s="1443">
        <v>200242127</v>
      </c>
      <c r="Z309" s="1443"/>
      <c r="AA309" s="1443"/>
      <c r="AB309" s="20"/>
      <c r="AC309" s="3"/>
      <c r="AD309" s="3"/>
      <c r="AE309" s="5"/>
      <c r="AF309" s="3"/>
      <c r="AG309" s="3"/>
      <c r="AH309" s="5"/>
      <c r="AI309" s="844">
        <v>0</v>
      </c>
      <c r="AJ309" s="39"/>
      <c r="AK309" s="39"/>
      <c r="AL309" s="39"/>
      <c r="AM309" s="39">
        <f t="shared" ref="AM309:AM310" si="56">AE$219*AI309+SUM(AJ309:AL309)</f>
        <v>0</v>
      </c>
      <c r="AN309" s="3" t="s">
        <v>92</v>
      </c>
      <c r="AO309" s="3" t="s">
        <v>92</v>
      </c>
      <c r="AP309" s="3" t="s">
        <v>92</v>
      </c>
      <c r="AQ309" s="3" t="s">
        <v>92</v>
      </c>
      <c r="AR309" s="3" t="s">
        <v>371</v>
      </c>
      <c r="AS309" s="3" t="s">
        <v>92</v>
      </c>
      <c r="AT309" s="3" t="s">
        <v>92</v>
      </c>
      <c r="AU309" s="3" t="s">
        <v>92</v>
      </c>
      <c r="AV309" s="3" t="s">
        <v>92</v>
      </c>
      <c r="AW309" s="3" t="s">
        <v>371</v>
      </c>
      <c r="AX309" s="1414" t="s">
        <v>92</v>
      </c>
      <c r="AY309" s="3"/>
      <c r="AZ309" s="139"/>
      <c r="BA309" s="139"/>
      <c r="BB309" s="139"/>
      <c r="BC309" s="139"/>
      <c r="BD309" s="139"/>
      <c r="BE309" s="3"/>
    </row>
    <row r="310" spans="1:57" ht="15" customHeight="1" thickBot="1" x14ac:dyDescent="0.45">
      <c r="A310" s="3"/>
      <c r="B310" s="3"/>
      <c r="C310" s="36"/>
      <c r="D310" s="155"/>
      <c r="E310" s="155"/>
      <c r="F310" s="155"/>
      <c r="G310" s="7"/>
      <c r="H310" s="20"/>
      <c r="I310" s="3"/>
      <c r="J310" s="3"/>
      <c r="K310" s="3"/>
      <c r="L310" s="3"/>
      <c r="M310" s="5"/>
      <c r="N310" s="5"/>
      <c r="O310" s="5"/>
      <c r="P310" s="5"/>
      <c r="Q310" s="5"/>
      <c r="R310" s="3"/>
      <c r="S310" s="5"/>
      <c r="T310" s="3"/>
      <c r="U310" s="20"/>
      <c r="V310" s="889" t="s">
        <v>2365</v>
      </c>
      <c r="W310" s="889" t="s">
        <v>370</v>
      </c>
      <c r="X310" s="888" t="s">
        <v>369</v>
      </c>
      <c r="Y310" s="1444">
        <v>200242180</v>
      </c>
      <c r="Z310" s="1444"/>
      <c r="AA310" s="1444"/>
      <c r="AB310" s="887"/>
      <c r="AC310" s="889"/>
      <c r="AD310" s="889"/>
      <c r="AE310" s="945"/>
      <c r="AF310" s="889"/>
      <c r="AG310" s="889"/>
      <c r="AH310" s="945"/>
      <c r="AI310" s="844">
        <v>0</v>
      </c>
      <c r="AJ310" s="947"/>
      <c r="AK310" s="947"/>
      <c r="AL310" s="947"/>
      <c r="AM310" s="947">
        <f t="shared" si="56"/>
        <v>0</v>
      </c>
      <c r="AN310" s="889" t="s">
        <v>92</v>
      </c>
      <c r="AO310" s="889" t="s">
        <v>92</v>
      </c>
      <c r="AP310" s="889" t="s">
        <v>92</v>
      </c>
      <c r="AQ310" s="889" t="s">
        <v>92</v>
      </c>
      <c r="AR310" s="889" t="s">
        <v>371</v>
      </c>
      <c r="AS310" s="889" t="s">
        <v>92</v>
      </c>
      <c r="AT310" s="889" t="s">
        <v>92</v>
      </c>
      <c r="AU310" s="889" t="s">
        <v>92</v>
      </c>
      <c r="AV310" s="889" t="s">
        <v>92</v>
      </c>
      <c r="AW310" s="889" t="s">
        <v>371</v>
      </c>
      <c r="AX310" s="1590" t="s">
        <v>92</v>
      </c>
      <c r="AY310" s="889"/>
      <c r="AZ310" s="139"/>
      <c r="BA310" s="139"/>
      <c r="BB310" s="139"/>
      <c r="BC310" s="139"/>
      <c r="BD310" s="139"/>
      <c r="BE310" s="3"/>
    </row>
    <row r="311" spans="1:57" ht="15" customHeight="1" x14ac:dyDescent="0.4">
      <c r="A311" s="3"/>
      <c r="B311" s="3"/>
      <c r="C311" s="173" t="s">
        <v>2293</v>
      </c>
      <c r="D311" s="116"/>
      <c r="E311" s="182"/>
      <c r="F311" s="182"/>
      <c r="G311" s="173"/>
      <c r="H311" s="175"/>
      <c r="I311" s="114" t="s">
        <v>399</v>
      </c>
      <c r="J311" s="116"/>
      <c r="K311" s="116"/>
      <c r="L311" s="116"/>
      <c r="M311" s="177"/>
      <c r="N311" s="177"/>
      <c r="O311" s="177"/>
      <c r="P311" s="177"/>
      <c r="Q311" s="177"/>
      <c r="R311" s="116"/>
      <c r="S311" s="177"/>
      <c r="T311" s="116"/>
      <c r="U311" s="175"/>
      <c r="V311" s="179"/>
      <c r="W311" s="116"/>
      <c r="X311" s="179"/>
      <c r="Y311" s="116"/>
      <c r="Z311" s="116"/>
      <c r="AA311" s="116"/>
      <c r="AB311" s="175"/>
      <c r="AC311" s="116">
        <v>45</v>
      </c>
      <c r="AD311" s="116">
        <v>1</v>
      </c>
      <c r="AE311" s="177">
        <f>S311*AD311/12</f>
        <v>0</v>
      </c>
      <c r="AF311" s="116" t="s">
        <v>367</v>
      </c>
      <c r="AG311" s="179">
        <v>0</v>
      </c>
      <c r="AH311" s="177">
        <f>AG311*AtolbperftSH</f>
        <v>0</v>
      </c>
      <c r="AI311" s="185"/>
      <c r="AJ311" s="185"/>
      <c r="AK311" s="185"/>
      <c r="AL311" s="185"/>
      <c r="AM311" s="39"/>
      <c r="AN311" s="3" t="s">
        <v>92</v>
      </c>
      <c r="AO311" s="3" t="s">
        <v>92</v>
      </c>
      <c r="AP311" s="3" t="s">
        <v>92</v>
      </c>
      <c r="AQ311" s="3" t="s">
        <v>92</v>
      </c>
      <c r="AR311" s="3" t="s">
        <v>92</v>
      </c>
      <c r="AS311" s="3" t="s">
        <v>371</v>
      </c>
      <c r="AT311" s="3" t="s">
        <v>92</v>
      </c>
      <c r="AU311" s="3" t="s">
        <v>92</v>
      </c>
      <c r="AV311" s="3" t="s">
        <v>92</v>
      </c>
      <c r="AW311" s="3" t="s">
        <v>92</v>
      </c>
      <c r="AX311" s="1414" t="s">
        <v>92</v>
      </c>
      <c r="AY311" s="3"/>
      <c r="AZ311" s="139"/>
      <c r="BA311" s="139"/>
      <c r="BB311" s="139"/>
      <c r="BC311" s="139"/>
      <c r="BD311" s="139"/>
      <c r="BE311" s="3"/>
    </row>
    <row r="312" spans="1:57" ht="15" customHeight="1" x14ac:dyDescent="0.4">
      <c r="A312" s="3"/>
      <c r="B312" s="36"/>
      <c r="C312" s="155"/>
      <c r="D312" s="155"/>
      <c r="E312" s="4"/>
      <c r="F312" s="155"/>
      <c r="G312" s="7"/>
      <c r="H312" s="20"/>
      <c r="I312" s="3"/>
      <c r="J312" s="3"/>
      <c r="K312" s="3"/>
      <c r="L312" s="3"/>
      <c r="M312" s="5"/>
      <c r="N312" s="5"/>
      <c r="O312" s="5"/>
      <c r="P312" s="24"/>
      <c r="Q312" s="24"/>
      <c r="R312" s="3"/>
      <c r="S312" s="5"/>
      <c r="T312" s="3"/>
      <c r="U312" s="20"/>
      <c r="V312" s="38" t="s">
        <v>369</v>
      </c>
      <c r="W312" s="3" t="s">
        <v>370</v>
      </c>
      <c r="X312" s="38" t="s">
        <v>369</v>
      </c>
      <c r="Y312" s="1443">
        <v>200243003</v>
      </c>
      <c r="Z312" s="1443"/>
      <c r="AA312" s="1443"/>
      <c r="AB312" s="20"/>
      <c r="AC312" s="3"/>
      <c r="AD312" s="3"/>
      <c r="AE312" s="5"/>
      <c r="AF312" s="3"/>
      <c r="AG312" s="38"/>
      <c r="AH312" s="5"/>
      <c r="AI312" s="353">
        <v>2.75</v>
      </c>
      <c r="AJ312" s="39"/>
      <c r="AK312" s="39"/>
      <c r="AL312" s="39"/>
      <c r="AM312" s="39">
        <f>AE$276*AI312+SUM(AJ312:AL312)</f>
        <v>9.58203125</v>
      </c>
      <c r="AN312" s="3" t="s">
        <v>92</v>
      </c>
      <c r="AO312" s="3" t="s">
        <v>92</v>
      </c>
      <c r="AP312" s="3" t="s">
        <v>92</v>
      </c>
      <c r="AQ312" s="3" t="s">
        <v>92</v>
      </c>
      <c r="AR312" s="3" t="s">
        <v>92</v>
      </c>
      <c r="AS312" s="3" t="s">
        <v>371</v>
      </c>
      <c r="AT312" s="3" t="s">
        <v>92</v>
      </c>
      <c r="AU312" s="3" t="s">
        <v>92</v>
      </c>
      <c r="AV312" s="3" t="s">
        <v>92</v>
      </c>
      <c r="AW312" s="3" t="s">
        <v>92</v>
      </c>
      <c r="AX312" s="1414" t="s">
        <v>92</v>
      </c>
      <c r="AY312" s="3"/>
      <c r="AZ312" s="139"/>
      <c r="BA312" s="139"/>
      <c r="BB312" s="139"/>
      <c r="BC312" s="139"/>
      <c r="BD312" s="139"/>
      <c r="BE312" s="3"/>
    </row>
    <row r="313" spans="1:57" ht="15" customHeight="1" x14ac:dyDescent="0.4">
      <c r="A313" s="3"/>
      <c r="B313" s="36"/>
      <c r="C313" s="155"/>
      <c r="D313" s="155"/>
      <c r="E313" s="155"/>
      <c r="F313" s="155"/>
      <c r="G313" s="7"/>
      <c r="H313" s="20"/>
      <c r="I313" s="3"/>
      <c r="J313" s="3"/>
      <c r="K313" s="3"/>
      <c r="L313" s="3"/>
      <c r="M313" s="5"/>
      <c r="N313" s="5"/>
      <c r="O313" s="5"/>
      <c r="P313" s="5"/>
      <c r="Q313" s="5"/>
      <c r="R313" s="3"/>
      <c r="S313" s="5"/>
      <c r="T313" s="3"/>
      <c r="U313" s="20"/>
      <c r="V313" s="38" t="s">
        <v>369</v>
      </c>
      <c r="W313" s="3" t="s">
        <v>372</v>
      </c>
      <c r="X313" s="38" t="s">
        <v>369</v>
      </c>
      <c r="Y313" s="1443">
        <v>200243021</v>
      </c>
      <c r="Z313" s="1443"/>
      <c r="AA313" s="1443"/>
      <c r="AB313" s="20"/>
      <c r="AC313" s="3"/>
      <c r="AD313" s="3"/>
      <c r="AE313" s="5"/>
      <c r="AF313" s="3"/>
      <c r="AG313" s="38"/>
      <c r="AH313" s="5"/>
      <c r="AI313" s="844">
        <v>0</v>
      </c>
      <c r="AJ313" s="39"/>
      <c r="AK313" s="39"/>
      <c r="AL313" s="39"/>
      <c r="AM313" s="39">
        <f>AE$276*AI313+SUM(AJ313:AL313)</f>
        <v>0</v>
      </c>
      <c r="AN313" s="3" t="s">
        <v>92</v>
      </c>
      <c r="AO313" s="3" t="s">
        <v>92</v>
      </c>
      <c r="AP313" s="3" t="s">
        <v>92</v>
      </c>
      <c r="AQ313" s="3" t="s">
        <v>92</v>
      </c>
      <c r="AR313" s="3" t="s">
        <v>92</v>
      </c>
      <c r="AS313" s="3" t="s">
        <v>371</v>
      </c>
      <c r="AT313" s="3" t="s">
        <v>92</v>
      </c>
      <c r="AU313" s="3" t="s">
        <v>92</v>
      </c>
      <c r="AV313" s="3" t="s">
        <v>92</v>
      </c>
      <c r="AW313" s="3" t="s">
        <v>92</v>
      </c>
      <c r="AX313" s="1414" t="s">
        <v>92</v>
      </c>
      <c r="AY313" s="3"/>
      <c r="AZ313" s="139"/>
      <c r="BA313" s="139"/>
      <c r="BB313" s="139"/>
      <c r="BC313" s="139"/>
      <c r="BD313" s="139"/>
      <c r="BE313" s="3"/>
    </row>
    <row r="314" spans="1:57" ht="15" customHeight="1" x14ac:dyDescent="0.4">
      <c r="A314" s="3"/>
      <c r="B314" s="4"/>
      <c r="C314" s="155"/>
      <c r="D314" s="36"/>
      <c r="E314" s="155"/>
      <c r="F314" s="155"/>
      <c r="G314" s="7"/>
      <c r="H314" s="20"/>
      <c r="I314" s="3"/>
      <c r="J314" s="3"/>
      <c r="K314" s="3"/>
      <c r="L314" s="3"/>
      <c r="M314" s="5"/>
      <c r="N314" s="5"/>
      <c r="O314" s="5"/>
      <c r="P314" s="5"/>
      <c r="Q314" s="5"/>
      <c r="R314" s="3"/>
      <c r="S314" s="5"/>
      <c r="T314" s="3"/>
      <c r="U314" s="20"/>
      <c r="V314" s="38" t="s">
        <v>369</v>
      </c>
      <c r="W314" s="3" t="s">
        <v>373</v>
      </c>
      <c r="X314" s="38" t="s">
        <v>369</v>
      </c>
      <c r="Y314" s="1443">
        <v>200243033</v>
      </c>
      <c r="Z314" s="1443"/>
      <c r="AA314" s="1443"/>
      <c r="AB314" s="20"/>
      <c r="AC314" s="3"/>
      <c r="AD314" s="3"/>
      <c r="AE314" s="5"/>
      <c r="AF314" s="3"/>
      <c r="AG314" s="38"/>
      <c r="AH314" s="5"/>
      <c r="AI314" s="844">
        <v>0</v>
      </c>
      <c r="AJ314" s="39"/>
      <c r="AK314" s="39"/>
      <c r="AL314" s="39"/>
      <c r="AM314" s="39">
        <f>AE$276*AI314+SUM(AJ314:AL314)</f>
        <v>0</v>
      </c>
      <c r="AN314" s="3" t="s">
        <v>92</v>
      </c>
      <c r="AO314" s="3" t="s">
        <v>92</v>
      </c>
      <c r="AP314" s="3" t="s">
        <v>92</v>
      </c>
      <c r="AQ314" s="3" t="s">
        <v>92</v>
      </c>
      <c r="AR314" s="3" t="s">
        <v>92</v>
      </c>
      <c r="AS314" s="3" t="s">
        <v>371</v>
      </c>
      <c r="AT314" s="3" t="s">
        <v>92</v>
      </c>
      <c r="AU314" s="3" t="s">
        <v>92</v>
      </c>
      <c r="AV314" s="3" t="s">
        <v>92</v>
      </c>
      <c r="AW314" s="3" t="s">
        <v>92</v>
      </c>
      <c r="AX314" s="1414" t="s">
        <v>92</v>
      </c>
      <c r="AY314" s="3"/>
      <c r="AZ314" s="139"/>
      <c r="BA314" s="139"/>
      <c r="BB314" s="139"/>
      <c r="BC314" s="139"/>
      <c r="BD314" s="139"/>
      <c r="BE314" s="3"/>
    </row>
    <row r="315" spans="1:57" ht="15" customHeight="1" x14ac:dyDescent="0.4">
      <c r="A315" s="3"/>
      <c r="B315" s="4"/>
      <c r="C315" s="155"/>
      <c r="D315" s="36"/>
      <c r="E315" s="155"/>
      <c r="F315" s="155"/>
      <c r="G315" s="7"/>
      <c r="H315" s="20"/>
      <c r="I315" s="3"/>
      <c r="J315" s="3"/>
      <c r="K315" s="3"/>
      <c r="L315" s="3"/>
      <c r="M315" s="5"/>
      <c r="N315" s="5"/>
      <c r="O315" s="5"/>
      <c r="P315" s="5"/>
      <c r="Q315" s="5"/>
      <c r="R315" s="3"/>
      <c r="S315" s="5"/>
      <c r="T315" s="3"/>
      <c r="U315" s="20"/>
      <c r="V315" s="3" t="s">
        <v>2363</v>
      </c>
      <c r="W315" s="3" t="s">
        <v>370</v>
      </c>
      <c r="X315" s="38" t="s">
        <v>369</v>
      </c>
      <c r="Y315" s="1443">
        <v>200243127</v>
      </c>
      <c r="Z315" s="1443"/>
      <c r="AA315" s="1443"/>
      <c r="AB315" s="20"/>
      <c r="AC315" s="3"/>
      <c r="AD315" s="3"/>
      <c r="AE315" s="5"/>
      <c r="AF315" s="3"/>
      <c r="AG315" s="3"/>
      <c r="AH315" s="5"/>
      <c r="AI315" s="844">
        <v>0</v>
      </c>
      <c r="AJ315" s="39"/>
      <c r="AK315" s="39"/>
      <c r="AL315" s="39"/>
      <c r="AM315" s="39">
        <f t="shared" ref="AM315:AM316" si="57">AE$219*AI315+SUM(AJ315:AL315)</f>
        <v>0</v>
      </c>
      <c r="AN315" s="3" t="s">
        <v>92</v>
      </c>
      <c r="AO315" s="3" t="s">
        <v>92</v>
      </c>
      <c r="AP315" s="3" t="s">
        <v>92</v>
      </c>
      <c r="AQ315" s="3" t="s">
        <v>92</v>
      </c>
      <c r="AR315" s="3" t="s">
        <v>92</v>
      </c>
      <c r="AS315" s="3" t="s">
        <v>371</v>
      </c>
      <c r="AT315" s="3" t="s">
        <v>92</v>
      </c>
      <c r="AU315" s="3" t="s">
        <v>92</v>
      </c>
      <c r="AV315" s="3" t="s">
        <v>92</v>
      </c>
      <c r="AW315" s="3" t="s">
        <v>92</v>
      </c>
      <c r="AX315" s="1414" t="s">
        <v>92</v>
      </c>
      <c r="AY315" s="3"/>
      <c r="AZ315" s="139"/>
      <c r="BA315" s="139"/>
      <c r="BB315" s="139"/>
      <c r="BC315" s="139"/>
      <c r="BD315" s="139"/>
      <c r="BE315" s="3"/>
    </row>
    <row r="316" spans="1:57" ht="15" customHeight="1" thickBot="1" x14ac:dyDescent="0.45">
      <c r="A316" s="3"/>
      <c r="B316" s="4"/>
      <c r="C316" s="155"/>
      <c r="D316" s="36"/>
      <c r="E316" s="155"/>
      <c r="F316" s="155"/>
      <c r="G316" s="7"/>
      <c r="H316" s="20"/>
      <c r="I316" s="3"/>
      <c r="J316" s="3"/>
      <c r="K316" s="3"/>
      <c r="L316" s="3"/>
      <c r="M316" s="5"/>
      <c r="N316" s="5"/>
      <c r="O316" s="5"/>
      <c r="P316" s="5"/>
      <c r="Q316" s="5"/>
      <c r="R316" s="3"/>
      <c r="S316" s="5"/>
      <c r="T316" s="3"/>
      <c r="U316" s="20"/>
      <c r="V316" s="889" t="s">
        <v>2365</v>
      </c>
      <c r="W316" s="889" t="s">
        <v>370</v>
      </c>
      <c r="X316" s="888" t="s">
        <v>369</v>
      </c>
      <c r="Y316" s="1444">
        <v>200243180</v>
      </c>
      <c r="Z316" s="1444"/>
      <c r="AA316" s="1444"/>
      <c r="AB316" s="887"/>
      <c r="AC316" s="889"/>
      <c r="AD316" s="889"/>
      <c r="AE316" s="945"/>
      <c r="AF316" s="889"/>
      <c r="AG316" s="889"/>
      <c r="AH316" s="945"/>
      <c r="AI316" s="844">
        <v>0</v>
      </c>
      <c r="AJ316" s="947"/>
      <c r="AK316" s="947"/>
      <c r="AL316" s="947"/>
      <c r="AM316" s="947">
        <f t="shared" si="57"/>
        <v>0</v>
      </c>
      <c r="AN316" s="889" t="s">
        <v>92</v>
      </c>
      <c r="AO316" s="889" t="s">
        <v>92</v>
      </c>
      <c r="AP316" s="889" t="s">
        <v>92</v>
      </c>
      <c r="AQ316" s="889" t="s">
        <v>92</v>
      </c>
      <c r="AR316" s="889" t="s">
        <v>92</v>
      </c>
      <c r="AS316" s="889" t="s">
        <v>371</v>
      </c>
      <c r="AT316" s="889" t="s">
        <v>92</v>
      </c>
      <c r="AU316" s="889" t="s">
        <v>92</v>
      </c>
      <c r="AV316" s="889" t="s">
        <v>92</v>
      </c>
      <c r="AW316" s="889" t="s">
        <v>92</v>
      </c>
      <c r="AX316" s="1590" t="s">
        <v>92</v>
      </c>
      <c r="AY316" s="889"/>
      <c r="AZ316" s="139"/>
      <c r="BA316" s="139"/>
      <c r="BB316" s="139"/>
      <c r="BC316" s="139"/>
      <c r="BD316" s="139"/>
      <c r="BE316" s="3"/>
    </row>
    <row r="317" spans="1:57" ht="15" customHeight="1" thickBot="1" x14ac:dyDescent="0.45">
      <c r="A317" s="3"/>
      <c r="B317" s="7" t="s">
        <v>442</v>
      </c>
      <c r="C317" s="173"/>
      <c r="D317" s="116"/>
      <c r="E317" s="116"/>
      <c r="F317" s="174"/>
      <c r="G317" s="173"/>
      <c r="H317" s="175"/>
      <c r="I317" s="116"/>
      <c r="J317" s="116"/>
      <c r="K317" s="116"/>
      <c r="L317" s="116"/>
      <c r="M317" s="116"/>
      <c r="N317" s="177"/>
      <c r="O317" s="177"/>
      <c r="P317" s="177"/>
      <c r="Q317" s="177"/>
      <c r="R317" s="116"/>
      <c r="S317" s="177"/>
      <c r="T317" s="116"/>
      <c r="U317" s="175"/>
      <c r="V317" s="173"/>
      <c r="W317" s="173"/>
      <c r="X317" s="173"/>
      <c r="Y317" s="1449"/>
      <c r="Z317" s="1449"/>
      <c r="AA317" s="1449"/>
      <c r="AB317" s="175"/>
      <c r="AC317" s="116"/>
      <c r="AD317" s="116"/>
      <c r="AE317" s="177"/>
      <c r="AF317" s="116"/>
      <c r="AG317" s="179"/>
      <c r="AH317" s="177"/>
      <c r="AI317" s="185"/>
      <c r="AJ317" s="185"/>
      <c r="AK317" s="185"/>
      <c r="AL317" s="185"/>
      <c r="AM317" s="180"/>
      <c r="AN317" s="136" t="s">
        <v>92</v>
      </c>
      <c r="AO317" s="136" t="s">
        <v>92</v>
      </c>
      <c r="AP317" s="136" t="s">
        <v>92</v>
      </c>
      <c r="AQ317" s="136" t="s">
        <v>92</v>
      </c>
      <c r="AR317" s="136" t="s">
        <v>81</v>
      </c>
      <c r="AS317" s="136" t="s">
        <v>81</v>
      </c>
      <c r="AT317" s="136" t="s">
        <v>92</v>
      </c>
      <c r="AU317" s="136" t="s">
        <v>92</v>
      </c>
      <c r="AV317" s="136" t="s">
        <v>92</v>
      </c>
      <c r="AW317" s="136" t="s">
        <v>81</v>
      </c>
      <c r="AX317" s="1882" t="s">
        <v>92</v>
      </c>
      <c r="AY317" s="136"/>
      <c r="AZ317" s="139"/>
      <c r="BA317" s="139"/>
      <c r="BB317" s="139"/>
      <c r="BC317" s="139"/>
      <c r="BD317" s="139"/>
      <c r="BE317" s="3"/>
    </row>
    <row r="318" spans="1:57" ht="15" customHeight="1" x14ac:dyDescent="0.4">
      <c r="A318" s="3" t="s">
        <v>402</v>
      </c>
      <c r="B318" s="173"/>
      <c r="C318" s="173" t="s">
        <v>443</v>
      </c>
      <c r="D318" s="182"/>
      <c r="E318" s="182"/>
      <c r="F318" s="182" t="s">
        <v>438</v>
      </c>
      <c r="G318" s="173"/>
      <c r="H318" s="175"/>
      <c r="I318" s="116" t="s">
        <v>392</v>
      </c>
      <c r="J318" s="116"/>
      <c r="K318" s="116"/>
      <c r="L318" s="116" t="s">
        <v>348</v>
      </c>
      <c r="M318" s="177">
        <f>3.5+1.5*2</f>
        <v>6.5</v>
      </c>
      <c r="N318" s="177" t="s">
        <v>348</v>
      </c>
      <c r="O318" s="177">
        <f>0.25</f>
        <v>0.25</v>
      </c>
      <c r="P318" s="177"/>
      <c r="Q318" s="177"/>
      <c r="R318" s="116" t="s">
        <v>352</v>
      </c>
      <c r="S318" s="177">
        <f>SHWidth+M318+O318</f>
        <v>45.3125</v>
      </c>
      <c r="T318" s="116" t="s">
        <v>366</v>
      </c>
      <c r="U318" s="175"/>
      <c r="V318" s="179"/>
      <c r="W318" s="116"/>
      <c r="X318" s="179"/>
      <c r="Y318" s="1449"/>
      <c r="Z318" s="1449"/>
      <c r="AA318" s="1449"/>
      <c r="AB318" s="175"/>
      <c r="AC318" s="116">
        <v>45</v>
      </c>
      <c r="AD318" s="116">
        <v>1</v>
      </c>
      <c r="AE318" s="177">
        <f>S318*AD318/12</f>
        <v>3.7760416666666665</v>
      </c>
      <c r="AF318" s="116" t="s">
        <v>367</v>
      </c>
      <c r="AG318" s="179">
        <v>0.96799999999999997</v>
      </c>
      <c r="AH318" s="177">
        <f>AG318*AtolbperftSH</f>
        <v>0.61225999999999992</v>
      </c>
      <c r="AI318" s="185"/>
      <c r="AJ318" s="185"/>
      <c r="AK318" s="185"/>
      <c r="AL318" s="185"/>
      <c r="AM318" s="180"/>
      <c r="AN318" s="3" t="s">
        <v>92</v>
      </c>
      <c r="AO318" s="3" t="s">
        <v>92</v>
      </c>
      <c r="AP318" s="3" t="s">
        <v>92</v>
      </c>
      <c r="AQ318" s="3" t="s">
        <v>92</v>
      </c>
      <c r="AR318" s="3" t="s">
        <v>81</v>
      </c>
      <c r="AS318" s="3" t="s">
        <v>92</v>
      </c>
      <c r="AT318" s="3" t="s">
        <v>92</v>
      </c>
      <c r="AU318" s="3" t="s">
        <v>92</v>
      </c>
      <c r="AV318" s="3" t="s">
        <v>92</v>
      </c>
      <c r="AW318" s="3" t="s">
        <v>81</v>
      </c>
      <c r="AX318" s="1414" t="s">
        <v>92</v>
      </c>
      <c r="AY318" s="3"/>
      <c r="AZ318" s="139"/>
      <c r="BA318" s="139"/>
      <c r="BB318" s="139"/>
      <c r="BC318" s="139"/>
      <c r="BD318" s="139"/>
      <c r="BE318" s="3"/>
    </row>
    <row r="319" spans="1:57" ht="15" customHeight="1" x14ac:dyDescent="0.4">
      <c r="A319" s="3"/>
      <c r="B319" s="36"/>
      <c r="C319" s="7"/>
      <c r="D319" s="155"/>
      <c r="E319" s="4"/>
      <c r="F319" s="155" t="s">
        <v>432</v>
      </c>
      <c r="G319" s="7"/>
      <c r="H319" s="20"/>
      <c r="I319" s="3" t="s">
        <v>392</v>
      </c>
      <c r="J319" s="3"/>
      <c r="K319" s="3"/>
      <c r="L319" s="3" t="s">
        <v>348</v>
      </c>
      <c r="M319" s="5">
        <v>0</v>
      </c>
      <c r="N319" s="5" t="s">
        <v>348</v>
      </c>
      <c r="O319" s="5">
        <f>0.25</f>
        <v>0.25</v>
      </c>
      <c r="P319" s="24"/>
      <c r="Q319" s="24"/>
      <c r="R319" s="3" t="s">
        <v>352</v>
      </c>
      <c r="S319" s="5">
        <f>SHWidth+M319+O319</f>
        <v>38.8125</v>
      </c>
      <c r="T319" s="3" t="s">
        <v>366</v>
      </c>
      <c r="U319" s="20"/>
      <c r="V319" s="38" t="s">
        <v>369</v>
      </c>
      <c r="W319" s="3" t="s">
        <v>370</v>
      </c>
      <c r="X319" s="38" t="s">
        <v>369</v>
      </c>
      <c r="Y319" s="1443">
        <v>200137003</v>
      </c>
      <c r="Z319" s="1443"/>
      <c r="AA319" s="1443"/>
      <c r="AB319" s="20"/>
      <c r="AC319" s="3"/>
      <c r="AD319" s="3"/>
      <c r="AE319" s="5"/>
      <c r="AF319" s="3"/>
      <c r="AG319" s="38"/>
      <c r="AH319" s="5"/>
      <c r="AI319" s="353">
        <v>0.55230000000000001</v>
      </c>
      <c r="AJ319" s="39"/>
      <c r="AK319" s="39"/>
      <c r="AL319" s="39"/>
      <c r="AM319" s="39">
        <f>AE$318*AI319+SUM(AJ319:AL319)</f>
        <v>2.0855078124999999</v>
      </c>
      <c r="AN319" s="3" t="s">
        <v>92</v>
      </c>
      <c r="AO319" s="3" t="s">
        <v>92</v>
      </c>
      <c r="AP319" s="3" t="s">
        <v>92</v>
      </c>
      <c r="AQ319" s="3" t="s">
        <v>92</v>
      </c>
      <c r="AR319" s="3" t="s">
        <v>81</v>
      </c>
      <c r="AS319" s="3" t="s">
        <v>92</v>
      </c>
      <c r="AT319" s="3" t="s">
        <v>92</v>
      </c>
      <c r="AU319" s="3" t="s">
        <v>92</v>
      </c>
      <c r="AV319" s="3" t="s">
        <v>92</v>
      </c>
      <c r="AW319" s="3" t="s">
        <v>81</v>
      </c>
      <c r="AX319" s="1414" t="s">
        <v>92</v>
      </c>
      <c r="AY319" s="3"/>
      <c r="AZ319" s="139"/>
      <c r="BA319" s="444"/>
      <c r="BB319" s="139"/>
      <c r="BC319" s="139"/>
      <c r="BD319" s="139"/>
      <c r="BE319" s="3"/>
    </row>
    <row r="320" spans="1:57" ht="15" customHeight="1" x14ac:dyDescent="0.4">
      <c r="A320" s="3"/>
      <c r="B320" s="36"/>
      <c r="C320" s="7"/>
      <c r="D320" s="155"/>
      <c r="E320" s="155"/>
      <c r="F320" s="155"/>
      <c r="G320" s="7"/>
      <c r="H320" s="20"/>
      <c r="I320" s="3"/>
      <c r="J320" s="3"/>
      <c r="K320" s="3"/>
      <c r="L320" s="3"/>
      <c r="M320" s="5"/>
      <c r="N320" s="5"/>
      <c r="O320" s="5"/>
      <c r="P320" s="5"/>
      <c r="Q320" s="5"/>
      <c r="R320" s="3"/>
      <c r="S320" s="5"/>
      <c r="T320" s="3" t="s">
        <v>366</v>
      </c>
      <c r="U320" s="20"/>
      <c r="V320" s="38" t="s">
        <v>369</v>
      </c>
      <c r="W320" s="3" t="s">
        <v>372</v>
      </c>
      <c r="X320" s="38" t="s">
        <v>369</v>
      </c>
      <c r="Y320" s="1443">
        <v>200137021</v>
      </c>
      <c r="Z320" s="1443"/>
      <c r="AA320" s="1443"/>
      <c r="AB320" s="20"/>
      <c r="AC320" s="3"/>
      <c r="AD320" s="3"/>
      <c r="AE320" s="5"/>
      <c r="AF320" s="3"/>
      <c r="AG320" s="38"/>
      <c r="AH320" s="5"/>
      <c r="AI320" s="353">
        <v>0.59140000000000004</v>
      </c>
      <c r="AJ320" s="39"/>
      <c r="AK320" s="39"/>
      <c r="AL320" s="39"/>
      <c r="AM320" s="39">
        <f t="shared" ref="AM320" si="58">AE$318*AI320+SUM(AJ320:AL320)</f>
        <v>2.2331510416666669</v>
      </c>
      <c r="AN320" s="3" t="s">
        <v>92</v>
      </c>
      <c r="AO320" s="3" t="s">
        <v>92</v>
      </c>
      <c r="AP320" s="3" t="s">
        <v>92</v>
      </c>
      <c r="AQ320" s="3" t="s">
        <v>92</v>
      </c>
      <c r="AR320" s="3" t="s">
        <v>371</v>
      </c>
      <c r="AS320" s="3" t="s">
        <v>92</v>
      </c>
      <c r="AT320" s="3" t="s">
        <v>92</v>
      </c>
      <c r="AU320" s="3" t="s">
        <v>92</v>
      </c>
      <c r="AV320" s="3" t="s">
        <v>92</v>
      </c>
      <c r="AW320" s="3" t="s">
        <v>371</v>
      </c>
      <c r="AX320" s="1414" t="s">
        <v>92</v>
      </c>
      <c r="AY320" s="3"/>
      <c r="AZ320" s="139"/>
      <c r="BA320" s="444"/>
      <c r="BB320" s="139"/>
      <c r="BC320" s="139"/>
      <c r="BD320" s="139"/>
      <c r="BE320" s="3"/>
    </row>
    <row r="321" spans="1:57" ht="15" customHeight="1" x14ac:dyDescent="0.4">
      <c r="A321" s="3"/>
      <c r="B321" s="36"/>
      <c r="C321" s="7"/>
      <c r="D321" s="155"/>
      <c r="E321" s="155"/>
      <c r="F321" s="155"/>
      <c r="G321" s="7"/>
      <c r="H321" s="20"/>
      <c r="I321" s="3"/>
      <c r="J321" s="3"/>
      <c r="K321" s="3"/>
      <c r="L321" s="3"/>
      <c r="M321" s="5"/>
      <c r="N321" s="5"/>
      <c r="O321" s="5"/>
      <c r="P321" s="5"/>
      <c r="Q321" s="5"/>
      <c r="R321" s="3"/>
      <c r="S321" s="5"/>
      <c r="T321" s="3" t="s">
        <v>366</v>
      </c>
      <c r="U321" s="20"/>
      <c r="V321" s="38" t="s">
        <v>369</v>
      </c>
      <c r="W321" s="3" t="s">
        <v>373</v>
      </c>
      <c r="X321" s="38" t="s">
        <v>369</v>
      </c>
      <c r="Y321" s="1443">
        <v>200137033</v>
      </c>
      <c r="Z321" s="1443"/>
      <c r="AA321" s="1443"/>
      <c r="AB321" s="20"/>
      <c r="AC321" s="3"/>
      <c r="AD321" s="3"/>
      <c r="AE321" s="5"/>
      <c r="AF321" s="3"/>
      <c r="AG321" s="38"/>
      <c r="AH321" s="5"/>
      <c r="AI321" s="353">
        <v>0.6381</v>
      </c>
      <c r="AJ321" s="39"/>
      <c r="AK321" s="39"/>
      <c r="AL321" s="39"/>
      <c r="AM321" s="39">
        <f>AE$318*AI321+SUM(AJ321:AL321)</f>
        <v>2.4094921874999997</v>
      </c>
      <c r="AN321" s="3" t="s">
        <v>92</v>
      </c>
      <c r="AO321" s="3" t="s">
        <v>92</v>
      </c>
      <c r="AP321" s="3" t="s">
        <v>92</v>
      </c>
      <c r="AQ321" s="3" t="s">
        <v>92</v>
      </c>
      <c r="AR321" s="3" t="s">
        <v>371</v>
      </c>
      <c r="AS321" s="3" t="s">
        <v>92</v>
      </c>
      <c r="AT321" s="3" t="s">
        <v>92</v>
      </c>
      <c r="AU321" s="3" t="s">
        <v>92</v>
      </c>
      <c r="AV321" s="3" t="s">
        <v>92</v>
      </c>
      <c r="AW321" s="3" t="s">
        <v>371</v>
      </c>
      <c r="AX321" s="1414" t="s">
        <v>92</v>
      </c>
      <c r="AY321" s="3"/>
      <c r="AZ321" s="445"/>
      <c r="BA321" s="446"/>
      <c r="BB321" s="139"/>
      <c r="BC321" s="139"/>
      <c r="BD321" s="139"/>
      <c r="BE321" s="3"/>
    </row>
    <row r="322" spans="1:57" ht="15.75" customHeight="1" x14ac:dyDescent="0.4">
      <c r="A322" s="3"/>
      <c r="B322" s="4"/>
      <c r="C322" s="36"/>
      <c r="D322" s="155"/>
      <c r="E322" s="155"/>
      <c r="F322" s="155"/>
      <c r="G322" s="7"/>
      <c r="H322" s="20"/>
      <c r="I322" s="3"/>
      <c r="J322" s="3"/>
      <c r="K322" s="3"/>
      <c r="L322" s="3"/>
      <c r="M322" s="5"/>
      <c r="N322" s="5"/>
      <c r="O322" s="5"/>
      <c r="P322" s="24"/>
      <c r="Q322" s="24"/>
      <c r="R322" s="3"/>
      <c r="S322" s="5"/>
      <c r="T322" s="3"/>
      <c r="U322" s="20"/>
      <c r="V322" s="3" t="s">
        <v>2363</v>
      </c>
      <c r="W322" s="3" t="s">
        <v>370</v>
      </c>
      <c r="X322" s="38" t="s">
        <v>369</v>
      </c>
      <c r="Y322" s="1443">
        <v>200137127</v>
      </c>
      <c r="Z322" s="1443"/>
      <c r="AA322" s="1443"/>
      <c r="AB322" s="20"/>
      <c r="AC322" s="3"/>
      <c r="AD322" s="3"/>
      <c r="AE322" s="5"/>
      <c r="AF322" s="3"/>
      <c r="AG322" s="3"/>
      <c r="AH322" s="5"/>
      <c r="AI322" s="353">
        <v>0.75900000000000001</v>
      </c>
      <c r="AJ322" s="39"/>
      <c r="AK322" s="39"/>
      <c r="AL322" s="39"/>
      <c r="AM322" s="39">
        <f>AE$219*AI322+SUM(AJ322:AL322)</f>
        <v>9.9302500000000009</v>
      </c>
      <c r="AN322" s="3" t="s">
        <v>92</v>
      </c>
      <c r="AO322" s="3" t="s">
        <v>92</v>
      </c>
      <c r="AP322" s="3" t="s">
        <v>92</v>
      </c>
      <c r="AQ322" s="3" t="s">
        <v>92</v>
      </c>
      <c r="AR322" s="3" t="s">
        <v>371</v>
      </c>
      <c r="AS322" s="3" t="s">
        <v>92</v>
      </c>
      <c r="AT322" s="3" t="s">
        <v>92</v>
      </c>
      <c r="AU322" s="3" t="s">
        <v>92</v>
      </c>
      <c r="AV322" s="3" t="s">
        <v>92</v>
      </c>
      <c r="AW322" s="3" t="s">
        <v>371</v>
      </c>
      <c r="AX322" s="1414" t="s">
        <v>92</v>
      </c>
      <c r="AY322" s="3"/>
      <c r="AZ322" s="139"/>
      <c r="BA322" s="139"/>
      <c r="BB322" s="139"/>
      <c r="BC322" s="139"/>
      <c r="BD322" s="139"/>
      <c r="BE322" s="3"/>
    </row>
    <row r="323" spans="1:57" ht="15.75" customHeight="1" thickBot="1" x14ac:dyDescent="0.45">
      <c r="A323" s="3"/>
      <c r="B323" s="4"/>
      <c r="C323" s="943"/>
      <c r="D323" s="925"/>
      <c r="E323" s="925"/>
      <c r="F323" s="925"/>
      <c r="G323" s="924"/>
      <c r="H323" s="887"/>
      <c r="I323" s="889"/>
      <c r="J323" s="889"/>
      <c r="K323" s="889"/>
      <c r="L323" s="889"/>
      <c r="M323" s="945"/>
      <c r="N323" s="945"/>
      <c r="O323" s="945"/>
      <c r="P323" s="1020"/>
      <c r="Q323" s="1020"/>
      <c r="R323" s="889"/>
      <c r="S323" s="945"/>
      <c r="T323" s="889"/>
      <c r="U323" s="887"/>
      <c r="V323" s="889" t="s">
        <v>2365</v>
      </c>
      <c r="W323" s="889" t="s">
        <v>370</v>
      </c>
      <c r="X323" s="888" t="s">
        <v>369</v>
      </c>
      <c r="Y323" s="1444">
        <v>200137180</v>
      </c>
      <c r="Z323" s="1444"/>
      <c r="AA323" s="1444"/>
      <c r="AB323" s="887"/>
      <c r="AC323" s="889"/>
      <c r="AD323" s="889"/>
      <c r="AE323" s="945"/>
      <c r="AF323" s="889"/>
      <c r="AG323" s="889"/>
      <c r="AH323" s="945"/>
      <c r="AI323" s="1424">
        <v>0.82120000000000004</v>
      </c>
      <c r="AJ323" s="947"/>
      <c r="AK323" s="947"/>
      <c r="AL323" s="947"/>
      <c r="AM323" s="947">
        <f>AE$219*AI323+SUM(AJ323:AL323)</f>
        <v>10.744033333333334</v>
      </c>
      <c r="AN323" s="889" t="s">
        <v>92</v>
      </c>
      <c r="AO323" s="889" t="s">
        <v>92</v>
      </c>
      <c r="AP323" s="889" t="s">
        <v>92</v>
      </c>
      <c r="AQ323" s="889" t="s">
        <v>92</v>
      </c>
      <c r="AR323" s="889" t="s">
        <v>371</v>
      </c>
      <c r="AS323" s="889" t="s">
        <v>92</v>
      </c>
      <c r="AT323" s="889" t="s">
        <v>92</v>
      </c>
      <c r="AU323" s="889" t="s">
        <v>92</v>
      </c>
      <c r="AV323" s="889" t="s">
        <v>92</v>
      </c>
      <c r="AW323" s="889" t="s">
        <v>371</v>
      </c>
      <c r="AX323" s="1590" t="s">
        <v>92</v>
      </c>
      <c r="AY323" s="889"/>
      <c r="AZ323" s="139"/>
      <c r="BA323" s="139"/>
      <c r="BB323" s="139"/>
      <c r="BC323" s="139"/>
      <c r="BD323" s="139"/>
      <c r="BE323" s="3"/>
    </row>
    <row r="324" spans="1:57" ht="15" customHeight="1" x14ac:dyDescent="0.4">
      <c r="A324" s="3"/>
      <c r="B324" s="36"/>
      <c r="C324" s="447" t="s">
        <v>444</v>
      </c>
      <c r="D324" s="4"/>
      <c r="E324" s="155"/>
      <c r="F324" s="155"/>
      <c r="G324" s="7"/>
      <c r="H324" s="20"/>
      <c r="I324" s="3" t="s">
        <v>392</v>
      </c>
      <c r="J324" s="3"/>
      <c r="K324" s="3"/>
      <c r="L324" s="38" t="s">
        <v>348</v>
      </c>
      <c r="M324" s="5">
        <v>0</v>
      </c>
      <c r="N324" s="24"/>
      <c r="O324" s="24"/>
      <c r="P324" s="24"/>
      <c r="Q324" s="24"/>
      <c r="R324" s="639" t="s">
        <v>352</v>
      </c>
      <c r="S324" s="5">
        <f>SHWidth+M324+O324</f>
        <v>38.5625</v>
      </c>
      <c r="T324" s="3" t="s">
        <v>366</v>
      </c>
      <c r="U324" s="20"/>
      <c r="V324" s="38" t="s">
        <v>369</v>
      </c>
      <c r="W324" s="3" t="s">
        <v>405</v>
      </c>
      <c r="X324" s="38" t="s">
        <v>369</v>
      </c>
      <c r="Y324" s="1443">
        <v>600042010</v>
      </c>
      <c r="Z324" s="1443"/>
      <c r="AA324" s="1443"/>
      <c r="AB324" s="20"/>
      <c r="AC324" s="3">
        <v>45</v>
      </c>
      <c r="AD324" s="3">
        <v>1</v>
      </c>
      <c r="AE324" s="5">
        <f>S324*AD324/12</f>
        <v>3.2135416666666665</v>
      </c>
      <c r="AF324" s="3" t="s">
        <v>367</v>
      </c>
      <c r="AG324" s="38" t="s">
        <v>369</v>
      </c>
      <c r="AH324" s="38" t="s">
        <v>369</v>
      </c>
      <c r="AI324" s="51">
        <f>AI139</f>
        <v>2.0199999999999999E-2</v>
      </c>
      <c r="AJ324" s="39"/>
      <c r="AK324" s="39"/>
      <c r="AL324" s="39"/>
      <c r="AM324" s="39">
        <f>AE$324*AI324+SUM(AJ324:AL324)</f>
        <v>6.4913541666666658E-2</v>
      </c>
      <c r="AN324" s="3" t="s">
        <v>92</v>
      </c>
      <c r="AO324" s="3" t="s">
        <v>92</v>
      </c>
      <c r="AP324" s="3" t="s">
        <v>92</v>
      </c>
      <c r="AQ324" s="3" t="s">
        <v>92</v>
      </c>
      <c r="AR324" s="3" t="s">
        <v>81</v>
      </c>
      <c r="AS324" s="3" t="s">
        <v>371</v>
      </c>
      <c r="AT324" s="3" t="s">
        <v>92</v>
      </c>
      <c r="AU324" s="3" t="s">
        <v>92</v>
      </c>
      <c r="AV324" s="3" t="s">
        <v>92</v>
      </c>
      <c r="AW324" s="3" t="s">
        <v>81</v>
      </c>
      <c r="AX324" s="1414" t="s">
        <v>92</v>
      </c>
      <c r="AY324" s="3"/>
      <c r="AZ324" s="140"/>
      <c r="BA324" s="140"/>
      <c r="BB324" s="139"/>
      <c r="BC324" s="139"/>
      <c r="BD324" s="139"/>
      <c r="BE324" s="3"/>
    </row>
    <row r="325" spans="1:57" ht="15" customHeight="1" thickBot="1" x14ac:dyDescent="0.45">
      <c r="A325" s="3"/>
      <c r="B325" s="3"/>
      <c r="C325" s="944" t="s">
        <v>406</v>
      </c>
      <c r="D325" s="968"/>
      <c r="E325" s="925"/>
      <c r="F325" s="925"/>
      <c r="G325" s="924"/>
      <c r="H325" s="887"/>
      <c r="I325" s="889" t="s">
        <v>392</v>
      </c>
      <c r="J325" s="889"/>
      <c r="K325" s="889"/>
      <c r="L325" s="889" t="s">
        <v>348</v>
      </c>
      <c r="M325" s="945">
        <v>0</v>
      </c>
      <c r="N325" s="945"/>
      <c r="O325" s="945"/>
      <c r="P325" s="945"/>
      <c r="Q325" s="945"/>
      <c r="R325" s="889" t="s">
        <v>352</v>
      </c>
      <c r="S325" s="945">
        <f>SHWidth+M325+O325</f>
        <v>38.5625</v>
      </c>
      <c r="T325" s="889" t="s">
        <v>366</v>
      </c>
      <c r="U325" s="887"/>
      <c r="V325" s="888" t="s">
        <v>369</v>
      </c>
      <c r="W325" s="889" t="s">
        <v>405</v>
      </c>
      <c r="X325" s="888" t="s">
        <v>369</v>
      </c>
      <c r="Y325" s="1444">
        <v>600050010</v>
      </c>
      <c r="Z325" s="1444"/>
      <c r="AA325" s="1444"/>
      <c r="AB325" s="887"/>
      <c r="AC325" s="889">
        <v>45</v>
      </c>
      <c r="AD325" s="889"/>
      <c r="AE325" s="945"/>
      <c r="AF325" s="889"/>
      <c r="AG325" s="888"/>
      <c r="AH325" s="888"/>
      <c r="AI325" s="937">
        <f>AI140</f>
        <v>2.7799999999999998E-2</v>
      </c>
      <c r="AJ325" s="947"/>
      <c r="AK325" s="947"/>
      <c r="AL325" s="947"/>
      <c r="AM325" s="947"/>
      <c r="AN325" s="889" t="s">
        <v>92</v>
      </c>
      <c r="AO325" s="889" t="s">
        <v>92</v>
      </c>
      <c r="AP325" s="889" t="s">
        <v>92</v>
      </c>
      <c r="AQ325" s="889" t="s">
        <v>92</v>
      </c>
      <c r="AR325" s="889" t="s">
        <v>371</v>
      </c>
      <c r="AS325" s="889" t="s">
        <v>371</v>
      </c>
      <c r="AT325" s="889" t="s">
        <v>92</v>
      </c>
      <c r="AU325" s="889" t="s">
        <v>92</v>
      </c>
      <c r="AV325" s="889" t="s">
        <v>92</v>
      </c>
      <c r="AW325" s="889" t="s">
        <v>371</v>
      </c>
      <c r="AX325" s="1590" t="s">
        <v>92</v>
      </c>
      <c r="AY325" s="889"/>
      <c r="AZ325" s="140"/>
      <c r="BA325" s="140"/>
      <c r="BB325" s="139"/>
      <c r="BC325" s="139"/>
      <c r="BD325" s="139"/>
      <c r="BE325" s="3"/>
    </row>
    <row r="326" spans="1:57" ht="15.75" customHeight="1" x14ac:dyDescent="0.4">
      <c r="A326" s="3"/>
      <c r="B326" s="4"/>
      <c r="C326" s="8" t="s">
        <v>1947</v>
      </c>
      <c r="D326" s="155"/>
      <c r="E326" s="155"/>
      <c r="F326" s="155"/>
      <c r="G326" s="7"/>
      <c r="H326" s="20"/>
      <c r="I326" s="3"/>
      <c r="J326" s="3"/>
      <c r="K326" s="3"/>
      <c r="L326" s="3"/>
      <c r="M326" s="5"/>
      <c r="N326" s="5"/>
      <c r="O326" s="5"/>
      <c r="P326" s="24"/>
      <c r="Q326" s="24"/>
      <c r="R326" s="3"/>
      <c r="S326" s="5"/>
      <c r="T326" s="3"/>
      <c r="U326" s="20"/>
      <c r="V326" s="38" t="s">
        <v>369</v>
      </c>
      <c r="W326" s="3" t="s">
        <v>370</v>
      </c>
      <c r="X326" s="38" t="s">
        <v>369</v>
      </c>
      <c r="Y326" s="1445">
        <v>200137003001</v>
      </c>
      <c r="Z326" s="1445"/>
      <c r="AA326" s="1445"/>
      <c r="AB326" s="20"/>
      <c r="AC326" s="3"/>
      <c r="AD326" s="3"/>
      <c r="AE326" s="5"/>
      <c r="AF326" s="3"/>
      <c r="AG326" s="3"/>
      <c r="AH326" s="5"/>
      <c r="AI326" s="353">
        <v>0.5524</v>
      </c>
      <c r="AJ326" s="39"/>
      <c r="AK326" s="39"/>
      <c r="AL326" s="39"/>
      <c r="AM326" s="39"/>
      <c r="AN326" s="3" t="s">
        <v>92</v>
      </c>
      <c r="AO326" s="3" t="s">
        <v>92</v>
      </c>
      <c r="AP326" s="3" t="s">
        <v>92</v>
      </c>
      <c r="AQ326" s="3" t="s">
        <v>92</v>
      </c>
      <c r="AR326" s="3" t="s">
        <v>371</v>
      </c>
      <c r="AS326" s="3" t="s">
        <v>92</v>
      </c>
      <c r="AT326" s="3" t="s">
        <v>92</v>
      </c>
      <c r="AU326" s="3" t="s">
        <v>92</v>
      </c>
      <c r="AV326" s="3" t="s">
        <v>92</v>
      </c>
      <c r="AW326" s="3" t="s">
        <v>371</v>
      </c>
      <c r="AX326" s="1414" t="s">
        <v>92</v>
      </c>
      <c r="AY326" s="3"/>
      <c r="AZ326" s="139"/>
      <c r="BA326" s="139"/>
      <c r="BB326" s="139"/>
      <c r="BC326" s="139"/>
      <c r="BD326" s="139"/>
      <c r="BE326" s="3"/>
    </row>
    <row r="327" spans="1:57" ht="15.75" customHeight="1" x14ac:dyDescent="0.4">
      <c r="A327" s="3"/>
      <c r="B327" s="4"/>
      <c r="C327" s="36"/>
      <c r="D327" s="155"/>
      <c r="E327" s="155"/>
      <c r="F327" s="155"/>
      <c r="G327" s="7"/>
      <c r="H327" s="20"/>
      <c r="I327" s="3"/>
      <c r="J327" s="3"/>
      <c r="K327" s="3"/>
      <c r="L327" s="3"/>
      <c r="M327" s="5"/>
      <c r="N327" s="5"/>
      <c r="O327" s="5"/>
      <c r="P327" s="24"/>
      <c r="Q327" s="24"/>
      <c r="R327" s="3"/>
      <c r="S327" s="5"/>
      <c r="T327" s="3"/>
      <c r="U327" s="20"/>
      <c r="V327" s="38" t="s">
        <v>369</v>
      </c>
      <c r="W327" s="3" t="s">
        <v>372</v>
      </c>
      <c r="X327" s="38" t="s">
        <v>369</v>
      </c>
      <c r="Y327" s="1445">
        <v>200137021001</v>
      </c>
      <c r="Z327" s="1445"/>
      <c r="AA327" s="1445"/>
      <c r="AB327" s="20"/>
      <c r="AC327" s="3"/>
      <c r="AD327" s="3"/>
      <c r="AE327" s="5"/>
      <c r="AF327" s="3"/>
      <c r="AG327" s="3"/>
      <c r="AH327" s="5"/>
      <c r="AI327" s="353">
        <v>0.6381</v>
      </c>
      <c r="AJ327" s="39"/>
      <c r="AK327" s="39"/>
      <c r="AL327" s="39"/>
      <c r="AM327" s="39"/>
      <c r="AN327" s="3" t="s">
        <v>92</v>
      </c>
      <c r="AO327" s="3" t="s">
        <v>92</v>
      </c>
      <c r="AP327" s="3" t="s">
        <v>92</v>
      </c>
      <c r="AQ327" s="3" t="s">
        <v>92</v>
      </c>
      <c r="AR327" s="3" t="s">
        <v>371</v>
      </c>
      <c r="AS327" s="3" t="s">
        <v>92</v>
      </c>
      <c r="AT327" s="3" t="s">
        <v>92</v>
      </c>
      <c r="AU327" s="3" t="s">
        <v>92</v>
      </c>
      <c r="AV327" s="3" t="s">
        <v>92</v>
      </c>
      <c r="AW327" s="3" t="s">
        <v>371</v>
      </c>
      <c r="AX327" s="1414" t="s">
        <v>92</v>
      </c>
      <c r="AY327" s="3"/>
      <c r="AZ327" s="139"/>
      <c r="BA327" s="139"/>
      <c r="BB327" s="139"/>
      <c r="BC327" s="139"/>
      <c r="BD327" s="139"/>
      <c r="BE327" s="3"/>
    </row>
    <row r="328" spans="1:57" ht="15.75" customHeight="1" x14ac:dyDescent="0.4">
      <c r="A328" s="3"/>
      <c r="B328" s="4"/>
      <c r="C328" s="36"/>
      <c r="D328" s="155"/>
      <c r="E328" s="155"/>
      <c r="F328" s="155"/>
      <c r="G328" s="7"/>
      <c r="H328" s="20"/>
      <c r="I328" s="3"/>
      <c r="J328" s="3"/>
      <c r="K328" s="3"/>
      <c r="L328" s="3"/>
      <c r="M328" s="5"/>
      <c r="N328" s="5"/>
      <c r="O328" s="5"/>
      <c r="P328" s="24"/>
      <c r="Q328" s="24"/>
      <c r="R328" s="3"/>
      <c r="S328" s="5"/>
      <c r="T328" s="3"/>
      <c r="U328" s="20"/>
      <c r="V328" s="38" t="s">
        <v>369</v>
      </c>
      <c r="W328" s="3" t="s">
        <v>373</v>
      </c>
      <c r="X328" s="38" t="s">
        <v>369</v>
      </c>
      <c r="Y328" s="1445">
        <v>200137033001</v>
      </c>
      <c r="Z328" s="3"/>
      <c r="AA328" s="1445"/>
      <c r="AB328" s="20"/>
      <c r="AC328" s="3"/>
      <c r="AD328" s="3"/>
      <c r="AE328" s="5"/>
      <c r="AF328" s="3"/>
      <c r="AG328" s="3"/>
      <c r="AH328" s="5"/>
      <c r="AI328" s="353">
        <v>0.58199999999999996</v>
      </c>
      <c r="AJ328" s="39"/>
      <c r="AK328" s="39"/>
      <c r="AL328" s="39"/>
      <c r="AM328" s="39"/>
      <c r="AN328" s="3" t="s">
        <v>92</v>
      </c>
      <c r="AO328" s="3" t="s">
        <v>92</v>
      </c>
      <c r="AP328" s="3" t="s">
        <v>92</v>
      </c>
      <c r="AQ328" s="3" t="s">
        <v>92</v>
      </c>
      <c r="AR328" s="3" t="s">
        <v>371</v>
      </c>
      <c r="AS328" s="3" t="s">
        <v>92</v>
      </c>
      <c r="AT328" s="3" t="s">
        <v>92</v>
      </c>
      <c r="AU328" s="3" t="s">
        <v>92</v>
      </c>
      <c r="AV328" s="3" t="s">
        <v>92</v>
      </c>
      <c r="AW328" s="3" t="s">
        <v>371</v>
      </c>
      <c r="AX328" s="1414" t="s">
        <v>92</v>
      </c>
      <c r="AY328" s="3"/>
      <c r="AZ328" s="139"/>
      <c r="BA328" s="139"/>
      <c r="BB328" s="139"/>
      <c r="BC328" s="139"/>
      <c r="BD328" s="139"/>
      <c r="BE328" s="3"/>
    </row>
    <row r="329" spans="1:57" ht="15.75" customHeight="1" x14ac:dyDescent="0.4">
      <c r="A329" s="3"/>
      <c r="B329" s="4"/>
      <c r="C329" s="36"/>
      <c r="D329" s="155"/>
      <c r="E329" s="155"/>
      <c r="F329" s="155"/>
      <c r="G329" s="7"/>
      <c r="H329" s="20"/>
      <c r="I329" s="3"/>
      <c r="J329" s="3"/>
      <c r="K329" s="3"/>
      <c r="L329" s="3"/>
      <c r="M329" s="5"/>
      <c r="N329" s="5"/>
      <c r="O329" s="5"/>
      <c r="P329" s="24"/>
      <c r="Q329" s="24"/>
      <c r="R329" s="3"/>
      <c r="S329" s="5"/>
      <c r="T329" s="3"/>
      <c r="U329" s="20"/>
      <c r="V329" s="3" t="s">
        <v>2363</v>
      </c>
      <c r="W329" s="3" t="s">
        <v>370</v>
      </c>
      <c r="X329" s="38" t="s">
        <v>369</v>
      </c>
      <c r="Y329" s="1445">
        <v>200137127001</v>
      </c>
      <c r="Z329" s="1445"/>
      <c r="AA329" s="1445"/>
      <c r="AB329" s="20"/>
      <c r="AC329" s="3"/>
      <c r="AD329" s="3"/>
      <c r="AE329" s="5"/>
      <c r="AF329" s="3"/>
      <c r="AG329" s="3"/>
      <c r="AH329" s="5"/>
      <c r="AI329" s="353">
        <v>0.75900000000000001</v>
      </c>
      <c r="AJ329" s="39"/>
      <c r="AK329" s="39"/>
      <c r="AL329" s="39"/>
      <c r="AM329" s="39"/>
      <c r="AN329" s="3" t="s">
        <v>92</v>
      </c>
      <c r="AO329" s="3" t="s">
        <v>92</v>
      </c>
      <c r="AP329" s="3" t="s">
        <v>92</v>
      </c>
      <c r="AQ329" s="3" t="s">
        <v>92</v>
      </c>
      <c r="AR329" s="3" t="s">
        <v>371</v>
      </c>
      <c r="AS329" s="3" t="s">
        <v>92</v>
      </c>
      <c r="AT329" s="3" t="s">
        <v>92</v>
      </c>
      <c r="AU329" s="3" t="s">
        <v>92</v>
      </c>
      <c r="AV329" s="3" t="s">
        <v>92</v>
      </c>
      <c r="AW329" s="3" t="s">
        <v>371</v>
      </c>
      <c r="AX329" s="1414" t="s">
        <v>92</v>
      </c>
      <c r="AY329" s="3"/>
      <c r="AZ329" s="139"/>
      <c r="BA329" s="139"/>
      <c r="BB329" s="139"/>
      <c r="BC329" s="139"/>
      <c r="BD329" s="139"/>
      <c r="BE329" s="3"/>
    </row>
    <row r="330" spans="1:57" ht="15.75" customHeight="1" thickBot="1" x14ac:dyDescent="0.45">
      <c r="A330" s="3"/>
      <c r="B330" s="4"/>
      <c r="C330" s="943"/>
      <c r="D330" s="925"/>
      <c r="E330" s="925"/>
      <c r="F330" s="925"/>
      <c r="G330" s="924"/>
      <c r="H330" s="20"/>
      <c r="I330" s="3"/>
      <c r="J330" s="3"/>
      <c r="K330" s="3"/>
      <c r="L330" s="3"/>
      <c r="M330" s="5"/>
      <c r="N330" s="5"/>
      <c r="O330" s="5"/>
      <c r="P330" s="24"/>
      <c r="Q330" s="24"/>
      <c r="R330" s="3"/>
      <c r="S330" s="5"/>
      <c r="T330" s="3"/>
      <c r="U330" s="20"/>
      <c r="V330" s="889" t="s">
        <v>2365</v>
      </c>
      <c r="W330" s="889" t="s">
        <v>370</v>
      </c>
      <c r="X330" s="888" t="s">
        <v>369</v>
      </c>
      <c r="Y330" s="1451">
        <v>200137180001</v>
      </c>
      <c r="Z330" s="1445"/>
      <c r="AA330" s="1445"/>
      <c r="AB330" s="20"/>
      <c r="AC330" s="3"/>
      <c r="AD330" s="3"/>
      <c r="AE330" s="5"/>
      <c r="AF330" s="3"/>
      <c r="AG330" s="3"/>
      <c r="AH330" s="5"/>
      <c r="AI330" s="353">
        <v>0.82120000000000004</v>
      </c>
      <c r="AJ330" s="39"/>
      <c r="AK330" s="39"/>
      <c r="AL330" s="39"/>
      <c r="AM330" s="39"/>
      <c r="AN330" s="889" t="s">
        <v>92</v>
      </c>
      <c r="AO330" s="889" t="s">
        <v>92</v>
      </c>
      <c r="AP330" s="889" t="s">
        <v>92</v>
      </c>
      <c r="AQ330" s="889" t="s">
        <v>92</v>
      </c>
      <c r="AR330" s="889" t="s">
        <v>371</v>
      </c>
      <c r="AS330" s="889" t="s">
        <v>92</v>
      </c>
      <c r="AT330" s="889" t="s">
        <v>92</v>
      </c>
      <c r="AU330" s="889" t="s">
        <v>92</v>
      </c>
      <c r="AV330" s="889" t="s">
        <v>92</v>
      </c>
      <c r="AW330" s="889" t="s">
        <v>371</v>
      </c>
      <c r="AX330" s="1590" t="s">
        <v>92</v>
      </c>
      <c r="AY330" s="889"/>
      <c r="AZ330" s="139"/>
      <c r="BA330" s="139"/>
      <c r="BB330" s="139"/>
      <c r="BC330" s="139"/>
      <c r="BD330" s="139"/>
      <c r="BE330" s="3"/>
    </row>
    <row r="331" spans="1:57" ht="15" customHeight="1" x14ac:dyDescent="0.4">
      <c r="A331" s="3"/>
      <c r="B331" s="3"/>
      <c r="C331" s="173" t="s">
        <v>445</v>
      </c>
      <c r="D331" s="182"/>
      <c r="E331" s="182"/>
      <c r="F331" s="182" t="s">
        <v>438</v>
      </c>
      <c r="G331" s="173"/>
      <c r="H331" s="175"/>
      <c r="I331" s="116" t="s">
        <v>392</v>
      </c>
      <c r="J331" s="116"/>
      <c r="K331" s="116"/>
      <c r="L331" s="116" t="s">
        <v>348</v>
      </c>
      <c r="M331" s="177">
        <f>3.5+1.5*2</f>
        <v>6.5</v>
      </c>
      <c r="N331" s="177" t="s">
        <v>348</v>
      </c>
      <c r="O331" s="177">
        <f>0.25</f>
        <v>0.25</v>
      </c>
      <c r="P331" s="177"/>
      <c r="Q331" s="177"/>
      <c r="R331" s="116" t="s">
        <v>352</v>
      </c>
      <c r="S331" s="177">
        <f>SHWidth+M331+O331</f>
        <v>45.3125</v>
      </c>
      <c r="T331" s="116" t="s">
        <v>366</v>
      </c>
      <c r="U331" s="175"/>
      <c r="V331" s="179"/>
      <c r="W331" s="116"/>
      <c r="X331" s="179"/>
      <c r="Y331" s="116"/>
      <c r="Z331" s="116"/>
      <c r="AA331" s="116"/>
      <c r="AB331" s="175"/>
      <c r="AC331" s="116">
        <v>45</v>
      </c>
      <c r="AD331" s="116">
        <v>1</v>
      </c>
      <c r="AE331" s="177">
        <f>S331*AD331/12</f>
        <v>3.7760416666666665</v>
      </c>
      <c r="AF331" s="116" t="s">
        <v>367</v>
      </c>
      <c r="AG331" s="179">
        <f>AG318</f>
        <v>0.96799999999999997</v>
      </c>
      <c r="AH331" s="177">
        <f>AG331*AtolbperftSH</f>
        <v>0.61225999999999992</v>
      </c>
      <c r="AI331" s="185"/>
      <c r="AJ331" s="185"/>
      <c r="AK331" s="185"/>
      <c r="AL331" s="185"/>
      <c r="AM331" s="180"/>
      <c r="AN331" s="3" t="s">
        <v>92</v>
      </c>
      <c r="AO331" s="3" t="s">
        <v>92</v>
      </c>
      <c r="AP331" s="3" t="s">
        <v>92</v>
      </c>
      <c r="AQ331" s="3" t="s">
        <v>92</v>
      </c>
      <c r="AR331" s="3" t="s">
        <v>92</v>
      </c>
      <c r="AS331" s="3" t="s">
        <v>81</v>
      </c>
      <c r="AT331" s="3" t="s">
        <v>92</v>
      </c>
      <c r="AU331" s="3" t="s">
        <v>92</v>
      </c>
      <c r="AV331" s="3" t="s">
        <v>92</v>
      </c>
      <c r="AW331" s="3" t="s">
        <v>92</v>
      </c>
      <c r="AX331" s="1414" t="s">
        <v>92</v>
      </c>
      <c r="AY331" s="3"/>
      <c r="AZ331" s="139"/>
      <c r="BA331" s="139"/>
      <c r="BB331" s="139"/>
      <c r="BC331" s="139"/>
      <c r="BD331" s="139"/>
      <c r="BE331" s="3"/>
    </row>
    <row r="332" spans="1:57" ht="15" customHeight="1" x14ac:dyDescent="0.4">
      <c r="A332" s="3"/>
      <c r="B332" s="36"/>
      <c r="C332" s="7"/>
      <c r="D332" s="155"/>
      <c r="E332" s="4"/>
      <c r="F332" s="155" t="s">
        <v>432</v>
      </c>
      <c r="G332" s="7"/>
      <c r="H332" s="20"/>
      <c r="I332" s="3" t="s">
        <v>392</v>
      </c>
      <c r="J332" s="3"/>
      <c r="K332" s="3"/>
      <c r="L332" s="3" t="s">
        <v>348</v>
      </c>
      <c r="M332" s="5">
        <v>0</v>
      </c>
      <c r="N332" s="5" t="s">
        <v>348</v>
      </c>
      <c r="O332" s="5">
        <f>0.25</f>
        <v>0.25</v>
      </c>
      <c r="P332" s="24"/>
      <c r="Q332" s="24"/>
      <c r="R332" s="3" t="s">
        <v>352</v>
      </c>
      <c r="S332" s="5">
        <f>SHWidth+M332+O332</f>
        <v>38.8125</v>
      </c>
      <c r="T332" s="3" t="s">
        <v>366</v>
      </c>
      <c r="U332" s="20"/>
      <c r="V332" s="38" t="s">
        <v>369</v>
      </c>
      <c r="W332" s="3" t="s">
        <v>370</v>
      </c>
      <c r="X332" s="38" t="s">
        <v>369</v>
      </c>
      <c r="Y332" s="1443">
        <v>200136003</v>
      </c>
      <c r="Z332" s="1443"/>
      <c r="AA332" s="1443"/>
      <c r="AB332" s="20"/>
      <c r="AC332" s="3"/>
      <c r="AD332" s="3"/>
      <c r="AE332" s="5"/>
      <c r="AF332" s="3"/>
      <c r="AG332" s="38"/>
      <c r="AH332" s="5"/>
      <c r="AI332" s="994">
        <f t="shared" ref="AI332:AI343" si="59">AI319</f>
        <v>0.55230000000000001</v>
      </c>
      <c r="AJ332" s="39"/>
      <c r="AK332" s="39"/>
      <c r="AL332" s="39"/>
      <c r="AM332" s="39">
        <f>AE$331*AI332+SUM(AJ332:AL332)</f>
        <v>2.0855078124999999</v>
      </c>
      <c r="AN332" s="3" t="s">
        <v>92</v>
      </c>
      <c r="AO332" s="3" t="s">
        <v>92</v>
      </c>
      <c r="AP332" s="3" t="s">
        <v>92</v>
      </c>
      <c r="AQ332" s="3" t="s">
        <v>92</v>
      </c>
      <c r="AR332" s="3" t="s">
        <v>92</v>
      </c>
      <c r="AS332" s="3" t="s">
        <v>81</v>
      </c>
      <c r="AT332" s="3" t="s">
        <v>92</v>
      </c>
      <c r="AU332" s="3" t="s">
        <v>92</v>
      </c>
      <c r="AV332" s="3" t="s">
        <v>92</v>
      </c>
      <c r="AW332" s="3" t="s">
        <v>92</v>
      </c>
      <c r="AX332" s="1414" t="s">
        <v>92</v>
      </c>
      <c r="AY332" s="3"/>
      <c r="AZ332" s="139"/>
      <c r="BA332" s="444"/>
      <c r="BB332" s="139"/>
      <c r="BC332" s="139"/>
      <c r="BD332" s="139"/>
      <c r="BE332" s="3"/>
    </row>
    <row r="333" spans="1:57" ht="15" customHeight="1" x14ac:dyDescent="0.4">
      <c r="A333" s="3"/>
      <c r="B333" s="36"/>
      <c r="C333" s="7"/>
      <c r="D333" s="155"/>
      <c r="E333" s="155"/>
      <c r="F333" s="155"/>
      <c r="G333" s="7"/>
      <c r="H333" s="20"/>
      <c r="I333" s="3"/>
      <c r="J333" s="3"/>
      <c r="K333" s="3"/>
      <c r="L333" s="3"/>
      <c r="M333" s="5"/>
      <c r="N333" s="5"/>
      <c r="O333" s="5"/>
      <c r="P333" s="5"/>
      <c r="Q333" s="5"/>
      <c r="R333" s="3"/>
      <c r="S333" s="5"/>
      <c r="T333" s="3" t="s">
        <v>366</v>
      </c>
      <c r="U333" s="20"/>
      <c r="V333" s="38" t="s">
        <v>369</v>
      </c>
      <c r="W333" s="3" t="s">
        <v>372</v>
      </c>
      <c r="X333" s="38" t="s">
        <v>369</v>
      </c>
      <c r="Y333" s="1443">
        <v>200136021</v>
      </c>
      <c r="Z333" s="1443"/>
      <c r="AA333" s="1443"/>
      <c r="AB333" s="20"/>
      <c r="AC333" s="3"/>
      <c r="AD333" s="3"/>
      <c r="AE333" s="5"/>
      <c r="AF333" s="3"/>
      <c r="AG333" s="38"/>
      <c r="AH333" s="5"/>
      <c r="AI333" s="994">
        <f t="shared" si="59"/>
        <v>0.59140000000000004</v>
      </c>
      <c r="AJ333" s="39"/>
      <c r="AK333" s="39"/>
      <c r="AL333" s="39"/>
      <c r="AM333" s="39">
        <f t="shared" ref="AM333:AM334" si="60">AE$331*AI333+SUM(AJ333:AL333)</f>
        <v>2.2331510416666669</v>
      </c>
      <c r="AN333" s="3" t="s">
        <v>92</v>
      </c>
      <c r="AO333" s="3" t="s">
        <v>92</v>
      </c>
      <c r="AP333" s="3" t="s">
        <v>92</v>
      </c>
      <c r="AQ333" s="3" t="s">
        <v>92</v>
      </c>
      <c r="AR333" s="3" t="s">
        <v>92</v>
      </c>
      <c r="AS333" s="3" t="s">
        <v>371</v>
      </c>
      <c r="AT333" s="3" t="s">
        <v>92</v>
      </c>
      <c r="AU333" s="3" t="s">
        <v>92</v>
      </c>
      <c r="AV333" s="3" t="s">
        <v>92</v>
      </c>
      <c r="AW333" s="3" t="s">
        <v>92</v>
      </c>
      <c r="AX333" s="1414" t="s">
        <v>92</v>
      </c>
      <c r="AY333" s="3"/>
      <c r="AZ333" s="139"/>
      <c r="BA333" s="444"/>
      <c r="BB333" s="139"/>
      <c r="BC333" s="139"/>
      <c r="BD333" s="139"/>
      <c r="BE333" s="3"/>
    </row>
    <row r="334" spans="1:57" ht="15" customHeight="1" x14ac:dyDescent="0.4">
      <c r="A334" s="3"/>
      <c r="B334" s="36"/>
      <c r="C334" s="7"/>
      <c r="D334" s="155"/>
      <c r="E334" s="155"/>
      <c r="F334" s="155"/>
      <c r="G334" s="7"/>
      <c r="H334" s="20"/>
      <c r="I334" s="3"/>
      <c r="J334" s="3"/>
      <c r="K334" s="3"/>
      <c r="L334" s="3"/>
      <c r="M334" s="5"/>
      <c r="N334" s="5"/>
      <c r="O334" s="5"/>
      <c r="P334" s="5"/>
      <c r="Q334" s="5"/>
      <c r="R334" s="3"/>
      <c r="S334" s="5"/>
      <c r="T334" s="3" t="s">
        <v>366</v>
      </c>
      <c r="U334" s="20"/>
      <c r="V334" s="38" t="s">
        <v>369</v>
      </c>
      <c r="W334" s="3" t="s">
        <v>373</v>
      </c>
      <c r="X334" s="38" t="s">
        <v>369</v>
      </c>
      <c r="Y334" s="1443">
        <v>200136033</v>
      </c>
      <c r="Z334" s="1443"/>
      <c r="AA334" s="1443"/>
      <c r="AB334" s="20"/>
      <c r="AC334" s="3"/>
      <c r="AD334" s="3"/>
      <c r="AE334" s="5"/>
      <c r="AF334" s="3"/>
      <c r="AG334" s="38"/>
      <c r="AH334" s="5"/>
      <c r="AI334" s="994">
        <f t="shared" si="59"/>
        <v>0.6381</v>
      </c>
      <c r="AJ334" s="39"/>
      <c r="AK334" s="39"/>
      <c r="AL334" s="39"/>
      <c r="AM334" s="39">
        <f t="shared" si="60"/>
        <v>2.4094921874999997</v>
      </c>
      <c r="AN334" s="3" t="s">
        <v>92</v>
      </c>
      <c r="AO334" s="3" t="s">
        <v>92</v>
      </c>
      <c r="AP334" s="3" t="s">
        <v>92</v>
      </c>
      <c r="AQ334" s="3" t="s">
        <v>92</v>
      </c>
      <c r="AR334" s="3" t="s">
        <v>92</v>
      </c>
      <c r="AS334" s="3" t="s">
        <v>371</v>
      </c>
      <c r="AT334" s="3" t="s">
        <v>92</v>
      </c>
      <c r="AU334" s="3" t="s">
        <v>92</v>
      </c>
      <c r="AV334" s="3" t="s">
        <v>92</v>
      </c>
      <c r="AW334" s="3" t="s">
        <v>92</v>
      </c>
      <c r="AX334" s="1414" t="s">
        <v>92</v>
      </c>
      <c r="AY334" s="3"/>
      <c r="AZ334" s="445"/>
      <c r="BA334" s="446"/>
      <c r="BB334" s="139"/>
      <c r="BC334" s="139"/>
      <c r="BD334" s="139"/>
      <c r="BE334" s="3"/>
    </row>
    <row r="335" spans="1:57" ht="15.75" customHeight="1" x14ac:dyDescent="0.4">
      <c r="A335" s="3"/>
      <c r="B335" s="4"/>
      <c r="C335" s="36"/>
      <c r="D335" s="155"/>
      <c r="E335" s="155"/>
      <c r="F335" s="155"/>
      <c r="G335" s="7"/>
      <c r="H335" s="20"/>
      <c r="I335" s="3"/>
      <c r="J335" s="3"/>
      <c r="K335" s="3"/>
      <c r="L335" s="3"/>
      <c r="M335" s="5"/>
      <c r="N335" s="5"/>
      <c r="O335" s="5"/>
      <c r="P335" s="24"/>
      <c r="Q335" s="24"/>
      <c r="R335" s="3"/>
      <c r="S335" s="5"/>
      <c r="T335" s="3"/>
      <c r="U335" s="20"/>
      <c r="V335" s="3" t="s">
        <v>2363</v>
      </c>
      <c r="W335" s="3" t="s">
        <v>370</v>
      </c>
      <c r="X335" s="38" t="s">
        <v>369</v>
      </c>
      <c r="Y335" s="1443">
        <v>200136127</v>
      </c>
      <c r="Z335" s="1443"/>
      <c r="AA335" s="1443"/>
      <c r="AB335" s="20"/>
      <c r="AC335" s="3"/>
      <c r="AD335" s="3"/>
      <c r="AE335" s="5"/>
      <c r="AF335" s="3"/>
      <c r="AG335" s="3"/>
      <c r="AH335" s="5"/>
      <c r="AI335" s="994">
        <f t="shared" si="59"/>
        <v>0.75900000000000001</v>
      </c>
      <c r="AJ335" s="39"/>
      <c r="AK335" s="39"/>
      <c r="AL335" s="39"/>
      <c r="AM335" s="39">
        <f>AE$219*AI335+SUM(AJ335:AL335)</f>
        <v>9.9302500000000009</v>
      </c>
      <c r="AN335" s="3" t="s">
        <v>92</v>
      </c>
      <c r="AO335" s="3" t="s">
        <v>92</v>
      </c>
      <c r="AP335" s="3" t="s">
        <v>92</v>
      </c>
      <c r="AQ335" s="3" t="s">
        <v>92</v>
      </c>
      <c r="AR335" s="3" t="s">
        <v>92</v>
      </c>
      <c r="AS335" s="3" t="s">
        <v>371</v>
      </c>
      <c r="AT335" s="3" t="s">
        <v>92</v>
      </c>
      <c r="AU335" s="3" t="s">
        <v>92</v>
      </c>
      <c r="AV335" s="3" t="s">
        <v>92</v>
      </c>
      <c r="AW335" s="3" t="s">
        <v>92</v>
      </c>
      <c r="AX335" s="1414" t="s">
        <v>92</v>
      </c>
      <c r="AY335" s="3"/>
      <c r="AZ335" s="139"/>
      <c r="BA335" s="139"/>
      <c r="BB335" s="139"/>
      <c r="BC335" s="139"/>
      <c r="BD335" s="139"/>
      <c r="BE335" s="3"/>
    </row>
    <row r="336" spans="1:57" ht="15.75" customHeight="1" thickBot="1" x14ac:dyDescent="0.45">
      <c r="A336" s="3"/>
      <c r="B336" s="4"/>
      <c r="C336" s="943"/>
      <c r="D336" s="925"/>
      <c r="E336" s="925"/>
      <c r="F336" s="925"/>
      <c r="G336" s="924"/>
      <c r="H336" s="887"/>
      <c r="I336" s="889"/>
      <c r="J336" s="889"/>
      <c r="K336" s="889"/>
      <c r="L336" s="889"/>
      <c r="M336" s="945"/>
      <c r="N336" s="945"/>
      <c r="O336" s="945"/>
      <c r="P336" s="1020"/>
      <c r="Q336" s="1020"/>
      <c r="R336" s="889"/>
      <c r="S336" s="945"/>
      <c r="T336" s="889"/>
      <c r="U336" s="887"/>
      <c r="V336" s="889" t="s">
        <v>2365</v>
      </c>
      <c r="W336" s="889" t="s">
        <v>370</v>
      </c>
      <c r="X336" s="888" t="s">
        <v>369</v>
      </c>
      <c r="Y336" s="1444">
        <v>200136180</v>
      </c>
      <c r="Z336" s="1444"/>
      <c r="AA336" s="1444"/>
      <c r="AB336" s="887"/>
      <c r="AC336" s="889"/>
      <c r="AD336" s="889"/>
      <c r="AE336" s="945"/>
      <c r="AF336" s="889"/>
      <c r="AG336" s="889"/>
      <c r="AH336" s="945"/>
      <c r="AI336" s="1429">
        <f t="shared" si="59"/>
        <v>0.82120000000000004</v>
      </c>
      <c r="AJ336" s="947"/>
      <c r="AK336" s="947"/>
      <c r="AL336" s="947"/>
      <c r="AM336" s="947">
        <f>AE$219*AI336+SUM(AJ336:AL336)</f>
        <v>10.744033333333334</v>
      </c>
      <c r="AN336" s="889" t="s">
        <v>92</v>
      </c>
      <c r="AO336" s="889" t="s">
        <v>92</v>
      </c>
      <c r="AP336" s="889" t="s">
        <v>92</v>
      </c>
      <c r="AQ336" s="889" t="s">
        <v>92</v>
      </c>
      <c r="AR336" s="889" t="s">
        <v>92</v>
      </c>
      <c r="AS336" s="889" t="s">
        <v>371</v>
      </c>
      <c r="AT336" s="889" t="s">
        <v>92</v>
      </c>
      <c r="AU336" s="889" t="s">
        <v>92</v>
      </c>
      <c r="AV336" s="889" t="s">
        <v>92</v>
      </c>
      <c r="AW336" s="889" t="s">
        <v>92</v>
      </c>
      <c r="AX336" s="1590" t="s">
        <v>92</v>
      </c>
      <c r="AY336" s="889"/>
      <c r="AZ336" s="139"/>
      <c r="BA336" s="139"/>
      <c r="BB336" s="139"/>
      <c r="BC336" s="139"/>
      <c r="BD336" s="139"/>
      <c r="BE336" s="3"/>
    </row>
    <row r="337" spans="1:57" ht="15" customHeight="1" x14ac:dyDescent="0.4">
      <c r="A337" s="3"/>
      <c r="B337" s="36"/>
      <c r="C337" s="447" t="s">
        <v>444</v>
      </c>
      <c r="D337" s="4"/>
      <c r="E337" s="155"/>
      <c r="F337" s="155"/>
      <c r="G337" s="7"/>
      <c r="H337" s="20"/>
      <c r="I337" s="3" t="s">
        <v>392</v>
      </c>
      <c r="J337" s="3"/>
      <c r="K337" s="3"/>
      <c r="L337" s="38" t="s">
        <v>348</v>
      </c>
      <c r="M337" s="5">
        <v>0</v>
      </c>
      <c r="N337" s="24"/>
      <c r="O337" s="24"/>
      <c r="P337" s="24"/>
      <c r="Q337" s="24"/>
      <c r="R337" s="639" t="s">
        <v>352</v>
      </c>
      <c r="S337" s="5">
        <f>SHWidth+M337+O337</f>
        <v>38.5625</v>
      </c>
      <c r="T337" s="3" t="s">
        <v>366</v>
      </c>
      <c r="U337" s="20"/>
      <c r="V337" s="38" t="s">
        <v>369</v>
      </c>
      <c r="W337" s="3" t="s">
        <v>405</v>
      </c>
      <c r="X337" s="38" t="s">
        <v>369</v>
      </c>
      <c r="Y337" s="1443">
        <v>600042010</v>
      </c>
      <c r="Z337" s="1443"/>
      <c r="AA337" s="1443"/>
      <c r="AB337" s="20"/>
      <c r="AC337" s="3">
        <v>45</v>
      </c>
      <c r="AD337" s="3">
        <v>1</v>
      </c>
      <c r="AE337" s="5">
        <f>S337*AD337/12</f>
        <v>3.2135416666666665</v>
      </c>
      <c r="AF337" s="3" t="s">
        <v>367</v>
      </c>
      <c r="AG337" s="38" t="s">
        <v>369</v>
      </c>
      <c r="AH337" s="38" t="s">
        <v>369</v>
      </c>
      <c r="AI337" s="51">
        <f t="shared" si="59"/>
        <v>2.0199999999999999E-2</v>
      </c>
      <c r="AJ337" s="39"/>
      <c r="AK337" s="39"/>
      <c r="AL337" s="39"/>
      <c r="AM337" s="39">
        <f>AE$337*AI337+SUM(AJ337:AL337)</f>
        <v>6.4913541666666658E-2</v>
      </c>
      <c r="AN337" s="3" t="s">
        <v>92</v>
      </c>
      <c r="AO337" s="3" t="s">
        <v>92</v>
      </c>
      <c r="AP337" s="3" t="s">
        <v>92</v>
      </c>
      <c r="AQ337" s="3" t="s">
        <v>92</v>
      </c>
      <c r="AR337" s="3" t="s">
        <v>92</v>
      </c>
      <c r="AS337" s="3" t="s">
        <v>81</v>
      </c>
      <c r="AT337" s="3" t="s">
        <v>92</v>
      </c>
      <c r="AU337" s="3" t="s">
        <v>92</v>
      </c>
      <c r="AV337" s="3" t="s">
        <v>92</v>
      </c>
      <c r="AW337" s="3" t="s">
        <v>92</v>
      </c>
      <c r="AX337" s="1414" t="s">
        <v>92</v>
      </c>
      <c r="AY337" s="3"/>
      <c r="AZ337" s="140"/>
      <c r="BA337" s="140"/>
      <c r="BB337" s="139"/>
      <c r="BC337" s="139"/>
      <c r="BD337" s="139"/>
      <c r="BE337" s="3"/>
    </row>
    <row r="338" spans="1:57" ht="15" customHeight="1" thickBot="1" x14ac:dyDescent="0.45">
      <c r="A338" s="3"/>
      <c r="B338" s="36"/>
      <c r="C338" s="944" t="s">
        <v>406</v>
      </c>
      <c r="D338" s="968"/>
      <c r="E338" s="925"/>
      <c r="F338" s="925"/>
      <c r="G338" s="924"/>
      <c r="H338" s="887"/>
      <c r="I338" s="889" t="s">
        <v>392</v>
      </c>
      <c r="J338" s="889"/>
      <c r="K338" s="889"/>
      <c r="L338" s="889" t="s">
        <v>348</v>
      </c>
      <c r="M338" s="945">
        <v>0</v>
      </c>
      <c r="N338" s="945"/>
      <c r="O338" s="945"/>
      <c r="P338" s="945"/>
      <c r="Q338" s="945"/>
      <c r="R338" s="889" t="s">
        <v>352</v>
      </c>
      <c r="S338" s="945">
        <f>SHWidth+M338+O338</f>
        <v>38.5625</v>
      </c>
      <c r="T338" s="889" t="s">
        <v>366</v>
      </c>
      <c r="U338" s="887"/>
      <c r="V338" s="888" t="s">
        <v>369</v>
      </c>
      <c r="W338" s="889" t="s">
        <v>405</v>
      </c>
      <c r="X338" s="888" t="s">
        <v>369</v>
      </c>
      <c r="Y338" s="1444">
        <v>600050010</v>
      </c>
      <c r="Z338" s="1444"/>
      <c r="AA338" s="1444"/>
      <c r="AB338" s="887"/>
      <c r="AC338" s="889">
        <v>45</v>
      </c>
      <c r="AD338" s="889">
        <v>1</v>
      </c>
      <c r="AE338" s="945">
        <f>AD338*S338/12</f>
        <v>3.2135416666666665</v>
      </c>
      <c r="AF338" s="889" t="s">
        <v>367</v>
      </c>
      <c r="AG338" s="888" t="s">
        <v>369</v>
      </c>
      <c r="AH338" s="888" t="s">
        <v>369</v>
      </c>
      <c r="AI338" s="937">
        <f t="shared" si="59"/>
        <v>2.7799999999999998E-2</v>
      </c>
      <c r="AJ338" s="947"/>
      <c r="AK338" s="947"/>
      <c r="AL338" s="947"/>
      <c r="AM338" s="947">
        <f>AE$338*AI338+SUM(AJ338:AL338)</f>
        <v>8.9336458333333327E-2</v>
      </c>
      <c r="AN338" s="889" t="s">
        <v>92</v>
      </c>
      <c r="AO338" s="889" t="s">
        <v>92</v>
      </c>
      <c r="AP338" s="889" t="s">
        <v>92</v>
      </c>
      <c r="AQ338" s="889" t="s">
        <v>92</v>
      </c>
      <c r="AR338" s="889" t="s">
        <v>92</v>
      </c>
      <c r="AS338" s="889" t="s">
        <v>371</v>
      </c>
      <c r="AT338" s="889" t="s">
        <v>92</v>
      </c>
      <c r="AU338" s="889" t="s">
        <v>92</v>
      </c>
      <c r="AV338" s="889" t="s">
        <v>92</v>
      </c>
      <c r="AW338" s="889" t="s">
        <v>92</v>
      </c>
      <c r="AX338" s="1590" t="s">
        <v>92</v>
      </c>
      <c r="AY338" s="889"/>
      <c r="AZ338" s="140"/>
      <c r="BA338" s="140"/>
      <c r="BB338" s="139"/>
      <c r="BC338" s="139"/>
      <c r="BD338" s="139"/>
      <c r="BE338" s="3"/>
    </row>
    <row r="339" spans="1:57" ht="15.75" customHeight="1" x14ac:dyDescent="0.4">
      <c r="A339" s="3"/>
      <c r="B339" s="4"/>
      <c r="C339" s="8" t="s">
        <v>1947</v>
      </c>
      <c r="D339" s="155"/>
      <c r="E339" s="155"/>
      <c r="F339" s="155"/>
      <c r="G339" s="7"/>
      <c r="H339" s="20"/>
      <c r="I339" s="3"/>
      <c r="J339" s="3"/>
      <c r="K339" s="3"/>
      <c r="L339" s="3"/>
      <c r="M339" s="5"/>
      <c r="N339" s="5"/>
      <c r="O339" s="5"/>
      <c r="P339" s="24"/>
      <c r="Q339" s="24"/>
      <c r="R339" s="3"/>
      <c r="S339" s="5"/>
      <c r="T339" s="3"/>
      <c r="U339" s="20"/>
      <c r="V339" s="38" t="s">
        <v>369</v>
      </c>
      <c r="W339" s="3" t="s">
        <v>370</v>
      </c>
      <c r="X339" s="38" t="s">
        <v>369</v>
      </c>
      <c r="Y339" s="1445">
        <v>200136003001</v>
      </c>
      <c r="Z339" s="1445"/>
      <c r="AA339" s="1445"/>
      <c r="AB339" s="20"/>
      <c r="AC339" s="3"/>
      <c r="AD339" s="3"/>
      <c r="AE339" s="5"/>
      <c r="AF339" s="3"/>
      <c r="AG339" s="3"/>
      <c r="AH339" s="5"/>
      <c r="AI339" s="994">
        <f t="shared" si="59"/>
        <v>0.5524</v>
      </c>
      <c r="AJ339" s="39"/>
      <c r="AK339" s="39"/>
      <c r="AL339" s="39"/>
      <c r="AM339" s="39"/>
      <c r="AN339" s="3" t="s">
        <v>92</v>
      </c>
      <c r="AO339" s="3" t="s">
        <v>92</v>
      </c>
      <c r="AP339" s="3" t="s">
        <v>92</v>
      </c>
      <c r="AQ339" s="3" t="s">
        <v>92</v>
      </c>
      <c r="AR339" s="3" t="s">
        <v>92</v>
      </c>
      <c r="AS339" s="3" t="s">
        <v>371</v>
      </c>
      <c r="AT339" s="3" t="s">
        <v>92</v>
      </c>
      <c r="AU339" s="3" t="s">
        <v>92</v>
      </c>
      <c r="AV339" s="3" t="s">
        <v>92</v>
      </c>
      <c r="AW339" s="3" t="s">
        <v>92</v>
      </c>
      <c r="AX339" s="1414" t="s">
        <v>92</v>
      </c>
      <c r="AY339" s="3"/>
      <c r="AZ339" s="139"/>
      <c r="BA339" s="139"/>
      <c r="BB339" s="139"/>
      <c r="BC339" s="139"/>
      <c r="BD339" s="139"/>
      <c r="BE339" s="3"/>
    </row>
    <row r="340" spans="1:57" ht="15.75" customHeight="1" x14ac:dyDescent="0.4">
      <c r="A340" s="3"/>
      <c r="B340" s="4"/>
      <c r="C340" s="36"/>
      <c r="D340" s="155"/>
      <c r="E340" s="155"/>
      <c r="F340" s="155"/>
      <c r="G340" s="7"/>
      <c r="H340" s="20"/>
      <c r="I340" s="3"/>
      <c r="J340" s="3"/>
      <c r="K340" s="3"/>
      <c r="L340" s="3"/>
      <c r="M340" s="5"/>
      <c r="N340" s="5"/>
      <c r="O340" s="5"/>
      <c r="P340" s="24"/>
      <c r="Q340" s="24"/>
      <c r="R340" s="3"/>
      <c r="S340" s="5"/>
      <c r="T340" s="3"/>
      <c r="U340" s="20"/>
      <c r="V340" s="38" t="s">
        <v>369</v>
      </c>
      <c r="W340" s="3" t="s">
        <v>372</v>
      </c>
      <c r="X340" s="38" t="s">
        <v>369</v>
      </c>
      <c r="Y340" s="1445">
        <v>200136021001</v>
      </c>
      <c r="Z340" s="1445"/>
      <c r="AA340" s="1445"/>
      <c r="AB340" s="20"/>
      <c r="AC340" s="3"/>
      <c r="AD340" s="3"/>
      <c r="AE340" s="5"/>
      <c r="AF340" s="3"/>
      <c r="AG340" s="3"/>
      <c r="AH340" s="5"/>
      <c r="AI340" s="994">
        <f t="shared" si="59"/>
        <v>0.6381</v>
      </c>
      <c r="AJ340" s="39"/>
      <c r="AK340" s="39"/>
      <c r="AL340" s="39"/>
      <c r="AM340" s="39"/>
      <c r="AN340" s="3" t="s">
        <v>92</v>
      </c>
      <c r="AO340" s="3" t="s">
        <v>92</v>
      </c>
      <c r="AP340" s="3" t="s">
        <v>92</v>
      </c>
      <c r="AQ340" s="3" t="s">
        <v>92</v>
      </c>
      <c r="AR340" s="3" t="s">
        <v>92</v>
      </c>
      <c r="AS340" s="3" t="s">
        <v>371</v>
      </c>
      <c r="AT340" s="3" t="s">
        <v>92</v>
      </c>
      <c r="AU340" s="3" t="s">
        <v>92</v>
      </c>
      <c r="AV340" s="3" t="s">
        <v>92</v>
      </c>
      <c r="AW340" s="3" t="s">
        <v>92</v>
      </c>
      <c r="AX340" s="1414" t="s">
        <v>92</v>
      </c>
      <c r="AY340" s="3"/>
      <c r="AZ340" s="139"/>
      <c r="BA340" s="139"/>
      <c r="BB340" s="139"/>
      <c r="BC340" s="139"/>
      <c r="BD340" s="139"/>
      <c r="BE340" s="3"/>
    </row>
    <row r="341" spans="1:57" ht="15.75" customHeight="1" x14ac:dyDescent="0.4">
      <c r="A341" s="3"/>
      <c r="B341" s="4"/>
      <c r="C341" s="36"/>
      <c r="D341" s="155"/>
      <c r="E341" s="155"/>
      <c r="F341" s="155"/>
      <c r="G341" s="7"/>
      <c r="H341" s="20"/>
      <c r="I341" s="3"/>
      <c r="J341" s="3"/>
      <c r="K341" s="3"/>
      <c r="L341" s="3"/>
      <c r="M341" s="5"/>
      <c r="N341" s="5"/>
      <c r="O341" s="5"/>
      <c r="P341" s="24"/>
      <c r="Q341" s="24"/>
      <c r="R341" s="3"/>
      <c r="S341" s="5"/>
      <c r="T341" s="3"/>
      <c r="U341" s="20"/>
      <c r="V341" s="38" t="s">
        <v>369</v>
      </c>
      <c r="W341" s="3" t="s">
        <v>373</v>
      </c>
      <c r="X341" s="38" t="s">
        <v>369</v>
      </c>
      <c r="Y341" s="1445">
        <v>200136033001</v>
      </c>
      <c r="Z341" s="3"/>
      <c r="AA341" s="1445"/>
      <c r="AB341" s="20"/>
      <c r="AC341" s="3"/>
      <c r="AD341" s="3"/>
      <c r="AE341" s="5"/>
      <c r="AF341" s="3"/>
      <c r="AG341" s="3"/>
      <c r="AH341" s="5"/>
      <c r="AI341" s="994">
        <f t="shared" si="59"/>
        <v>0.58199999999999996</v>
      </c>
      <c r="AJ341" s="39"/>
      <c r="AK341" s="39"/>
      <c r="AL341" s="39"/>
      <c r="AM341" s="39"/>
      <c r="AN341" s="3" t="s">
        <v>92</v>
      </c>
      <c r="AO341" s="3" t="s">
        <v>92</v>
      </c>
      <c r="AP341" s="3" t="s">
        <v>92</v>
      </c>
      <c r="AQ341" s="3" t="s">
        <v>92</v>
      </c>
      <c r="AR341" s="3" t="s">
        <v>92</v>
      </c>
      <c r="AS341" s="3" t="s">
        <v>371</v>
      </c>
      <c r="AT341" s="3" t="s">
        <v>92</v>
      </c>
      <c r="AU341" s="3" t="s">
        <v>92</v>
      </c>
      <c r="AV341" s="3" t="s">
        <v>92</v>
      </c>
      <c r="AW341" s="3" t="s">
        <v>92</v>
      </c>
      <c r="AX341" s="1414" t="s">
        <v>92</v>
      </c>
      <c r="AY341" s="3"/>
      <c r="AZ341" s="139"/>
      <c r="BA341" s="139"/>
      <c r="BB341" s="139"/>
      <c r="BC341" s="139"/>
      <c r="BD341" s="139"/>
      <c r="BE341" s="3"/>
    </row>
    <row r="342" spans="1:57" ht="15.75" customHeight="1" x14ac:dyDescent="0.4">
      <c r="A342" s="3"/>
      <c r="B342" s="4"/>
      <c r="C342" s="36"/>
      <c r="D342" s="155"/>
      <c r="E342" s="155"/>
      <c r="F342" s="155"/>
      <c r="G342" s="7"/>
      <c r="H342" s="20"/>
      <c r="I342" s="3"/>
      <c r="J342" s="3"/>
      <c r="K342" s="3"/>
      <c r="L342" s="3"/>
      <c r="M342" s="5"/>
      <c r="N342" s="5"/>
      <c r="O342" s="5"/>
      <c r="P342" s="24"/>
      <c r="Q342" s="24"/>
      <c r="R342" s="3"/>
      <c r="S342" s="5"/>
      <c r="T342" s="3"/>
      <c r="U342" s="20"/>
      <c r="V342" s="3" t="s">
        <v>2363</v>
      </c>
      <c r="W342" s="3" t="s">
        <v>370</v>
      </c>
      <c r="X342" s="38" t="s">
        <v>369</v>
      </c>
      <c r="Y342" s="1445">
        <v>200136127001</v>
      </c>
      <c r="Z342" s="1445"/>
      <c r="AA342" s="1445"/>
      <c r="AB342" s="20"/>
      <c r="AC342" s="3"/>
      <c r="AD342" s="3"/>
      <c r="AE342" s="5"/>
      <c r="AF342" s="3"/>
      <c r="AG342" s="3"/>
      <c r="AH342" s="5"/>
      <c r="AI342" s="994">
        <f t="shared" si="59"/>
        <v>0.75900000000000001</v>
      </c>
      <c r="AJ342" s="39"/>
      <c r="AK342" s="39"/>
      <c r="AL342" s="39"/>
      <c r="AM342" s="39"/>
      <c r="AN342" s="3" t="s">
        <v>92</v>
      </c>
      <c r="AO342" s="3" t="s">
        <v>92</v>
      </c>
      <c r="AP342" s="3" t="s">
        <v>92</v>
      </c>
      <c r="AQ342" s="3" t="s">
        <v>92</v>
      </c>
      <c r="AR342" s="3" t="s">
        <v>92</v>
      </c>
      <c r="AS342" s="3" t="s">
        <v>371</v>
      </c>
      <c r="AT342" s="3" t="s">
        <v>92</v>
      </c>
      <c r="AU342" s="3" t="s">
        <v>92</v>
      </c>
      <c r="AV342" s="3" t="s">
        <v>92</v>
      </c>
      <c r="AW342" s="3" t="s">
        <v>92</v>
      </c>
      <c r="AX342" s="1414" t="s">
        <v>92</v>
      </c>
      <c r="AY342" s="3"/>
      <c r="AZ342" s="139"/>
      <c r="BA342" s="139"/>
      <c r="BB342" s="139"/>
      <c r="BC342" s="139"/>
      <c r="BD342" s="139"/>
      <c r="BE342" s="3"/>
    </row>
    <row r="343" spans="1:57" ht="15.75" customHeight="1" thickBot="1" x14ac:dyDescent="0.45">
      <c r="A343" s="3"/>
      <c r="B343" s="4"/>
      <c r="C343" s="943"/>
      <c r="D343" s="925"/>
      <c r="E343" s="925"/>
      <c r="F343" s="925"/>
      <c r="G343" s="924"/>
      <c r="H343" s="887"/>
      <c r="I343" s="889"/>
      <c r="J343" s="889"/>
      <c r="K343" s="889"/>
      <c r="L343" s="889"/>
      <c r="M343" s="945"/>
      <c r="N343" s="945"/>
      <c r="O343" s="945"/>
      <c r="P343" s="1020"/>
      <c r="Q343" s="1020"/>
      <c r="R343" s="889"/>
      <c r="S343" s="945"/>
      <c r="T343" s="889"/>
      <c r="U343" s="887"/>
      <c r="V343" s="889" t="s">
        <v>2365</v>
      </c>
      <c r="W343" s="889" t="s">
        <v>370</v>
      </c>
      <c r="X343" s="888" t="s">
        <v>369</v>
      </c>
      <c r="Y343" s="1451">
        <v>200136180001</v>
      </c>
      <c r="Z343" s="1451"/>
      <c r="AA343" s="1451"/>
      <c r="AB343" s="887"/>
      <c r="AC343" s="889"/>
      <c r="AD343" s="889"/>
      <c r="AE343" s="945"/>
      <c r="AF343" s="889"/>
      <c r="AG343" s="889"/>
      <c r="AH343" s="945"/>
      <c r="AI343" s="1429">
        <f t="shared" si="59"/>
        <v>0.82120000000000004</v>
      </c>
      <c r="AJ343" s="947"/>
      <c r="AK343" s="947"/>
      <c r="AL343" s="947"/>
      <c r="AM343" s="947"/>
      <c r="AN343" s="889" t="s">
        <v>92</v>
      </c>
      <c r="AO343" s="889" t="s">
        <v>92</v>
      </c>
      <c r="AP343" s="889" t="s">
        <v>92</v>
      </c>
      <c r="AQ343" s="889" t="s">
        <v>92</v>
      </c>
      <c r="AR343" s="889" t="s">
        <v>92</v>
      </c>
      <c r="AS343" s="889" t="s">
        <v>371</v>
      </c>
      <c r="AT343" s="889" t="s">
        <v>92</v>
      </c>
      <c r="AU343" s="889" t="s">
        <v>92</v>
      </c>
      <c r="AV343" s="889" t="s">
        <v>92</v>
      </c>
      <c r="AW343" s="889" t="s">
        <v>92</v>
      </c>
      <c r="AX343" s="1590" t="s">
        <v>92</v>
      </c>
      <c r="AY343" s="889"/>
      <c r="AZ343" s="139"/>
      <c r="BA343" s="139"/>
      <c r="BB343" s="139"/>
      <c r="BC343" s="139"/>
      <c r="BD343" s="139"/>
      <c r="BE343" s="3"/>
    </row>
    <row r="344" spans="1:57" ht="15.75" customHeight="1" x14ac:dyDescent="0.4">
      <c r="A344" s="3"/>
      <c r="B344" s="4"/>
      <c r="C344" s="173" t="s">
        <v>2141</v>
      </c>
      <c r="D344" s="182"/>
      <c r="E344" s="182"/>
      <c r="F344" s="182" t="s">
        <v>438</v>
      </c>
      <c r="G344" s="173"/>
      <c r="H344" s="175"/>
      <c r="I344" s="116" t="s">
        <v>392</v>
      </c>
      <c r="J344" s="116"/>
      <c r="K344" s="116"/>
      <c r="L344" s="116" t="s">
        <v>348</v>
      </c>
      <c r="M344" s="177">
        <f>3.5+1.5*2</f>
        <v>6.5</v>
      </c>
      <c r="N344" s="177" t="s">
        <v>348</v>
      </c>
      <c r="O344" s="177">
        <f>0.25</f>
        <v>0.25</v>
      </c>
      <c r="P344" s="177"/>
      <c r="Q344" s="177"/>
      <c r="R344" s="116" t="s">
        <v>352</v>
      </c>
      <c r="S344" s="177">
        <f>SHWidth+M344+O344</f>
        <v>45.3125</v>
      </c>
      <c r="T344" s="116" t="s">
        <v>366</v>
      </c>
      <c r="U344" s="175"/>
      <c r="V344" s="179"/>
      <c r="W344" s="116"/>
      <c r="X344" s="179"/>
      <c r="Y344" s="116"/>
      <c r="Z344" s="3"/>
      <c r="AA344" s="3"/>
      <c r="AB344" s="20"/>
      <c r="AC344" s="3"/>
      <c r="AD344" s="3"/>
      <c r="AE344" s="5"/>
      <c r="AF344" s="3"/>
      <c r="AG344" s="3"/>
      <c r="AH344" s="5"/>
      <c r="AI344" s="994"/>
      <c r="AJ344" s="39"/>
      <c r="AK344" s="39"/>
      <c r="AL344" s="39"/>
      <c r="AM344" s="39"/>
      <c r="AN344" s="3" t="s">
        <v>92</v>
      </c>
      <c r="AO344" s="3" t="s">
        <v>92</v>
      </c>
      <c r="AP344" s="3" t="s">
        <v>92</v>
      </c>
      <c r="AQ344" s="3" t="s">
        <v>92</v>
      </c>
      <c r="AR344" s="3" t="s">
        <v>92</v>
      </c>
      <c r="AS344" s="3" t="s">
        <v>92</v>
      </c>
      <c r="AT344" s="3" t="s">
        <v>92</v>
      </c>
      <c r="AU344" s="3" t="s">
        <v>92</v>
      </c>
      <c r="AV344" s="3" t="s">
        <v>92</v>
      </c>
      <c r="AW344" s="3" t="s">
        <v>92</v>
      </c>
      <c r="AX344" s="1414" t="s">
        <v>92</v>
      </c>
      <c r="AY344" s="3"/>
      <c r="AZ344" s="139"/>
      <c r="BA344" s="139"/>
      <c r="BB344" s="139"/>
      <c r="BC344" s="139"/>
      <c r="BD344" s="139"/>
      <c r="BE344" s="3"/>
    </row>
    <row r="345" spans="1:57" ht="15.75" customHeight="1" x14ac:dyDescent="0.4">
      <c r="A345" s="3"/>
      <c r="B345" s="4"/>
      <c r="C345" s="7"/>
      <c r="D345" s="155"/>
      <c r="E345" s="4"/>
      <c r="F345" s="155" t="s">
        <v>432</v>
      </c>
      <c r="G345" s="7"/>
      <c r="H345" s="20"/>
      <c r="I345" s="3" t="s">
        <v>392</v>
      </c>
      <c r="J345" s="3"/>
      <c r="K345" s="3"/>
      <c r="L345" s="3" t="s">
        <v>348</v>
      </c>
      <c r="M345" s="5">
        <v>0</v>
      </c>
      <c r="N345" s="5" t="s">
        <v>348</v>
      </c>
      <c r="O345" s="5">
        <f>0.25</f>
        <v>0.25</v>
      </c>
      <c r="P345" s="24"/>
      <c r="Q345" s="24"/>
      <c r="R345" s="3" t="s">
        <v>352</v>
      </c>
      <c r="S345" s="5">
        <f>SHWidth+M345+O345</f>
        <v>38.8125</v>
      </c>
      <c r="T345" s="3" t="s">
        <v>366</v>
      </c>
      <c r="U345" s="20"/>
      <c r="V345" s="38" t="s">
        <v>369</v>
      </c>
      <c r="W345" s="3" t="s">
        <v>370</v>
      </c>
      <c r="X345" s="38" t="s">
        <v>369</v>
      </c>
      <c r="Y345" s="1443">
        <v>207959003</v>
      </c>
      <c r="Z345" s="1443"/>
      <c r="AA345" s="1443"/>
      <c r="AB345" s="20"/>
      <c r="AC345" s="3"/>
      <c r="AD345" s="3"/>
      <c r="AE345" s="5"/>
      <c r="AF345" s="3"/>
      <c r="AG345" s="3"/>
      <c r="AH345" s="5"/>
      <c r="AI345" s="994"/>
      <c r="AJ345" s="39"/>
      <c r="AK345" s="39"/>
      <c r="AL345" s="39"/>
      <c r="AM345" s="39"/>
      <c r="AN345" s="3" t="s">
        <v>92</v>
      </c>
      <c r="AO345" s="3" t="s">
        <v>92</v>
      </c>
      <c r="AP345" s="3" t="s">
        <v>92</v>
      </c>
      <c r="AQ345" s="3" t="s">
        <v>92</v>
      </c>
      <c r="AR345" s="3" t="s">
        <v>92</v>
      </c>
      <c r="AS345" s="3" t="s">
        <v>92</v>
      </c>
      <c r="AT345" s="3" t="s">
        <v>92</v>
      </c>
      <c r="AU345" s="3" t="s">
        <v>92</v>
      </c>
      <c r="AV345" s="3" t="s">
        <v>92</v>
      </c>
      <c r="AW345" s="3" t="s">
        <v>92</v>
      </c>
      <c r="AX345" s="1414" t="s">
        <v>92</v>
      </c>
      <c r="AY345" s="3"/>
      <c r="AZ345" s="139"/>
      <c r="BA345" s="139"/>
      <c r="BB345" s="139"/>
      <c r="BC345" s="139"/>
      <c r="BD345" s="139"/>
      <c r="BE345" s="3"/>
    </row>
    <row r="346" spans="1:57" ht="15.75" customHeight="1" x14ac:dyDescent="0.4">
      <c r="A346" s="3"/>
      <c r="B346" s="4"/>
      <c r="C346" s="7"/>
      <c r="D346" s="155"/>
      <c r="E346" s="155"/>
      <c r="F346" s="155"/>
      <c r="G346" s="7"/>
      <c r="H346" s="20"/>
      <c r="I346" s="3"/>
      <c r="J346" s="3"/>
      <c r="K346" s="3"/>
      <c r="L346" s="3"/>
      <c r="M346" s="5"/>
      <c r="N346" s="5"/>
      <c r="O346" s="5"/>
      <c r="P346" s="5"/>
      <c r="Q346" s="5"/>
      <c r="R346" s="3"/>
      <c r="S346" s="5"/>
      <c r="T346" s="3" t="s">
        <v>366</v>
      </c>
      <c r="U346" s="20"/>
      <c r="V346" s="38" t="s">
        <v>369</v>
      </c>
      <c r="W346" s="3" t="s">
        <v>372</v>
      </c>
      <c r="X346" s="38" t="s">
        <v>369</v>
      </c>
      <c r="Y346" s="1443">
        <v>207959021</v>
      </c>
      <c r="Z346" s="1443"/>
      <c r="AA346" s="1443"/>
      <c r="AB346" s="20"/>
      <c r="AC346" s="3"/>
      <c r="AD346" s="3"/>
      <c r="AE346" s="5"/>
      <c r="AF346" s="3"/>
      <c r="AG346" s="3"/>
      <c r="AH346" s="5"/>
      <c r="AI346" s="994"/>
      <c r="AJ346" s="39"/>
      <c r="AK346" s="39"/>
      <c r="AL346" s="39"/>
      <c r="AM346" s="39"/>
      <c r="AN346" s="3" t="s">
        <v>92</v>
      </c>
      <c r="AO346" s="3" t="s">
        <v>92</v>
      </c>
      <c r="AP346" s="3" t="s">
        <v>92</v>
      </c>
      <c r="AQ346" s="3" t="s">
        <v>92</v>
      </c>
      <c r="AR346" s="3" t="s">
        <v>92</v>
      </c>
      <c r="AS346" s="3" t="s">
        <v>92</v>
      </c>
      <c r="AT346" s="3" t="s">
        <v>92</v>
      </c>
      <c r="AU346" s="3" t="s">
        <v>92</v>
      </c>
      <c r="AV346" s="3" t="s">
        <v>92</v>
      </c>
      <c r="AW346" s="3" t="s">
        <v>92</v>
      </c>
      <c r="AX346" s="1414" t="s">
        <v>92</v>
      </c>
      <c r="AY346" s="3"/>
      <c r="AZ346" s="139"/>
      <c r="BA346" s="139"/>
      <c r="BB346" s="139"/>
      <c r="BC346" s="139"/>
      <c r="BD346" s="139"/>
      <c r="BE346" s="3"/>
    </row>
    <row r="347" spans="1:57" ht="15.75" customHeight="1" x14ac:dyDescent="0.4">
      <c r="A347" s="3"/>
      <c r="B347" s="4"/>
      <c r="C347" s="7"/>
      <c r="D347" s="155"/>
      <c r="E347" s="155"/>
      <c r="F347" s="155"/>
      <c r="G347" s="7"/>
      <c r="H347" s="20"/>
      <c r="I347" s="3"/>
      <c r="J347" s="3"/>
      <c r="K347" s="3"/>
      <c r="L347" s="3"/>
      <c r="M347" s="5"/>
      <c r="N347" s="5"/>
      <c r="O347" s="5"/>
      <c r="P347" s="5"/>
      <c r="Q347" s="5"/>
      <c r="R347" s="3"/>
      <c r="S347" s="5"/>
      <c r="T347" s="3" t="s">
        <v>366</v>
      </c>
      <c r="U347" s="20"/>
      <c r="V347" s="38" t="s">
        <v>369</v>
      </c>
      <c r="W347" s="3" t="s">
        <v>373</v>
      </c>
      <c r="X347" s="38" t="s">
        <v>369</v>
      </c>
      <c r="Y347" s="1443">
        <v>207959033</v>
      </c>
      <c r="Z347" s="1443"/>
      <c r="AA347" s="1443"/>
      <c r="AB347" s="20"/>
      <c r="AC347" s="3"/>
      <c r="AD347" s="3"/>
      <c r="AE347" s="5"/>
      <c r="AF347" s="3"/>
      <c r="AG347" s="3"/>
      <c r="AH347" s="5"/>
      <c r="AI347" s="994"/>
      <c r="AJ347" s="39"/>
      <c r="AK347" s="39"/>
      <c r="AL347" s="39"/>
      <c r="AM347" s="39"/>
      <c r="AN347" s="3" t="s">
        <v>92</v>
      </c>
      <c r="AO347" s="3" t="s">
        <v>92</v>
      </c>
      <c r="AP347" s="3" t="s">
        <v>92</v>
      </c>
      <c r="AQ347" s="3" t="s">
        <v>92</v>
      </c>
      <c r="AR347" s="3" t="s">
        <v>92</v>
      </c>
      <c r="AS347" s="3" t="s">
        <v>92</v>
      </c>
      <c r="AT347" s="3" t="s">
        <v>92</v>
      </c>
      <c r="AU347" s="3" t="s">
        <v>92</v>
      </c>
      <c r="AV347" s="3" t="s">
        <v>92</v>
      </c>
      <c r="AW347" s="3" t="s">
        <v>92</v>
      </c>
      <c r="AX347" s="1414" t="s">
        <v>92</v>
      </c>
      <c r="AY347" s="3"/>
      <c r="AZ347" s="139"/>
      <c r="BA347" s="139"/>
      <c r="BB347" s="139"/>
      <c r="BC347" s="139"/>
      <c r="BD347" s="139"/>
      <c r="BE347" s="3"/>
    </row>
    <row r="348" spans="1:57" ht="15.75" customHeight="1" x14ac:dyDescent="0.4">
      <c r="A348" s="3"/>
      <c r="B348" s="4"/>
      <c r="C348" s="36"/>
      <c r="D348" s="155"/>
      <c r="E348" s="155"/>
      <c r="F348" s="155"/>
      <c r="G348" s="7"/>
      <c r="H348" s="20"/>
      <c r="I348" s="3"/>
      <c r="J348" s="3"/>
      <c r="K348" s="3"/>
      <c r="L348" s="3"/>
      <c r="M348" s="5"/>
      <c r="N348" s="5"/>
      <c r="O348" s="5"/>
      <c r="P348" s="24"/>
      <c r="Q348" s="24"/>
      <c r="R348" s="3"/>
      <c r="S348" s="5"/>
      <c r="T348" s="3"/>
      <c r="U348" s="20"/>
      <c r="V348" s="3" t="s">
        <v>2363</v>
      </c>
      <c r="W348" s="3" t="s">
        <v>370</v>
      </c>
      <c r="X348" s="38" t="s">
        <v>369</v>
      </c>
      <c r="Y348" s="1443">
        <v>207959127</v>
      </c>
      <c r="Z348" s="1443"/>
      <c r="AA348" s="1443"/>
      <c r="AB348" s="20"/>
      <c r="AC348" s="3"/>
      <c r="AD348" s="3"/>
      <c r="AE348" s="5"/>
      <c r="AF348" s="3"/>
      <c r="AG348" s="3"/>
      <c r="AH348" s="5"/>
      <c r="AI348" s="994"/>
      <c r="AJ348" s="39"/>
      <c r="AK348" s="39"/>
      <c r="AL348" s="39"/>
      <c r="AM348" s="39"/>
      <c r="AN348" s="3" t="s">
        <v>92</v>
      </c>
      <c r="AO348" s="3" t="s">
        <v>92</v>
      </c>
      <c r="AP348" s="3" t="s">
        <v>92</v>
      </c>
      <c r="AQ348" s="3" t="s">
        <v>92</v>
      </c>
      <c r="AR348" s="3" t="s">
        <v>92</v>
      </c>
      <c r="AS348" s="3" t="s">
        <v>92</v>
      </c>
      <c r="AT348" s="3" t="s">
        <v>92</v>
      </c>
      <c r="AU348" s="3" t="s">
        <v>92</v>
      </c>
      <c r="AV348" s="3" t="s">
        <v>92</v>
      </c>
      <c r="AW348" s="3" t="s">
        <v>92</v>
      </c>
      <c r="AX348" s="1414" t="s">
        <v>92</v>
      </c>
      <c r="AY348" s="3"/>
      <c r="AZ348" s="139"/>
      <c r="BA348" s="139"/>
      <c r="BB348" s="139"/>
      <c r="BC348" s="139"/>
      <c r="BD348" s="139"/>
      <c r="BE348" s="3"/>
    </row>
    <row r="349" spans="1:57" ht="15.75" customHeight="1" thickBot="1" x14ac:dyDescent="0.45">
      <c r="A349" s="3"/>
      <c r="B349" s="4"/>
      <c r="C349" s="943"/>
      <c r="D349" s="925"/>
      <c r="E349" s="925"/>
      <c r="F349" s="925"/>
      <c r="G349" s="924"/>
      <c r="H349" s="887"/>
      <c r="I349" s="889"/>
      <c r="J349" s="889"/>
      <c r="K349" s="889"/>
      <c r="L349" s="889"/>
      <c r="M349" s="945"/>
      <c r="N349" s="945"/>
      <c r="O349" s="945"/>
      <c r="P349" s="1020"/>
      <c r="Q349" s="1020"/>
      <c r="R349" s="889"/>
      <c r="S349" s="945"/>
      <c r="T349" s="889"/>
      <c r="U349" s="887"/>
      <c r="V349" s="889" t="s">
        <v>2365</v>
      </c>
      <c r="W349" s="889" t="s">
        <v>370</v>
      </c>
      <c r="X349" s="888" t="s">
        <v>369</v>
      </c>
      <c r="Y349" s="1444">
        <v>207959180</v>
      </c>
      <c r="Z349" s="1444"/>
      <c r="AA349" s="1444"/>
      <c r="AB349" s="887"/>
      <c r="AC349" s="889"/>
      <c r="AD349" s="889"/>
      <c r="AE349" s="945"/>
      <c r="AF349" s="889"/>
      <c r="AG349" s="889"/>
      <c r="AH349" s="945"/>
      <c r="AI349" s="1429"/>
      <c r="AJ349" s="947"/>
      <c r="AK349" s="947"/>
      <c r="AL349" s="947"/>
      <c r="AM349" s="947"/>
      <c r="AN349" s="889" t="s">
        <v>92</v>
      </c>
      <c r="AO349" s="889" t="s">
        <v>92</v>
      </c>
      <c r="AP349" s="889" t="s">
        <v>92</v>
      </c>
      <c r="AQ349" s="889" t="s">
        <v>92</v>
      </c>
      <c r="AR349" s="889" t="s">
        <v>92</v>
      </c>
      <c r="AS349" s="889" t="s">
        <v>92</v>
      </c>
      <c r="AT349" s="889" t="s">
        <v>92</v>
      </c>
      <c r="AU349" s="889" t="s">
        <v>92</v>
      </c>
      <c r="AV349" s="889" t="s">
        <v>92</v>
      </c>
      <c r="AW349" s="889" t="s">
        <v>92</v>
      </c>
      <c r="AX349" s="1590" t="s">
        <v>92</v>
      </c>
      <c r="AY349" s="889"/>
      <c r="AZ349" s="139"/>
      <c r="BA349" s="139"/>
      <c r="BB349" s="139"/>
      <c r="BC349" s="139"/>
      <c r="BD349" s="139"/>
      <c r="BE349" s="3"/>
    </row>
    <row r="350" spans="1:57" ht="15" customHeight="1" x14ac:dyDescent="0.4">
      <c r="A350" s="3"/>
      <c r="B350" s="36"/>
      <c r="C350" s="447" t="s">
        <v>444</v>
      </c>
      <c r="D350" s="4"/>
      <c r="E350" s="155"/>
      <c r="F350" s="155"/>
      <c r="G350" s="7"/>
      <c r="H350" s="20"/>
      <c r="I350" s="3" t="s">
        <v>392</v>
      </c>
      <c r="J350" s="3"/>
      <c r="K350" s="3"/>
      <c r="L350" s="38" t="s">
        <v>348</v>
      </c>
      <c r="M350" s="5">
        <v>0</v>
      </c>
      <c r="N350" s="24"/>
      <c r="O350" s="24"/>
      <c r="P350" s="24"/>
      <c r="Q350" s="24"/>
      <c r="R350" s="639" t="s">
        <v>352</v>
      </c>
      <c r="S350" s="5">
        <f>SHWidth+M350+O350</f>
        <v>38.5625</v>
      </c>
      <c r="T350" s="3" t="s">
        <v>366</v>
      </c>
      <c r="U350" s="20"/>
      <c r="V350" s="38" t="s">
        <v>369</v>
      </c>
      <c r="W350" s="3" t="s">
        <v>405</v>
      </c>
      <c r="X350" s="38" t="s">
        <v>369</v>
      </c>
      <c r="Y350" s="1443">
        <v>600042010</v>
      </c>
      <c r="Z350" s="1443"/>
      <c r="AA350" s="1443"/>
      <c r="AB350" s="20"/>
      <c r="AC350" s="3">
        <v>45</v>
      </c>
      <c r="AD350" s="3">
        <v>1</v>
      </c>
      <c r="AE350" s="5">
        <f>S350*AD350/12</f>
        <v>3.2135416666666665</v>
      </c>
      <c r="AF350" s="3" t="s">
        <v>367</v>
      </c>
      <c r="AG350" s="38" t="s">
        <v>369</v>
      </c>
      <c r="AH350" s="38" t="s">
        <v>369</v>
      </c>
      <c r="AI350" s="51">
        <f>AI337</f>
        <v>2.0199999999999999E-2</v>
      </c>
      <c r="AJ350" s="39"/>
      <c r="AK350" s="39"/>
      <c r="AL350" s="39"/>
      <c r="AM350" s="39">
        <f>AE$337*AI350+SUM(AJ350:AL350)</f>
        <v>6.4913541666666658E-2</v>
      </c>
      <c r="AN350" s="3" t="s">
        <v>92</v>
      </c>
      <c r="AO350" s="3" t="s">
        <v>92</v>
      </c>
      <c r="AP350" s="3" t="s">
        <v>92</v>
      </c>
      <c r="AQ350" s="3" t="s">
        <v>92</v>
      </c>
      <c r="AR350" s="3" t="s">
        <v>92</v>
      </c>
      <c r="AS350" s="3" t="s">
        <v>81</v>
      </c>
      <c r="AT350" s="3" t="s">
        <v>92</v>
      </c>
      <c r="AU350" s="3" t="s">
        <v>92</v>
      </c>
      <c r="AV350" s="3" t="s">
        <v>92</v>
      </c>
      <c r="AW350" s="3" t="s">
        <v>92</v>
      </c>
      <c r="AX350" s="1414" t="s">
        <v>92</v>
      </c>
      <c r="AY350" s="3"/>
      <c r="AZ350" s="140"/>
      <c r="BA350" s="140"/>
      <c r="BB350" s="139"/>
      <c r="BC350" s="139"/>
      <c r="BD350" s="139"/>
      <c r="BE350" s="3"/>
    </row>
    <row r="351" spans="1:57" ht="15" customHeight="1" thickBot="1" x14ac:dyDescent="0.45">
      <c r="A351" s="3"/>
      <c r="B351" s="36"/>
      <c r="C351" s="944" t="s">
        <v>406</v>
      </c>
      <c r="D351" s="968"/>
      <c r="E351" s="925"/>
      <c r="F351" s="925"/>
      <c r="G351" s="924"/>
      <c r="H351" s="887"/>
      <c r="I351" s="889" t="s">
        <v>392</v>
      </c>
      <c r="J351" s="889"/>
      <c r="K351" s="889"/>
      <c r="L351" s="889" t="s">
        <v>348</v>
      </c>
      <c r="M351" s="945">
        <v>0</v>
      </c>
      <c r="N351" s="945"/>
      <c r="O351" s="945"/>
      <c r="P351" s="945"/>
      <c r="Q351" s="945"/>
      <c r="R351" s="889" t="s">
        <v>352</v>
      </c>
      <c r="S351" s="945">
        <f>SHWidth+M351+O351</f>
        <v>38.5625</v>
      </c>
      <c r="T351" s="889" t="s">
        <v>366</v>
      </c>
      <c r="U351" s="887"/>
      <c r="V351" s="888" t="s">
        <v>369</v>
      </c>
      <c r="W351" s="889" t="s">
        <v>405</v>
      </c>
      <c r="X351" s="888" t="s">
        <v>369</v>
      </c>
      <c r="Y351" s="1444">
        <v>600050010</v>
      </c>
      <c r="Z351" s="1444"/>
      <c r="AA351" s="1444"/>
      <c r="AB351" s="887"/>
      <c r="AC351" s="889">
        <v>45</v>
      </c>
      <c r="AD351" s="889">
        <v>1</v>
      </c>
      <c r="AE351" s="945">
        <f>AD351*S351/12</f>
        <v>3.2135416666666665</v>
      </c>
      <c r="AF351" s="889" t="s">
        <v>367</v>
      </c>
      <c r="AG351" s="888" t="s">
        <v>369</v>
      </c>
      <c r="AH351" s="888" t="s">
        <v>369</v>
      </c>
      <c r="AI351" s="937">
        <f>AI338</f>
        <v>2.7799999999999998E-2</v>
      </c>
      <c r="AJ351" s="947"/>
      <c r="AK351" s="947"/>
      <c r="AL351" s="947"/>
      <c r="AM351" s="947">
        <f>AE$338*AI351+SUM(AJ351:AL351)</f>
        <v>8.9336458333333327E-2</v>
      </c>
      <c r="AN351" s="889" t="s">
        <v>92</v>
      </c>
      <c r="AO351" s="889" t="s">
        <v>92</v>
      </c>
      <c r="AP351" s="889" t="s">
        <v>92</v>
      </c>
      <c r="AQ351" s="889" t="s">
        <v>92</v>
      </c>
      <c r="AR351" s="889" t="s">
        <v>92</v>
      </c>
      <c r="AS351" s="889" t="s">
        <v>371</v>
      </c>
      <c r="AT351" s="889" t="s">
        <v>92</v>
      </c>
      <c r="AU351" s="889" t="s">
        <v>92</v>
      </c>
      <c r="AV351" s="889" t="s">
        <v>92</v>
      </c>
      <c r="AW351" s="889" t="s">
        <v>92</v>
      </c>
      <c r="AX351" s="1590" t="s">
        <v>92</v>
      </c>
      <c r="AY351" s="889"/>
      <c r="AZ351" s="140"/>
      <c r="BA351" s="140"/>
      <c r="BB351" s="139"/>
      <c r="BC351" s="139"/>
      <c r="BD351" s="139"/>
      <c r="BE351" s="3"/>
    </row>
    <row r="352" spans="1:57" ht="15" customHeight="1" x14ac:dyDescent="0.4">
      <c r="A352" s="3"/>
      <c r="B352" s="4"/>
      <c r="C352" s="173" t="s">
        <v>407</v>
      </c>
      <c r="D352" s="181"/>
      <c r="E352" s="182"/>
      <c r="F352" s="182"/>
      <c r="G352" s="430" t="s">
        <v>383</v>
      </c>
      <c r="H352" s="175"/>
      <c r="I352" s="116" t="s">
        <v>392</v>
      </c>
      <c r="J352" s="116"/>
      <c r="K352" s="116"/>
      <c r="L352" s="116" t="s">
        <v>348</v>
      </c>
      <c r="M352" s="177">
        <f>M299</f>
        <v>3</v>
      </c>
      <c r="N352" s="177" t="s">
        <v>348</v>
      </c>
      <c r="O352" s="177">
        <f>0.25</f>
        <v>0.25</v>
      </c>
      <c r="P352" s="178"/>
      <c r="Q352" s="178"/>
      <c r="R352" s="116" t="s">
        <v>352</v>
      </c>
      <c r="S352" s="177">
        <f>SHWidth+M352+O352</f>
        <v>41.8125</v>
      </c>
      <c r="T352" s="116" t="s">
        <v>366</v>
      </c>
      <c r="U352" s="175"/>
      <c r="V352" s="179"/>
      <c r="W352" s="116"/>
      <c r="X352" s="179"/>
      <c r="Y352" s="184"/>
      <c r="Z352" s="184"/>
      <c r="AA352" s="184"/>
      <c r="AB352" s="175"/>
      <c r="AC352" s="116">
        <v>45</v>
      </c>
      <c r="AD352" s="116">
        <v>1</v>
      </c>
      <c r="AE352" s="177">
        <f>S352*AD352/12</f>
        <v>3.484375</v>
      </c>
      <c r="AF352" s="116" t="s">
        <v>367</v>
      </c>
      <c r="AG352" s="177">
        <f>AG299</f>
        <v>0.08</v>
      </c>
      <c r="AH352" s="177">
        <f>AG352*AtolbperftSH</f>
        <v>5.0599999999999999E-2</v>
      </c>
      <c r="AI352" s="185"/>
      <c r="AJ352" s="185"/>
      <c r="AK352" s="185"/>
      <c r="AL352" s="185"/>
      <c r="AM352" s="180"/>
      <c r="AN352" s="3" t="s">
        <v>92</v>
      </c>
      <c r="AO352" s="3" t="s">
        <v>92</v>
      </c>
      <c r="AP352" s="3" t="s">
        <v>92</v>
      </c>
      <c r="AQ352" s="3" t="s">
        <v>92</v>
      </c>
      <c r="AR352" s="3" t="s">
        <v>371</v>
      </c>
      <c r="AS352" s="3" t="s">
        <v>371</v>
      </c>
      <c r="AT352" s="3" t="s">
        <v>92</v>
      </c>
      <c r="AU352" s="3" t="s">
        <v>92</v>
      </c>
      <c r="AV352" s="3" t="s">
        <v>92</v>
      </c>
      <c r="AW352" s="3" t="s">
        <v>371</v>
      </c>
      <c r="AX352" s="1414" t="s">
        <v>92</v>
      </c>
      <c r="AY352" s="3"/>
      <c r="AZ352" s="139"/>
      <c r="BA352" s="139"/>
      <c r="BB352" s="139"/>
      <c r="BC352" s="139"/>
      <c r="BD352" s="139"/>
      <c r="BE352" s="3"/>
    </row>
    <row r="353" spans="1:57" ht="15" customHeight="1" x14ac:dyDescent="0.4">
      <c r="A353" s="3"/>
      <c r="B353" s="36"/>
      <c r="C353" s="36"/>
      <c r="D353" s="155"/>
      <c r="E353" s="155"/>
      <c r="F353" s="155"/>
      <c r="G353" s="7"/>
      <c r="H353" s="20"/>
      <c r="I353" s="3"/>
      <c r="J353" s="3"/>
      <c r="K353" s="3"/>
      <c r="L353" s="3"/>
      <c r="M353" s="5"/>
      <c r="N353" s="5"/>
      <c r="O353" s="5"/>
      <c r="P353" s="24"/>
      <c r="Q353" s="24"/>
      <c r="R353" s="3"/>
      <c r="S353" s="5"/>
      <c r="T353" s="3"/>
      <c r="U353" s="20"/>
      <c r="V353" s="38" t="s">
        <v>369</v>
      </c>
      <c r="W353" s="3" t="s">
        <v>370</v>
      </c>
      <c r="X353" s="38" t="s">
        <v>369</v>
      </c>
      <c r="Y353" s="1443">
        <v>200114003</v>
      </c>
      <c r="Z353" s="1443"/>
      <c r="AA353" s="1443"/>
      <c r="AB353" s="20"/>
      <c r="AC353" s="3"/>
      <c r="AD353" s="3"/>
      <c r="AE353" s="5"/>
      <c r="AF353" s="3"/>
      <c r="AG353" s="38"/>
      <c r="AH353" s="5"/>
      <c r="AI353" s="51">
        <f>AI300</f>
        <v>9.3600000000000003E-2</v>
      </c>
      <c r="AJ353" s="39"/>
      <c r="AK353" s="39"/>
      <c r="AL353" s="39"/>
      <c r="AM353" s="39">
        <f>AE$352*AI353+SUM(AJ353:AL353)</f>
        <v>0.32613750000000002</v>
      </c>
      <c r="AN353" s="3" t="s">
        <v>92</v>
      </c>
      <c r="AO353" s="3" t="s">
        <v>92</v>
      </c>
      <c r="AP353" s="3" t="s">
        <v>92</v>
      </c>
      <c r="AQ353" s="3" t="s">
        <v>92</v>
      </c>
      <c r="AR353" s="3" t="s">
        <v>371</v>
      </c>
      <c r="AS353" s="3" t="s">
        <v>371</v>
      </c>
      <c r="AT353" s="3" t="s">
        <v>92</v>
      </c>
      <c r="AU353" s="3" t="s">
        <v>92</v>
      </c>
      <c r="AV353" s="3" t="s">
        <v>92</v>
      </c>
      <c r="AW353" s="3" t="s">
        <v>371</v>
      </c>
      <c r="AX353" s="1414" t="s">
        <v>92</v>
      </c>
      <c r="AY353" s="3"/>
      <c r="AZ353" s="139"/>
      <c r="BA353" s="139"/>
      <c r="BB353" s="139"/>
      <c r="BC353" s="139"/>
      <c r="BD353" s="139"/>
      <c r="BE353" s="3"/>
    </row>
    <row r="354" spans="1:57" ht="15" customHeight="1" x14ac:dyDescent="0.4">
      <c r="A354" s="3"/>
      <c r="B354" s="36"/>
      <c r="C354" s="36"/>
      <c r="D354" s="155"/>
      <c r="E354" s="155"/>
      <c r="F354" s="155"/>
      <c r="G354" s="7"/>
      <c r="H354" s="20"/>
      <c r="I354" s="3"/>
      <c r="J354" s="3"/>
      <c r="K354" s="3"/>
      <c r="L354" s="3"/>
      <c r="M354" s="5"/>
      <c r="N354" s="5"/>
      <c r="O354" s="5"/>
      <c r="P354" s="24"/>
      <c r="Q354" s="24"/>
      <c r="R354" s="3"/>
      <c r="S354" s="5"/>
      <c r="T354" s="3"/>
      <c r="U354" s="20"/>
      <c r="V354" s="38" t="s">
        <v>369</v>
      </c>
      <c r="W354" s="3" t="s">
        <v>372</v>
      </c>
      <c r="X354" s="38" t="s">
        <v>369</v>
      </c>
      <c r="Y354" s="1443">
        <v>200114021</v>
      </c>
      <c r="Z354" s="1443"/>
      <c r="AA354" s="1443"/>
      <c r="AB354" s="20"/>
      <c r="AC354" s="3"/>
      <c r="AD354" s="3"/>
      <c r="AE354" s="5"/>
      <c r="AF354" s="3"/>
      <c r="AG354" s="3"/>
      <c r="AH354" s="5"/>
      <c r="AI354" s="51">
        <f>AI301</f>
        <v>0.10050000000000001</v>
      </c>
      <c r="AJ354" s="39"/>
      <c r="AK354" s="39"/>
      <c r="AL354" s="39"/>
      <c r="AM354" s="39">
        <f t="shared" ref="AM354" si="61">AE$352*AI354+SUM(AJ354:AL354)</f>
        <v>0.3501796875</v>
      </c>
      <c r="AN354" s="3" t="s">
        <v>92</v>
      </c>
      <c r="AO354" s="3" t="s">
        <v>92</v>
      </c>
      <c r="AP354" s="3" t="s">
        <v>92</v>
      </c>
      <c r="AQ354" s="3" t="s">
        <v>92</v>
      </c>
      <c r="AR354" s="3" t="s">
        <v>371</v>
      </c>
      <c r="AS354" s="3" t="s">
        <v>371</v>
      </c>
      <c r="AT354" s="3" t="s">
        <v>92</v>
      </c>
      <c r="AU354" s="3" t="s">
        <v>92</v>
      </c>
      <c r="AV354" s="3" t="s">
        <v>92</v>
      </c>
      <c r="AW354" s="3" t="s">
        <v>371</v>
      </c>
      <c r="AX354" s="1414" t="s">
        <v>92</v>
      </c>
      <c r="AY354" s="3"/>
      <c r="AZ354" s="139"/>
      <c r="BA354" s="139"/>
      <c r="BB354" s="139"/>
      <c r="BC354" s="139"/>
      <c r="BD354" s="139"/>
      <c r="BE354" s="3"/>
    </row>
    <row r="355" spans="1:57" ht="15" customHeight="1" x14ac:dyDescent="0.4">
      <c r="A355" s="3"/>
      <c r="B355" s="36"/>
      <c r="C355" s="36"/>
      <c r="D355" s="155"/>
      <c r="E355" s="155"/>
      <c r="F355" s="155"/>
      <c r="G355" s="7"/>
      <c r="H355" s="20"/>
      <c r="I355" s="3"/>
      <c r="J355" s="3"/>
      <c r="K355" s="3"/>
      <c r="L355" s="3"/>
      <c r="M355" s="5"/>
      <c r="N355" s="5"/>
      <c r="O355" s="5"/>
      <c r="P355" s="24"/>
      <c r="Q355" s="24"/>
      <c r="R355" s="3"/>
      <c r="S355" s="5"/>
      <c r="T355" s="3"/>
      <c r="U355" s="20"/>
      <c r="V355" s="38" t="s">
        <v>369</v>
      </c>
      <c r="W355" s="3" t="s">
        <v>373</v>
      </c>
      <c r="X355" s="38" t="s">
        <v>369</v>
      </c>
      <c r="Y355" s="1443">
        <v>200114033</v>
      </c>
      <c r="Z355" s="1443"/>
      <c r="AA355" s="1443"/>
      <c r="AB355" s="20"/>
      <c r="AC355" s="3"/>
      <c r="AD355" s="3"/>
      <c r="AE355" s="5"/>
      <c r="AF355" s="3"/>
      <c r="AG355" s="3"/>
      <c r="AH355" s="5"/>
      <c r="AI355" s="51">
        <f>AI302</f>
        <v>0.1021</v>
      </c>
      <c r="AJ355" s="39"/>
      <c r="AK355" s="39"/>
      <c r="AL355" s="39"/>
      <c r="AM355" s="39">
        <f>AE$352*AI355+SUM(AJ355:AL355)</f>
        <v>0.3557546875</v>
      </c>
      <c r="AN355" s="3" t="s">
        <v>92</v>
      </c>
      <c r="AO355" s="3" t="s">
        <v>92</v>
      </c>
      <c r="AP355" s="3" t="s">
        <v>92</v>
      </c>
      <c r="AQ355" s="3" t="s">
        <v>92</v>
      </c>
      <c r="AR355" s="3" t="s">
        <v>371</v>
      </c>
      <c r="AS355" s="3" t="s">
        <v>371</v>
      </c>
      <c r="AT355" s="3" t="s">
        <v>92</v>
      </c>
      <c r="AU355" s="3" t="s">
        <v>92</v>
      </c>
      <c r="AV355" s="3" t="s">
        <v>92</v>
      </c>
      <c r="AW355" s="3" t="s">
        <v>371</v>
      </c>
      <c r="AX355" s="1414" t="s">
        <v>92</v>
      </c>
      <c r="AY355" s="3"/>
      <c r="AZ355" s="139"/>
      <c r="BA355" s="139"/>
      <c r="BB355" s="139"/>
      <c r="BC355" s="139"/>
      <c r="BD355" s="139"/>
      <c r="BE355" s="3"/>
    </row>
    <row r="356" spans="1:57" ht="15" customHeight="1" x14ac:dyDescent="0.4">
      <c r="A356" s="3"/>
      <c r="B356" s="36"/>
      <c r="C356" s="36"/>
      <c r="D356" s="155"/>
      <c r="E356" s="155"/>
      <c r="F356" s="155"/>
      <c r="G356" s="7"/>
      <c r="H356" s="20"/>
      <c r="I356" s="3"/>
      <c r="J356" s="3"/>
      <c r="K356" s="3"/>
      <c r="L356" s="3"/>
      <c r="M356" s="5"/>
      <c r="N356" s="5"/>
      <c r="O356" s="5"/>
      <c r="P356" s="24"/>
      <c r="Q356" s="24"/>
      <c r="R356" s="3"/>
      <c r="S356" s="5"/>
      <c r="T356" s="3"/>
      <c r="U356" s="20"/>
      <c r="V356" s="38" t="s">
        <v>369</v>
      </c>
      <c r="W356" s="3" t="s">
        <v>374</v>
      </c>
      <c r="X356" s="38" t="s">
        <v>369</v>
      </c>
      <c r="Y356" s="1443">
        <v>200114090</v>
      </c>
      <c r="Z356" s="1443"/>
      <c r="AA356" s="1443"/>
      <c r="AB356" s="20"/>
      <c r="AC356" s="3"/>
      <c r="AD356" s="3"/>
      <c r="AE356" s="5"/>
      <c r="AF356" s="3"/>
      <c r="AG356" s="3"/>
      <c r="AH356" s="5"/>
      <c r="AI356" s="51">
        <v>0.26579999999999998</v>
      </c>
      <c r="AJ356" s="39"/>
      <c r="AK356" s="39"/>
      <c r="AL356" s="39"/>
      <c r="AM356" s="39"/>
      <c r="AN356" s="3" t="s">
        <v>92</v>
      </c>
      <c r="AO356" s="3" t="s">
        <v>92</v>
      </c>
      <c r="AP356" s="3" t="s">
        <v>92</v>
      </c>
      <c r="AQ356" s="3" t="s">
        <v>92</v>
      </c>
      <c r="AR356" s="3" t="s">
        <v>371</v>
      </c>
      <c r="AS356" s="3" t="s">
        <v>371</v>
      </c>
      <c r="AT356" s="3" t="s">
        <v>92</v>
      </c>
      <c r="AU356" s="3" t="s">
        <v>92</v>
      </c>
      <c r="AV356" s="3" t="s">
        <v>92</v>
      </c>
      <c r="AW356" s="3" t="s">
        <v>371</v>
      </c>
      <c r="AX356" s="1414" t="s">
        <v>92</v>
      </c>
      <c r="AY356" s="3"/>
      <c r="AZ356" s="139"/>
      <c r="BA356" s="139"/>
      <c r="BB356" s="139"/>
      <c r="BC356" s="139"/>
      <c r="BD356" s="139"/>
      <c r="BE356" s="3"/>
    </row>
    <row r="357" spans="1:57" ht="15" customHeight="1" thickBot="1" x14ac:dyDescent="0.45">
      <c r="A357" s="3"/>
      <c r="B357" s="36"/>
      <c r="C357" s="36"/>
      <c r="D357" s="155"/>
      <c r="E357" s="155"/>
      <c r="F357" s="155"/>
      <c r="G357" s="7"/>
      <c r="H357" s="20"/>
      <c r="I357" s="3"/>
      <c r="J357" s="3"/>
      <c r="K357" s="3"/>
      <c r="L357" s="3"/>
      <c r="M357" s="5"/>
      <c r="N357" s="5"/>
      <c r="O357" s="5"/>
      <c r="P357" s="24"/>
      <c r="Q357" s="24"/>
      <c r="R357" s="3"/>
      <c r="S357" s="5"/>
      <c r="T357" s="3"/>
      <c r="U357" s="20"/>
      <c r="V357" s="888" t="s">
        <v>369</v>
      </c>
      <c r="W357" s="889" t="s">
        <v>375</v>
      </c>
      <c r="X357" s="888" t="s">
        <v>369</v>
      </c>
      <c r="Y357" s="1444">
        <v>200114133</v>
      </c>
      <c r="Z357" s="1443"/>
      <c r="AA357" s="1443"/>
      <c r="AB357" s="20"/>
      <c r="AC357" s="3"/>
      <c r="AD357" s="3"/>
      <c r="AE357" s="5"/>
      <c r="AF357" s="3"/>
      <c r="AG357" s="3"/>
      <c r="AH357" s="5"/>
      <c r="AI357" s="51">
        <v>0.28470000000000001</v>
      </c>
      <c r="AJ357" s="39"/>
      <c r="AK357" s="39"/>
      <c r="AL357" s="39"/>
      <c r="AM357" s="39"/>
      <c r="AN357" s="889" t="s">
        <v>92</v>
      </c>
      <c r="AO357" s="889" t="s">
        <v>92</v>
      </c>
      <c r="AP357" s="889" t="s">
        <v>92</v>
      </c>
      <c r="AQ357" s="889" t="s">
        <v>92</v>
      </c>
      <c r="AR357" s="889" t="s">
        <v>371</v>
      </c>
      <c r="AS357" s="889" t="s">
        <v>371</v>
      </c>
      <c r="AT357" s="889" t="s">
        <v>92</v>
      </c>
      <c r="AU357" s="889" t="s">
        <v>92</v>
      </c>
      <c r="AV357" s="889" t="s">
        <v>92</v>
      </c>
      <c r="AW357" s="889" t="s">
        <v>371</v>
      </c>
      <c r="AX357" s="1590" t="s">
        <v>92</v>
      </c>
      <c r="AY357" s="889"/>
      <c r="AZ357" s="139"/>
      <c r="BA357" s="139"/>
      <c r="BB357" s="139"/>
      <c r="BC357" s="139"/>
      <c r="BD357" s="139"/>
      <c r="BE357" s="3"/>
    </row>
    <row r="358" spans="1:57" ht="15" customHeight="1" x14ac:dyDescent="0.4">
      <c r="A358" s="3"/>
      <c r="B358" s="173" t="s">
        <v>446</v>
      </c>
      <c r="C358" s="173"/>
      <c r="D358" s="181"/>
      <c r="E358" s="182"/>
      <c r="F358" s="430" t="s">
        <v>2155</v>
      </c>
      <c r="G358" s="1565">
        <v>3</v>
      </c>
      <c r="H358" s="175"/>
      <c r="I358" s="432" t="str">
        <f xml:space="preserve"> "Length = INT ( ( UW - " &amp;FIXED(G359,2)&amp;") / "&amp;FIXED(G358,2)&amp;" ) *"&amp;FIXED(G358,2)</f>
        <v>Length = INT ( ( UW - 2.00) / 3.00 ) *3.00</v>
      </c>
      <c r="J358" s="116"/>
      <c r="K358" s="116"/>
      <c r="L358" s="116"/>
      <c r="M358" s="177"/>
      <c r="N358" s="177"/>
      <c r="O358" s="177"/>
      <c r="P358" s="178"/>
      <c r="Q358" s="178"/>
      <c r="R358" s="116" t="s">
        <v>352</v>
      </c>
      <c r="S358" s="177">
        <f>INT((SHWidth-G359)/G358)*G358</f>
        <v>36</v>
      </c>
      <c r="T358" s="116" t="s">
        <v>366</v>
      </c>
      <c r="U358" s="175"/>
      <c r="V358" s="179"/>
      <c r="W358" s="116"/>
      <c r="X358" s="179"/>
      <c r="Y358" s="1449"/>
      <c r="Z358" s="1449"/>
      <c r="AA358" s="1449"/>
      <c r="AB358" s="175"/>
      <c r="AC358" s="116">
        <v>45</v>
      </c>
      <c r="AD358" s="116">
        <v>1</v>
      </c>
      <c r="AE358" s="177">
        <f>S358*AD358/12</f>
        <v>3</v>
      </c>
      <c r="AF358" s="116" t="s">
        <v>367</v>
      </c>
      <c r="AG358" s="116">
        <v>0.17599999999999999</v>
      </c>
      <c r="AH358" s="177">
        <f>AG358*AtolbperftSH</f>
        <v>0.11131999999999999</v>
      </c>
      <c r="AI358" s="185"/>
      <c r="AJ358" s="185"/>
      <c r="AK358" s="185"/>
      <c r="AL358" s="185"/>
      <c r="AM358" s="180"/>
      <c r="AN358" s="3" t="s">
        <v>92</v>
      </c>
      <c r="AO358" s="3" t="s">
        <v>92</v>
      </c>
      <c r="AP358" s="3" t="s">
        <v>92</v>
      </c>
      <c r="AQ358" s="3" t="s">
        <v>92</v>
      </c>
      <c r="AR358" s="3" t="s">
        <v>371</v>
      </c>
      <c r="AS358" s="3" t="s">
        <v>371</v>
      </c>
      <c r="AT358" s="3" t="s">
        <v>92</v>
      </c>
      <c r="AU358" s="3" t="s">
        <v>92</v>
      </c>
      <c r="AV358" s="3" t="s">
        <v>92</v>
      </c>
      <c r="AW358" s="3" t="s">
        <v>371</v>
      </c>
      <c r="AX358" s="1414" t="s">
        <v>92</v>
      </c>
      <c r="AY358" s="3"/>
      <c r="AZ358" s="139"/>
      <c r="BA358" s="139"/>
      <c r="BB358" s="139"/>
      <c r="BC358" s="139"/>
      <c r="BD358" s="139"/>
      <c r="BE358" s="3"/>
    </row>
    <row r="359" spans="1:57" ht="18" customHeight="1" x14ac:dyDescent="0.4">
      <c r="A359" s="3"/>
      <c r="B359" s="36"/>
      <c r="C359" s="155"/>
      <c r="D359" s="155"/>
      <c r="E359" s="155"/>
      <c r="F359" s="434" t="s">
        <v>2156</v>
      </c>
      <c r="G359" s="1566">
        <v>2</v>
      </c>
      <c r="H359" s="20"/>
      <c r="I359" s="3"/>
      <c r="J359" s="3"/>
      <c r="K359" s="3" t="s">
        <v>454</v>
      </c>
      <c r="L359" s="3"/>
      <c r="M359" s="5"/>
      <c r="N359" s="5"/>
      <c r="O359" s="5"/>
      <c r="P359" s="24"/>
      <c r="Q359" s="24"/>
      <c r="R359" s="3"/>
      <c r="S359" s="5"/>
      <c r="T359" s="3"/>
      <c r="U359" s="20"/>
      <c r="V359" s="38" t="s">
        <v>369</v>
      </c>
      <c r="W359" s="3" t="s">
        <v>370</v>
      </c>
      <c r="X359" s="38" t="s">
        <v>369</v>
      </c>
      <c r="Y359" s="1443">
        <v>200142003</v>
      </c>
      <c r="Z359" s="1443"/>
      <c r="AA359" s="1443"/>
      <c r="AB359" s="20"/>
      <c r="AC359" s="3"/>
      <c r="AD359" s="3"/>
      <c r="AE359" s="5"/>
      <c r="AF359" s="3"/>
      <c r="AG359" s="38"/>
      <c r="AH359" s="5"/>
      <c r="AI359" s="353">
        <v>0.16520000000000001</v>
      </c>
      <c r="AJ359" s="39"/>
      <c r="AK359" s="39"/>
      <c r="AL359" s="39"/>
      <c r="AM359" s="39">
        <f>AE$358*AI359+SUM(AJ359:AL359)</f>
        <v>0.49560000000000004</v>
      </c>
      <c r="AN359" s="3" t="s">
        <v>92</v>
      </c>
      <c r="AO359" s="3" t="s">
        <v>92</v>
      </c>
      <c r="AP359" s="3" t="s">
        <v>92</v>
      </c>
      <c r="AQ359" s="3" t="s">
        <v>92</v>
      </c>
      <c r="AR359" s="3" t="s">
        <v>371</v>
      </c>
      <c r="AS359" s="3" t="s">
        <v>371</v>
      </c>
      <c r="AT359" s="3" t="s">
        <v>92</v>
      </c>
      <c r="AU359" s="3" t="s">
        <v>92</v>
      </c>
      <c r="AV359" s="3" t="s">
        <v>92</v>
      </c>
      <c r="AW359" s="3" t="s">
        <v>371</v>
      </c>
      <c r="AX359" s="1414" t="s">
        <v>92</v>
      </c>
      <c r="AY359" s="3"/>
      <c r="AZ359" s="139"/>
      <c r="BA359" s="139"/>
      <c r="BB359" s="139"/>
      <c r="BC359" s="139"/>
      <c r="BD359" s="139"/>
      <c r="BE359" s="3"/>
    </row>
    <row r="360" spans="1:57" ht="18" customHeight="1" x14ac:dyDescent="0.4">
      <c r="A360" s="3"/>
      <c r="B360" s="36"/>
      <c r="C360" s="155"/>
      <c r="D360" s="155"/>
      <c r="E360" s="155"/>
      <c r="F360" s="155"/>
      <c r="G360" s="7"/>
      <c r="H360" s="20"/>
      <c r="I360" s="3"/>
      <c r="J360" s="3"/>
      <c r="K360" s="3"/>
      <c r="L360" s="3"/>
      <c r="M360" s="5"/>
      <c r="N360" s="5"/>
      <c r="O360" s="5"/>
      <c r="P360" s="24"/>
      <c r="Q360" s="24"/>
      <c r="R360" s="3"/>
      <c r="S360" s="5"/>
      <c r="T360" s="3"/>
      <c r="U360" s="20"/>
      <c r="V360" s="38" t="s">
        <v>369</v>
      </c>
      <c r="W360" s="3" t="s">
        <v>372</v>
      </c>
      <c r="X360" s="38" t="s">
        <v>369</v>
      </c>
      <c r="Y360" s="1443">
        <v>200142021</v>
      </c>
      <c r="Z360" s="1443"/>
      <c r="AA360" s="1443"/>
      <c r="AB360" s="20"/>
      <c r="AC360" s="3"/>
      <c r="AD360" s="3"/>
      <c r="AE360" s="5"/>
      <c r="AF360" s="3"/>
      <c r="AG360" s="3"/>
      <c r="AH360" s="5"/>
      <c r="AI360" s="353">
        <v>0.19359999999999999</v>
      </c>
      <c r="AJ360" s="39"/>
      <c r="AK360" s="39"/>
      <c r="AL360" s="39"/>
      <c r="AM360" s="39">
        <f t="shared" ref="AM360:AM361" si="62">AE$358*AI360+SUM(AJ360:AL360)</f>
        <v>0.58079999999999998</v>
      </c>
      <c r="AN360" s="3" t="s">
        <v>92</v>
      </c>
      <c r="AO360" s="3" t="s">
        <v>92</v>
      </c>
      <c r="AP360" s="3" t="s">
        <v>92</v>
      </c>
      <c r="AQ360" s="3" t="s">
        <v>92</v>
      </c>
      <c r="AR360" s="3" t="s">
        <v>371</v>
      </c>
      <c r="AS360" s="3" t="s">
        <v>371</v>
      </c>
      <c r="AT360" s="3" t="s">
        <v>92</v>
      </c>
      <c r="AU360" s="3" t="s">
        <v>92</v>
      </c>
      <c r="AV360" s="3" t="s">
        <v>92</v>
      </c>
      <c r="AW360" s="3" t="s">
        <v>371</v>
      </c>
      <c r="AX360" s="1414" t="s">
        <v>92</v>
      </c>
      <c r="AY360" s="3"/>
      <c r="AZ360" s="139"/>
      <c r="BA360" s="139"/>
      <c r="BB360" s="139"/>
      <c r="BC360" s="139"/>
      <c r="BD360" s="139"/>
      <c r="BE360" s="3"/>
    </row>
    <row r="361" spans="1:57" ht="18" customHeight="1" x14ac:dyDescent="0.4">
      <c r="A361" s="3"/>
      <c r="B361" s="36"/>
      <c r="C361" s="155"/>
      <c r="D361" s="155"/>
      <c r="E361" s="155"/>
      <c r="F361" s="155"/>
      <c r="G361" s="7"/>
      <c r="H361" s="20"/>
      <c r="I361" s="3"/>
      <c r="J361" s="3"/>
      <c r="K361" s="3"/>
      <c r="L361" s="3"/>
      <c r="M361" s="5"/>
      <c r="N361" s="5"/>
      <c r="O361" s="5"/>
      <c r="P361" s="24"/>
      <c r="Q361" s="24"/>
      <c r="R361" s="3"/>
      <c r="S361" s="5"/>
      <c r="T361" s="3"/>
      <c r="U361" s="20"/>
      <c r="V361" s="38" t="s">
        <v>369</v>
      </c>
      <c r="W361" s="3" t="s">
        <v>373</v>
      </c>
      <c r="X361" s="38" t="s">
        <v>369</v>
      </c>
      <c r="Y361" s="1443">
        <v>200142033</v>
      </c>
      <c r="Z361" s="1443"/>
      <c r="AA361" s="1443"/>
      <c r="AB361" s="20"/>
      <c r="AC361" s="3"/>
      <c r="AD361" s="3"/>
      <c r="AE361" s="5"/>
      <c r="AF361" s="3"/>
      <c r="AG361" s="3"/>
      <c r="AH361" s="5"/>
      <c r="AI361" s="353">
        <v>0.1971</v>
      </c>
      <c r="AJ361" s="39"/>
      <c r="AK361" s="39"/>
      <c r="AL361" s="39"/>
      <c r="AM361" s="39">
        <f t="shared" si="62"/>
        <v>0.59129999999999994</v>
      </c>
      <c r="AN361" s="3" t="s">
        <v>92</v>
      </c>
      <c r="AO361" s="3" t="s">
        <v>92</v>
      </c>
      <c r="AP361" s="3" t="s">
        <v>92</v>
      </c>
      <c r="AQ361" s="3" t="s">
        <v>92</v>
      </c>
      <c r="AR361" s="3" t="s">
        <v>371</v>
      </c>
      <c r="AS361" s="3" t="s">
        <v>371</v>
      </c>
      <c r="AT361" s="3" t="s">
        <v>92</v>
      </c>
      <c r="AU361" s="3" t="s">
        <v>92</v>
      </c>
      <c r="AV361" s="3" t="s">
        <v>92</v>
      </c>
      <c r="AW361" s="3" t="s">
        <v>371</v>
      </c>
      <c r="AX361" s="1414" t="s">
        <v>92</v>
      </c>
      <c r="AY361" s="3"/>
      <c r="AZ361" s="139"/>
      <c r="BA361" s="139"/>
      <c r="BB361" s="139"/>
      <c r="BC361" s="139"/>
      <c r="BD361" s="139"/>
      <c r="BE361" s="3"/>
    </row>
    <row r="362" spans="1:57" ht="15" customHeight="1" x14ac:dyDescent="0.4">
      <c r="A362" s="3"/>
      <c r="B362" s="36"/>
      <c r="C362" s="36"/>
      <c r="D362" s="155"/>
      <c r="E362" s="155"/>
      <c r="F362" s="155"/>
      <c r="G362" s="7"/>
      <c r="H362" s="20"/>
      <c r="I362" s="3"/>
      <c r="J362" s="3"/>
      <c r="K362" s="3"/>
      <c r="L362" s="3"/>
      <c r="M362" s="5"/>
      <c r="N362" s="5"/>
      <c r="O362" s="5"/>
      <c r="P362" s="24"/>
      <c r="Q362" s="24"/>
      <c r="R362" s="3"/>
      <c r="S362" s="5"/>
      <c r="T362" s="3"/>
      <c r="U362" s="20"/>
      <c r="V362" s="38" t="s">
        <v>369</v>
      </c>
      <c r="W362" s="3" t="s">
        <v>374</v>
      </c>
      <c r="X362" s="38" t="s">
        <v>369</v>
      </c>
      <c r="Y362" s="1443">
        <v>200142090</v>
      </c>
      <c r="Z362" s="1443"/>
      <c r="AA362" s="1443"/>
      <c r="AB362" s="20"/>
      <c r="AC362" s="3"/>
      <c r="AD362" s="3"/>
      <c r="AE362" s="5"/>
      <c r="AF362" s="3"/>
      <c r="AG362" s="3"/>
      <c r="AH362" s="5"/>
      <c r="AI362" s="353">
        <v>0.51639999999999997</v>
      </c>
      <c r="AJ362" s="39"/>
      <c r="AK362" s="39"/>
      <c r="AL362" s="39"/>
      <c r="AM362" s="39"/>
      <c r="AN362" s="3" t="s">
        <v>92</v>
      </c>
      <c r="AO362" s="3" t="s">
        <v>92</v>
      </c>
      <c r="AP362" s="3" t="s">
        <v>92</v>
      </c>
      <c r="AQ362" s="3" t="s">
        <v>92</v>
      </c>
      <c r="AR362" s="3" t="s">
        <v>371</v>
      </c>
      <c r="AS362" s="3" t="s">
        <v>371</v>
      </c>
      <c r="AT362" s="3" t="s">
        <v>92</v>
      </c>
      <c r="AU362" s="3" t="s">
        <v>92</v>
      </c>
      <c r="AV362" s="3" t="s">
        <v>92</v>
      </c>
      <c r="AW362" s="3" t="s">
        <v>371</v>
      </c>
      <c r="AX362" s="1414" t="s">
        <v>92</v>
      </c>
      <c r="AY362" s="3"/>
      <c r="AZ362" s="139"/>
      <c r="BA362" s="139"/>
      <c r="BB362" s="139"/>
      <c r="BC362" s="139"/>
      <c r="BD362" s="139"/>
      <c r="BE362" s="3"/>
    </row>
    <row r="363" spans="1:57" ht="15" customHeight="1" thickBot="1" x14ac:dyDescent="0.45">
      <c r="A363" s="3"/>
      <c r="B363" s="943"/>
      <c r="C363" s="943"/>
      <c r="D363" s="925"/>
      <c r="E363" s="925"/>
      <c r="F363" s="925"/>
      <c r="G363" s="924"/>
      <c r="H363" s="887"/>
      <c r="I363" s="889"/>
      <c r="J363" s="889"/>
      <c r="K363" s="889"/>
      <c r="L363" s="889"/>
      <c r="M363" s="945"/>
      <c r="N363" s="945"/>
      <c r="O363" s="945"/>
      <c r="P363" s="1020"/>
      <c r="Q363" s="1020"/>
      <c r="R363" s="889"/>
      <c r="S363" s="945"/>
      <c r="T363" s="889"/>
      <c r="U363" s="887"/>
      <c r="V363" s="888" t="s">
        <v>369</v>
      </c>
      <c r="W363" s="889" t="s">
        <v>375</v>
      </c>
      <c r="X363" s="888" t="s">
        <v>369</v>
      </c>
      <c r="Y363" s="1444">
        <v>200142133</v>
      </c>
      <c r="Z363" s="1444"/>
      <c r="AA363" s="1444"/>
      <c r="AB363" s="887"/>
      <c r="AC363" s="889"/>
      <c r="AD363" s="889"/>
      <c r="AE363" s="945"/>
      <c r="AF363" s="889"/>
      <c r="AG363" s="889"/>
      <c r="AH363" s="945"/>
      <c r="AI363" s="1424">
        <v>0.55810000000000004</v>
      </c>
      <c r="AJ363" s="947"/>
      <c r="AK363" s="947"/>
      <c r="AL363" s="947"/>
      <c r="AM363" s="947"/>
      <c r="AN363" s="889" t="s">
        <v>92</v>
      </c>
      <c r="AO363" s="889" t="s">
        <v>92</v>
      </c>
      <c r="AP363" s="889" t="s">
        <v>92</v>
      </c>
      <c r="AQ363" s="889" t="s">
        <v>92</v>
      </c>
      <c r="AR363" s="889" t="s">
        <v>371</v>
      </c>
      <c r="AS363" s="889" t="s">
        <v>371</v>
      </c>
      <c r="AT363" s="889" t="s">
        <v>92</v>
      </c>
      <c r="AU363" s="889" t="s">
        <v>92</v>
      </c>
      <c r="AV363" s="889" t="s">
        <v>92</v>
      </c>
      <c r="AW363" s="889" t="s">
        <v>371</v>
      </c>
      <c r="AX363" s="1590" t="s">
        <v>92</v>
      </c>
      <c r="AY363" s="889"/>
      <c r="AZ363" s="139"/>
      <c r="BA363" s="139"/>
      <c r="BB363" s="139"/>
      <c r="BC363" s="139"/>
      <c r="BD363" s="139"/>
      <c r="BE363" s="3"/>
    </row>
    <row r="364" spans="1:57" ht="15" customHeight="1" x14ac:dyDescent="0.4">
      <c r="A364" s="112"/>
      <c r="B364" s="612" t="s">
        <v>447</v>
      </c>
      <c r="C364" s="613"/>
      <c r="D364" s="614"/>
      <c r="E364" s="614"/>
      <c r="F364" s="614"/>
      <c r="G364" s="614"/>
      <c r="H364" s="615"/>
      <c r="I364" s="615"/>
      <c r="J364" s="615"/>
      <c r="K364" s="615"/>
      <c r="L364" s="615"/>
      <c r="M364" s="616"/>
      <c r="N364" s="616"/>
      <c r="O364" s="616"/>
      <c r="P364" s="616"/>
      <c r="Q364" s="616"/>
      <c r="R364" s="615"/>
      <c r="S364" s="616"/>
      <c r="T364" s="615"/>
      <c r="U364" s="615"/>
      <c r="V364" s="614"/>
      <c r="W364" s="614"/>
      <c r="X364" s="614"/>
      <c r="Y364" s="618"/>
      <c r="Z364" s="618"/>
      <c r="AA364" s="618"/>
      <c r="AB364" s="615"/>
      <c r="AC364" s="618"/>
      <c r="AD364" s="615"/>
      <c r="AE364" s="616"/>
      <c r="AF364" s="615"/>
      <c r="AG364" s="615"/>
      <c r="AH364" s="615"/>
      <c r="AI364" s="619"/>
      <c r="AJ364" s="640"/>
      <c r="AK364" s="640"/>
      <c r="AL364" s="620" t="s">
        <v>448</v>
      </c>
      <c r="AM364" s="621">
        <f>AM365+AM460+AM486+AM492+AM544+AM779</f>
        <v>57.418465306881366</v>
      </c>
      <c r="AN364" s="1465" t="s">
        <v>2000</v>
      </c>
      <c r="AO364" s="640"/>
      <c r="AP364" s="640"/>
      <c r="AQ364" s="640"/>
      <c r="AR364" s="640"/>
      <c r="AS364" s="640"/>
      <c r="AT364" s="640"/>
      <c r="AU364" s="640"/>
      <c r="AV364" s="640"/>
      <c r="AW364" s="640"/>
      <c r="AX364" s="1465" t="s">
        <v>2000</v>
      </c>
      <c r="AY364" s="640"/>
      <c r="AZ364" s="450"/>
      <c r="BA364" s="450"/>
      <c r="BB364" s="450"/>
      <c r="BC364" s="450"/>
      <c r="BD364" s="450"/>
      <c r="BE364" s="112"/>
    </row>
    <row r="365" spans="1:57" ht="15" customHeight="1" x14ac:dyDescent="0.4">
      <c r="A365" s="112"/>
      <c r="B365" s="641" t="s">
        <v>449</v>
      </c>
      <c r="C365" s="642"/>
      <c r="D365" s="642"/>
      <c r="E365" s="642"/>
      <c r="F365" s="642"/>
      <c r="G365" s="642"/>
      <c r="H365" s="643"/>
      <c r="I365" s="643"/>
      <c r="J365" s="643"/>
      <c r="K365" s="643"/>
      <c r="L365" s="643"/>
      <c r="M365" s="644"/>
      <c r="N365" s="644"/>
      <c r="O365" s="644"/>
      <c r="P365" s="644"/>
      <c r="Q365" s="644"/>
      <c r="R365" s="643"/>
      <c r="S365" s="644"/>
      <c r="T365" s="643"/>
      <c r="U365" s="643"/>
      <c r="V365" s="642"/>
      <c r="W365" s="642"/>
      <c r="X365" s="642"/>
      <c r="Y365" s="645"/>
      <c r="Z365" s="645"/>
      <c r="AA365" s="645"/>
      <c r="AB365" s="643"/>
      <c r="AC365" s="645"/>
      <c r="AD365" s="643"/>
      <c r="AE365" s="644"/>
      <c r="AF365" s="643"/>
      <c r="AG365" s="643"/>
      <c r="AH365" s="643"/>
      <c r="AI365" s="646"/>
      <c r="AJ365" s="647"/>
      <c r="AK365" s="647"/>
      <c r="AL365" s="648" t="s">
        <v>450</v>
      </c>
      <c r="AM365" s="649">
        <f>SUBTOTAL(109,AM366:AM459)</f>
        <v>21.933187923958343</v>
      </c>
      <c r="AN365" s="647"/>
      <c r="AO365" s="647"/>
      <c r="AP365" s="647"/>
      <c r="AQ365" s="647"/>
      <c r="AR365" s="647"/>
      <c r="AS365" s="647"/>
      <c r="AT365" s="647"/>
      <c r="AU365" s="647"/>
      <c r="AV365" s="647"/>
      <c r="AW365" s="647"/>
      <c r="AX365" s="647"/>
      <c r="AY365" s="647"/>
      <c r="AZ365" s="450"/>
      <c r="BA365" s="450"/>
      <c r="BB365" s="450"/>
      <c r="BC365" s="450"/>
      <c r="BD365" s="450"/>
      <c r="BE365" s="112"/>
    </row>
    <row r="366" spans="1:57" ht="15" customHeight="1" x14ac:dyDescent="0.4">
      <c r="A366" s="3"/>
      <c r="B366" s="36" t="s">
        <v>451</v>
      </c>
      <c r="C366" s="8"/>
      <c r="D366" s="155"/>
      <c r="E366" s="155"/>
      <c r="F366" s="155"/>
      <c r="G366" s="7"/>
      <c r="H366" s="20"/>
      <c r="I366" s="3"/>
      <c r="J366" s="3"/>
      <c r="K366" s="3"/>
      <c r="L366" s="3"/>
      <c r="M366" s="5"/>
      <c r="N366" s="5"/>
      <c r="O366" s="5"/>
      <c r="P366" s="24"/>
      <c r="Q366" s="24"/>
      <c r="R366" s="3"/>
      <c r="S366" s="5"/>
      <c r="T366" s="3"/>
      <c r="U366" s="20"/>
      <c r="V366" s="38"/>
      <c r="W366" s="3"/>
      <c r="X366" s="38"/>
      <c r="Y366" s="41"/>
      <c r="Z366" s="41"/>
      <c r="AA366" s="41"/>
      <c r="AB366" s="20"/>
      <c r="AC366" s="3"/>
      <c r="AD366" s="3"/>
      <c r="AE366" s="5"/>
      <c r="AF366" s="3"/>
      <c r="AG366" s="3"/>
      <c r="AH366" s="3"/>
      <c r="AI366" s="51"/>
      <c r="AJ366" s="39"/>
      <c r="AK366" s="39"/>
      <c r="AL366" s="39"/>
      <c r="AM366" s="39"/>
      <c r="AN366" s="3"/>
      <c r="AO366" s="3"/>
      <c r="AP366" s="3"/>
      <c r="AQ366" s="3"/>
      <c r="AR366" s="3"/>
      <c r="AS366" s="3"/>
      <c r="AT366" s="3"/>
      <c r="AU366" s="3"/>
      <c r="AV366" s="3"/>
      <c r="AW366" s="3"/>
      <c r="AX366" s="3"/>
      <c r="AY366" s="3"/>
      <c r="AZ366" s="139"/>
      <c r="BA366" s="139"/>
      <c r="BB366" s="139"/>
      <c r="BC366" s="139"/>
      <c r="BD366" s="139"/>
      <c r="BE366" s="3"/>
    </row>
    <row r="367" spans="1:57" ht="15" customHeight="1" x14ac:dyDescent="0.4">
      <c r="A367" s="3" t="s">
        <v>452</v>
      </c>
      <c r="B367" s="36"/>
      <c r="C367" s="4" t="s">
        <v>453</v>
      </c>
      <c r="D367" s="3"/>
      <c r="E367" s="3"/>
      <c r="F367" s="3"/>
      <c r="G367" s="7"/>
      <c r="H367" s="20"/>
      <c r="I367" s="3" t="s">
        <v>365</v>
      </c>
      <c r="J367" s="3"/>
      <c r="K367" s="3"/>
      <c r="L367" s="3" t="s">
        <v>348</v>
      </c>
      <c r="M367" s="5">
        <v>0</v>
      </c>
      <c r="N367" s="5" t="s">
        <v>348</v>
      </c>
      <c r="O367" s="5">
        <v>0.25</v>
      </c>
      <c r="P367" s="5"/>
      <c r="Q367" s="5"/>
      <c r="R367" s="3" t="s">
        <v>352</v>
      </c>
      <c r="S367" s="868">
        <f>SHHeight+M367+O367</f>
        <v>74.25</v>
      </c>
      <c r="T367" s="3" t="s">
        <v>366</v>
      </c>
      <c r="U367" s="20"/>
      <c r="V367" s="7"/>
      <c r="W367" s="7"/>
      <c r="X367" s="7"/>
      <c r="Y367" s="3"/>
      <c r="Z367" s="3"/>
      <c r="AA367" s="3"/>
      <c r="AB367" s="20"/>
      <c r="AC367" s="3"/>
      <c r="AD367" s="3"/>
      <c r="AE367" s="5"/>
      <c r="AF367" s="3"/>
      <c r="AG367" s="38"/>
      <c r="AH367" s="3"/>
      <c r="AI367" s="51"/>
      <c r="AJ367" s="51"/>
      <c r="AK367" s="51"/>
      <c r="AL367" s="51"/>
      <c r="AM367" s="39"/>
      <c r="AN367" s="3"/>
      <c r="AO367" s="3"/>
      <c r="AP367" s="3"/>
      <c r="AQ367" s="3"/>
      <c r="AR367" s="3"/>
      <c r="AS367" s="3"/>
      <c r="AT367" s="3"/>
      <c r="AU367" s="3"/>
      <c r="AV367" s="3"/>
      <c r="AW367" s="3"/>
      <c r="AX367" s="3"/>
      <c r="AY367" s="3"/>
      <c r="AZ367" s="139"/>
      <c r="BA367" s="139"/>
      <c r="BB367" s="139"/>
      <c r="BC367" s="139"/>
      <c r="BD367" s="139"/>
      <c r="BE367" s="3"/>
    </row>
    <row r="368" spans="1:57" ht="15" customHeight="1" x14ac:dyDescent="0.4">
      <c r="A368" s="577"/>
      <c r="B368" s="622"/>
      <c r="C368" s="573" t="s">
        <v>2161</v>
      </c>
      <c r="D368" s="577"/>
      <c r="E368" s="577"/>
      <c r="F368" s="577"/>
      <c r="G368" s="221"/>
      <c r="H368" s="624"/>
      <c r="I368" s="577" t="s">
        <v>365</v>
      </c>
      <c r="J368" s="577"/>
      <c r="K368" s="577"/>
      <c r="L368" s="577" t="s">
        <v>348</v>
      </c>
      <c r="M368" s="575">
        <v>0</v>
      </c>
      <c r="N368" s="575"/>
      <c r="O368" s="575"/>
      <c r="P368" s="575"/>
      <c r="Q368" s="575"/>
      <c r="R368" s="577" t="s">
        <v>352</v>
      </c>
      <c r="S368" s="869">
        <f>SHHeight+M368+O368</f>
        <v>74</v>
      </c>
      <c r="T368" s="577" t="s">
        <v>366</v>
      </c>
      <c r="U368" s="20"/>
      <c r="V368" s="7"/>
      <c r="W368" s="7"/>
      <c r="X368" s="7"/>
      <c r="Y368" s="3"/>
      <c r="Z368" s="3"/>
      <c r="AA368" s="3"/>
      <c r="AB368" s="20"/>
      <c r="AC368" s="3"/>
      <c r="AD368" s="3"/>
      <c r="AE368" s="5"/>
      <c r="AF368" s="3"/>
      <c r="AG368" s="38"/>
      <c r="AH368" s="3"/>
      <c r="AI368" s="51"/>
      <c r="AJ368" s="51"/>
      <c r="AK368" s="51"/>
      <c r="AL368" s="51"/>
      <c r="AM368" s="39"/>
      <c r="AN368" s="3"/>
      <c r="AO368" s="3"/>
      <c r="AP368" s="3"/>
      <c r="AQ368" s="3"/>
      <c r="AR368" s="3"/>
      <c r="AS368" s="3"/>
      <c r="AT368" s="3"/>
      <c r="AU368" s="3"/>
      <c r="AV368" s="3"/>
      <c r="AW368" s="3"/>
      <c r="AX368" s="3"/>
      <c r="AY368" s="3"/>
      <c r="AZ368" s="139"/>
      <c r="BA368" s="139"/>
      <c r="BB368" s="139"/>
      <c r="BC368" s="139"/>
      <c r="BD368" s="139"/>
      <c r="BE368" s="3"/>
    </row>
    <row r="369" spans="1:57" ht="15" customHeight="1" x14ac:dyDescent="0.4">
      <c r="A369" s="3" t="s">
        <v>2159</v>
      </c>
      <c r="B369" s="36"/>
      <c r="C369" s="4" t="s">
        <v>2157</v>
      </c>
      <c r="D369" s="3"/>
      <c r="E369" s="3"/>
      <c r="F369" s="3"/>
      <c r="G369" s="7"/>
      <c r="H369" s="20" t="s">
        <v>454</v>
      </c>
      <c r="I369" s="8" t="s">
        <v>2265</v>
      </c>
      <c r="J369" s="38"/>
      <c r="K369" s="3"/>
      <c r="L369" s="3" t="s">
        <v>348</v>
      </c>
      <c r="M369" s="5">
        <v>1.5</v>
      </c>
      <c r="N369" s="5" t="s">
        <v>348</v>
      </c>
      <c r="O369" s="453" t="s">
        <v>2266</v>
      </c>
      <c r="P369" s="1592"/>
      <c r="Q369" s="5"/>
      <c r="R369" s="3" t="s">
        <v>352</v>
      </c>
      <c r="S369" s="5">
        <f>+M369+(IF(SHCORnd&lt;0,ABS(SHCORnd),0))</f>
        <v>1.5</v>
      </c>
      <c r="T369" s="3" t="s">
        <v>366</v>
      </c>
      <c r="U369" s="20"/>
      <c r="V369" s="7"/>
      <c r="W369" s="7"/>
      <c r="X369" s="7"/>
      <c r="Y369" s="3"/>
      <c r="Z369" s="3"/>
      <c r="AA369" s="3"/>
      <c r="AB369" s="20"/>
      <c r="AC369" s="3"/>
      <c r="AD369" s="3"/>
      <c r="AE369" s="5"/>
      <c r="AF369" s="3"/>
      <c r="AG369" s="38"/>
      <c r="AH369" s="3"/>
      <c r="AI369" s="51"/>
      <c r="AJ369" s="39"/>
      <c r="AK369" s="39"/>
      <c r="AL369" s="39"/>
      <c r="AM369" s="39"/>
      <c r="AN369" s="3"/>
      <c r="AO369" s="3"/>
      <c r="AP369" s="3"/>
      <c r="AQ369" s="3"/>
      <c r="AR369" s="3"/>
      <c r="AS369" s="3"/>
      <c r="AT369" s="3"/>
      <c r="AU369" s="3"/>
      <c r="AV369" s="3"/>
      <c r="AW369" s="3"/>
      <c r="AX369" s="3"/>
      <c r="AY369" s="3"/>
      <c r="AZ369" s="139"/>
      <c r="BA369" s="139"/>
      <c r="BB369" s="139"/>
      <c r="BC369" s="139"/>
      <c r="BD369" s="139"/>
      <c r="BE369" s="3"/>
    </row>
    <row r="370" spans="1:57" ht="15" customHeight="1" x14ac:dyDescent="0.4">
      <c r="A370" s="577"/>
      <c r="B370" s="622"/>
      <c r="C370" s="573"/>
      <c r="D370" s="577"/>
      <c r="E370" s="577"/>
      <c r="F370" s="577"/>
      <c r="G370" s="221"/>
      <c r="H370" s="624"/>
      <c r="I370" s="577" t="s">
        <v>455</v>
      </c>
      <c r="J370" s="579"/>
      <c r="K370" s="577"/>
      <c r="L370" s="577" t="s">
        <v>348</v>
      </c>
      <c r="M370" s="575">
        <f>M369</f>
        <v>1.5</v>
      </c>
      <c r="N370" s="575"/>
      <c r="O370" s="575"/>
      <c r="P370" s="575"/>
      <c r="Q370" s="867"/>
      <c r="R370" s="577"/>
      <c r="S370" s="575"/>
      <c r="T370" s="577"/>
      <c r="U370" s="20"/>
      <c r="V370" s="7"/>
      <c r="W370" s="7"/>
      <c r="X370" s="7"/>
      <c r="Y370" s="3"/>
      <c r="Z370" s="3"/>
      <c r="AA370" s="3"/>
      <c r="AB370" s="20"/>
      <c r="AC370" s="3"/>
      <c r="AD370" s="3"/>
      <c r="AE370" s="5"/>
      <c r="AF370" s="3"/>
      <c r="AG370" s="38"/>
      <c r="AH370" s="3"/>
      <c r="AI370" s="51"/>
      <c r="AJ370" s="39"/>
      <c r="AK370" s="39"/>
      <c r="AL370" s="39"/>
      <c r="AM370" s="39"/>
      <c r="AN370" s="3"/>
      <c r="AO370" s="3"/>
      <c r="AP370" s="3"/>
      <c r="AQ370" s="3"/>
      <c r="AR370" s="3"/>
      <c r="AS370" s="3"/>
      <c r="AT370" s="3"/>
      <c r="AU370" s="3"/>
      <c r="AV370" s="3"/>
      <c r="AW370" s="3"/>
      <c r="AX370" s="3"/>
      <c r="AY370" s="3"/>
      <c r="AZ370" s="139"/>
      <c r="BA370" s="139"/>
      <c r="BB370" s="139"/>
      <c r="BC370" s="139"/>
      <c r="BD370" s="139"/>
      <c r="BE370" s="3"/>
    </row>
    <row r="371" spans="1:57" ht="15" customHeight="1" x14ac:dyDescent="0.4">
      <c r="A371" s="3" t="s">
        <v>2160</v>
      </c>
      <c r="B371" s="36"/>
      <c r="C371" s="4" t="s">
        <v>2162</v>
      </c>
      <c r="D371" s="3"/>
      <c r="E371" s="3"/>
      <c r="F371" s="3"/>
      <c r="G371" s="7"/>
      <c r="H371" s="20"/>
      <c r="I371" s="3" t="s">
        <v>365</v>
      </c>
      <c r="J371" s="38" t="s">
        <v>346</v>
      </c>
      <c r="K371" s="3">
        <v>2</v>
      </c>
      <c r="L371" s="3" t="s">
        <v>348</v>
      </c>
      <c r="M371" s="5">
        <v>-9.375</v>
      </c>
      <c r="N371" s="5" t="s">
        <v>348</v>
      </c>
      <c r="O371" s="5">
        <v>0.125</v>
      </c>
      <c r="P371" s="5" t="s">
        <v>348</v>
      </c>
      <c r="Q371" s="5" t="s">
        <v>2211</v>
      </c>
      <c r="R371" s="3" t="s">
        <v>352</v>
      </c>
      <c r="S371" s="5">
        <f>SHHeight/K371+M371+O371+SHCORnd</f>
        <v>27.75</v>
      </c>
      <c r="T371" s="3" t="s">
        <v>366</v>
      </c>
      <c r="U371" s="20"/>
      <c r="V371" s="7"/>
      <c r="W371" s="7"/>
      <c r="X371" s="7"/>
      <c r="Y371" s="3"/>
      <c r="Z371" s="3"/>
      <c r="AA371" s="3"/>
      <c r="AB371" s="20"/>
      <c r="AC371" s="3"/>
      <c r="AD371" s="3"/>
      <c r="AE371" s="5"/>
      <c r="AF371" s="3"/>
      <c r="AG371" s="38"/>
      <c r="AH371" s="3"/>
      <c r="AI371" s="51"/>
      <c r="AJ371" s="39"/>
      <c r="AK371" s="39"/>
      <c r="AL371" s="39"/>
      <c r="AM371" s="39"/>
      <c r="AN371" s="3"/>
      <c r="AO371" s="3"/>
      <c r="AP371" s="3"/>
      <c r="AQ371" s="3"/>
      <c r="AR371" s="3"/>
      <c r="AS371" s="3"/>
      <c r="AT371" s="3"/>
      <c r="AU371" s="3"/>
      <c r="AV371" s="3"/>
      <c r="AW371" s="3"/>
      <c r="AX371" s="3"/>
      <c r="AY371" s="3"/>
      <c r="AZ371" s="139"/>
      <c r="BA371" s="139"/>
      <c r="BB371" s="139"/>
      <c r="BC371" s="139"/>
      <c r="BD371" s="139"/>
      <c r="BE371" s="3"/>
    </row>
    <row r="372" spans="1:57" ht="15" customHeight="1" x14ac:dyDescent="0.4">
      <c r="A372" s="577"/>
      <c r="B372" s="622"/>
      <c r="C372" s="573"/>
      <c r="D372" s="577"/>
      <c r="E372" s="577"/>
      <c r="F372" s="577"/>
      <c r="G372" s="221"/>
      <c r="H372" s="624"/>
      <c r="I372" s="577"/>
      <c r="J372" s="579"/>
      <c r="K372" s="577"/>
      <c r="L372" s="577"/>
      <c r="M372" s="575"/>
      <c r="N372" s="575"/>
      <c r="O372" s="575"/>
      <c r="P372" s="575"/>
      <c r="Q372" s="575"/>
      <c r="R372" s="577"/>
      <c r="S372" s="575"/>
      <c r="T372" s="577"/>
      <c r="U372" s="20"/>
      <c r="V372" s="7"/>
      <c r="W372" s="7"/>
      <c r="X372" s="7"/>
      <c r="Y372" s="3"/>
      <c r="Z372" s="3"/>
      <c r="AA372" s="3"/>
      <c r="AB372" s="20"/>
      <c r="AC372" s="3"/>
      <c r="AD372" s="3"/>
      <c r="AE372" s="5"/>
      <c r="AF372" s="3"/>
      <c r="AG372" s="38"/>
      <c r="AH372" s="3"/>
      <c r="AI372" s="51"/>
      <c r="AJ372" s="39"/>
      <c r="AK372" s="39"/>
      <c r="AL372" s="39"/>
      <c r="AM372" s="39"/>
      <c r="AN372" s="3"/>
      <c r="AO372" s="3"/>
      <c r="AP372" s="3"/>
      <c r="AQ372" s="3"/>
      <c r="AR372" s="3"/>
      <c r="AS372" s="3"/>
      <c r="AT372" s="3"/>
      <c r="AU372" s="3"/>
      <c r="AV372" s="3"/>
      <c r="AW372" s="3"/>
      <c r="AX372" s="3"/>
      <c r="AY372" s="3"/>
      <c r="AZ372" s="139"/>
      <c r="BA372" s="139"/>
      <c r="BB372" s="139"/>
      <c r="BC372" s="139"/>
      <c r="BD372" s="139"/>
      <c r="BE372" s="3"/>
    </row>
    <row r="373" spans="1:57" ht="15" customHeight="1" x14ac:dyDescent="0.4">
      <c r="A373" s="3"/>
      <c r="B373" s="36"/>
      <c r="C373" s="573" t="s">
        <v>2158</v>
      </c>
      <c r="D373" s="577"/>
      <c r="E373" s="577"/>
      <c r="F373" s="577"/>
      <c r="G373" s="221"/>
      <c r="H373" s="624"/>
      <c r="I373" s="577" t="s">
        <v>365</v>
      </c>
      <c r="J373" s="579" t="s">
        <v>346</v>
      </c>
      <c r="K373" s="577">
        <v>2</v>
      </c>
      <c r="L373" s="577" t="s">
        <v>348</v>
      </c>
      <c r="M373" s="575">
        <v>0.23100000000000001</v>
      </c>
      <c r="N373" s="575" t="s">
        <v>348</v>
      </c>
      <c r="O373" s="575">
        <v>0.125</v>
      </c>
      <c r="P373" s="931" t="s">
        <v>456</v>
      </c>
      <c r="Q373" s="575" t="s">
        <v>2211</v>
      </c>
      <c r="R373" s="577" t="s">
        <v>352</v>
      </c>
      <c r="S373" s="575">
        <f>SHHeight/K373+M373+O373-SHCORnd</f>
        <v>37.356000000000002</v>
      </c>
      <c r="T373" s="577" t="s">
        <v>366</v>
      </c>
      <c r="U373" s="20"/>
      <c r="V373" s="7"/>
      <c r="W373" s="7"/>
      <c r="X373" s="7"/>
      <c r="Y373" s="3"/>
      <c r="Z373" s="3"/>
      <c r="AA373" s="3"/>
      <c r="AB373" s="20"/>
      <c r="AC373" s="3"/>
      <c r="AD373" s="3"/>
      <c r="AE373" s="5"/>
      <c r="AF373" s="3"/>
      <c r="AG373" s="38"/>
      <c r="AH373" s="3"/>
      <c r="AI373" s="51"/>
      <c r="AJ373" s="39"/>
      <c r="AK373" s="39"/>
      <c r="AL373" s="39"/>
      <c r="AM373" s="39"/>
      <c r="AN373" s="3"/>
      <c r="AO373" s="3"/>
      <c r="AP373" s="3"/>
      <c r="AQ373" s="3"/>
      <c r="AR373" s="3"/>
      <c r="AS373" s="3"/>
      <c r="AT373" s="3"/>
      <c r="AU373" s="3"/>
      <c r="AV373" s="3"/>
      <c r="AW373" s="3"/>
      <c r="AX373" s="3"/>
      <c r="AY373" s="3"/>
      <c r="AZ373" s="139"/>
      <c r="BA373" s="139"/>
      <c r="BB373" s="139"/>
      <c r="BC373" s="139"/>
      <c r="BD373" s="139"/>
      <c r="BE373" s="3"/>
    </row>
    <row r="374" spans="1:57" ht="24" customHeight="1" x14ac:dyDescent="0.4">
      <c r="A374" s="3" t="s">
        <v>457</v>
      </c>
      <c r="B374" s="36"/>
      <c r="C374" s="1954" t="s">
        <v>2163</v>
      </c>
      <c r="D374" s="1954"/>
      <c r="E374" s="1954"/>
      <c r="F374" s="1954"/>
      <c r="G374" s="1954"/>
      <c r="H374" s="624"/>
      <c r="I374" s="577" t="s">
        <v>365</v>
      </c>
      <c r="J374" s="579" t="s">
        <v>346</v>
      </c>
      <c r="K374" s="577">
        <v>2</v>
      </c>
      <c r="L374" s="577" t="s">
        <v>348</v>
      </c>
      <c r="M374" s="575">
        <v>-2.0630000000000002</v>
      </c>
      <c r="N374" s="575" t="s">
        <v>348</v>
      </c>
      <c r="O374" s="575">
        <v>0.125</v>
      </c>
      <c r="P374" s="931" t="s">
        <v>456</v>
      </c>
      <c r="Q374" s="575" t="s">
        <v>2211</v>
      </c>
      <c r="R374" s="577" t="s">
        <v>352</v>
      </c>
      <c r="S374" s="869">
        <f>SHHeight/K374+M374+O374-SHCORnd</f>
        <v>35.061999999999998</v>
      </c>
      <c r="T374" s="577" t="s">
        <v>366</v>
      </c>
      <c r="U374" s="20"/>
      <c r="V374" s="7"/>
      <c r="W374" s="7"/>
      <c r="X374" s="7"/>
      <c r="Y374" s="3"/>
      <c r="Z374" s="3"/>
      <c r="AA374" s="3"/>
      <c r="AB374" s="20"/>
      <c r="AC374" s="3"/>
      <c r="AD374" s="3"/>
      <c r="AE374" s="5"/>
      <c r="AF374" s="3"/>
      <c r="AG374" s="38"/>
      <c r="AH374" s="3"/>
      <c r="AI374" s="51"/>
      <c r="AJ374" s="39"/>
      <c r="AK374" s="39"/>
      <c r="AL374" s="39"/>
      <c r="AM374" s="39"/>
      <c r="AN374" s="3"/>
      <c r="AO374" s="3"/>
      <c r="AP374" s="3"/>
      <c r="AQ374" s="3"/>
      <c r="AR374" s="3"/>
      <c r="AS374" s="3"/>
      <c r="AT374" s="3"/>
      <c r="AU374" s="3"/>
      <c r="AV374" s="3"/>
      <c r="AW374" s="3"/>
      <c r="AX374" s="3"/>
      <c r="AY374" s="3"/>
      <c r="AZ374" s="139"/>
      <c r="BA374" s="139"/>
      <c r="BB374" s="139"/>
      <c r="BC374" s="139"/>
      <c r="BD374" s="139"/>
      <c r="BE374" s="3"/>
    </row>
    <row r="375" spans="1:57" ht="15" customHeight="1" x14ac:dyDescent="0.4">
      <c r="A375" s="3"/>
      <c r="B375" s="36"/>
      <c r="C375" s="870" t="s">
        <v>458</v>
      </c>
      <c r="D375" s="219"/>
      <c r="E375" s="219"/>
      <c r="F375" s="219"/>
      <c r="G375" s="871"/>
      <c r="H375" s="872"/>
      <c r="I375" s="219" t="s">
        <v>365</v>
      </c>
      <c r="J375" s="873" t="s">
        <v>346</v>
      </c>
      <c r="K375" s="219">
        <v>2</v>
      </c>
      <c r="L375" s="219" t="s">
        <v>348</v>
      </c>
      <c r="M375" s="874">
        <v>-2</v>
      </c>
      <c r="N375" s="874"/>
      <c r="O375" s="874"/>
      <c r="P375" s="1029" t="s">
        <v>456</v>
      </c>
      <c r="Q375" s="575" t="s">
        <v>2211</v>
      </c>
      <c r="R375" s="219" t="s">
        <v>352</v>
      </c>
      <c r="S375" s="874">
        <f>SHHeight/K375+M375+O375-SHCORnd</f>
        <v>35</v>
      </c>
      <c r="T375" s="219" t="s">
        <v>366</v>
      </c>
      <c r="U375" s="20"/>
      <c r="V375" s="7"/>
      <c r="W375" s="7"/>
      <c r="X375" s="7"/>
      <c r="Y375" s="3"/>
      <c r="Z375" s="3"/>
      <c r="AA375" s="3"/>
      <c r="AB375" s="20"/>
      <c r="AC375" s="3"/>
      <c r="AD375" s="3"/>
      <c r="AE375" s="5"/>
      <c r="AF375" s="3"/>
      <c r="AG375" s="38"/>
      <c r="AH375" s="3"/>
      <c r="AI375" s="51"/>
      <c r="AJ375" s="39"/>
      <c r="AK375" s="39"/>
      <c r="AL375" s="39"/>
      <c r="AM375" s="39"/>
      <c r="AN375" s="3"/>
      <c r="AO375" s="3"/>
      <c r="AP375" s="3"/>
      <c r="AQ375" s="3"/>
      <c r="AR375" s="3"/>
      <c r="AS375" s="3"/>
      <c r="AT375" s="3"/>
      <c r="AU375" s="3"/>
      <c r="AV375" s="3"/>
      <c r="AW375" s="3"/>
      <c r="AX375" s="3"/>
      <c r="AY375" s="3"/>
      <c r="AZ375" s="139"/>
      <c r="BA375" s="139"/>
      <c r="BB375" s="139"/>
      <c r="BC375" s="139"/>
      <c r="BD375" s="139"/>
      <c r="BE375" s="3"/>
    </row>
    <row r="376" spans="1:57" ht="24" customHeight="1" x14ac:dyDescent="0.4">
      <c r="A376" s="3"/>
      <c r="B376" s="36"/>
      <c r="C376" s="1978" t="s">
        <v>2165</v>
      </c>
      <c r="D376" s="1978"/>
      <c r="E376" s="1978"/>
      <c r="F376" s="1978"/>
      <c r="G376" s="1978"/>
      <c r="H376" s="872"/>
      <c r="I376" s="219" t="s">
        <v>365</v>
      </c>
      <c r="J376" s="873" t="s">
        <v>346</v>
      </c>
      <c r="K376" s="219">
        <v>2</v>
      </c>
      <c r="L376" s="219" t="s">
        <v>348</v>
      </c>
      <c r="M376" s="874">
        <v>-0.86399999999999999</v>
      </c>
      <c r="N376" s="874"/>
      <c r="O376" s="874"/>
      <c r="P376" s="874" t="s">
        <v>348</v>
      </c>
      <c r="Q376" s="575" t="s">
        <v>2211</v>
      </c>
      <c r="R376" s="219" t="s">
        <v>352</v>
      </c>
      <c r="S376" s="874">
        <f>SHHeight/K376+M376+O376+SHCORnd</f>
        <v>36.136000000000003</v>
      </c>
      <c r="T376" s="219" t="s">
        <v>366</v>
      </c>
      <c r="U376" s="20"/>
      <c r="V376" s="7"/>
      <c r="W376" s="7"/>
      <c r="X376" s="7"/>
      <c r="Y376" s="3"/>
      <c r="Z376" s="3"/>
      <c r="AA376" s="3"/>
      <c r="AB376" s="20"/>
      <c r="AC376" s="3"/>
      <c r="AD376" s="3"/>
      <c r="AE376" s="5"/>
      <c r="AF376" s="3"/>
      <c r="AG376" s="38"/>
      <c r="AH376" s="3"/>
      <c r="AI376" s="51"/>
      <c r="AJ376" s="39"/>
      <c r="AK376" s="39"/>
      <c r="AL376" s="39"/>
      <c r="AM376" s="39"/>
      <c r="AN376" s="3"/>
      <c r="AO376" s="3"/>
      <c r="AP376" s="3"/>
      <c r="AQ376" s="3"/>
      <c r="AR376" s="3"/>
      <c r="AS376" s="3"/>
      <c r="AT376" s="3"/>
      <c r="AU376" s="3"/>
      <c r="AV376" s="3"/>
      <c r="AW376" s="3"/>
      <c r="AX376" s="3"/>
      <c r="AY376" s="3"/>
      <c r="AZ376" s="139"/>
      <c r="BA376" s="139"/>
      <c r="BB376" s="139"/>
      <c r="BC376" s="139"/>
      <c r="BD376" s="139"/>
      <c r="BE376" s="3"/>
    </row>
    <row r="377" spans="1:57" ht="24" customHeight="1" thickBot="1" x14ac:dyDescent="0.45">
      <c r="A377" s="889"/>
      <c r="B377" s="943"/>
      <c r="C377" s="1973" t="s">
        <v>2164</v>
      </c>
      <c r="D377" s="1973"/>
      <c r="E377" s="1973"/>
      <c r="F377" s="1973"/>
      <c r="G377" s="1973"/>
      <c r="H377" s="887"/>
      <c r="I377" s="889"/>
      <c r="J377" s="888"/>
      <c r="K377" s="889"/>
      <c r="L377" s="889"/>
      <c r="M377" s="5"/>
      <c r="N377" s="5"/>
      <c r="O377" s="5"/>
      <c r="P377" s="5"/>
      <c r="Q377" s="5"/>
      <c r="R377" s="3"/>
      <c r="S377" s="5"/>
      <c r="T377" s="3"/>
      <c r="U377" s="20"/>
      <c r="V377" s="7"/>
      <c r="W377" s="7"/>
      <c r="X377" s="7"/>
      <c r="Y377" s="3"/>
      <c r="Z377" s="3"/>
      <c r="AA377" s="3"/>
      <c r="AB377" s="20"/>
      <c r="AC377" s="3"/>
      <c r="AD377" s="3"/>
      <c r="AE377" s="5"/>
      <c r="AF377" s="3"/>
      <c r="AG377" s="38"/>
      <c r="AH377" s="3"/>
      <c r="AI377" s="51"/>
      <c r="AJ377" s="39"/>
      <c r="AK377" s="39"/>
      <c r="AL377" s="39"/>
      <c r="AM377" s="39"/>
      <c r="AN377" s="889"/>
      <c r="AO377" s="889"/>
      <c r="AP377" s="889"/>
      <c r="AQ377" s="889"/>
      <c r="AR377" s="889"/>
      <c r="AS377" s="889"/>
      <c r="AT377" s="889"/>
      <c r="AU377" s="889"/>
      <c r="AV377" s="889"/>
      <c r="AW377" s="889"/>
      <c r="AX377" s="889"/>
      <c r="AY377" s="889"/>
      <c r="AZ377" s="139"/>
      <c r="BA377" s="139"/>
      <c r="BB377" s="139"/>
      <c r="BC377" s="139"/>
      <c r="BD377" s="139"/>
      <c r="BE377" s="3"/>
    </row>
    <row r="378" spans="1:57" ht="15" customHeight="1" x14ac:dyDescent="0.4">
      <c r="A378" s="3" t="s">
        <v>459</v>
      </c>
      <c r="B378" s="7"/>
      <c r="C378" s="4" t="s">
        <v>460</v>
      </c>
      <c r="D378" s="3"/>
      <c r="E378" s="3"/>
      <c r="F378" s="3"/>
      <c r="G378" s="7"/>
      <c r="H378" s="20"/>
      <c r="I378" s="500" t="s">
        <v>461</v>
      </c>
      <c r="J378" s="38"/>
      <c r="K378" s="461" t="s">
        <v>2211</v>
      </c>
      <c r="L378" s="3" t="s">
        <v>463</v>
      </c>
      <c r="M378" s="177">
        <v>0</v>
      </c>
      <c r="N378" s="177"/>
      <c r="O378" s="177"/>
      <c r="P378" s="177"/>
      <c r="Q378" s="177"/>
      <c r="R378" s="116"/>
      <c r="S378" s="177"/>
      <c r="T378" s="116"/>
      <c r="U378" s="175"/>
      <c r="V378" s="173"/>
      <c r="W378" s="173"/>
      <c r="X378" s="173"/>
      <c r="Y378" s="116"/>
      <c r="Z378" s="116"/>
      <c r="AA378" s="116"/>
      <c r="AB378" s="175"/>
      <c r="AC378" s="116"/>
      <c r="AD378" s="116"/>
      <c r="AE378" s="177"/>
      <c r="AF378" s="116"/>
      <c r="AG378" s="179"/>
      <c r="AH378" s="116"/>
      <c r="AI378" s="185"/>
      <c r="AJ378" s="180"/>
      <c r="AK378" s="180"/>
      <c r="AL378" s="180"/>
      <c r="AM378" s="180"/>
      <c r="AN378" s="3"/>
      <c r="AO378" s="3"/>
      <c r="AP378" s="3"/>
      <c r="AQ378" s="3"/>
      <c r="AR378" s="3"/>
      <c r="AS378" s="3"/>
      <c r="AT378" s="3"/>
      <c r="AU378" s="3"/>
      <c r="AV378" s="3"/>
      <c r="AW378" s="3"/>
      <c r="AX378" s="3"/>
      <c r="AY378" s="3"/>
      <c r="AZ378" s="139"/>
      <c r="BA378" s="139"/>
      <c r="BB378" s="139"/>
      <c r="BC378" s="139"/>
      <c r="BD378" s="139"/>
      <c r="BE378" s="3"/>
    </row>
    <row r="379" spans="1:57" ht="15" customHeight="1" x14ac:dyDescent="0.4">
      <c r="A379" s="3"/>
      <c r="B379" s="7"/>
      <c r="C379" s="8"/>
      <c r="D379" s="650"/>
      <c r="E379" s="651"/>
      <c r="F379" s="3"/>
      <c r="G379" s="7"/>
      <c r="H379" s="20"/>
      <c r="I379" s="577"/>
      <c r="J379" s="579"/>
      <c r="K379" s="577"/>
      <c r="L379" s="577"/>
      <c r="M379" s="575"/>
      <c r="N379" s="575"/>
      <c r="O379" s="575"/>
      <c r="P379" s="577"/>
      <c r="Q379" s="575"/>
      <c r="R379" s="577" t="s">
        <v>352</v>
      </c>
      <c r="S379" s="625">
        <v>1</v>
      </c>
      <c r="T379" s="577" t="s">
        <v>366</v>
      </c>
      <c r="U379" s="20"/>
      <c r="V379" s="991" t="str">
        <f>IF(SHWidth&lt;M378,"√","")</f>
        <v/>
      </c>
      <c r="W379" s="7"/>
      <c r="X379" s="7"/>
      <c r="Y379" s="3"/>
      <c r="Z379" s="3"/>
      <c r="AA379" s="3"/>
      <c r="AB379" s="20"/>
      <c r="AC379" s="3"/>
      <c r="AD379" s="3"/>
      <c r="AE379" s="5"/>
      <c r="AF379" s="3"/>
      <c r="AG379" s="38"/>
      <c r="AH379" s="3"/>
      <c r="AI379" s="51"/>
      <c r="AJ379" s="39"/>
      <c r="AK379" s="39"/>
      <c r="AL379" s="39"/>
      <c r="AM379" s="39"/>
      <c r="AN379" s="3"/>
      <c r="AO379" s="3"/>
      <c r="AP379" s="3"/>
      <c r="AQ379" s="3"/>
      <c r="AR379" s="3"/>
      <c r="AS379" s="3"/>
      <c r="AT379" s="3"/>
      <c r="AU379" s="3"/>
      <c r="AV379" s="3"/>
      <c r="AW379" s="3"/>
      <c r="AX379" s="3"/>
      <c r="AY379" s="3"/>
      <c r="AZ379" s="139"/>
      <c r="BA379" s="139"/>
      <c r="BB379" s="139"/>
      <c r="BC379" s="139"/>
      <c r="BD379" s="139"/>
      <c r="BE379" s="3"/>
    </row>
    <row r="380" spans="1:57" ht="15" customHeight="1" x14ac:dyDescent="0.4">
      <c r="A380" s="3"/>
      <c r="B380" s="7"/>
      <c r="C380" s="8"/>
      <c r="D380" s="4"/>
      <c r="E380" s="4"/>
      <c r="F380" s="3"/>
      <c r="G380" s="7"/>
      <c r="H380" s="20"/>
      <c r="I380" s="36" t="s">
        <v>464</v>
      </c>
      <c r="J380" s="38"/>
      <c r="K380" s="461" t="s">
        <v>2211</v>
      </c>
      <c r="L380" s="3" t="s">
        <v>465</v>
      </c>
      <c r="M380" s="5">
        <f>M378</f>
        <v>0</v>
      </c>
      <c r="N380" s="5"/>
      <c r="O380" s="5"/>
      <c r="P380" s="3"/>
      <c r="Q380" s="5"/>
      <c r="R380" s="3"/>
      <c r="S380" s="5"/>
      <c r="T380" s="3"/>
      <c r="U380" s="20"/>
      <c r="V380" s="7"/>
      <c r="W380" s="7"/>
      <c r="X380" s="7"/>
      <c r="Y380" s="3"/>
      <c r="Z380" s="3"/>
      <c r="AA380" s="3"/>
      <c r="AB380" s="20"/>
      <c r="AC380" s="3"/>
      <c r="AD380" s="3"/>
      <c r="AE380" s="5"/>
      <c r="AF380" s="3"/>
      <c r="AG380" s="38"/>
      <c r="AH380" s="3"/>
      <c r="AI380" s="51"/>
      <c r="AJ380" s="39"/>
      <c r="AK380" s="39"/>
      <c r="AL380" s="39"/>
      <c r="AM380" s="39"/>
      <c r="AN380" s="3"/>
      <c r="AO380" s="3"/>
      <c r="AP380" s="3"/>
      <c r="AQ380" s="3"/>
      <c r="AR380" s="3"/>
      <c r="AS380" s="3"/>
      <c r="AT380" s="3"/>
      <c r="AU380" s="3"/>
      <c r="AV380" s="3"/>
      <c r="AW380" s="3"/>
      <c r="AX380" s="3"/>
      <c r="AY380" s="3"/>
      <c r="AZ380" s="139"/>
      <c r="BA380" s="139"/>
      <c r="BB380" s="139"/>
      <c r="BC380" s="139"/>
      <c r="BD380" s="139"/>
      <c r="BE380" s="3"/>
    </row>
    <row r="381" spans="1:57" ht="15" customHeight="1" thickBot="1" x14ac:dyDescent="0.45">
      <c r="A381" s="3"/>
      <c r="B381" s="924"/>
      <c r="C381" s="943"/>
      <c r="D381" s="889"/>
      <c r="E381" s="889"/>
      <c r="F381" s="889"/>
      <c r="G381" s="1154" t="s">
        <v>466</v>
      </c>
      <c r="H381" s="887"/>
      <c r="I381" s="889" t="s">
        <v>2211</v>
      </c>
      <c r="J381" s="889" t="s">
        <v>467</v>
      </c>
      <c r="K381" s="889">
        <v>-2</v>
      </c>
      <c r="L381" s="889" t="s">
        <v>348</v>
      </c>
      <c r="M381" s="945">
        <v>1</v>
      </c>
      <c r="N381" s="945"/>
      <c r="O381" s="945"/>
      <c r="P381" s="889"/>
      <c r="Q381" s="945"/>
      <c r="R381" s="889" t="s">
        <v>352</v>
      </c>
      <c r="S381" s="1020">
        <f>SHCORnd*K381+M381</f>
        <v>1</v>
      </c>
      <c r="T381" s="889" t="s">
        <v>366</v>
      </c>
      <c r="U381" s="887"/>
      <c r="V381" s="993" t="str">
        <f>IF(SHWidth&gt;=M380,"√","")</f>
        <v>√</v>
      </c>
      <c r="W381" s="924"/>
      <c r="X381" s="924"/>
      <c r="Y381" s="889"/>
      <c r="Z381" s="889"/>
      <c r="AA381" s="889"/>
      <c r="AB381" s="887"/>
      <c r="AC381" s="889"/>
      <c r="AD381" s="889"/>
      <c r="AE381" s="945"/>
      <c r="AF381" s="889"/>
      <c r="AG381" s="888"/>
      <c r="AH381" s="889"/>
      <c r="AI381" s="937"/>
      <c r="AJ381" s="947"/>
      <c r="AK381" s="947"/>
      <c r="AL381" s="947"/>
      <c r="AM381" s="947"/>
      <c r="AN381" s="889"/>
      <c r="AO381" s="889"/>
      <c r="AP381" s="889"/>
      <c r="AQ381" s="889"/>
      <c r="AR381" s="889"/>
      <c r="AS381" s="889"/>
      <c r="AT381" s="889"/>
      <c r="AU381" s="889"/>
      <c r="AV381" s="889"/>
      <c r="AW381" s="889"/>
      <c r="AX381" s="889"/>
      <c r="AY381" s="889"/>
      <c r="AZ381" s="139"/>
      <c r="BA381" s="139"/>
      <c r="BB381" s="139"/>
      <c r="BC381" s="139"/>
      <c r="BD381" s="139"/>
      <c r="BE381" s="3"/>
    </row>
    <row r="382" spans="1:57" ht="15" customHeight="1" x14ac:dyDescent="0.4">
      <c r="A382" s="3" t="s">
        <v>468</v>
      </c>
      <c r="B382" s="36"/>
      <c r="C382" s="4" t="s">
        <v>469</v>
      </c>
      <c r="D382" s="3"/>
      <c r="E382" s="3"/>
      <c r="F382" s="3"/>
      <c r="G382" s="7"/>
      <c r="H382" s="20"/>
      <c r="I382" s="3" t="s">
        <v>365</v>
      </c>
      <c r="J382" s="38" t="s">
        <v>346</v>
      </c>
      <c r="K382" s="3">
        <v>2</v>
      </c>
      <c r="L382" s="3" t="s">
        <v>348</v>
      </c>
      <c r="M382" s="5">
        <v>3.41</v>
      </c>
      <c r="N382" s="5"/>
      <c r="O382" s="5"/>
      <c r="P382" s="5" t="s">
        <v>348</v>
      </c>
      <c r="Q382" s="5" t="s">
        <v>2211</v>
      </c>
      <c r="R382" s="3" t="s">
        <v>352</v>
      </c>
      <c r="S382" s="5">
        <f>SHHeight/K382+M382+O382+SHCORnd</f>
        <v>40.409999999999997</v>
      </c>
      <c r="T382" s="3" t="s">
        <v>366</v>
      </c>
      <c r="U382" s="20"/>
      <c r="V382" s="7"/>
      <c r="W382" s="7"/>
      <c r="X382" s="7"/>
      <c r="Y382" s="3"/>
      <c r="Z382" s="3"/>
      <c r="AA382" s="3"/>
      <c r="AB382" s="20"/>
      <c r="AC382" s="3"/>
      <c r="AD382" s="3"/>
      <c r="AE382" s="5"/>
      <c r="AF382" s="3"/>
      <c r="AG382" s="38"/>
      <c r="AH382" s="3"/>
      <c r="AI382" s="51"/>
      <c r="AJ382" s="39"/>
      <c r="AK382" s="39"/>
      <c r="AL382" s="39"/>
      <c r="AM382" s="39"/>
      <c r="AN382" s="3"/>
      <c r="AO382" s="3"/>
      <c r="AP382" s="3"/>
      <c r="AQ382" s="3"/>
      <c r="AR382" s="3"/>
      <c r="AS382" s="3"/>
      <c r="AT382" s="3"/>
      <c r="AU382" s="3"/>
      <c r="AV382" s="3"/>
      <c r="AW382" s="3"/>
      <c r="AX382" s="3"/>
      <c r="AY382" s="3"/>
      <c r="AZ382" s="139"/>
      <c r="BA382" s="139"/>
      <c r="BB382" s="139"/>
      <c r="BC382" s="139"/>
      <c r="BD382" s="139"/>
      <c r="BE382" s="3"/>
    </row>
    <row r="383" spans="1:57" ht="15" customHeight="1" thickBot="1" x14ac:dyDescent="0.45">
      <c r="A383" s="8" t="s">
        <v>470</v>
      </c>
      <c r="B383" s="36"/>
      <c r="C383" s="4" t="s">
        <v>471</v>
      </c>
      <c r="D383" s="3"/>
      <c r="E383" s="3"/>
      <c r="F383" s="3"/>
      <c r="G383" s="7"/>
      <c r="H383" s="20"/>
      <c r="I383" s="8" t="s">
        <v>472</v>
      </c>
      <c r="J383" s="38"/>
      <c r="K383" s="3"/>
      <c r="L383" s="3"/>
      <c r="M383" s="5"/>
      <c r="N383" s="5"/>
      <c r="O383" s="5"/>
      <c r="P383" s="5"/>
      <c r="Q383" s="5"/>
      <c r="R383" s="3"/>
      <c r="S383" s="5"/>
      <c r="T383" s="3"/>
      <c r="U383" s="20"/>
      <c r="V383" s="7"/>
      <c r="W383" s="7"/>
      <c r="X383" s="7"/>
      <c r="Y383" s="3"/>
      <c r="Z383" s="3"/>
      <c r="AA383" s="3"/>
      <c r="AB383" s="20"/>
      <c r="AC383" s="3"/>
      <c r="AD383" s="3"/>
      <c r="AE383" s="5"/>
      <c r="AF383" s="3"/>
      <c r="AG383" s="38"/>
      <c r="AH383" s="3"/>
      <c r="AI383" s="51"/>
      <c r="AJ383" s="39"/>
      <c r="AK383" s="39"/>
      <c r="AL383" s="39"/>
      <c r="AM383" s="39"/>
      <c r="AN383" s="889"/>
      <c r="AO383" s="889"/>
      <c r="AP383" s="889"/>
      <c r="AQ383" s="889"/>
      <c r="AR383" s="889"/>
      <c r="AS383" s="889"/>
      <c r="AT383" s="889"/>
      <c r="AU383" s="889"/>
      <c r="AV383" s="889"/>
      <c r="AW383" s="889"/>
      <c r="AX383" s="889"/>
      <c r="AY383" s="889"/>
      <c r="AZ383" s="139"/>
      <c r="BA383" s="139"/>
      <c r="BB383" s="139"/>
      <c r="BC383" s="139"/>
      <c r="BD383" s="139"/>
      <c r="BE383" s="3"/>
    </row>
    <row r="384" spans="1:57" ht="15" customHeight="1" x14ac:dyDescent="0.4">
      <c r="A384" s="3" t="s">
        <v>473</v>
      </c>
      <c r="B384" s="173" t="s">
        <v>474</v>
      </c>
      <c r="C384" s="181"/>
      <c r="D384" s="116"/>
      <c r="E384" s="116"/>
      <c r="F384" s="116"/>
      <c r="G384" s="173"/>
      <c r="H384" s="175"/>
      <c r="I384" s="448" t="s">
        <v>461</v>
      </c>
      <c r="J384" s="179"/>
      <c r="K384" s="177" t="s">
        <v>392</v>
      </c>
      <c r="L384" s="177" t="s">
        <v>463</v>
      </c>
      <c r="M384" s="177">
        <v>25</v>
      </c>
      <c r="N384" s="177"/>
      <c r="O384" s="177"/>
      <c r="P384" s="177"/>
      <c r="Q384" s="177"/>
      <c r="R384" s="116"/>
      <c r="S384" s="177"/>
      <c r="T384" s="116"/>
      <c r="U384" s="175"/>
      <c r="V384" s="173"/>
      <c r="W384" s="173"/>
      <c r="X384" s="173"/>
      <c r="Y384" s="116"/>
      <c r="Z384" s="116"/>
      <c r="AA384" s="116"/>
      <c r="AB384" s="175"/>
      <c r="AC384" s="116"/>
      <c r="AD384" s="116"/>
      <c r="AE384" s="177"/>
      <c r="AF384" s="116"/>
      <c r="AG384" s="179"/>
      <c r="AH384" s="116"/>
      <c r="AI384" s="185"/>
      <c r="AJ384" s="180"/>
      <c r="AK384" s="180"/>
      <c r="AL384" s="180"/>
      <c r="AM384" s="180"/>
      <c r="AN384" s="3"/>
      <c r="AO384" s="3"/>
      <c r="AP384" s="3"/>
      <c r="AQ384" s="3"/>
      <c r="AR384" s="3"/>
      <c r="AS384" s="3"/>
      <c r="AT384" s="3"/>
      <c r="AU384" s="3"/>
      <c r="AV384" s="3"/>
      <c r="AW384" s="3"/>
      <c r="AX384" s="3"/>
      <c r="AY384" s="3"/>
      <c r="AZ384" s="139"/>
      <c r="BA384" s="139"/>
      <c r="BB384" s="139"/>
      <c r="BC384" s="139"/>
      <c r="BD384" s="139"/>
      <c r="BE384" s="3"/>
    </row>
    <row r="385" spans="1:57" ht="15" customHeight="1" x14ac:dyDescent="0.4">
      <c r="A385" s="3"/>
      <c r="B385" s="7"/>
      <c r="C385" s="8"/>
      <c r="D385" s="650" t="s">
        <v>475</v>
      </c>
      <c r="E385" s="651" t="s">
        <v>476</v>
      </c>
      <c r="F385" s="3"/>
      <c r="G385" s="7"/>
      <c r="H385" s="20"/>
      <c r="I385" s="577"/>
      <c r="J385" s="579"/>
      <c r="K385" s="577"/>
      <c r="L385" s="577"/>
      <c r="M385" s="575"/>
      <c r="N385" s="575"/>
      <c r="O385" s="575"/>
      <c r="P385" s="577"/>
      <c r="Q385" s="575"/>
      <c r="R385" s="577" t="s">
        <v>352</v>
      </c>
      <c r="S385" s="625">
        <v>7.125</v>
      </c>
      <c r="T385" s="577" t="s">
        <v>366</v>
      </c>
      <c r="U385" s="20"/>
      <c r="V385" s="992" t="str">
        <f>IF(SHWidth&lt;M384,"√","")</f>
        <v/>
      </c>
      <c r="W385" s="7"/>
      <c r="X385" s="7"/>
      <c r="Y385" s="3"/>
      <c r="Z385" s="3"/>
      <c r="AA385" s="3"/>
      <c r="AB385" s="20"/>
      <c r="AC385" s="3"/>
      <c r="AD385" s="3"/>
      <c r="AE385" s="5"/>
      <c r="AF385" s="3"/>
      <c r="AG385" s="38"/>
      <c r="AH385" s="3"/>
      <c r="AI385" s="51"/>
      <c r="AJ385" s="39"/>
      <c r="AK385" s="39"/>
      <c r="AL385" s="39"/>
      <c r="AM385" s="39"/>
      <c r="AN385" s="3"/>
      <c r="AO385" s="3"/>
      <c r="AP385" s="3"/>
      <c r="AQ385" s="3"/>
      <c r="AR385" s="3"/>
      <c r="AS385" s="3"/>
      <c r="AT385" s="3"/>
      <c r="AU385" s="3"/>
      <c r="AV385" s="3"/>
      <c r="AW385" s="3"/>
      <c r="AX385" s="3"/>
      <c r="AY385" s="3"/>
      <c r="AZ385" s="139"/>
      <c r="BA385" s="139"/>
      <c r="BB385" s="139"/>
      <c r="BC385" s="139"/>
      <c r="BD385" s="139"/>
      <c r="BE385" s="3"/>
    </row>
    <row r="386" spans="1:57" ht="15" customHeight="1" x14ac:dyDescent="0.4">
      <c r="A386" s="3"/>
      <c r="B386" s="7"/>
      <c r="C386" s="8"/>
      <c r="D386" s="4"/>
      <c r="E386" s="4"/>
      <c r="F386" s="3"/>
      <c r="G386" s="7"/>
      <c r="H386" s="20"/>
      <c r="I386" s="36" t="s">
        <v>464</v>
      </c>
      <c r="J386" s="38"/>
      <c r="K386" s="3" t="s">
        <v>392</v>
      </c>
      <c r="L386" s="3" t="s">
        <v>465</v>
      </c>
      <c r="M386" s="5">
        <f>M384</f>
        <v>25</v>
      </c>
      <c r="N386" s="5"/>
      <c r="O386" s="5"/>
      <c r="P386" s="3"/>
      <c r="Q386" s="5"/>
      <c r="R386" s="3"/>
      <c r="S386" s="5"/>
      <c r="T386" s="3"/>
      <c r="U386" s="20"/>
      <c r="V386" s="7"/>
      <c r="W386" s="7"/>
      <c r="X386" s="7"/>
      <c r="Y386" s="3"/>
      <c r="Z386" s="3"/>
      <c r="AA386" s="3"/>
      <c r="AB386" s="20"/>
      <c r="AC386" s="3"/>
      <c r="AD386" s="3"/>
      <c r="AE386" s="5"/>
      <c r="AF386" s="3"/>
      <c r="AG386" s="38"/>
      <c r="AH386" s="3"/>
      <c r="AI386" s="51"/>
      <c r="AJ386" s="39"/>
      <c r="AK386" s="39"/>
      <c r="AL386" s="39"/>
      <c r="AM386" s="39"/>
      <c r="AN386" s="3"/>
      <c r="AO386" s="3"/>
      <c r="AP386" s="3"/>
      <c r="AQ386" s="3"/>
      <c r="AR386" s="3"/>
      <c r="AS386" s="3"/>
      <c r="AT386" s="3"/>
      <c r="AU386" s="3"/>
      <c r="AV386" s="3"/>
      <c r="AW386" s="3"/>
      <c r="AX386" s="3"/>
      <c r="AY386" s="3"/>
      <c r="AZ386" s="139"/>
      <c r="BA386" s="139"/>
      <c r="BB386" s="139"/>
      <c r="BC386" s="139"/>
      <c r="BD386" s="139"/>
      <c r="BE386" s="3"/>
    </row>
    <row r="387" spans="1:57" ht="15" customHeight="1" thickBot="1" x14ac:dyDescent="0.45">
      <c r="A387" s="3"/>
      <c r="B387" s="924"/>
      <c r="C387" s="943"/>
      <c r="D387" s="889"/>
      <c r="E387" s="889"/>
      <c r="F387" s="889"/>
      <c r="G387" s="1154" t="s">
        <v>466</v>
      </c>
      <c r="H387" s="887"/>
      <c r="I387" s="889" t="s">
        <v>392</v>
      </c>
      <c r="J387" s="888" t="s">
        <v>346</v>
      </c>
      <c r="K387" s="889">
        <v>2</v>
      </c>
      <c r="L387" s="889" t="s">
        <v>456</v>
      </c>
      <c r="M387" s="5">
        <v>2.2810000000000001</v>
      </c>
      <c r="N387" s="945"/>
      <c r="O387" s="945"/>
      <c r="P387" s="889"/>
      <c r="Q387" s="945"/>
      <c r="R387" s="889" t="s">
        <v>352</v>
      </c>
      <c r="S387" s="1020">
        <f>SHWidth/K387-M387</f>
        <v>17.000250000000001</v>
      </c>
      <c r="T387" s="889" t="s">
        <v>366</v>
      </c>
      <c r="U387" s="887"/>
      <c r="V387" s="993" t="str">
        <f>IF(SHWidth&gt;=M386,"√","")</f>
        <v>√</v>
      </c>
      <c r="W387" s="924"/>
      <c r="X387" s="924"/>
      <c r="Y387" s="889"/>
      <c r="Z387" s="889"/>
      <c r="AA387" s="889"/>
      <c r="AB387" s="887"/>
      <c r="AC387" s="889"/>
      <c r="AD387" s="889"/>
      <c r="AE387" s="945"/>
      <c r="AF387" s="889"/>
      <c r="AG387" s="888"/>
      <c r="AH387" s="889"/>
      <c r="AI387" s="937"/>
      <c r="AJ387" s="947"/>
      <c r="AK387" s="947"/>
      <c r="AL387" s="947"/>
      <c r="AM387" s="947"/>
      <c r="AN387" s="889"/>
      <c r="AO387" s="889"/>
      <c r="AP387" s="889"/>
      <c r="AQ387" s="889"/>
      <c r="AR387" s="889"/>
      <c r="AS387" s="889"/>
      <c r="AT387" s="889"/>
      <c r="AU387" s="889"/>
      <c r="AV387" s="889"/>
      <c r="AW387" s="889"/>
      <c r="AX387" s="889"/>
      <c r="AY387" s="889"/>
      <c r="AZ387" s="139"/>
      <c r="BA387" s="139"/>
      <c r="BB387" s="139"/>
      <c r="BC387" s="139"/>
      <c r="BD387" s="139"/>
      <c r="BE387" s="3"/>
    </row>
    <row r="388" spans="1:57" ht="15" customHeight="1" x14ac:dyDescent="0.4">
      <c r="A388" s="3"/>
      <c r="B388" s="173" t="s">
        <v>477</v>
      </c>
      <c r="C388" s="181"/>
      <c r="D388" s="116"/>
      <c r="E388" s="116"/>
      <c r="F388" s="116"/>
      <c r="G388" s="173"/>
      <c r="H388" s="175"/>
      <c r="I388" s="448"/>
      <c r="J388" s="179"/>
      <c r="K388" s="177"/>
      <c r="L388" s="177"/>
      <c r="M388" s="177"/>
      <c r="N388" s="177"/>
      <c r="O388" s="177"/>
      <c r="P388" s="177"/>
      <c r="Q388" s="177"/>
      <c r="R388" s="116" t="s">
        <v>352</v>
      </c>
      <c r="S388" s="177">
        <v>1.4999999999999999E-2</v>
      </c>
      <c r="T388" s="116" t="s">
        <v>478</v>
      </c>
      <c r="U388" s="175"/>
      <c r="V388" s="173"/>
      <c r="W388" s="173"/>
      <c r="X388" s="173"/>
      <c r="Y388" s="116"/>
      <c r="Z388" s="116"/>
      <c r="AA388" s="116"/>
      <c r="AB388" s="175"/>
      <c r="AC388" s="116"/>
      <c r="AD388" s="116">
        <v>2</v>
      </c>
      <c r="AE388" s="497">
        <f>S388*AD388*0.5541</f>
        <v>1.6622999999999999E-2</v>
      </c>
      <c r="AF388" s="116" t="s">
        <v>479</v>
      </c>
      <c r="AG388" s="179"/>
      <c r="AH388" s="116"/>
      <c r="AI388" s="185"/>
      <c r="AJ388" s="180"/>
      <c r="AK388" s="180"/>
      <c r="AL388" s="180"/>
      <c r="AM388" s="180"/>
      <c r="AN388" s="3" t="s">
        <v>81</v>
      </c>
      <c r="AO388" s="3" t="s">
        <v>81</v>
      </c>
      <c r="AP388" s="3" t="s">
        <v>81</v>
      </c>
      <c r="AQ388" s="3" t="s">
        <v>81</v>
      </c>
      <c r="AR388" s="3" t="s">
        <v>81</v>
      </c>
      <c r="AS388" s="3" t="s">
        <v>81</v>
      </c>
      <c r="AT388" s="3" t="s">
        <v>81</v>
      </c>
      <c r="AU388" s="3" t="s">
        <v>81</v>
      </c>
      <c r="AV388" s="3" t="s">
        <v>81</v>
      </c>
      <c r="AW388" s="3" t="s">
        <v>81</v>
      </c>
      <c r="AX388" s="1414" t="s">
        <v>81</v>
      </c>
      <c r="AY388" s="3"/>
      <c r="AZ388" s="140"/>
      <c r="BA388" s="140"/>
      <c r="BB388" s="139"/>
      <c r="BC388" s="139"/>
      <c r="BD388" s="139"/>
      <c r="BE388" s="3"/>
    </row>
    <row r="389" spans="1:57" ht="15" customHeight="1" x14ac:dyDescent="0.4">
      <c r="A389" s="3"/>
      <c r="B389" s="4"/>
      <c r="C389" s="36"/>
      <c r="D389" s="36"/>
      <c r="E389" s="447"/>
      <c r="F389" s="155"/>
      <c r="G389" s="7"/>
      <c r="H389" s="20"/>
      <c r="I389" s="8" t="s">
        <v>480</v>
      </c>
      <c r="J389" s="3"/>
      <c r="K389" s="3"/>
      <c r="L389" s="3"/>
      <c r="M389" s="5"/>
      <c r="N389" s="5"/>
      <c r="O389" s="5"/>
      <c r="P389" s="5"/>
      <c r="Q389" s="5"/>
      <c r="R389" s="3"/>
      <c r="S389" s="5"/>
      <c r="T389" s="3"/>
      <c r="U389" s="20"/>
      <c r="V389" s="38"/>
      <c r="W389" s="3" t="s">
        <v>481</v>
      </c>
      <c r="X389" s="38"/>
      <c r="Y389" s="1443">
        <v>610006014</v>
      </c>
      <c r="Z389" s="1443"/>
      <c r="AA389" s="1443"/>
      <c r="AB389" s="20"/>
      <c r="AC389" s="3">
        <v>45</v>
      </c>
      <c r="AD389" s="3"/>
      <c r="AE389" s="5"/>
      <c r="AF389" s="3" t="s">
        <v>482</v>
      </c>
      <c r="AG389" s="3"/>
      <c r="AH389" s="3"/>
      <c r="AI389" s="353">
        <v>6.54</v>
      </c>
      <c r="AJ389" s="39"/>
      <c r="AK389" s="39"/>
      <c r="AL389" s="39"/>
      <c r="AM389" s="39">
        <f>AE$388*AI389/32+SUM(AJ389:AL389)</f>
        <v>3.3973256249999998E-3</v>
      </c>
      <c r="AN389" s="3" t="s">
        <v>81</v>
      </c>
      <c r="AO389" s="3" t="s">
        <v>81</v>
      </c>
      <c r="AP389" s="3" t="s">
        <v>81</v>
      </c>
      <c r="AQ389" s="3" t="s">
        <v>81</v>
      </c>
      <c r="AR389" s="3" t="s">
        <v>81</v>
      </c>
      <c r="AS389" s="3" t="s">
        <v>81</v>
      </c>
      <c r="AT389" s="3" t="s">
        <v>81</v>
      </c>
      <c r="AU389" s="3" t="s">
        <v>81</v>
      </c>
      <c r="AV389" s="3" t="s">
        <v>81</v>
      </c>
      <c r="AW389" s="3" t="s">
        <v>81</v>
      </c>
      <c r="AX389" s="1414" t="s">
        <v>81</v>
      </c>
      <c r="AY389" s="3"/>
      <c r="AZ389" s="140"/>
      <c r="BA389" s="140"/>
      <c r="BB389" s="139"/>
      <c r="BC389" s="139"/>
      <c r="BD389" s="139"/>
      <c r="BE389" s="3"/>
    </row>
    <row r="390" spans="1:57" ht="15" customHeight="1" thickBot="1" x14ac:dyDescent="0.45">
      <c r="A390" s="3"/>
      <c r="B390" s="968"/>
      <c r="C390" s="943"/>
      <c r="D390" s="943"/>
      <c r="E390" s="944"/>
      <c r="F390" s="925"/>
      <c r="G390" s="924"/>
      <c r="H390" s="887"/>
      <c r="I390" s="889"/>
      <c r="J390" s="889"/>
      <c r="K390" s="889"/>
      <c r="L390" s="889"/>
      <c r="M390" s="945"/>
      <c r="N390" s="945"/>
      <c r="O390" s="945"/>
      <c r="P390" s="945"/>
      <c r="Q390" s="945"/>
      <c r="R390" s="889"/>
      <c r="S390" s="945"/>
      <c r="T390" s="889"/>
      <c r="U390" s="887"/>
      <c r="V390" s="888"/>
      <c r="W390" s="889"/>
      <c r="X390" s="888"/>
      <c r="Y390" s="946"/>
      <c r="Z390" s="946"/>
      <c r="AA390" s="946"/>
      <c r="AB390" s="887"/>
      <c r="AC390" s="889"/>
      <c r="AD390" s="889"/>
      <c r="AE390" s="945"/>
      <c r="AF390" s="889"/>
      <c r="AG390" s="889"/>
      <c r="AH390" s="889"/>
      <c r="AI390" s="937"/>
      <c r="AJ390" s="947"/>
      <c r="AK390" s="947"/>
      <c r="AL390" s="947"/>
      <c r="AM390" s="947"/>
      <c r="AN390" s="889" t="s">
        <v>81</v>
      </c>
      <c r="AO390" s="889" t="s">
        <v>81</v>
      </c>
      <c r="AP390" s="889" t="s">
        <v>81</v>
      </c>
      <c r="AQ390" s="889" t="s">
        <v>81</v>
      </c>
      <c r="AR390" s="889" t="s">
        <v>81</v>
      </c>
      <c r="AS390" s="889" t="s">
        <v>81</v>
      </c>
      <c r="AT390" s="889" t="s">
        <v>81</v>
      </c>
      <c r="AU390" s="889" t="s">
        <v>81</v>
      </c>
      <c r="AV390" s="889" t="s">
        <v>81</v>
      </c>
      <c r="AW390" s="889" t="s">
        <v>81</v>
      </c>
      <c r="AX390" s="1590" t="s">
        <v>81</v>
      </c>
      <c r="AY390" s="889"/>
      <c r="AZ390" s="140"/>
      <c r="BA390" s="140"/>
      <c r="BB390" s="139"/>
      <c r="BC390" s="139"/>
      <c r="BD390" s="139"/>
      <c r="BE390" s="3"/>
    </row>
    <row r="391" spans="1:57" ht="15" customHeight="1" x14ac:dyDescent="0.4">
      <c r="A391" s="3"/>
      <c r="B391" s="7" t="s">
        <v>1978</v>
      </c>
      <c r="C391" s="36"/>
      <c r="D391" s="36"/>
      <c r="E391" s="447"/>
      <c r="F391" s="155"/>
      <c r="G391" s="7"/>
      <c r="H391" s="20"/>
      <c r="I391" s="3"/>
      <c r="J391" s="3"/>
      <c r="K391" s="3"/>
      <c r="L391" s="3"/>
      <c r="M391" s="5"/>
      <c r="N391" s="5"/>
      <c r="O391" s="5"/>
      <c r="P391" s="5"/>
      <c r="Q391" s="5"/>
      <c r="R391" s="3"/>
      <c r="S391" s="5"/>
      <c r="T391" s="3"/>
      <c r="U391" s="20"/>
      <c r="V391" s="38"/>
      <c r="W391" s="3"/>
      <c r="X391" s="38"/>
      <c r="Y391" s="41"/>
      <c r="Z391" s="41"/>
      <c r="AA391" s="41"/>
      <c r="AB391" s="20"/>
      <c r="AC391" s="3"/>
      <c r="AD391" s="3"/>
      <c r="AE391" s="5"/>
      <c r="AF391" s="3"/>
      <c r="AG391" s="3"/>
      <c r="AH391" s="3"/>
      <c r="AI391" s="51"/>
      <c r="AJ391" s="39"/>
      <c r="AK391" s="39"/>
      <c r="AL391" s="39"/>
      <c r="AM391" s="39"/>
      <c r="AN391" s="3" t="s">
        <v>81</v>
      </c>
      <c r="AO391" s="3" t="s">
        <v>81</v>
      </c>
      <c r="AP391" s="3" t="s">
        <v>81</v>
      </c>
      <c r="AQ391" s="3" t="s">
        <v>81</v>
      </c>
      <c r="AR391" s="3" t="s">
        <v>81</v>
      </c>
      <c r="AS391" s="3" t="s">
        <v>81</v>
      </c>
      <c r="AT391" s="3" t="s">
        <v>81</v>
      </c>
      <c r="AU391" s="3" t="s">
        <v>81</v>
      </c>
      <c r="AV391" s="3" t="s">
        <v>81</v>
      </c>
      <c r="AW391" s="3" t="s">
        <v>81</v>
      </c>
      <c r="AX391" s="1414" t="s">
        <v>81</v>
      </c>
      <c r="AY391" s="3"/>
      <c r="AZ391" s="140"/>
      <c r="BA391" s="140"/>
      <c r="BB391" s="139"/>
      <c r="BC391" s="139"/>
      <c r="BD391" s="139"/>
      <c r="BE391" s="3"/>
    </row>
    <row r="392" spans="1:57" ht="15" customHeight="1" x14ac:dyDescent="0.4">
      <c r="A392" s="3"/>
      <c r="B392" s="4"/>
      <c r="C392" s="36"/>
      <c r="D392" s="36"/>
      <c r="E392" s="447"/>
      <c r="F392" s="155"/>
      <c r="G392" s="7"/>
      <c r="H392" s="20"/>
      <c r="I392" s="1124">
        <v>6.25E-2</v>
      </c>
      <c r="J392" s="1124" t="s">
        <v>483</v>
      </c>
      <c r="K392" s="1125">
        <v>3.2000000000000001E-2</v>
      </c>
      <c r="L392" s="1124" t="s">
        <v>483</v>
      </c>
      <c r="M392" s="1125">
        <v>0.93799999999999994</v>
      </c>
      <c r="N392" s="1126" t="s">
        <v>352</v>
      </c>
      <c r="O392" s="1125">
        <f>I392*K392*M392</f>
        <v>1.8759999999999998E-3</v>
      </c>
      <c r="P392" s="1127" t="s">
        <v>484</v>
      </c>
      <c r="Q392" s="1125"/>
      <c r="R392" s="3"/>
      <c r="S392" s="3"/>
      <c r="T392" s="3"/>
      <c r="U392" s="20"/>
      <c r="V392" s="38" t="s">
        <v>369</v>
      </c>
      <c r="W392" s="3" t="s">
        <v>370</v>
      </c>
      <c r="X392" s="38" t="s">
        <v>369</v>
      </c>
      <c r="Y392" s="41"/>
      <c r="Z392" s="41" t="s">
        <v>485</v>
      </c>
      <c r="AA392" s="41"/>
      <c r="AB392" s="20"/>
      <c r="AC392" s="1124"/>
      <c r="AD392" s="1124">
        <v>2</v>
      </c>
      <c r="AE392" s="1128">
        <f>O393*48/10.1</f>
        <v>4.940158099009901E-3</v>
      </c>
      <c r="AF392" s="1124" t="s">
        <v>486</v>
      </c>
      <c r="AG392" s="1125"/>
      <c r="AH392" s="1124"/>
      <c r="AI392" s="353">
        <v>3.86</v>
      </c>
      <c r="AJ392" s="1124"/>
      <c r="AK392" s="1125"/>
      <c r="AL392" s="1126"/>
      <c r="AM392" s="1125"/>
      <c r="AN392" s="3" t="s">
        <v>81</v>
      </c>
      <c r="AO392" s="3" t="s">
        <v>81</v>
      </c>
      <c r="AP392" s="3" t="s">
        <v>81</v>
      </c>
      <c r="AQ392" s="3" t="s">
        <v>81</v>
      </c>
      <c r="AR392" s="3" t="s">
        <v>81</v>
      </c>
      <c r="AS392" s="3" t="s">
        <v>81</v>
      </c>
      <c r="AT392" s="3" t="s">
        <v>81</v>
      </c>
      <c r="AU392" s="3" t="s">
        <v>81</v>
      </c>
      <c r="AV392" s="3" t="s">
        <v>371</v>
      </c>
      <c r="AW392" s="3" t="s">
        <v>81</v>
      </c>
      <c r="AX392" s="1414" t="s">
        <v>81</v>
      </c>
      <c r="AY392" s="3"/>
      <c r="AZ392" s="140"/>
      <c r="BA392" s="140"/>
      <c r="BB392" s="139"/>
      <c r="BC392" s="139"/>
      <c r="BD392" s="139"/>
      <c r="BE392" s="3"/>
    </row>
    <row r="393" spans="1:57" ht="15" customHeight="1" x14ac:dyDescent="0.4">
      <c r="A393" s="3"/>
      <c r="B393" s="4"/>
      <c r="C393" s="36"/>
      <c r="D393" s="36"/>
      <c r="E393" s="447"/>
      <c r="F393" s="155"/>
      <c r="G393" s="7"/>
      <c r="H393" s="20"/>
      <c r="I393" s="1124" t="s">
        <v>487</v>
      </c>
      <c r="J393" s="5"/>
      <c r="K393" s="1125" t="s">
        <v>488</v>
      </c>
      <c r="L393" s="3"/>
      <c r="M393" s="1125" t="s">
        <v>489</v>
      </c>
      <c r="N393" s="1126" t="s">
        <v>352</v>
      </c>
      <c r="O393" s="1125">
        <f>O392*0.5541</f>
        <v>1.0394916E-3</v>
      </c>
      <c r="P393" s="1124" t="s">
        <v>490</v>
      </c>
      <c r="Q393" s="1125"/>
      <c r="R393" s="3"/>
      <c r="S393" s="3"/>
      <c r="T393" s="3"/>
      <c r="U393" s="20"/>
      <c r="V393" s="38" t="s">
        <v>369</v>
      </c>
      <c r="W393" s="3" t="s">
        <v>372</v>
      </c>
      <c r="X393" s="38" t="s">
        <v>369</v>
      </c>
      <c r="Y393" s="1443">
        <v>610010031</v>
      </c>
      <c r="Z393" s="1443"/>
      <c r="AA393" s="1443"/>
      <c r="AB393" s="20"/>
      <c r="AC393" s="1124"/>
      <c r="AD393" s="1126"/>
      <c r="AE393" s="1125"/>
      <c r="AF393" s="1124"/>
      <c r="AG393" s="1125"/>
      <c r="AH393" s="1124"/>
      <c r="AI393" s="353">
        <v>3.86</v>
      </c>
      <c r="AJ393" s="1124"/>
      <c r="AK393" s="1125"/>
      <c r="AL393" s="1126"/>
      <c r="AM393" s="1125"/>
      <c r="AN393" s="3" t="s">
        <v>371</v>
      </c>
      <c r="AO393" s="3" t="s">
        <v>371</v>
      </c>
      <c r="AP393" s="3" t="s">
        <v>371</v>
      </c>
      <c r="AQ393" s="3" t="s">
        <v>371</v>
      </c>
      <c r="AR393" s="3" t="s">
        <v>371</v>
      </c>
      <c r="AS393" s="3" t="s">
        <v>371</v>
      </c>
      <c r="AT393" s="3" t="s">
        <v>371</v>
      </c>
      <c r="AU393" s="3" t="s">
        <v>371</v>
      </c>
      <c r="AV393" s="3" t="s">
        <v>371</v>
      </c>
      <c r="AW393" s="3" t="s">
        <v>371</v>
      </c>
      <c r="AX393" s="1414" t="s">
        <v>371</v>
      </c>
      <c r="AY393" s="3"/>
      <c r="AZ393" s="140"/>
      <c r="BA393" s="140"/>
      <c r="BB393" s="139"/>
      <c r="BC393" s="139"/>
      <c r="BD393" s="139"/>
      <c r="BE393" s="3"/>
    </row>
    <row r="394" spans="1:57" ht="15" customHeight="1" x14ac:dyDescent="0.4">
      <c r="A394" s="3"/>
      <c r="B394" s="4"/>
      <c r="C394" s="36"/>
      <c r="D394" s="36"/>
      <c r="E394" s="447"/>
      <c r="F394" s="155"/>
      <c r="G394" s="7"/>
      <c r="H394" s="20"/>
      <c r="I394" s="1508" t="s">
        <v>491</v>
      </c>
      <c r="J394" s="3"/>
      <c r="K394" s="3"/>
      <c r="L394" s="3"/>
      <c r="M394" s="5"/>
      <c r="N394" s="5"/>
      <c r="O394" s="5"/>
      <c r="P394" s="5"/>
      <c r="Q394" s="5"/>
      <c r="R394" s="3"/>
      <c r="S394" s="5"/>
      <c r="T394" s="3"/>
      <c r="U394" s="20"/>
      <c r="V394" s="38" t="s">
        <v>369</v>
      </c>
      <c r="W394" s="3" t="s">
        <v>373</v>
      </c>
      <c r="X394" s="38" t="s">
        <v>369</v>
      </c>
      <c r="Y394" s="41"/>
      <c r="Z394" s="41" t="s">
        <v>492</v>
      </c>
      <c r="AA394" s="41"/>
      <c r="AB394" s="20"/>
      <c r="AC394" s="3"/>
      <c r="AD394" s="3"/>
      <c r="AE394" s="5"/>
      <c r="AF394" s="3"/>
      <c r="AG394" s="3"/>
      <c r="AH394" s="3"/>
      <c r="AI394" s="353">
        <v>3.86</v>
      </c>
      <c r="AJ394" s="39"/>
      <c r="AK394" s="39"/>
      <c r="AL394" s="39"/>
      <c r="AM394" s="39"/>
      <c r="AN394" s="3" t="s">
        <v>371</v>
      </c>
      <c r="AO394" s="3" t="s">
        <v>371</v>
      </c>
      <c r="AP394" s="3" t="s">
        <v>371</v>
      </c>
      <c r="AQ394" s="3" t="s">
        <v>371</v>
      </c>
      <c r="AR394" s="3" t="s">
        <v>371</v>
      </c>
      <c r="AS394" s="3" t="s">
        <v>371</v>
      </c>
      <c r="AT394" s="3" t="s">
        <v>371</v>
      </c>
      <c r="AU394" s="3" t="s">
        <v>371</v>
      </c>
      <c r="AV394" s="3" t="s">
        <v>81</v>
      </c>
      <c r="AW394" s="3" t="s">
        <v>371</v>
      </c>
      <c r="AX394" s="1414" t="s">
        <v>371</v>
      </c>
      <c r="AY394" s="3"/>
      <c r="AZ394" s="140"/>
      <c r="BA394" s="140"/>
      <c r="BB394" s="139"/>
      <c r="BC394" s="139"/>
      <c r="BD394" s="139"/>
      <c r="BE394" s="3"/>
    </row>
    <row r="395" spans="1:57" ht="15" customHeight="1" thickBot="1" x14ac:dyDescent="0.45">
      <c r="A395" s="3"/>
      <c r="B395" s="4"/>
      <c r="C395" s="36"/>
      <c r="D395" s="36"/>
      <c r="E395" s="447"/>
      <c r="F395" s="155"/>
      <c r="G395" s="7"/>
      <c r="H395" s="20"/>
      <c r="I395" s="1508"/>
      <c r="J395" s="3"/>
      <c r="K395" s="3"/>
      <c r="L395" s="3"/>
      <c r="M395" s="5"/>
      <c r="N395" s="5"/>
      <c r="O395" s="5"/>
      <c r="P395" s="5"/>
      <c r="Q395" s="5"/>
      <c r="R395" s="3"/>
      <c r="S395" s="5"/>
      <c r="T395" s="3"/>
      <c r="U395" s="20"/>
      <c r="V395" s="38" t="s">
        <v>369</v>
      </c>
      <c r="W395" s="3" t="s">
        <v>375</v>
      </c>
      <c r="X395" s="38" t="s">
        <v>1252</v>
      </c>
      <c r="Y395" s="41"/>
      <c r="Z395" s="41" t="s">
        <v>2368</v>
      </c>
      <c r="AA395" s="41"/>
      <c r="AB395" s="20"/>
      <c r="AC395" s="3"/>
      <c r="AD395" s="3"/>
      <c r="AE395" s="5"/>
      <c r="AF395" s="3"/>
      <c r="AG395" s="3"/>
      <c r="AH395" s="3"/>
      <c r="AI395" s="353"/>
      <c r="AJ395" s="39"/>
      <c r="AK395" s="39"/>
      <c r="AL395" s="39"/>
      <c r="AM395" s="39"/>
      <c r="AN395" s="889" t="s">
        <v>371</v>
      </c>
      <c r="AO395" s="889" t="s">
        <v>371</v>
      </c>
      <c r="AP395" s="889" t="s">
        <v>371</v>
      </c>
      <c r="AQ395" s="889" t="s">
        <v>371</v>
      </c>
      <c r="AR395" s="889" t="s">
        <v>371</v>
      </c>
      <c r="AS395" s="889" t="s">
        <v>371</v>
      </c>
      <c r="AT395" s="889" t="s">
        <v>371</v>
      </c>
      <c r="AU395" s="889" t="s">
        <v>371</v>
      </c>
      <c r="AV395" s="889" t="s">
        <v>371</v>
      </c>
      <c r="AW395" s="889" t="s">
        <v>371</v>
      </c>
      <c r="AX395" s="1590" t="s">
        <v>81</v>
      </c>
      <c r="AY395" s="889"/>
      <c r="AZ395" s="140"/>
      <c r="BA395" s="140"/>
      <c r="BB395" s="139"/>
      <c r="BC395" s="139"/>
      <c r="BD395" s="139"/>
      <c r="BE395" s="3"/>
    </row>
    <row r="396" spans="1:57" ht="15" customHeight="1" x14ac:dyDescent="0.4">
      <c r="A396" s="3" t="s">
        <v>493</v>
      </c>
      <c r="B396" s="173" t="s">
        <v>494</v>
      </c>
      <c r="C396" s="181"/>
      <c r="D396" s="116" t="s">
        <v>495</v>
      </c>
      <c r="E396" s="116"/>
      <c r="F396" s="116"/>
      <c r="G396" s="173"/>
      <c r="H396" s="175"/>
      <c r="I396" s="448" t="s">
        <v>392</v>
      </c>
      <c r="J396" s="179"/>
      <c r="K396" s="177"/>
      <c r="L396" s="177" t="s">
        <v>348</v>
      </c>
      <c r="M396" s="177">
        <v>-3.5619999999999998</v>
      </c>
      <c r="N396" s="177"/>
      <c r="O396" s="177"/>
      <c r="P396" s="177"/>
      <c r="Q396" s="177"/>
      <c r="R396" s="116" t="s">
        <v>352</v>
      </c>
      <c r="S396" s="177">
        <f>SHWidth+M396</f>
        <v>35.000500000000002</v>
      </c>
      <c r="T396" s="116" t="s">
        <v>366</v>
      </c>
      <c r="U396" s="175"/>
      <c r="V396" s="173"/>
      <c r="W396" s="173"/>
      <c r="X396" s="173"/>
      <c r="Y396" s="116"/>
      <c r="Z396" s="116"/>
      <c r="AA396" s="116"/>
      <c r="AB396" s="175"/>
      <c r="AC396" s="116">
        <v>45</v>
      </c>
      <c r="AD396" s="116">
        <v>1</v>
      </c>
      <c r="AE396" s="177">
        <f>S396*AD396/12</f>
        <v>2.9167083333333337</v>
      </c>
      <c r="AF396" s="116" t="s">
        <v>367</v>
      </c>
      <c r="AG396" s="179">
        <v>0.46500000000000002</v>
      </c>
      <c r="AH396" s="177">
        <f>AG396*AtolbperftSH</f>
        <v>0.2941125</v>
      </c>
      <c r="AI396" s="185"/>
      <c r="AJ396" s="180"/>
      <c r="AK396" s="180"/>
      <c r="AL396" s="180"/>
      <c r="AM396" s="180"/>
      <c r="AN396" s="3" t="s">
        <v>81</v>
      </c>
      <c r="AO396" s="3" t="s">
        <v>81</v>
      </c>
      <c r="AP396" s="3" t="s">
        <v>81</v>
      </c>
      <c r="AQ396" s="3" t="s">
        <v>81</v>
      </c>
      <c r="AR396" s="3" t="s">
        <v>81</v>
      </c>
      <c r="AS396" s="3" t="s">
        <v>81</v>
      </c>
      <c r="AT396" s="3" t="s">
        <v>81</v>
      </c>
      <c r="AU396" s="3" t="s">
        <v>81</v>
      </c>
      <c r="AV396" s="3" t="s">
        <v>81</v>
      </c>
      <c r="AW396" s="3" t="s">
        <v>81</v>
      </c>
      <c r="AX396" s="1414" t="s">
        <v>81</v>
      </c>
      <c r="AY396" s="3"/>
      <c r="AZ396" s="450"/>
      <c r="BA396" s="450"/>
      <c r="BB396" s="450"/>
      <c r="BC396" s="450"/>
      <c r="BD396" s="450"/>
      <c r="BE396" s="112"/>
    </row>
    <row r="397" spans="1:57" ht="15" customHeight="1" x14ac:dyDescent="0.4">
      <c r="A397" s="112"/>
      <c r="B397" s="8"/>
      <c r="C397" s="36"/>
      <c r="D397" s="155"/>
      <c r="E397" s="155"/>
      <c r="F397" s="155"/>
      <c r="G397" s="155"/>
      <c r="H397" s="14"/>
      <c r="I397" s="3"/>
      <c r="J397" s="3"/>
      <c r="K397" s="3"/>
      <c r="L397" s="3"/>
      <c r="M397" s="5"/>
      <c r="N397" s="5"/>
      <c r="O397" s="5"/>
      <c r="P397" s="5"/>
      <c r="Q397" s="5"/>
      <c r="R397" s="3"/>
      <c r="S397" s="5"/>
      <c r="T397" s="3"/>
      <c r="U397" s="14"/>
      <c r="V397" s="38" t="s">
        <v>369</v>
      </c>
      <c r="W397" s="3" t="s">
        <v>370</v>
      </c>
      <c r="X397" s="38" t="s">
        <v>369</v>
      </c>
      <c r="Y397" s="1443">
        <v>200393003</v>
      </c>
      <c r="Z397" s="1443"/>
      <c r="AA397" s="1443"/>
      <c r="AB397" s="14"/>
      <c r="AC397" s="3"/>
      <c r="AD397" s="3"/>
      <c r="AE397" s="5"/>
      <c r="AF397" s="3"/>
      <c r="AG397" s="38"/>
      <c r="AH397" s="5"/>
      <c r="AI397" s="353">
        <v>0.36809999999999998</v>
      </c>
      <c r="AJ397" s="39"/>
      <c r="AK397" s="39"/>
      <c r="AL397" s="39"/>
      <c r="AM397" s="39">
        <f>AE$396*AI397+SUM(AJ397:AL397)</f>
        <v>1.0736403375000001</v>
      </c>
      <c r="AN397" s="3" t="s">
        <v>81</v>
      </c>
      <c r="AO397" s="3" t="s">
        <v>81</v>
      </c>
      <c r="AP397" s="3" t="s">
        <v>81</v>
      </c>
      <c r="AQ397" s="3" t="s">
        <v>81</v>
      </c>
      <c r="AR397" s="3" t="s">
        <v>81</v>
      </c>
      <c r="AS397" s="3" t="s">
        <v>81</v>
      </c>
      <c r="AT397" s="3" t="s">
        <v>371</v>
      </c>
      <c r="AU397" s="3" t="s">
        <v>81</v>
      </c>
      <c r="AV397" s="3" t="s">
        <v>371</v>
      </c>
      <c r="AW397" s="3" t="s">
        <v>81</v>
      </c>
      <c r="AX397" s="1414" t="s">
        <v>81</v>
      </c>
      <c r="AY397" s="3"/>
      <c r="AZ397" s="450"/>
      <c r="BA397" s="450"/>
      <c r="BB397" s="450"/>
      <c r="BC397" s="450"/>
      <c r="BD397" s="450"/>
      <c r="BE397" s="112"/>
    </row>
    <row r="398" spans="1:57" ht="15" customHeight="1" x14ac:dyDescent="0.4">
      <c r="A398" s="3"/>
      <c r="B398" s="8"/>
      <c r="C398" s="36"/>
      <c r="D398" s="155"/>
      <c r="E398" s="155"/>
      <c r="F398" s="155"/>
      <c r="G398" s="155"/>
      <c r="H398" s="14"/>
      <c r="I398" s="3"/>
      <c r="J398" s="3"/>
      <c r="K398" s="3"/>
      <c r="L398" s="3"/>
      <c r="M398" s="5"/>
      <c r="N398" s="5"/>
      <c r="O398" s="5"/>
      <c r="P398" s="5"/>
      <c r="Q398" s="5"/>
      <c r="R398" s="3"/>
      <c r="S398" s="5"/>
      <c r="T398" s="3"/>
      <c r="U398" s="14"/>
      <c r="V398" s="38" t="s">
        <v>369</v>
      </c>
      <c r="W398" s="3" t="s">
        <v>372</v>
      </c>
      <c r="X398" s="38" t="s">
        <v>369</v>
      </c>
      <c r="Y398" s="1443">
        <v>200393021</v>
      </c>
      <c r="Z398" s="1443"/>
      <c r="AA398" s="1443"/>
      <c r="AB398" s="14"/>
      <c r="AC398" s="3"/>
      <c r="AD398" s="3"/>
      <c r="AE398" s="5"/>
      <c r="AF398" s="3"/>
      <c r="AG398" s="38"/>
      <c r="AH398" s="5"/>
      <c r="AI398" s="353">
        <v>0.38869999999999999</v>
      </c>
      <c r="AJ398" s="39"/>
      <c r="AK398" s="39"/>
      <c r="AL398" s="39"/>
      <c r="AM398" s="39">
        <f t="shared" ref="AM398:AM404" si="63">AE$396*AI398+SUM(AJ398:AL398)</f>
        <v>1.1337245291666667</v>
      </c>
      <c r="AN398" s="3" t="s">
        <v>371</v>
      </c>
      <c r="AO398" s="3" t="s">
        <v>371</v>
      </c>
      <c r="AP398" s="3" t="s">
        <v>371</v>
      </c>
      <c r="AQ398" s="3" t="s">
        <v>371</v>
      </c>
      <c r="AR398" s="3" t="s">
        <v>371</v>
      </c>
      <c r="AS398" s="3" t="s">
        <v>371</v>
      </c>
      <c r="AT398" s="3" t="s">
        <v>371</v>
      </c>
      <c r="AU398" s="3" t="s">
        <v>371</v>
      </c>
      <c r="AV398" s="3" t="s">
        <v>371</v>
      </c>
      <c r="AW398" s="3" t="s">
        <v>371</v>
      </c>
      <c r="AX398" s="1414" t="s">
        <v>371</v>
      </c>
      <c r="AY398" s="3"/>
      <c r="AZ398" s="139"/>
      <c r="BA398" s="139"/>
      <c r="BB398" s="139"/>
      <c r="BC398" s="139"/>
      <c r="BD398" s="139"/>
      <c r="BE398" s="3"/>
    </row>
    <row r="399" spans="1:57" ht="15" customHeight="1" x14ac:dyDescent="0.4">
      <c r="A399" s="3"/>
      <c r="B399" s="8"/>
      <c r="C399" s="36"/>
      <c r="D399" s="155"/>
      <c r="E399" s="155"/>
      <c r="F399" s="155"/>
      <c r="G399" s="155"/>
      <c r="H399" s="14"/>
      <c r="I399" s="3"/>
      <c r="J399" s="3"/>
      <c r="K399" s="3"/>
      <c r="L399" s="3"/>
      <c r="M399" s="5"/>
      <c r="N399" s="5"/>
      <c r="O399" s="5"/>
      <c r="P399" s="5"/>
      <c r="Q399" s="5"/>
      <c r="R399" s="3"/>
      <c r="S399" s="5"/>
      <c r="T399" s="3"/>
      <c r="U399" s="14"/>
      <c r="V399" s="38" t="s">
        <v>369</v>
      </c>
      <c r="W399" s="3" t="s">
        <v>373</v>
      </c>
      <c r="X399" s="38" t="s">
        <v>369</v>
      </c>
      <c r="Y399" s="1443">
        <v>200393033</v>
      </c>
      <c r="Z399" s="1443"/>
      <c r="AA399" s="1443"/>
      <c r="AB399" s="14"/>
      <c r="AC399" s="3"/>
      <c r="AD399" s="3"/>
      <c r="AE399" s="5"/>
      <c r="AF399" s="3"/>
      <c r="AG399" s="38"/>
      <c r="AH399" s="5"/>
      <c r="AI399" s="353">
        <v>0.4133</v>
      </c>
      <c r="AJ399" s="39"/>
      <c r="AK399" s="39"/>
      <c r="AL399" s="39"/>
      <c r="AM399" s="39">
        <f t="shared" si="63"/>
        <v>1.2054755541666669</v>
      </c>
      <c r="AN399" s="3" t="s">
        <v>371</v>
      </c>
      <c r="AO399" s="3" t="s">
        <v>371</v>
      </c>
      <c r="AP399" s="3" t="s">
        <v>371</v>
      </c>
      <c r="AQ399" s="3" t="s">
        <v>371</v>
      </c>
      <c r="AR399" s="3" t="s">
        <v>371</v>
      </c>
      <c r="AS399" s="3" t="s">
        <v>371</v>
      </c>
      <c r="AT399" s="3" t="s">
        <v>371</v>
      </c>
      <c r="AU399" s="3" t="s">
        <v>371</v>
      </c>
      <c r="AV399" s="3" t="s">
        <v>81</v>
      </c>
      <c r="AW399" s="3" t="s">
        <v>371</v>
      </c>
      <c r="AX399" s="1414" t="s">
        <v>371</v>
      </c>
      <c r="AY399" s="3"/>
      <c r="AZ399" s="139"/>
      <c r="BA399" s="139"/>
      <c r="BB399" s="139"/>
      <c r="BC399" s="139"/>
      <c r="BD399" s="139"/>
      <c r="BE399" s="3"/>
    </row>
    <row r="400" spans="1:57" ht="15" customHeight="1" x14ac:dyDescent="0.4">
      <c r="A400" s="3"/>
      <c r="B400" s="8"/>
      <c r="C400" s="36"/>
      <c r="D400" s="155"/>
      <c r="E400" s="155"/>
      <c r="F400" s="155"/>
      <c r="G400" s="155"/>
      <c r="H400" s="14"/>
      <c r="I400" s="3"/>
      <c r="J400" s="3"/>
      <c r="K400" s="3"/>
      <c r="L400" s="3"/>
      <c r="M400" s="5"/>
      <c r="N400" s="5"/>
      <c r="O400" s="5"/>
      <c r="P400" s="5"/>
      <c r="Q400" s="5"/>
      <c r="R400" s="3"/>
      <c r="S400" s="5"/>
      <c r="T400" s="3"/>
      <c r="U400" s="14"/>
      <c r="V400" s="3" t="s">
        <v>2363</v>
      </c>
      <c r="W400" s="3" t="s">
        <v>370</v>
      </c>
      <c r="X400" s="38" t="s">
        <v>369</v>
      </c>
      <c r="Y400" s="1443">
        <v>200393127</v>
      </c>
      <c r="Z400" s="1443"/>
      <c r="AA400" s="1443"/>
      <c r="AB400" s="14"/>
      <c r="AC400" s="3"/>
      <c r="AD400" s="3"/>
      <c r="AE400" s="5"/>
      <c r="AF400" s="3"/>
      <c r="AG400" s="38"/>
      <c r="AH400" s="5"/>
      <c r="AI400" s="353">
        <v>0.47920000000000001</v>
      </c>
      <c r="AJ400" s="39"/>
      <c r="AK400" s="39"/>
      <c r="AL400" s="39"/>
      <c r="AM400" s="39">
        <f t="shared" si="63"/>
        <v>1.3976866333333335</v>
      </c>
      <c r="AN400" s="3" t="s">
        <v>371</v>
      </c>
      <c r="AO400" s="3" t="s">
        <v>371</v>
      </c>
      <c r="AP400" s="3" t="s">
        <v>371</v>
      </c>
      <c r="AQ400" s="3" t="s">
        <v>371</v>
      </c>
      <c r="AR400" s="3" t="s">
        <v>371</v>
      </c>
      <c r="AS400" s="3" t="s">
        <v>371</v>
      </c>
      <c r="AT400" s="3" t="s">
        <v>81</v>
      </c>
      <c r="AU400" s="3" t="s">
        <v>371</v>
      </c>
      <c r="AV400" s="3" t="s">
        <v>371</v>
      </c>
      <c r="AW400" s="3" t="s">
        <v>371</v>
      </c>
      <c r="AX400" s="1414" t="s">
        <v>371</v>
      </c>
      <c r="AY400" s="3"/>
      <c r="AZ400" s="139"/>
      <c r="BA400" s="139"/>
      <c r="BB400" s="139"/>
      <c r="BC400" s="139"/>
      <c r="BD400" s="139"/>
      <c r="BE400" s="3"/>
    </row>
    <row r="401" spans="1:57" ht="15" customHeight="1" x14ac:dyDescent="0.4">
      <c r="A401" s="3"/>
      <c r="B401" s="8"/>
      <c r="C401" s="36"/>
      <c r="D401" s="155"/>
      <c r="E401" s="155"/>
      <c r="F401" s="155"/>
      <c r="G401" s="155"/>
      <c r="H401" s="14"/>
      <c r="I401" s="3"/>
      <c r="J401" s="3"/>
      <c r="K401" s="3"/>
      <c r="L401" s="3"/>
      <c r="M401" s="5"/>
      <c r="N401" s="5"/>
      <c r="O401" s="5"/>
      <c r="P401" s="5"/>
      <c r="Q401" s="5"/>
      <c r="R401" s="3"/>
      <c r="S401" s="5"/>
      <c r="T401" s="3"/>
      <c r="U401" s="14"/>
      <c r="V401" s="112" t="s">
        <v>2366</v>
      </c>
      <c r="W401" s="112" t="s">
        <v>370</v>
      </c>
      <c r="X401" s="279" t="s">
        <v>369</v>
      </c>
      <c r="Y401" s="1871">
        <v>200393128</v>
      </c>
      <c r="Z401" s="1443"/>
      <c r="AA401" s="1443"/>
      <c r="AB401" s="14"/>
      <c r="AC401" s="3"/>
      <c r="AD401" s="3"/>
      <c r="AE401" s="5"/>
      <c r="AF401" s="3"/>
      <c r="AG401" s="38"/>
      <c r="AH401" s="5"/>
      <c r="AI401" s="353">
        <v>0.4612</v>
      </c>
      <c r="AJ401" s="39"/>
      <c r="AK401" s="39"/>
      <c r="AL401" s="39"/>
      <c r="AM401" s="39">
        <f t="shared" si="63"/>
        <v>1.3451858833333334</v>
      </c>
      <c r="AN401" s="3" t="s">
        <v>371</v>
      </c>
      <c r="AO401" s="3" t="s">
        <v>371</v>
      </c>
      <c r="AP401" s="3" t="s">
        <v>371</v>
      </c>
      <c r="AQ401" s="3" t="s">
        <v>371</v>
      </c>
      <c r="AR401" s="3" t="s">
        <v>371</v>
      </c>
      <c r="AS401" s="3" t="s">
        <v>371</v>
      </c>
      <c r="AT401" s="3" t="s">
        <v>371</v>
      </c>
      <c r="AU401" s="3" t="s">
        <v>371</v>
      </c>
      <c r="AV401" s="3" t="s">
        <v>371</v>
      </c>
      <c r="AW401" s="3" t="s">
        <v>371</v>
      </c>
      <c r="AX401" s="1414" t="s">
        <v>371</v>
      </c>
      <c r="AY401" s="3"/>
      <c r="AZ401" s="139"/>
      <c r="BA401" s="139"/>
      <c r="BB401" s="139"/>
      <c r="BC401" s="139"/>
      <c r="BD401" s="139"/>
      <c r="BE401" s="3"/>
    </row>
    <row r="402" spans="1:57" ht="15" customHeight="1" x14ac:dyDescent="0.4">
      <c r="A402" s="3"/>
      <c r="B402" s="8"/>
      <c r="C402" s="36"/>
      <c r="D402" s="155"/>
      <c r="E402" s="155"/>
      <c r="F402" s="155"/>
      <c r="G402" s="155"/>
      <c r="H402" s="14"/>
      <c r="I402" s="3"/>
      <c r="J402" s="3"/>
      <c r="K402" s="3"/>
      <c r="L402" s="3"/>
      <c r="M402" s="5"/>
      <c r="N402" s="5"/>
      <c r="O402" s="5"/>
      <c r="P402" s="5"/>
      <c r="Q402" s="5"/>
      <c r="R402" s="3"/>
      <c r="S402" s="5"/>
      <c r="T402" s="3"/>
      <c r="U402" s="14"/>
      <c r="V402" s="3" t="s">
        <v>2364</v>
      </c>
      <c r="W402" s="3" t="s">
        <v>370</v>
      </c>
      <c r="X402" s="38" t="s">
        <v>369</v>
      </c>
      <c r="Y402" s="1443">
        <v>200393129</v>
      </c>
      <c r="Z402" s="1443"/>
      <c r="AA402" s="1443"/>
      <c r="AB402" s="14"/>
      <c r="AC402" s="3"/>
      <c r="AD402" s="3"/>
      <c r="AE402" s="5"/>
      <c r="AF402" s="3"/>
      <c r="AG402" s="38"/>
      <c r="AH402" s="5"/>
      <c r="AI402" s="353">
        <v>0.4647</v>
      </c>
      <c r="AJ402" s="39"/>
      <c r="AK402" s="39"/>
      <c r="AL402" s="39"/>
      <c r="AM402" s="39">
        <f>AE$396*AI402+SUM(AJ402:AL402)</f>
        <v>1.3553943625000002</v>
      </c>
      <c r="AN402" s="3" t="s">
        <v>371</v>
      </c>
      <c r="AO402" s="3" t="s">
        <v>371</v>
      </c>
      <c r="AP402" s="3" t="s">
        <v>371</v>
      </c>
      <c r="AQ402" s="3" t="s">
        <v>371</v>
      </c>
      <c r="AR402" s="3" t="s">
        <v>371</v>
      </c>
      <c r="AS402" s="3" t="s">
        <v>371</v>
      </c>
      <c r="AT402" s="3" t="s">
        <v>371</v>
      </c>
      <c r="AU402" s="3" t="s">
        <v>371</v>
      </c>
      <c r="AV402" s="3" t="s">
        <v>371</v>
      </c>
      <c r="AW402" s="3" t="s">
        <v>371</v>
      </c>
      <c r="AX402" s="1414" t="s">
        <v>371</v>
      </c>
      <c r="AY402" s="3"/>
      <c r="AZ402" s="139"/>
      <c r="BA402" s="139"/>
      <c r="BB402" s="139"/>
      <c r="BC402" s="139"/>
      <c r="BD402" s="139"/>
      <c r="BE402" s="3"/>
    </row>
    <row r="403" spans="1:57" ht="15" customHeight="1" x14ac:dyDescent="0.4">
      <c r="A403" s="3"/>
      <c r="B403" s="8"/>
      <c r="C403" s="36"/>
      <c r="D403" s="155"/>
      <c r="E403" s="155"/>
      <c r="F403" s="155"/>
      <c r="G403" s="155"/>
      <c r="H403" s="14"/>
      <c r="I403" s="3"/>
      <c r="J403" s="3"/>
      <c r="K403" s="3"/>
      <c r="L403" s="3"/>
      <c r="M403" s="5"/>
      <c r="N403" s="5"/>
      <c r="O403" s="5"/>
      <c r="P403" s="5"/>
      <c r="Q403" s="5"/>
      <c r="R403" s="3"/>
      <c r="S403" s="5"/>
      <c r="T403" s="3"/>
      <c r="U403" s="14"/>
      <c r="V403" s="3" t="s">
        <v>2365</v>
      </c>
      <c r="W403" s="3" t="s">
        <v>370</v>
      </c>
      <c r="X403" s="38" t="s">
        <v>369</v>
      </c>
      <c r="Y403" s="1443">
        <v>200393180</v>
      </c>
      <c r="Z403" s="1443"/>
      <c r="AA403" s="1443"/>
      <c r="AB403" s="14"/>
      <c r="AC403" s="3"/>
      <c r="AD403" s="3"/>
      <c r="AE403" s="5"/>
      <c r="AF403" s="3"/>
      <c r="AG403" s="38"/>
      <c r="AH403" s="5"/>
      <c r="AI403" s="353">
        <v>0.52380000000000004</v>
      </c>
      <c r="AJ403" s="39"/>
      <c r="AK403" s="39"/>
      <c r="AL403" s="39"/>
      <c r="AM403" s="39">
        <f t="shared" ref="AM403" si="64">AE$396*AI403+SUM(AJ403:AL403)</f>
        <v>1.5277718250000003</v>
      </c>
      <c r="AN403" s="3" t="s">
        <v>371</v>
      </c>
      <c r="AO403" s="3" t="s">
        <v>371</v>
      </c>
      <c r="AP403" s="3" t="s">
        <v>371</v>
      </c>
      <c r="AQ403" s="3" t="s">
        <v>371</v>
      </c>
      <c r="AR403" s="3" t="s">
        <v>371</v>
      </c>
      <c r="AS403" s="3" t="s">
        <v>371</v>
      </c>
      <c r="AT403" s="3" t="s">
        <v>371</v>
      </c>
      <c r="AU403" s="3" t="s">
        <v>371</v>
      </c>
      <c r="AV403" s="3" t="s">
        <v>371</v>
      </c>
      <c r="AW403" s="3" t="s">
        <v>371</v>
      </c>
      <c r="AX403" s="1414" t="s">
        <v>371</v>
      </c>
      <c r="AY403" s="3"/>
      <c r="AZ403" s="139"/>
      <c r="BA403" s="139"/>
      <c r="BB403" s="139"/>
      <c r="BC403" s="139"/>
      <c r="BD403" s="139"/>
      <c r="BE403" s="3"/>
    </row>
    <row r="404" spans="1:57" ht="15" customHeight="1" x14ac:dyDescent="0.4">
      <c r="A404" s="3"/>
      <c r="B404" s="8"/>
      <c r="C404" s="36"/>
      <c r="D404" s="155"/>
      <c r="E404" s="155"/>
      <c r="F404" s="155"/>
      <c r="G404" s="155"/>
      <c r="H404" s="14"/>
      <c r="I404" s="3"/>
      <c r="J404" s="3"/>
      <c r="K404" s="3"/>
      <c r="L404" s="3"/>
      <c r="M404" s="5"/>
      <c r="N404" s="5"/>
      <c r="O404" s="5"/>
      <c r="P404" s="5"/>
      <c r="Q404" s="5"/>
      <c r="R404" s="3"/>
      <c r="S404" s="5"/>
      <c r="T404" s="3"/>
      <c r="U404" s="14"/>
      <c r="V404" s="112" t="s">
        <v>2367</v>
      </c>
      <c r="W404" s="112" t="s">
        <v>370</v>
      </c>
      <c r="X404" s="279" t="s">
        <v>369</v>
      </c>
      <c r="Y404" s="1871">
        <v>200393152</v>
      </c>
      <c r="Z404" s="1443"/>
      <c r="AA404" s="1443"/>
      <c r="AB404" s="14"/>
      <c r="AC404" s="3"/>
      <c r="AD404" s="3"/>
      <c r="AE404" s="5"/>
      <c r="AF404" s="3"/>
      <c r="AG404" s="38"/>
      <c r="AH404" s="5"/>
      <c r="AI404" s="353">
        <v>0.4768</v>
      </c>
      <c r="AJ404" s="39"/>
      <c r="AK404" s="39"/>
      <c r="AL404" s="39"/>
      <c r="AM404" s="39">
        <f t="shared" si="63"/>
        <v>1.3906865333333336</v>
      </c>
      <c r="AN404" s="3" t="s">
        <v>371</v>
      </c>
      <c r="AO404" s="3" t="s">
        <v>371</v>
      </c>
      <c r="AP404" s="3" t="s">
        <v>371</v>
      </c>
      <c r="AQ404" s="3" t="s">
        <v>371</v>
      </c>
      <c r="AR404" s="3" t="s">
        <v>371</v>
      </c>
      <c r="AS404" s="3" t="s">
        <v>371</v>
      </c>
      <c r="AT404" s="3" t="s">
        <v>371</v>
      </c>
      <c r="AU404" s="3" t="s">
        <v>371</v>
      </c>
      <c r="AV404" s="3" t="s">
        <v>371</v>
      </c>
      <c r="AW404" s="3" t="s">
        <v>371</v>
      </c>
      <c r="AX404" s="1414" t="s">
        <v>371</v>
      </c>
      <c r="AY404" s="3"/>
      <c r="AZ404" s="139"/>
      <c r="BA404" s="139"/>
      <c r="BB404" s="139"/>
      <c r="BC404" s="139"/>
      <c r="BD404" s="139"/>
      <c r="BE404" s="3"/>
    </row>
    <row r="405" spans="1:57" ht="15" customHeight="1" x14ac:dyDescent="0.4">
      <c r="A405" s="3"/>
      <c r="B405" s="8"/>
      <c r="C405" s="622"/>
      <c r="D405" s="623"/>
      <c r="E405" s="623"/>
      <c r="F405" s="623"/>
      <c r="G405" s="623"/>
      <c r="H405" s="574"/>
      <c r="I405" s="577"/>
      <c r="J405" s="577"/>
      <c r="K405" s="577"/>
      <c r="L405" s="577"/>
      <c r="M405" s="575"/>
      <c r="N405" s="575"/>
      <c r="O405" s="575"/>
      <c r="P405" s="575"/>
      <c r="Q405" s="575"/>
      <c r="R405" s="577"/>
      <c r="S405" s="575"/>
      <c r="T405" s="577"/>
      <c r="U405" s="574"/>
      <c r="V405" s="577" t="s">
        <v>2365</v>
      </c>
      <c r="W405" s="577" t="s">
        <v>370</v>
      </c>
      <c r="X405" s="579" t="s">
        <v>2365</v>
      </c>
      <c r="Y405" s="1446">
        <v>200393181</v>
      </c>
      <c r="Z405" s="1446"/>
      <c r="AA405" s="1446"/>
      <c r="AB405" s="574"/>
      <c r="AC405" s="577"/>
      <c r="AD405" s="577"/>
      <c r="AE405" s="575"/>
      <c r="AF405" s="577"/>
      <c r="AG405" s="579"/>
      <c r="AH405" s="575"/>
      <c r="AI405" s="1425"/>
      <c r="AJ405" s="581"/>
      <c r="AK405" s="581"/>
      <c r="AL405" s="581"/>
      <c r="AM405" s="581"/>
      <c r="AN405" s="577" t="s">
        <v>371</v>
      </c>
      <c r="AO405" s="577" t="s">
        <v>371</v>
      </c>
      <c r="AP405" s="577" t="s">
        <v>371</v>
      </c>
      <c r="AQ405" s="577" t="s">
        <v>371</v>
      </c>
      <c r="AR405" s="577" t="s">
        <v>92</v>
      </c>
      <c r="AS405" s="577" t="s">
        <v>92</v>
      </c>
      <c r="AT405" s="577" t="s">
        <v>371</v>
      </c>
      <c r="AU405" s="577" t="s">
        <v>371</v>
      </c>
      <c r="AV405" s="577" t="s">
        <v>371</v>
      </c>
      <c r="AW405" s="577" t="s">
        <v>92</v>
      </c>
      <c r="AX405" s="1881" t="s">
        <v>81</v>
      </c>
      <c r="AY405" s="577"/>
      <c r="AZ405" s="139"/>
      <c r="BA405" s="139"/>
      <c r="BB405" s="139"/>
      <c r="BC405" s="139"/>
      <c r="BD405" s="139"/>
      <c r="BE405" s="3"/>
    </row>
    <row r="406" spans="1:57" ht="15" customHeight="1" x14ac:dyDescent="0.4">
      <c r="A406" s="3"/>
      <c r="B406" s="36"/>
      <c r="C406" s="447" t="s">
        <v>444</v>
      </c>
      <c r="D406" s="447"/>
      <c r="E406" s="155"/>
      <c r="F406" s="155"/>
      <c r="G406" s="7"/>
      <c r="H406" s="20"/>
      <c r="I406" s="3" t="s">
        <v>392</v>
      </c>
      <c r="J406" s="3"/>
      <c r="K406" s="3"/>
      <c r="L406" s="38" t="s">
        <v>348</v>
      </c>
      <c r="M406" s="5">
        <v>0</v>
      </c>
      <c r="N406" s="24"/>
      <c r="O406" s="24"/>
      <c r="P406" s="24"/>
      <c r="Q406" s="24"/>
      <c r="R406" s="639" t="s">
        <v>352</v>
      </c>
      <c r="S406" s="5">
        <f>SHWidth+M406+O406</f>
        <v>38.5625</v>
      </c>
      <c r="T406" s="3" t="s">
        <v>366</v>
      </c>
      <c r="U406" s="20"/>
      <c r="V406" s="38" t="s">
        <v>369</v>
      </c>
      <c r="W406" s="3" t="s">
        <v>405</v>
      </c>
      <c r="X406" s="38" t="s">
        <v>369</v>
      </c>
      <c r="Y406" s="1443">
        <v>600042010</v>
      </c>
      <c r="Z406" s="1443"/>
      <c r="AA406" s="1443"/>
      <c r="AB406" s="20"/>
      <c r="AC406" s="3">
        <v>45</v>
      </c>
      <c r="AD406" s="3">
        <v>1</v>
      </c>
      <c r="AE406" s="5">
        <f>S406*AD406/12</f>
        <v>3.2135416666666665</v>
      </c>
      <c r="AF406" s="3" t="s">
        <v>367</v>
      </c>
      <c r="AG406" s="38" t="s">
        <v>369</v>
      </c>
      <c r="AH406" s="38" t="s">
        <v>369</v>
      </c>
      <c r="AI406" s="51">
        <f>AI139</f>
        <v>2.0199999999999999E-2</v>
      </c>
      <c r="AJ406" s="39"/>
      <c r="AK406" s="39"/>
      <c r="AL406" s="39"/>
      <c r="AM406" s="39">
        <f>AE$406*AI406+SUM(AJ406:AL406)</f>
        <v>6.4913541666666658E-2</v>
      </c>
      <c r="AN406" s="3" t="s">
        <v>81</v>
      </c>
      <c r="AO406" s="3" t="s">
        <v>81</v>
      </c>
      <c r="AP406" s="3" t="s">
        <v>81</v>
      </c>
      <c r="AQ406" s="3" t="s">
        <v>81</v>
      </c>
      <c r="AR406" s="3" t="s">
        <v>81</v>
      </c>
      <c r="AS406" s="3" t="s">
        <v>81</v>
      </c>
      <c r="AT406" s="3" t="s">
        <v>81</v>
      </c>
      <c r="AU406" s="3" t="s">
        <v>81</v>
      </c>
      <c r="AV406" s="3" t="s">
        <v>81</v>
      </c>
      <c r="AW406" s="3" t="s">
        <v>81</v>
      </c>
      <c r="AX406" s="1414" t="s">
        <v>81</v>
      </c>
      <c r="AY406" s="3"/>
      <c r="AZ406" s="140"/>
      <c r="BA406" s="140"/>
      <c r="BB406" s="139"/>
      <c r="BC406" s="139"/>
      <c r="BD406" s="139"/>
      <c r="BE406" s="3"/>
    </row>
    <row r="407" spans="1:57" ht="15" customHeight="1" x14ac:dyDescent="0.4">
      <c r="A407" s="3"/>
      <c r="B407" s="36"/>
      <c r="C407" s="447" t="s">
        <v>406</v>
      </c>
      <c r="D407" s="447"/>
      <c r="E407" s="155"/>
      <c r="F407" s="155"/>
      <c r="G407" s="7"/>
      <c r="H407" s="20"/>
      <c r="I407" s="3" t="s">
        <v>392</v>
      </c>
      <c r="J407" s="3"/>
      <c r="K407" s="3"/>
      <c r="L407" s="3" t="s">
        <v>348</v>
      </c>
      <c r="M407" s="5">
        <v>0</v>
      </c>
      <c r="N407" s="5"/>
      <c r="O407" s="5"/>
      <c r="P407" s="5"/>
      <c r="Q407" s="5"/>
      <c r="R407" s="3" t="s">
        <v>352</v>
      </c>
      <c r="S407" s="5">
        <f>SHWidth+M407+O407</f>
        <v>38.5625</v>
      </c>
      <c r="T407" s="3" t="s">
        <v>366</v>
      </c>
      <c r="U407" s="20"/>
      <c r="V407" s="38" t="s">
        <v>369</v>
      </c>
      <c r="W407" s="3" t="s">
        <v>405</v>
      </c>
      <c r="X407" s="38" t="s">
        <v>369</v>
      </c>
      <c r="Y407" s="1443">
        <v>600050010</v>
      </c>
      <c r="Z407" s="1443"/>
      <c r="AA407" s="1443"/>
      <c r="AB407" s="20"/>
      <c r="AC407" s="3">
        <v>45</v>
      </c>
      <c r="AD407" s="3"/>
      <c r="AE407" s="5"/>
      <c r="AF407" s="3"/>
      <c r="AG407" s="38"/>
      <c r="AH407" s="38"/>
      <c r="AI407" s="51">
        <f>AI140</f>
        <v>2.7799999999999998E-2</v>
      </c>
      <c r="AJ407" s="39"/>
      <c r="AK407" s="39"/>
      <c r="AL407" s="39"/>
      <c r="AM407" s="39"/>
      <c r="AN407" s="3" t="s">
        <v>371</v>
      </c>
      <c r="AO407" s="3" t="s">
        <v>371</v>
      </c>
      <c r="AP407" s="3" t="s">
        <v>371</v>
      </c>
      <c r="AQ407" s="3" t="s">
        <v>371</v>
      </c>
      <c r="AR407" s="3" t="s">
        <v>371</v>
      </c>
      <c r="AS407" s="3" t="s">
        <v>371</v>
      </c>
      <c r="AT407" s="3" t="s">
        <v>371</v>
      </c>
      <c r="AU407" s="3" t="s">
        <v>371</v>
      </c>
      <c r="AV407" s="3" t="s">
        <v>371</v>
      </c>
      <c r="AW407" s="3" t="s">
        <v>371</v>
      </c>
      <c r="AX407" s="1414" t="s">
        <v>371</v>
      </c>
      <c r="AY407" s="3"/>
      <c r="AZ407" s="140"/>
      <c r="BA407" s="140"/>
      <c r="BB407" s="139"/>
      <c r="BC407" s="139"/>
      <c r="BD407" s="139"/>
      <c r="BE407" s="3"/>
    </row>
    <row r="408" spans="1:57" ht="15" customHeight="1" thickBot="1" x14ac:dyDescent="0.45">
      <c r="A408" s="3"/>
      <c r="B408" s="943" t="s">
        <v>2390</v>
      </c>
      <c r="C408" s="1068"/>
      <c r="D408" s="944"/>
      <c r="E408" s="925"/>
      <c r="F408" s="925"/>
      <c r="G408" s="924"/>
      <c r="H408" s="887"/>
      <c r="I408" s="889" t="s">
        <v>392</v>
      </c>
      <c r="J408" s="889"/>
      <c r="K408" s="889"/>
      <c r="L408" s="889" t="s">
        <v>348</v>
      </c>
      <c r="M408" s="945">
        <v>-3.5619999999999998</v>
      </c>
      <c r="N408" s="945"/>
      <c r="O408" s="945"/>
      <c r="P408" s="945"/>
      <c r="Q408" s="945"/>
      <c r="R408" s="889" t="s">
        <v>352</v>
      </c>
      <c r="S408" s="945">
        <f>SHWidth+M408</f>
        <v>35.000500000000002</v>
      </c>
      <c r="T408" s="889" t="s">
        <v>366</v>
      </c>
      <c r="U408" s="887"/>
      <c r="V408" s="888" t="s">
        <v>369</v>
      </c>
      <c r="W408" s="889" t="s">
        <v>370</v>
      </c>
      <c r="X408" s="888" t="s">
        <v>369</v>
      </c>
      <c r="Y408" s="1451">
        <v>120074014015</v>
      </c>
      <c r="Z408" s="1444"/>
      <c r="AA408" s="1444"/>
      <c r="AB408" s="887"/>
      <c r="AC408" s="889"/>
      <c r="AD408" s="889">
        <v>1</v>
      </c>
      <c r="AE408" s="945">
        <f>S408*AD408/12</f>
        <v>2.9167083333333337</v>
      </c>
      <c r="AF408" s="889" t="s">
        <v>367</v>
      </c>
      <c r="AG408" s="888"/>
      <c r="AH408" s="888"/>
      <c r="AI408" s="937">
        <v>1.456E-2</v>
      </c>
      <c r="AJ408" s="947"/>
      <c r="AK408" s="947"/>
      <c r="AL408" s="947"/>
      <c r="AM408" s="947">
        <f>AI408*AE408</f>
        <v>4.246727333333334E-2</v>
      </c>
      <c r="AN408" s="889" t="s">
        <v>92</v>
      </c>
      <c r="AO408" s="889" t="s">
        <v>92</v>
      </c>
      <c r="AP408" s="889" t="s">
        <v>92</v>
      </c>
      <c r="AQ408" s="889" t="s">
        <v>92</v>
      </c>
      <c r="AR408" s="889" t="s">
        <v>92</v>
      </c>
      <c r="AS408" s="889" t="s">
        <v>92</v>
      </c>
      <c r="AT408" s="889" t="s">
        <v>81</v>
      </c>
      <c r="AU408" s="889" t="s">
        <v>92</v>
      </c>
      <c r="AV408" s="889" t="s">
        <v>92</v>
      </c>
      <c r="AW408" s="889" t="s">
        <v>92</v>
      </c>
      <c r="AX408" s="1590" t="s">
        <v>81</v>
      </c>
      <c r="AY408" s="889"/>
      <c r="AZ408" s="140"/>
      <c r="BA408" s="140"/>
      <c r="BB408" s="139"/>
      <c r="BC408" s="139"/>
      <c r="BD408" s="139"/>
      <c r="BE408" s="3"/>
    </row>
    <row r="409" spans="1:57" ht="15" customHeight="1" x14ac:dyDescent="0.4">
      <c r="A409" s="3" t="s">
        <v>503</v>
      </c>
      <c r="B409" s="7" t="s">
        <v>504</v>
      </c>
      <c r="C409" s="8"/>
      <c r="D409" s="155"/>
      <c r="E409" s="155"/>
      <c r="F409" s="155"/>
      <c r="G409" s="7"/>
      <c r="H409" s="14"/>
      <c r="I409" s="3" t="s">
        <v>392</v>
      </c>
      <c r="J409" s="3"/>
      <c r="K409" s="3"/>
      <c r="L409" s="3" t="s">
        <v>348</v>
      </c>
      <c r="M409" s="356">
        <v>-3.4369999999999998</v>
      </c>
      <c r="N409" s="5"/>
      <c r="O409" s="5"/>
      <c r="P409" s="5"/>
      <c r="Q409" s="5"/>
      <c r="R409" s="3" t="s">
        <v>352</v>
      </c>
      <c r="S409" s="5">
        <f>SHWidth+M409</f>
        <v>35.125500000000002</v>
      </c>
      <c r="T409" s="3" t="s">
        <v>366</v>
      </c>
      <c r="U409" s="14"/>
      <c r="V409" s="4"/>
      <c r="W409" s="4"/>
      <c r="X409" s="4"/>
      <c r="Y409" s="1443"/>
      <c r="Z409" s="1443"/>
      <c r="AA409" s="1443"/>
      <c r="AB409" s="14"/>
      <c r="AC409" s="3">
        <v>45</v>
      </c>
      <c r="AD409" s="3">
        <v>2</v>
      </c>
      <c r="AE409" s="5">
        <f>S409*AD409/12</f>
        <v>5.8542500000000004</v>
      </c>
      <c r="AF409" s="3" t="s">
        <v>367</v>
      </c>
      <c r="AG409" s="38">
        <f>AG427</f>
        <v>2.8000000000000001E-2</v>
      </c>
      <c r="AH409" s="5">
        <f>AG409*AtolbperftSH</f>
        <v>1.771E-2</v>
      </c>
      <c r="AI409" s="51"/>
      <c r="AJ409" s="51"/>
      <c r="AK409" s="51"/>
      <c r="AL409" s="51"/>
      <c r="AM409" s="39"/>
      <c r="AN409" s="3" t="s">
        <v>81</v>
      </c>
      <c r="AO409" s="3" t="s">
        <v>81</v>
      </c>
      <c r="AP409" s="3" t="s">
        <v>81</v>
      </c>
      <c r="AQ409" s="3" t="s">
        <v>81</v>
      </c>
      <c r="AR409" s="3" t="s">
        <v>81</v>
      </c>
      <c r="AS409" s="3" t="s">
        <v>81</v>
      </c>
      <c r="AT409" s="3" t="s">
        <v>81</v>
      </c>
      <c r="AU409" s="3" t="s">
        <v>81</v>
      </c>
      <c r="AV409" s="3" t="s">
        <v>81</v>
      </c>
      <c r="AW409" s="3" t="s">
        <v>81</v>
      </c>
      <c r="AX409" s="1414" t="s">
        <v>92</v>
      </c>
      <c r="AY409" s="3"/>
      <c r="AZ409" s="139"/>
      <c r="BA409" s="139"/>
      <c r="BB409" s="139"/>
      <c r="BC409" s="139"/>
      <c r="BD409" s="139"/>
      <c r="BE409" s="3"/>
    </row>
    <row r="410" spans="1:57" ht="15" customHeight="1" x14ac:dyDescent="0.4">
      <c r="A410" s="3"/>
      <c r="B410" s="36"/>
      <c r="C410" s="7"/>
      <c r="D410" s="7"/>
      <c r="E410" s="7"/>
      <c r="F410" s="7"/>
      <c r="G410" s="7"/>
      <c r="H410" s="14"/>
      <c r="I410" s="3"/>
      <c r="J410" s="3"/>
      <c r="K410" s="3"/>
      <c r="L410" s="3"/>
      <c r="M410" s="5"/>
      <c r="N410" s="5"/>
      <c r="O410" s="5"/>
      <c r="P410" s="5"/>
      <c r="Q410" s="5"/>
      <c r="R410" s="3"/>
      <c r="S410" s="5"/>
      <c r="T410" s="3"/>
      <c r="U410" s="14"/>
      <c r="V410" s="38" t="s">
        <v>369</v>
      </c>
      <c r="W410" s="3" t="s">
        <v>370</v>
      </c>
      <c r="X410" s="38" t="s">
        <v>369</v>
      </c>
      <c r="Y410" s="1443">
        <f>Y428</f>
        <v>200170003</v>
      </c>
      <c r="Z410" s="1443"/>
      <c r="AA410" s="1443"/>
      <c r="AB410" s="14"/>
      <c r="AC410" s="3"/>
      <c r="AD410" s="3"/>
      <c r="AE410" s="5"/>
      <c r="AF410" s="3"/>
      <c r="AG410" s="38"/>
      <c r="AH410" s="5"/>
      <c r="AI410" s="51">
        <f>AI428</f>
        <v>5.4600000000000003E-2</v>
      </c>
      <c r="AJ410" s="39"/>
      <c r="AK410" s="39"/>
      <c r="AL410" s="39"/>
      <c r="AM410" s="39">
        <f>AE$409*AI410+SUM(AJ410:AL410)</f>
        <v>0.31964205000000001</v>
      </c>
      <c r="AN410" s="3" t="s">
        <v>81</v>
      </c>
      <c r="AO410" s="3" t="s">
        <v>81</v>
      </c>
      <c r="AP410" s="3" t="s">
        <v>81</v>
      </c>
      <c r="AQ410" s="3" t="s">
        <v>81</v>
      </c>
      <c r="AR410" s="3" t="s">
        <v>81</v>
      </c>
      <c r="AS410" s="3" t="s">
        <v>81</v>
      </c>
      <c r="AT410" s="3" t="s">
        <v>81</v>
      </c>
      <c r="AU410" s="3" t="s">
        <v>81</v>
      </c>
      <c r="AV410" s="3" t="s">
        <v>371</v>
      </c>
      <c r="AW410" s="3" t="s">
        <v>81</v>
      </c>
      <c r="AX410" s="1414" t="s">
        <v>92</v>
      </c>
      <c r="AY410" s="3"/>
      <c r="AZ410" s="139"/>
      <c r="BA410" s="139"/>
      <c r="BB410" s="139"/>
      <c r="BC410" s="139"/>
      <c r="BD410" s="139"/>
      <c r="BE410" s="3"/>
    </row>
    <row r="411" spans="1:57" ht="15" customHeight="1" x14ac:dyDescent="0.4">
      <c r="A411" s="3"/>
      <c r="B411" s="1947" t="s">
        <v>2393</v>
      </c>
      <c r="C411" s="8"/>
      <c r="D411" s="7"/>
      <c r="E411" s="7"/>
      <c r="F411" s="7"/>
      <c r="G411" s="7"/>
      <c r="H411" s="14"/>
      <c r="I411" s="3"/>
      <c r="J411" s="3"/>
      <c r="K411" s="3"/>
      <c r="L411" s="3"/>
      <c r="M411" s="5"/>
      <c r="N411" s="5"/>
      <c r="O411" s="5"/>
      <c r="P411" s="5"/>
      <c r="Q411" s="5"/>
      <c r="R411" s="3"/>
      <c r="S411" s="5"/>
      <c r="T411" s="3"/>
      <c r="U411" s="14"/>
      <c r="V411" s="38" t="s">
        <v>369</v>
      </c>
      <c r="W411" s="3" t="s">
        <v>372</v>
      </c>
      <c r="X411" s="38" t="s">
        <v>369</v>
      </c>
      <c r="Y411" s="1443">
        <f>Y429</f>
        <v>200170021</v>
      </c>
      <c r="Z411" s="1443"/>
      <c r="AA411" s="1443"/>
      <c r="AB411" s="14"/>
      <c r="AC411" s="3"/>
      <c r="AD411" s="3"/>
      <c r="AE411" s="5"/>
      <c r="AF411" s="3"/>
      <c r="AG411" s="38"/>
      <c r="AH411" s="5"/>
      <c r="AI411" s="51">
        <f>AI429</f>
        <v>5.74E-2</v>
      </c>
      <c r="AJ411" s="39"/>
      <c r="AK411" s="39"/>
      <c r="AL411" s="39"/>
      <c r="AM411" s="39">
        <f>AE$409*AI411+SUM(AJ411:AL411)</f>
        <v>0.33603395000000003</v>
      </c>
      <c r="AN411" s="3" t="s">
        <v>371</v>
      </c>
      <c r="AO411" s="3" t="s">
        <v>371</v>
      </c>
      <c r="AP411" s="3" t="s">
        <v>371</v>
      </c>
      <c r="AQ411" s="3" t="s">
        <v>371</v>
      </c>
      <c r="AR411" s="3" t="s">
        <v>371</v>
      </c>
      <c r="AS411" s="3" t="s">
        <v>371</v>
      </c>
      <c r="AT411" s="3" t="s">
        <v>371</v>
      </c>
      <c r="AU411" s="3" t="s">
        <v>371</v>
      </c>
      <c r="AV411" s="3" t="s">
        <v>371</v>
      </c>
      <c r="AW411" s="3" t="s">
        <v>371</v>
      </c>
      <c r="AX411" s="1414" t="s">
        <v>92</v>
      </c>
      <c r="AY411" s="3"/>
      <c r="AZ411" s="139"/>
      <c r="BA411" s="139"/>
      <c r="BB411" s="139"/>
      <c r="BC411" s="139"/>
      <c r="BD411" s="139"/>
      <c r="BE411" s="3"/>
    </row>
    <row r="412" spans="1:57" ht="15" customHeight="1" x14ac:dyDescent="0.4">
      <c r="A412" s="3"/>
      <c r="B412" s="36"/>
      <c r="C412" s="8"/>
      <c r="D412" s="7"/>
      <c r="E412" s="7"/>
      <c r="F412" s="7"/>
      <c r="G412" s="7"/>
      <c r="H412" s="14"/>
      <c r="I412" s="3"/>
      <c r="J412" s="3"/>
      <c r="K412" s="3"/>
      <c r="L412" s="3"/>
      <c r="M412" s="5"/>
      <c r="N412" s="5"/>
      <c r="O412" s="5"/>
      <c r="P412" s="5"/>
      <c r="Q412" s="5"/>
      <c r="R412" s="3"/>
      <c r="S412" s="5"/>
      <c r="T412" s="3"/>
      <c r="U412" s="14"/>
      <c r="V412" s="38" t="s">
        <v>369</v>
      </c>
      <c r="W412" s="3" t="s">
        <v>373</v>
      </c>
      <c r="X412" s="38" t="s">
        <v>369</v>
      </c>
      <c r="Y412" s="1443">
        <f>Y430</f>
        <v>200170033</v>
      </c>
      <c r="Z412" s="1443"/>
      <c r="AA412" s="1443"/>
      <c r="AB412" s="14"/>
      <c r="AC412" s="3"/>
      <c r="AD412" s="3"/>
      <c r="AE412" s="5"/>
      <c r="AF412" s="3"/>
      <c r="AG412" s="38"/>
      <c r="AH412" s="5"/>
      <c r="AI412" s="51">
        <f>AI430</f>
        <v>5.8000000000000003E-2</v>
      </c>
      <c r="AJ412" s="39"/>
      <c r="AK412" s="39"/>
      <c r="AL412" s="39"/>
      <c r="AM412" s="39">
        <f>AE$409*AI412+SUM(AJ412:AL412)</f>
        <v>0.33954650000000003</v>
      </c>
      <c r="AN412" s="3" t="s">
        <v>371</v>
      </c>
      <c r="AO412" s="3" t="s">
        <v>371</v>
      </c>
      <c r="AP412" s="3" t="s">
        <v>371</v>
      </c>
      <c r="AQ412" s="3" t="s">
        <v>371</v>
      </c>
      <c r="AR412" s="3" t="s">
        <v>371</v>
      </c>
      <c r="AS412" s="3" t="s">
        <v>371</v>
      </c>
      <c r="AT412" s="3" t="s">
        <v>371</v>
      </c>
      <c r="AU412" s="3" t="s">
        <v>371</v>
      </c>
      <c r="AV412" s="3" t="s">
        <v>81</v>
      </c>
      <c r="AW412" s="3" t="s">
        <v>371</v>
      </c>
      <c r="AX412" s="1414" t="s">
        <v>92</v>
      </c>
      <c r="AY412" s="3"/>
      <c r="AZ412" s="139"/>
      <c r="BA412" s="139"/>
      <c r="BB412" s="139"/>
      <c r="BC412" s="139"/>
      <c r="BD412" s="139"/>
      <c r="BE412" s="3"/>
    </row>
    <row r="413" spans="1:57" ht="15" customHeight="1" x14ac:dyDescent="0.4">
      <c r="A413" s="3"/>
      <c r="B413" s="36"/>
      <c r="C413" s="8"/>
      <c r="D413" s="7"/>
      <c r="E413" s="7"/>
      <c r="F413" s="7"/>
      <c r="G413" s="7"/>
      <c r="H413" s="14"/>
      <c r="I413" s="3"/>
      <c r="J413" s="3"/>
      <c r="K413" s="3"/>
      <c r="L413" s="3"/>
      <c r="M413" s="5"/>
      <c r="N413" s="5"/>
      <c r="O413" s="5"/>
      <c r="P413" s="5"/>
      <c r="Q413" s="5"/>
      <c r="R413" s="3"/>
      <c r="S413" s="5"/>
      <c r="T413" s="3"/>
      <c r="U413" s="14"/>
      <c r="V413" s="279" t="s">
        <v>369</v>
      </c>
      <c r="W413" s="112" t="s">
        <v>1849</v>
      </c>
      <c r="X413" s="279" t="s">
        <v>369</v>
      </c>
      <c r="Y413" s="1871">
        <f>Y431</f>
        <v>200170148</v>
      </c>
      <c r="Z413" s="1443"/>
      <c r="AA413" s="1443"/>
      <c r="AB413" s="14"/>
      <c r="AC413" s="3"/>
      <c r="AD413" s="3"/>
      <c r="AE413" s="5"/>
      <c r="AF413" s="3"/>
      <c r="AG413" s="38"/>
      <c r="AH413" s="5"/>
      <c r="AI413" s="51">
        <f>AI431</f>
        <v>9.8699999999999996E-2</v>
      </c>
      <c r="AJ413" s="39"/>
      <c r="AK413" s="39"/>
      <c r="AL413" s="39"/>
      <c r="AM413" s="39">
        <f>AE$409*AI413+SUM(AJ413:AL413)</f>
        <v>0.57781447500000005</v>
      </c>
      <c r="AN413" s="3" t="s">
        <v>371</v>
      </c>
      <c r="AO413" s="3" t="s">
        <v>371</v>
      </c>
      <c r="AP413" s="3" t="s">
        <v>371</v>
      </c>
      <c r="AQ413" s="3" t="s">
        <v>371</v>
      </c>
      <c r="AR413" s="3" t="s">
        <v>371</v>
      </c>
      <c r="AS413" s="3" t="s">
        <v>371</v>
      </c>
      <c r="AT413" s="3" t="s">
        <v>371</v>
      </c>
      <c r="AU413" s="3" t="s">
        <v>371</v>
      </c>
      <c r="AV413" s="3" t="s">
        <v>371</v>
      </c>
      <c r="AW413" s="3" t="s">
        <v>371</v>
      </c>
      <c r="AX413" s="1414" t="s">
        <v>92</v>
      </c>
      <c r="AY413" s="3"/>
      <c r="AZ413" s="139"/>
      <c r="BA413" s="139"/>
      <c r="BB413" s="139"/>
      <c r="BC413" s="139"/>
      <c r="BD413" s="139"/>
      <c r="BE413" s="3"/>
    </row>
    <row r="414" spans="1:57" ht="15" customHeight="1" thickBot="1" x14ac:dyDescent="0.45">
      <c r="A414" s="3"/>
      <c r="B414" s="943"/>
      <c r="C414" s="949"/>
      <c r="D414" s="924"/>
      <c r="E414" s="924"/>
      <c r="F414" s="924"/>
      <c r="G414" s="924"/>
      <c r="H414" s="948"/>
      <c r="I414" s="889"/>
      <c r="J414" s="889"/>
      <c r="K414" s="889"/>
      <c r="L414" s="889"/>
      <c r="M414" s="945"/>
      <c r="N414" s="945"/>
      <c r="O414" s="945"/>
      <c r="P414" s="945"/>
      <c r="Q414" s="945"/>
      <c r="R414" s="889"/>
      <c r="S414" s="945"/>
      <c r="T414" s="889"/>
      <c r="U414" s="948"/>
      <c r="V414" s="1876" t="s">
        <v>369</v>
      </c>
      <c r="W414" s="1877" t="s">
        <v>375</v>
      </c>
      <c r="X414" s="1876" t="s">
        <v>369</v>
      </c>
      <c r="Y414" s="1878">
        <f>Y432</f>
        <v>200170133</v>
      </c>
      <c r="Z414" s="1444"/>
      <c r="AA414" s="1444"/>
      <c r="AB414" s="948"/>
      <c r="AC414" s="889"/>
      <c r="AD414" s="889"/>
      <c r="AE414" s="945"/>
      <c r="AF414" s="889"/>
      <c r="AG414" s="888"/>
      <c r="AH414" s="945"/>
      <c r="AI414" s="937">
        <f>AI432</f>
        <v>0</v>
      </c>
      <c r="AJ414" s="947"/>
      <c r="AK414" s="947"/>
      <c r="AL414" s="947"/>
      <c r="AM414" s="947">
        <f>AE$409*AI414+SUM(AJ414:AL414)</f>
        <v>0</v>
      </c>
      <c r="AN414" s="889" t="s">
        <v>92</v>
      </c>
      <c r="AO414" s="889" t="s">
        <v>92</v>
      </c>
      <c r="AP414" s="889" t="s">
        <v>92</v>
      </c>
      <c r="AQ414" s="889" t="s">
        <v>92</v>
      </c>
      <c r="AR414" s="889" t="s">
        <v>92</v>
      </c>
      <c r="AS414" s="889" t="s">
        <v>92</v>
      </c>
      <c r="AT414" s="889" t="s">
        <v>92</v>
      </c>
      <c r="AU414" s="889" t="s">
        <v>92</v>
      </c>
      <c r="AV414" s="889" t="s">
        <v>92</v>
      </c>
      <c r="AW414" s="889" t="s">
        <v>92</v>
      </c>
      <c r="AX414" s="1590" t="s">
        <v>81</v>
      </c>
      <c r="AY414" s="889"/>
      <c r="AZ414" s="139"/>
      <c r="BA414" s="139"/>
      <c r="BB414" s="139"/>
      <c r="BC414" s="139"/>
      <c r="BD414" s="139"/>
      <c r="BE414" s="3"/>
    </row>
    <row r="415" spans="1:57" ht="15" customHeight="1" x14ac:dyDescent="0.4">
      <c r="A415" s="3" t="s">
        <v>508</v>
      </c>
      <c r="B415" s="7" t="s">
        <v>509</v>
      </c>
      <c r="C415" s="8"/>
      <c r="D415" s="155"/>
      <c r="E415" s="155"/>
      <c r="F415" s="155"/>
      <c r="G415" s="7"/>
      <c r="H415" s="14"/>
      <c r="I415" s="3" t="s">
        <v>392</v>
      </c>
      <c r="J415" s="3"/>
      <c r="K415" s="3"/>
      <c r="L415" s="3" t="s">
        <v>348</v>
      </c>
      <c r="M415" s="5">
        <v>-3.5</v>
      </c>
      <c r="N415" s="5"/>
      <c r="O415" s="5"/>
      <c r="P415" s="5"/>
      <c r="Q415" s="5"/>
      <c r="R415" s="3" t="s">
        <v>352</v>
      </c>
      <c r="S415" s="5">
        <f>SHWidth+M415</f>
        <v>35.0625</v>
      </c>
      <c r="T415" s="3" t="s">
        <v>366</v>
      </c>
      <c r="U415" s="14"/>
      <c r="V415" s="4"/>
      <c r="W415" s="4"/>
      <c r="X415" s="4"/>
      <c r="Y415" s="1443"/>
      <c r="Z415" s="1443"/>
      <c r="AA415" s="1443"/>
      <c r="AB415" s="14"/>
      <c r="AC415" s="3">
        <v>45</v>
      </c>
      <c r="AD415" s="3">
        <v>2</v>
      </c>
      <c r="AE415" s="5">
        <f>S415*AD415/12</f>
        <v>5.84375</v>
      </c>
      <c r="AF415" s="3" t="s">
        <v>367</v>
      </c>
      <c r="AG415" s="38">
        <f>AG433</f>
        <v>4.3999999999999997E-2</v>
      </c>
      <c r="AH415" s="5">
        <f>AG415*AtolbperftSH</f>
        <v>2.7829999999999997E-2</v>
      </c>
      <c r="AI415" s="51"/>
      <c r="AJ415" s="51"/>
      <c r="AK415" s="51"/>
      <c r="AL415" s="51"/>
      <c r="AM415" s="39"/>
      <c r="AN415" s="3" t="s">
        <v>371</v>
      </c>
      <c r="AO415" s="3" t="s">
        <v>371</v>
      </c>
      <c r="AP415" s="3" t="s">
        <v>371</v>
      </c>
      <c r="AQ415" s="3" t="s">
        <v>371</v>
      </c>
      <c r="AR415" s="3" t="s">
        <v>371</v>
      </c>
      <c r="AS415" s="3" t="s">
        <v>371</v>
      </c>
      <c r="AT415" s="3" t="s">
        <v>371</v>
      </c>
      <c r="AU415" s="3" t="s">
        <v>371</v>
      </c>
      <c r="AV415" s="3" t="s">
        <v>371</v>
      </c>
      <c r="AW415" s="3" t="s">
        <v>371</v>
      </c>
      <c r="AX415" s="1414" t="s">
        <v>92</v>
      </c>
      <c r="AY415" s="3"/>
      <c r="AZ415" s="139"/>
      <c r="BA415" s="139"/>
      <c r="BB415" s="139"/>
      <c r="BC415" s="139"/>
      <c r="BD415" s="139"/>
      <c r="BE415" s="3"/>
    </row>
    <row r="416" spans="1:57" ht="15" customHeight="1" x14ac:dyDescent="0.4">
      <c r="A416" s="3"/>
      <c r="B416" s="8"/>
      <c r="C416" s="36"/>
      <c r="D416" s="7"/>
      <c r="E416" s="7"/>
      <c r="F416" s="7"/>
      <c r="G416" s="7"/>
      <c r="H416" s="14"/>
      <c r="I416" s="3"/>
      <c r="J416" s="3"/>
      <c r="K416" s="3"/>
      <c r="L416" s="3"/>
      <c r="M416" s="5"/>
      <c r="N416" s="5"/>
      <c r="O416" s="5"/>
      <c r="P416" s="5"/>
      <c r="Q416" s="5"/>
      <c r="R416" s="3"/>
      <c r="S416" s="5"/>
      <c r="T416" s="3"/>
      <c r="U416" s="14"/>
      <c r="V416" s="38" t="s">
        <v>369</v>
      </c>
      <c r="W416" s="3" t="s">
        <v>370</v>
      </c>
      <c r="X416" s="38" t="s">
        <v>369</v>
      </c>
      <c r="Y416" s="1443">
        <f>Y434</f>
        <v>200171003</v>
      </c>
      <c r="Z416" s="1443"/>
      <c r="AA416" s="1443"/>
      <c r="AB416" s="14"/>
      <c r="AC416" s="3"/>
      <c r="AD416" s="3"/>
      <c r="AE416" s="5"/>
      <c r="AF416" s="3"/>
      <c r="AG416" s="38"/>
      <c r="AH416" s="5"/>
      <c r="AI416" s="51">
        <f>AI434</f>
        <v>5.7099999999999998E-2</v>
      </c>
      <c r="AJ416" s="39"/>
      <c r="AK416" s="39"/>
      <c r="AL416" s="39"/>
      <c r="AM416" s="39">
        <f>AE$415*AI416+SUM(AJ416:AL416)</f>
        <v>0.33367812499999999</v>
      </c>
      <c r="AN416" s="3" t="s">
        <v>371</v>
      </c>
      <c r="AO416" s="3" t="s">
        <v>371</v>
      </c>
      <c r="AP416" s="3" t="s">
        <v>371</v>
      </c>
      <c r="AQ416" s="3" t="s">
        <v>371</v>
      </c>
      <c r="AR416" s="3" t="s">
        <v>371</v>
      </c>
      <c r="AS416" s="3" t="s">
        <v>371</v>
      </c>
      <c r="AT416" s="3" t="s">
        <v>371</v>
      </c>
      <c r="AU416" s="3" t="s">
        <v>371</v>
      </c>
      <c r="AV416" s="3" t="s">
        <v>371</v>
      </c>
      <c r="AW416" s="3" t="s">
        <v>371</v>
      </c>
      <c r="AX416" s="1414" t="s">
        <v>92</v>
      </c>
      <c r="AY416" s="3"/>
      <c r="AZ416" s="139"/>
      <c r="BA416" s="139"/>
      <c r="BB416" s="139"/>
      <c r="BC416" s="139"/>
      <c r="BD416" s="139"/>
      <c r="BE416" s="3"/>
    </row>
    <row r="417" spans="1:57" ht="15" customHeight="1" x14ac:dyDescent="0.4">
      <c r="A417" s="3"/>
      <c r="B417" s="1490" t="s">
        <v>2086</v>
      </c>
      <c r="C417" s="36"/>
      <c r="D417" s="7"/>
      <c r="E417" s="7"/>
      <c r="F417" s="4"/>
      <c r="G417" s="7"/>
      <c r="H417" s="14"/>
      <c r="I417" s="3"/>
      <c r="J417" s="3"/>
      <c r="K417" s="3"/>
      <c r="L417" s="3"/>
      <c r="M417" s="5"/>
      <c r="N417" s="5"/>
      <c r="O417" s="5"/>
      <c r="P417" s="5"/>
      <c r="Q417" s="5"/>
      <c r="R417" s="3"/>
      <c r="S417" s="5"/>
      <c r="T417" s="3"/>
      <c r="U417" s="14"/>
      <c r="V417" s="38" t="s">
        <v>369</v>
      </c>
      <c r="W417" s="3" t="s">
        <v>372</v>
      </c>
      <c r="X417" s="38" t="s">
        <v>369</v>
      </c>
      <c r="Y417" s="1443">
        <f>Y435</f>
        <v>200171021</v>
      </c>
      <c r="Z417" s="1443"/>
      <c r="AA417" s="1443"/>
      <c r="AB417" s="14"/>
      <c r="AC417" s="3"/>
      <c r="AD417" s="3"/>
      <c r="AE417" s="5"/>
      <c r="AF417" s="3"/>
      <c r="AG417" s="38"/>
      <c r="AH417" s="5"/>
      <c r="AI417" s="51">
        <f>AI435</f>
        <v>6.1199999999999997E-2</v>
      </c>
      <c r="AJ417" s="39"/>
      <c r="AK417" s="39"/>
      <c r="AL417" s="39"/>
      <c r="AM417" s="39">
        <f>AE$415*AI417+SUM(AJ417:AL417)</f>
        <v>0.3576375</v>
      </c>
      <c r="AN417" s="3" t="s">
        <v>371</v>
      </c>
      <c r="AO417" s="3" t="s">
        <v>371</v>
      </c>
      <c r="AP417" s="3" t="s">
        <v>371</v>
      </c>
      <c r="AQ417" s="3" t="s">
        <v>371</v>
      </c>
      <c r="AR417" s="3" t="s">
        <v>371</v>
      </c>
      <c r="AS417" s="3" t="s">
        <v>371</v>
      </c>
      <c r="AT417" s="3" t="s">
        <v>371</v>
      </c>
      <c r="AU417" s="3" t="s">
        <v>371</v>
      </c>
      <c r="AV417" s="3" t="s">
        <v>371</v>
      </c>
      <c r="AW417" s="3" t="s">
        <v>371</v>
      </c>
      <c r="AX417" s="1414" t="s">
        <v>92</v>
      </c>
      <c r="AY417" s="3"/>
      <c r="AZ417" s="139"/>
      <c r="BA417" s="139"/>
      <c r="BB417" s="139"/>
      <c r="BC417" s="139"/>
      <c r="BD417" s="139"/>
      <c r="BE417" s="3"/>
    </row>
    <row r="418" spans="1:57" ht="15" customHeight="1" x14ac:dyDescent="0.4">
      <c r="A418" s="3"/>
      <c r="B418" s="8"/>
      <c r="C418" s="36"/>
      <c r="D418" s="7"/>
      <c r="E418" s="7"/>
      <c r="F418" s="7"/>
      <c r="G418" s="7"/>
      <c r="H418" s="14"/>
      <c r="I418" s="3"/>
      <c r="J418" s="3"/>
      <c r="K418" s="3"/>
      <c r="L418" s="3"/>
      <c r="M418" s="5"/>
      <c r="N418" s="5"/>
      <c r="O418" s="5"/>
      <c r="P418" s="5"/>
      <c r="Q418" s="5"/>
      <c r="R418" s="3"/>
      <c r="S418" s="5"/>
      <c r="T418" s="3"/>
      <c r="U418" s="14"/>
      <c r="V418" s="38" t="s">
        <v>369</v>
      </c>
      <c r="W418" s="3" t="s">
        <v>373</v>
      </c>
      <c r="X418" s="38" t="s">
        <v>369</v>
      </c>
      <c r="Y418" s="1443">
        <f>Y436</f>
        <v>200171033</v>
      </c>
      <c r="Z418" s="1443"/>
      <c r="AA418" s="1443"/>
      <c r="AB418" s="14"/>
      <c r="AC418" s="3"/>
      <c r="AD418" s="3"/>
      <c r="AE418" s="5"/>
      <c r="AF418" s="3"/>
      <c r="AG418" s="38"/>
      <c r="AH418" s="5"/>
      <c r="AI418" s="51">
        <f>AI436</f>
        <v>6.2199999999999998E-2</v>
      </c>
      <c r="AJ418" s="39"/>
      <c r="AK418" s="39"/>
      <c r="AL418" s="39"/>
      <c r="AM418" s="39">
        <f>AE$415*AI418+SUM(AJ418:AL418)</f>
        <v>0.36348124999999998</v>
      </c>
      <c r="AN418" s="3" t="s">
        <v>371</v>
      </c>
      <c r="AO418" s="3" t="s">
        <v>371</v>
      </c>
      <c r="AP418" s="3" t="s">
        <v>371</v>
      </c>
      <c r="AQ418" s="3" t="s">
        <v>371</v>
      </c>
      <c r="AR418" s="3" t="s">
        <v>371</v>
      </c>
      <c r="AS418" s="3" t="s">
        <v>371</v>
      </c>
      <c r="AT418" s="3" t="s">
        <v>371</v>
      </c>
      <c r="AU418" s="3" t="s">
        <v>371</v>
      </c>
      <c r="AV418" s="3" t="s">
        <v>371</v>
      </c>
      <c r="AW418" s="3" t="s">
        <v>371</v>
      </c>
      <c r="AX418" s="1414" t="s">
        <v>92</v>
      </c>
      <c r="AY418" s="3"/>
      <c r="AZ418" s="139"/>
      <c r="BA418" s="139"/>
      <c r="BB418" s="139"/>
      <c r="BC418" s="139"/>
      <c r="BD418" s="139"/>
      <c r="BE418" s="3"/>
    </row>
    <row r="419" spans="1:57" ht="15" customHeight="1" x14ac:dyDescent="0.4">
      <c r="A419" s="3"/>
      <c r="B419" s="8"/>
      <c r="C419" s="36"/>
      <c r="D419" s="7"/>
      <c r="E419" s="7"/>
      <c r="F419" s="7"/>
      <c r="G419" s="7"/>
      <c r="H419" s="14"/>
      <c r="I419" s="3"/>
      <c r="J419" s="3"/>
      <c r="K419" s="3"/>
      <c r="L419" s="3"/>
      <c r="M419" s="5"/>
      <c r="N419" s="5"/>
      <c r="O419" s="5"/>
      <c r="P419" s="5"/>
      <c r="Q419" s="5"/>
      <c r="R419" s="3"/>
      <c r="S419" s="5"/>
      <c r="T419" s="3"/>
      <c r="U419" s="14"/>
      <c r="V419" s="279" t="s">
        <v>369</v>
      </c>
      <c r="W419" s="112" t="s">
        <v>1849</v>
      </c>
      <c r="X419" s="279" t="s">
        <v>369</v>
      </c>
      <c r="Y419" s="1871">
        <f>Y437</f>
        <v>200171148</v>
      </c>
      <c r="Z419" s="1443"/>
      <c r="AA419" s="1443"/>
      <c r="AB419" s="14"/>
      <c r="AC419" s="3"/>
      <c r="AD419" s="3"/>
      <c r="AE419" s="5"/>
      <c r="AF419" s="3"/>
      <c r="AG419" s="38"/>
      <c r="AH419" s="5"/>
      <c r="AI419" s="51">
        <f>AI437</f>
        <v>0.15210000000000001</v>
      </c>
      <c r="AJ419" s="39"/>
      <c r="AK419" s="39"/>
      <c r="AL419" s="39"/>
      <c r="AM419" s="39">
        <f>AE$415*AI419+SUM(AJ419:AL419)</f>
        <v>0.88883437500000007</v>
      </c>
      <c r="AN419" s="3" t="s">
        <v>371</v>
      </c>
      <c r="AO419" s="3" t="s">
        <v>371</v>
      </c>
      <c r="AP419" s="3" t="s">
        <v>371</v>
      </c>
      <c r="AQ419" s="3" t="s">
        <v>371</v>
      </c>
      <c r="AR419" s="3" t="s">
        <v>371</v>
      </c>
      <c r="AS419" s="3" t="s">
        <v>371</v>
      </c>
      <c r="AT419" s="3" t="s">
        <v>371</v>
      </c>
      <c r="AU419" s="3" t="s">
        <v>371</v>
      </c>
      <c r="AV419" s="3" t="s">
        <v>371</v>
      </c>
      <c r="AW419" s="3" t="s">
        <v>371</v>
      </c>
      <c r="AX419" s="1414" t="s">
        <v>92</v>
      </c>
      <c r="AY419" s="3"/>
      <c r="AZ419" s="139"/>
      <c r="BA419" s="139"/>
      <c r="BB419" s="139"/>
      <c r="BC419" s="139"/>
      <c r="BD419" s="139"/>
      <c r="BE419" s="3"/>
    </row>
    <row r="420" spans="1:57" ht="15" customHeight="1" thickBot="1" x14ac:dyDescent="0.45">
      <c r="A420" s="3"/>
      <c r="B420" s="949"/>
      <c r="C420" s="943"/>
      <c r="D420" s="924"/>
      <c r="E420" s="924"/>
      <c r="F420" s="924"/>
      <c r="G420" s="924"/>
      <c r="H420" s="948"/>
      <c r="I420" s="889"/>
      <c r="J420" s="889"/>
      <c r="K420" s="889"/>
      <c r="L420" s="889"/>
      <c r="M420" s="945"/>
      <c r="N420" s="945"/>
      <c r="O420" s="945"/>
      <c r="P420" s="945"/>
      <c r="Q420" s="945"/>
      <c r="R420" s="889"/>
      <c r="S420" s="945"/>
      <c r="T420" s="889"/>
      <c r="U420" s="948"/>
      <c r="V420" s="888" t="s">
        <v>369</v>
      </c>
      <c r="W420" s="889" t="s">
        <v>375</v>
      </c>
      <c r="X420" s="888" t="s">
        <v>369</v>
      </c>
      <c r="Y420" s="1444">
        <v>200171133</v>
      </c>
      <c r="Z420" s="1444"/>
      <c r="AA420" s="1444"/>
      <c r="AB420" s="948"/>
      <c r="AC420" s="889"/>
      <c r="AD420" s="889"/>
      <c r="AE420" s="945"/>
      <c r="AF420" s="889"/>
      <c r="AG420" s="888"/>
      <c r="AH420" s="945"/>
      <c r="AI420" s="937"/>
      <c r="AJ420" s="947"/>
      <c r="AK420" s="947"/>
      <c r="AL420" s="947"/>
      <c r="AM420" s="947"/>
      <c r="AN420" s="889" t="s">
        <v>92</v>
      </c>
      <c r="AO420" s="889" t="s">
        <v>92</v>
      </c>
      <c r="AP420" s="889" t="s">
        <v>92</v>
      </c>
      <c r="AQ420" s="889" t="s">
        <v>92</v>
      </c>
      <c r="AR420" s="889" t="s">
        <v>92</v>
      </c>
      <c r="AS420" s="889" t="s">
        <v>92</v>
      </c>
      <c r="AT420" s="889" t="s">
        <v>92</v>
      </c>
      <c r="AU420" s="889" t="s">
        <v>92</v>
      </c>
      <c r="AV420" s="889" t="s">
        <v>92</v>
      </c>
      <c r="AW420" s="889" t="s">
        <v>92</v>
      </c>
      <c r="AX420" s="1590" t="s">
        <v>371</v>
      </c>
      <c r="AY420" s="889"/>
      <c r="AZ420" s="139"/>
      <c r="BA420" s="139"/>
      <c r="BB420" s="139"/>
      <c r="BC420" s="139"/>
      <c r="BD420" s="139"/>
      <c r="BE420" s="3"/>
    </row>
    <row r="421" spans="1:57" ht="15" customHeight="1" x14ac:dyDescent="0.4">
      <c r="A421" s="3"/>
      <c r="B421" s="7" t="s">
        <v>510</v>
      </c>
      <c r="C421" s="8"/>
      <c r="D421" s="155"/>
      <c r="E421" s="155"/>
      <c r="F421" s="155"/>
      <c r="G421" s="7"/>
      <c r="H421" s="14"/>
      <c r="I421" s="3" t="s">
        <v>392</v>
      </c>
      <c r="J421" s="3"/>
      <c r="K421" s="3"/>
      <c r="L421" s="3" t="s">
        <v>348</v>
      </c>
      <c r="M421" s="5">
        <v>-3.5</v>
      </c>
      <c r="N421" s="5"/>
      <c r="O421" s="5"/>
      <c r="P421" s="5"/>
      <c r="Q421" s="5"/>
      <c r="R421" s="3" t="s">
        <v>352</v>
      </c>
      <c r="S421" s="5">
        <f>SHWidth+M421</f>
        <v>35.0625</v>
      </c>
      <c r="T421" s="3" t="s">
        <v>366</v>
      </c>
      <c r="U421" s="14"/>
      <c r="V421" s="38"/>
      <c r="W421" s="3"/>
      <c r="X421" s="38"/>
      <c r="Y421" s="1443"/>
      <c r="Z421" s="1443"/>
      <c r="AA421" s="1443"/>
      <c r="AB421" s="14"/>
      <c r="AC421" s="3">
        <v>45</v>
      </c>
      <c r="AD421" s="3">
        <v>2</v>
      </c>
      <c r="AE421" s="5">
        <f>S421*AD421/12</f>
        <v>5.84375</v>
      </c>
      <c r="AF421" s="3" t="s">
        <v>367</v>
      </c>
      <c r="AG421" s="38">
        <f>AG439</f>
        <v>4.1000000000000002E-2</v>
      </c>
      <c r="AH421" s="5">
        <f>AG421*AtolbperftSH</f>
        <v>2.5932500000000001E-2</v>
      </c>
      <c r="AI421" s="51"/>
      <c r="AJ421" s="39"/>
      <c r="AK421" s="39"/>
      <c r="AL421" s="39"/>
      <c r="AM421" s="39"/>
      <c r="AN421" s="3" t="s">
        <v>371</v>
      </c>
      <c r="AO421" s="3" t="s">
        <v>371</v>
      </c>
      <c r="AP421" s="3" t="s">
        <v>371</v>
      </c>
      <c r="AQ421" s="3" t="s">
        <v>371</v>
      </c>
      <c r="AR421" s="3" t="s">
        <v>371</v>
      </c>
      <c r="AS421" s="3" t="s">
        <v>371</v>
      </c>
      <c r="AT421" s="3" t="s">
        <v>371</v>
      </c>
      <c r="AU421" s="3" t="s">
        <v>371</v>
      </c>
      <c r="AV421" s="3" t="s">
        <v>371</v>
      </c>
      <c r="AW421" s="3" t="s">
        <v>371</v>
      </c>
      <c r="AX421" s="1414" t="s">
        <v>92</v>
      </c>
      <c r="AY421" s="3"/>
      <c r="AZ421" s="139"/>
      <c r="BA421" s="139"/>
      <c r="BB421" s="139"/>
      <c r="BC421" s="139"/>
      <c r="BD421" s="139"/>
      <c r="BE421" s="3"/>
    </row>
    <row r="422" spans="1:57" ht="15" customHeight="1" x14ac:dyDescent="0.4">
      <c r="A422" s="3"/>
      <c r="B422" s="8"/>
      <c r="C422" s="36"/>
      <c r="D422" s="7"/>
      <c r="E422" s="7"/>
      <c r="F422" s="7"/>
      <c r="G422" s="7"/>
      <c r="H422" s="14"/>
      <c r="I422" s="3"/>
      <c r="J422" s="3"/>
      <c r="K422" s="3"/>
      <c r="L422" s="3"/>
      <c r="M422" s="5"/>
      <c r="N422" s="5"/>
      <c r="O422" s="5"/>
      <c r="P422" s="5"/>
      <c r="Q422" s="5"/>
      <c r="R422" s="3"/>
      <c r="S422" s="5"/>
      <c r="T422" s="3"/>
      <c r="U422" s="14"/>
      <c r="V422" s="38" t="s">
        <v>369</v>
      </c>
      <c r="W422" s="3" t="s">
        <v>370</v>
      </c>
      <c r="X422" s="38" t="s">
        <v>369</v>
      </c>
      <c r="Y422" s="1443">
        <f>Y440</f>
        <v>200190003</v>
      </c>
      <c r="Z422" s="1443"/>
      <c r="AA422" s="1443"/>
      <c r="AB422" s="14"/>
      <c r="AC422" s="3"/>
      <c r="AD422" s="3"/>
      <c r="AE422" s="5"/>
      <c r="AF422" s="3"/>
      <c r="AG422" s="38"/>
      <c r="AH422" s="5"/>
      <c r="AI422" s="51">
        <f>AI440</f>
        <v>5.0599999999999999E-2</v>
      </c>
      <c r="AJ422" s="39"/>
      <c r="AK422" s="39"/>
      <c r="AL422" s="39"/>
      <c r="AM422" s="39">
        <f>AE$421*AI422+SUM(AJ422:AL422)</f>
        <v>0.29569374999999998</v>
      </c>
      <c r="AN422" s="3" t="s">
        <v>371</v>
      </c>
      <c r="AO422" s="3" t="s">
        <v>371</v>
      </c>
      <c r="AP422" s="3" t="s">
        <v>371</v>
      </c>
      <c r="AQ422" s="3" t="s">
        <v>371</v>
      </c>
      <c r="AR422" s="3" t="s">
        <v>371</v>
      </c>
      <c r="AS422" s="3" t="s">
        <v>371</v>
      </c>
      <c r="AT422" s="3" t="s">
        <v>371</v>
      </c>
      <c r="AU422" s="3" t="s">
        <v>371</v>
      </c>
      <c r="AV422" s="3" t="s">
        <v>371</v>
      </c>
      <c r="AW422" s="3" t="s">
        <v>371</v>
      </c>
      <c r="AX422" s="1414" t="s">
        <v>92</v>
      </c>
      <c r="AY422" s="3"/>
      <c r="AZ422" s="139"/>
      <c r="BA422" s="139"/>
      <c r="BB422" s="139"/>
      <c r="BC422" s="139"/>
      <c r="BD422" s="139"/>
      <c r="BE422" s="3"/>
    </row>
    <row r="423" spans="1:57" ht="15" customHeight="1" x14ac:dyDescent="0.4">
      <c r="A423" s="3"/>
      <c r="B423" s="8"/>
      <c r="C423" s="36"/>
      <c r="D423" s="7"/>
      <c r="E423" s="7"/>
      <c r="F423" s="7"/>
      <c r="G423" s="7"/>
      <c r="H423" s="14"/>
      <c r="I423" s="3"/>
      <c r="J423" s="3"/>
      <c r="K423" s="3"/>
      <c r="L423" s="3"/>
      <c r="M423" s="5"/>
      <c r="N423" s="5"/>
      <c r="O423" s="5"/>
      <c r="P423" s="5"/>
      <c r="Q423" s="5"/>
      <c r="R423" s="3"/>
      <c r="S423" s="5"/>
      <c r="T423" s="3"/>
      <c r="U423" s="14"/>
      <c r="V423" s="38" t="s">
        <v>369</v>
      </c>
      <c r="W423" s="3" t="s">
        <v>372</v>
      </c>
      <c r="X423" s="38" t="s">
        <v>369</v>
      </c>
      <c r="Y423" s="1443">
        <f>Y441</f>
        <v>200190021</v>
      </c>
      <c r="Z423" s="1443"/>
      <c r="AA423" s="1443"/>
      <c r="AB423" s="14"/>
      <c r="AC423" s="3"/>
      <c r="AD423" s="3"/>
      <c r="AE423" s="5"/>
      <c r="AF423" s="3"/>
      <c r="AG423" s="38"/>
      <c r="AH423" s="5"/>
      <c r="AI423" s="51">
        <f>AI441</f>
        <v>5.6800000000000003E-2</v>
      </c>
      <c r="AJ423" s="39"/>
      <c r="AK423" s="39"/>
      <c r="AL423" s="39"/>
      <c r="AM423" s="39">
        <f>AE$421*AI423+SUM(AJ423:AL423)</f>
        <v>0.33192500000000003</v>
      </c>
      <c r="AN423" s="3" t="s">
        <v>371</v>
      </c>
      <c r="AO423" s="3" t="s">
        <v>371</v>
      </c>
      <c r="AP423" s="3" t="s">
        <v>371</v>
      </c>
      <c r="AQ423" s="3" t="s">
        <v>371</v>
      </c>
      <c r="AR423" s="3" t="s">
        <v>371</v>
      </c>
      <c r="AS423" s="3" t="s">
        <v>371</v>
      </c>
      <c r="AT423" s="3" t="s">
        <v>371</v>
      </c>
      <c r="AU423" s="3" t="s">
        <v>371</v>
      </c>
      <c r="AV423" s="3" t="s">
        <v>371</v>
      </c>
      <c r="AW423" s="3" t="s">
        <v>371</v>
      </c>
      <c r="AX423" s="1414" t="s">
        <v>92</v>
      </c>
      <c r="AY423" s="3"/>
      <c r="AZ423" s="139"/>
      <c r="BA423" s="139"/>
      <c r="BB423" s="139"/>
      <c r="BC423" s="139"/>
      <c r="BD423" s="139"/>
      <c r="BE423" s="3"/>
    </row>
    <row r="424" spans="1:57" ht="15" customHeight="1" x14ac:dyDescent="0.4">
      <c r="A424" s="3"/>
      <c r="B424" s="8"/>
      <c r="C424" s="36"/>
      <c r="D424" s="7"/>
      <c r="E424" s="7"/>
      <c r="F424" s="7"/>
      <c r="G424" s="7"/>
      <c r="H424" s="14"/>
      <c r="I424" s="3"/>
      <c r="J424" s="3"/>
      <c r="K424" s="3"/>
      <c r="L424" s="3"/>
      <c r="M424" s="5"/>
      <c r="N424" s="5"/>
      <c r="O424" s="5"/>
      <c r="P424" s="5"/>
      <c r="Q424" s="5"/>
      <c r="R424" s="3"/>
      <c r="S424" s="5"/>
      <c r="T424" s="3"/>
      <c r="U424" s="14"/>
      <c r="V424" s="38" t="s">
        <v>369</v>
      </c>
      <c r="W424" s="3" t="s">
        <v>373</v>
      </c>
      <c r="X424" s="38" t="s">
        <v>369</v>
      </c>
      <c r="Y424" s="1443">
        <f>Y442</f>
        <v>200190033</v>
      </c>
      <c r="Z424" s="1443"/>
      <c r="AA424" s="1443"/>
      <c r="AB424" s="14"/>
      <c r="AC424" s="3"/>
      <c r="AD424" s="3"/>
      <c r="AE424" s="5"/>
      <c r="AF424" s="3"/>
      <c r="AG424" s="38"/>
      <c r="AH424" s="5"/>
      <c r="AI424" s="51">
        <f>AI442</f>
        <v>6.1600000000000002E-2</v>
      </c>
      <c r="AJ424" s="39"/>
      <c r="AK424" s="39"/>
      <c r="AL424" s="39"/>
      <c r="AM424" s="39">
        <f>AE$421*AI424+SUM(AJ424:AL424)</f>
        <v>0.35997499999999999</v>
      </c>
      <c r="AN424" s="3" t="s">
        <v>371</v>
      </c>
      <c r="AO424" s="3" t="s">
        <v>371</v>
      </c>
      <c r="AP424" s="3" t="s">
        <v>371</v>
      </c>
      <c r="AQ424" s="3" t="s">
        <v>371</v>
      </c>
      <c r="AR424" s="3" t="s">
        <v>371</v>
      </c>
      <c r="AS424" s="3" t="s">
        <v>371</v>
      </c>
      <c r="AT424" s="3" t="s">
        <v>371</v>
      </c>
      <c r="AU424" s="3" t="s">
        <v>371</v>
      </c>
      <c r="AV424" s="3" t="s">
        <v>371</v>
      </c>
      <c r="AW424" s="3" t="s">
        <v>371</v>
      </c>
      <c r="AX424" s="1414" t="s">
        <v>92</v>
      </c>
      <c r="AY424" s="3"/>
      <c r="AZ424" s="139"/>
      <c r="BA424" s="139"/>
      <c r="BB424" s="139"/>
      <c r="BC424" s="139"/>
      <c r="BD424" s="139"/>
      <c r="BE424" s="3"/>
    </row>
    <row r="425" spans="1:57" ht="15" customHeight="1" x14ac:dyDescent="0.4">
      <c r="A425" s="3"/>
      <c r="B425" s="8"/>
      <c r="C425" s="36"/>
      <c r="D425" s="7"/>
      <c r="E425" s="7"/>
      <c r="F425" s="7"/>
      <c r="G425" s="7"/>
      <c r="H425" s="14"/>
      <c r="I425" s="3"/>
      <c r="J425" s="3"/>
      <c r="K425" s="3"/>
      <c r="L425" s="3"/>
      <c r="M425" s="5"/>
      <c r="N425" s="5"/>
      <c r="O425" s="5"/>
      <c r="P425" s="5"/>
      <c r="Q425" s="5"/>
      <c r="R425" s="3"/>
      <c r="S425" s="5"/>
      <c r="T425" s="3"/>
      <c r="U425" s="14"/>
      <c r="V425" s="279" t="s">
        <v>369</v>
      </c>
      <c r="W425" s="112" t="s">
        <v>1849</v>
      </c>
      <c r="X425" s="279" t="s">
        <v>369</v>
      </c>
      <c r="Y425" s="1871">
        <f>Y443</f>
        <v>200190148</v>
      </c>
      <c r="Z425" s="1443"/>
      <c r="AA425" s="1443"/>
      <c r="AB425" s="14"/>
      <c r="AC425" s="3"/>
      <c r="AD425" s="3"/>
      <c r="AE425" s="5"/>
      <c r="AF425" s="3"/>
      <c r="AG425" s="38"/>
      <c r="AH425" s="5"/>
      <c r="AI425" s="51">
        <f>AI443</f>
        <v>0.15640000000000001</v>
      </c>
      <c r="AJ425" s="39"/>
      <c r="AK425" s="39"/>
      <c r="AL425" s="39"/>
      <c r="AM425" s="39">
        <f>AE$421*AI425+SUM(AJ425:AL425)</f>
        <v>0.91396250000000001</v>
      </c>
      <c r="AN425" s="3" t="s">
        <v>371</v>
      </c>
      <c r="AO425" s="3" t="s">
        <v>371</v>
      </c>
      <c r="AP425" s="3" t="s">
        <v>371</v>
      </c>
      <c r="AQ425" s="3" t="s">
        <v>371</v>
      </c>
      <c r="AR425" s="3" t="s">
        <v>371</v>
      </c>
      <c r="AS425" s="3" t="s">
        <v>371</v>
      </c>
      <c r="AT425" s="3" t="s">
        <v>371</v>
      </c>
      <c r="AU425" s="3" t="s">
        <v>371</v>
      </c>
      <c r="AV425" s="3" t="s">
        <v>371</v>
      </c>
      <c r="AW425" s="3" t="s">
        <v>371</v>
      </c>
      <c r="AX425" s="1414" t="s">
        <v>92</v>
      </c>
      <c r="AY425" s="3"/>
      <c r="AZ425" s="139"/>
      <c r="BA425" s="139"/>
      <c r="BB425" s="139"/>
      <c r="BC425" s="139"/>
      <c r="BD425" s="139"/>
      <c r="BE425" s="3"/>
    </row>
    <row r="426" spans="1:57" ht="15" customHeight="1" thickBot="1" x14ac:dyDescent="0.45">
      <c r="A426" s="3"/>
      <c r="B426" s="949"/>
      <c r="C426" s="943"/>
      <c r="D426" s="924"/>
      <c r="E426" s="924"/>
      <c r="F426" s="924"/>
      <c r="G426" s="924"/>
      <c r="H426" s="948"/>
      <c r="I426" s="889"/>
      <c r="J426" s="889"/>
      <c r="K426" s="889"/>
      <c r="L426" s="889"/>
      <c r="M426" s="945"/>
      <c r="N426" s="945"/>
      <c r="O426" s="945"/>
      <c r="P426" s="945"/>
      <c r="Q426" s="945"/>
      <c r="R426" s="889"/>
      <c r="S426" s="945"/>
      <c r="T426" s="889"/>
      <c r="U426" s="948"/>
      <c r="V426" s="888" t="s">
        <v>369</v>
      </c>
      <c r="W426" s="889" t="s">
        <v>375</v>
      </c>
      <c r="X426" s="888" t="s">
        <v>369</v>
      </c>
      <c r="Y426" s="1444">
        <v>200190133</v>
      </c>
      <c r="Z426" s="1444"/>
      <c r="AA426" s="1444"/>
      <c r="AB426" s="948"/>
      <c r="AC426" s="889"/>
      <c r="AD426" s="889"/>
      <c r="AE426" s="945"/>
      <c r="AF426" s="889"/>
      <c r="AG426" s="888"/>
      <c r="AH426" s="945"/>
      <c r="AI426" s="1424">
        <f>AI445</f>
        <v>0</v>
      </c>
      <c r="AJ426" s="947"/>
      <c r="AK426" s="947"/>
      <c r="AL426" s="947"/>
      <c r="AM426" s="947">
        <f>AE$421*AI426+SUM(AJ426:AL426)</f>
        <v>0</v>
      </c>
      <c r="AN426" s="889" t="s">
        <v>371</v>
      </c>
      <c r="AO426" s="889" t="s">
        <v>371</v>
      </c>
      <c r="AP426" s="889" t="s">
        <v>371</v>
      </c>
      <c r="AQ426" s="889" t="s">
        <v>371</v>
      </c>
      <c r="AR426" s="889" t="s">
        <v>371</v>
      </c>
      <c r="AS426" s="889" t="s">
        <v>371</v>
      </c>
      <c r="AT426" s="889" t="s">
        <v>371</v>
      </c>
      <c r="AU426" s="889" t="s">
        <v>371</v>
      </c>
      <c r="AV426" s="889" t="s">
        <v>371</v>
      </c>
      <c r="AW426" s="889" t="s">
        <v>371</v>
      </c>
      <c r="AX426" s="1590" t="s">
        <v>371</v>
      </c>
      <c r="AY426" s="889"/>
      <c r="AZ426" s="139"/>
      <c r="BA426" s="139"/>
      <c r="BB426" s="139"/>
      <c r="BC426" s="139"/>
      <c r="BD426" s="139"/>
      <c r="BE426" s="3"/>
    </row>
    <row r="427" spans="1:57" ht="15" customHeight="1" x14ac:dyDescent="0.4">
      <c r="A427" s="3" t="s">
        <v>496</v>
      </c>
      <c r="B427" s="173" t="s">
        <v>497</v>
      </c>
      <c r="C427" s="114"/>
      <c r="D427" s="182"/>
      <c r="E427" s="182"/>
      <c r="F427" s="182"/>
      <c r="G427" s="173"/>
      <c r="H427" s="193"/>
      <c r="I427" s="116" t="s">
        <v>365</v>
      </c>
      <c r="J427" s="116" t="s">
        <v>346</v>
      </c>
      <c r="K427" s="116">
        <v>2</v>
      </c>
      <c r="L427" s="116" t="s">
        <v>348</v>
      </c>
      <c r="M427" s="177">
        <v>-2.0630000000000002</v>
      </c>
      <c r="N427" s="177"/>
      <c r="O427" s="177"/>
      <c r="P427" s="177" t="s">
        <v>456</v>
      </c>
      <c r="Q427" s="177" t="s">
        <v>2211</v>
      </c>
      <c r="R427" s="116" t="s">
        <v>352</v>
      </c>
      <c r="S427" s="177">
        <f>SHHeight/K427+M427-SHCORnd</f>
        <v>34.936999999999998</v>
      </c>
      <c r="T427" s="116" t="s">
        <v>366</v>
      </c>
      <c r="U427" s="193"/>
      <c r="V427" s="138"/>
      <c r="W427" s="138"/>
      <c r="X427" s="138"/>
      <c r="Y427" s="116"/>
      <c r="Z427" s="116"/>
      <c r="AA427" s="116"/>
      <c r="AB427" s="193"/>
      <c r="AC427" s="116">
        <v>45</v>
      </c>
      <c r="AD427" s="116">
        <v>2</v>
      </c>
      <c r="AE427" s="177">
        <f>S427*AD427/12</f>
        <v>5.8228333333333326</v>
      </c>
      <c r="AF427" s="116" t="s">
        <v>367</v>
      </c>
      <c r="AG427" s="179">
        <v>2.8000000000000001E-2</v>
      </c>
      <c r="AH427" s="177">
        <f>AG427*AtolbperftSH</f>
        <v>1.771E-2</v>
      </c>
      <c r="AI427" s="185"/>
      <c r="AJ427" s="185"/>
      <c r="AK427" s="185"/>
      <c r="AL427" s="185"/>
      <c r="AM427" s="180"/>
      <c r="AN427" s="116" t="s">
        <v>81</v>
      </c>
      <c r="AO427" s="116" t="s">
        <v>81</v>
      </c>
      <c r="AP427" s="116" t="s">
        <v>81</v>
      </c>
      <c r="AQ427" s="116" t="s">
        <v>81</v>
      </c>
      <c r="AR427" s="116" t="s">
        <v>81</v>
      </c>
      <c r="AS427" s="116" t="s">
        <v>81</v>
      </c>
      <c r="AT427" s="116" t="s">
        <v>81</v>
      </c>
      <c r="AU427" s="116" t="s">
        <v>81</v>
      </c>
      <c r="AV427" s="116" t="s">
        <v>81</v>
      </c>
      <c r="AW427" s="116" t="s">
        <v>81</v>
      </c>
      <c r="AX427" s="1884" t="s">
        <v>92</v>
      </c>
      <c r="AY427" s="116"/>
      <c r="AZ427" s="139"/>
      <c r="BA427" s="139"/>
      <c r="BB427" s="139"/>
      <c r="BC427" s="139"/>
      <c r="BD427" s="139"/>
      <c r="BE427" s="3"/>
    </row>
    <row r="428" spans="1:57" ht="15" customHeight="1" x14ac:dyDescent="0.4">
      <c r="A428" s="3"/>
      <c r="B428" s="7"/>
      <c r="C428" s="7"/>
      <c r="D428" s="7"/>
      <c r="E428" s="7"/>
      <c r="F428" s="7"/>
      <c r="G428" s="7"/>
      <c r="H428" s="14"/>
      <c r="I428" s="3"/>
      <c r="J428" s="3"/>
      <c r="K428" s="3"/>
      <c r="L428" s="3"/>
      <c r="M428" s="5"/>
      <c r="N428" s="5"/>
      <c r="O428" s="5"/>
      <c r="P428" s="5"/>
      <c r="Q428" s="5"/>
      <c r="R428" s="3"/>
      <c r="S428" s="5"/>
      <c r="T428" s="3"/>
      <c r="U428" s="14"/>
      <c r="V428" s="38" t="s">
        <v>369</v>
      </c>
      <c r="W428" s="3" t="s">
        <v>370</v>
      </c>
      <c r="X428" s="38" t="s">
        <v>369</v>
      </c>
      <c r="Y428" s="1443">
        <v>200170003</v>
      </c>
      <c r="Z428" s="1443"/>
      <c r="AA428" s="1443"/>
      <c r="AB428" s="14"/>
      <c r="AC428" s="3"/>
      <c r="AD428" s="3"/>
      <c r="AE428" s="5"/>
      <c r="AF428" s="3"/>
      <c r="AG428" s="38"/>
      <c r="AH428" s="5"/>
      <c r="AI428" s="353">
        <v>5.4600000000000003E-2</v>
      </c>
      <c r="AJ428" s="39"/>
      <c r="AK428" s="39"/>
      <c r="AL428" s="39"/>
      <c r="AM428" s="39">
        <f>AE$427*AI428+SUM(AJ428:AL428)</f>
        <v>0.31792669999999995</v>
      </c>
      <c r="AN428" s="3" t="s">
        <v>81</v>
      </c>
      <c r="AO428" s="3" t="s">
        <v>81</v>
      </c>
      <c r="AP428" s="3" t="s">
        <v>81</v>
      </c>
      <c r="AQ428" s="3" t="s">
        <v>81</v>
      </c>
      <c r="AR428" s="3" t="s">
        <v>81</v>
      </c>
      <c r="AS428" s="3" t="s">
        <v>81</v>
      </c>
      <c r="AT428" s="3" t="s">
        <v>81</v>
      </c>
      <c r="AU428" s="3" t="s">
        <v>81</v>
      </c>
      <c r="AV428" s="3" t="s">
        <v>371</v>
      </c>
      <c r="AW428" s="3" t="s">
        <v>81</v>
      </c>
      <c r="AX428" s="1414" t="s">
        <v>92</v>
      </c>
      <c r="AY428" s="3"/>
      <c r="AZ428" s="139"/>
      <c r="BA428" s="139"/>
      <c r="BB428" s="139"/>
      <c r="BC428" s="139"/>
      <c r="BD428" s="139"/>
      <c r="BE428" s="3"/>
    </row>
    <row r="429" spans="1:57" ht="15" customHeight="1" x14ac:dyDescent="0.4">
      <c r="A429" s="3"/>
      <c r="B429" s="1947" t="s">
        <v>2393</v>
      </c>
      <c r="C429" s="8"/>
      <c r="D429" s="7"/>
      <c r="E429" s="7"/>
      <c r="F429" s="7"/>
      <c r="G429" s="7"/>
      <c r="H429" s="14"/>
      <c r="I429" s="3"/>
      <c r="J429" s="3"/>
      <c r="K429" s="3"/>
      <c r="L429" s="3"/>
      <c r="M429" s="5"/>
      <c r="N429" s="5"/>
      <c r="O429" s="5"/>
      <c r="P429" s="5"/>
      <c r="Q429" s="5"/>
      <c r="R429" s="3"/>
      <c r="S429" s="5"/>
      <c r="T429" s="3"/>
      <c r="U429" s="14"/>
      <c r="V429" s="38" t="s">
        <v>369</v>
      </c>
      <c r="W429" s="3" t="s">
        <v>372</v>
      </c>
      <c r="X429" s="38" t="s">
        <v>369</v>
      </c>
      <c r="Y429" s="1443">
        <v>200170021</v>
      </c>
      <c r="Z429" s="1443"/>
      <c r="AA429" s="1443"/>
      <c r="AB429" s="14"/>
      <c r="AC429" s="3"/>
      <c r="AD429" s="3"/>
      <c r="AE429" s="5"/>
      <c r="AF429" s="3"/>
      <c r="AG429" s="38"/>
      <c r="AH429" s="5"/>
      <c r="AI429" s="353">
        <v>5.74E-2</v>
      </c>
      <c r="AJ429" s="39"/>
      <c r="AK429" s="39"/>
      <c r="AL429" s="39"/>
      <c r="AM429" s="39">
        <f>AE$427*AI429+SUM(AJ429:AL429)</f>
        <v>0.3342306333333333</v>
      </c>
      <c r="AN429" s="3" t="s">
        <v>371</v>
      </c>
      <c r="AO429" s="3" t="s">
        <v>371</v>
      </c>
      <c r="AP429" s="3" t="s">
        <v>371</v>
      </c>
      <c r="AQ429" s="3" t="s">
        <v>371</v>
      </c>
      <c r="AR429" s="3" t="s">
        <v>371</v>
      </c>
      <c r="AS429" s="3" t="s">
        <v>371</v>
      </c>
      <c r="AT429" s="3" t="s">
        <v>371</v>
      </c>
      <c r="AU429" s="3" t="s">
        <v>371</v>
      </c>
      <c r="AV429" s="3" t="s">
        <v>371</v>
      </c>
      <c r="AW429" s="3" t="s">
        <v>371</v>
      </c>
      <c r="AX429" s="1414" t="s">
        <v>92</v>
      </c>
      <c r="AY429" s="3"/>
      <c r="AZ429" s="139"/>
      <c r="BA429" s="139"/>
      <c r="BB429" s="139"/>
      <c r="BC429" s="139"/>
      <c r="BD429" s="139"/>
      <c r="BE429" s="3"/>
    </row>
    <row r="430" spans="1:57" ht="15" customHeight="1" x14ac:dyDescent="0.4">
      <c r="A430" s="3"/>
      <c r="B430" s="7"/>
      <c r="C430" s="8"/>
      <c r="D430" s="7"/>
      <c r="E430" s="7"/>
      <c r="F430" s="7"/>
      <c r="G430" s="7"/>
      <c r="H430" s="14"/>
      <c r="I430" s="3"/>
      <c r="J430" s="3"/>
      <c r="K430" s="3"/>
      <c r="L430" s="3"/>
      <c r="M430" s="5"/>
      <c r="N430" s="5"/>
      <c r="O430" s="5"/>
      <c r="P430" s="5"/>
      <c r="Q430" s="5"/>
      <c r="R430" s="3"/>
      <c r="S430" s="5"/>
      <c r="T430" s="3"/>
      <c r="U430" s="14"/>
      <c r="V430" s="38" t="s">
        <v>369</v>
      </c>
      <c r="W430" s="3" t="s">
        <v>373</v>
      </c>
      <c r="X430" s="38" t="s">
        <v>369</v>
      </c>
      <c r="Y430" s="1443">
        <v>200170033</v>
      </c>
      <c r="Z430" s="1443"/>
      <c r="AA430" s="1443"/>
      <c r="AB430" s="14"/>
      <c r="AC430" s="3"/>
      <c r="AD430" s="3"/>
      <c r="AE430" s="5"/>
      <c r="AF430" s="3"/>
      <c r="AG430" s="38"/>
      <c r="AH430" s="5"/>
      <c r="AI430" s="353">
        <v>5.8000000000000003E-2</v>
      </c>
      <c r="AJ430" s="39"/>
      <c r="AK430" s="39"/>
      <c r="AL430" s="39"/>
      <c r="AM430" s="39">
        <f>AE$427*AI430+SUM(AJ430:AL430)</f>
        <v>0.33772433333333329</v>
      </c>
      <c r="AN430" s="3" t="s">
        <v>371</v>
      </c>
      <c r="AO430" s="3" t="s">
        <v>371</v>
      </c>
      <c r="AP430" s="3" t="s">
        <v>371</v>
      </c>
      <c r="AQ430" s="3" t="s">
        <v>371</v>
      </c>
      <c r="AR430" s="3" t="s">
        <v>371</v>
      </c>
      <c r="AS430" s="3" t="s">
        <v>371</v>
      </c>
      <c r="AT430" s="3" t="s">
        <v>371</v>
      </c>
      <c r="AU430" s="3" t="s">
        <v>371</v>
      </c>
      <c r="AV430" s="3" t="s">
        <v>81</v>
      </c>
      <c r="AW430" s="3" t="s">
        <v>371</v>
      </c>
      <c r="AX430" s="1414" t="s">
        <v>92</v>
      </c>
      <c r="AY430" s="3"/>
      <c r="AZ430" s="139"/>
      <c r="BA430" s="139"/>
      <c r="BB430" s="139"/>
      <c r="BC430" s="139"/>
      <c r="BD430" s="139"/>
      <c r="BE430" s="3"/>
    </row>
    <row r="431" spans="1:57" ht="15" customHeight="1" x14ac:dyDescent="0.4">
      <c r="A431" s="3"/>
      <c r="B431" s="7"/>
      <c r="C431" s="8"/>
      <c r="D431" s="7"/>
      <c r="E431" s="7"/>
      <c r="F431" s="7"/>
      <c r="G431" s="7"/>
      <c r="H431" s="14"/>
      <c r="I431" s="3"/>
      <c r="J431" s="3"/>
      <c r="K431" s="3"/>
      <c r="L431" s="3"/>
      <c r="M431" s="5"/>
      <c r="N431" s="5"/>
      <c r="O431" s="5"/>
      <c r="P431" s="5"/>
      <c r="Q431" s="5"/>
      <c r="R431" s="3"/>
      <c r="S431" s="5"/>
      <c r="T431" s="3"/>
      <c r="U431" s="14"/>
      <c r="V431" s="279" t="s">
        <v>369</v>
      </c>
      <c r="W431" s="112" t="s">
        <v>1849</v>
      </c>
      <c r="X431" s="279" t="s">
        <v>369</v>
      </c>
      <c r="Y431" s="1871">
        <v>200170148</v>
      </c>
      <c r="Z431" s="1443"/>
      <c r="AA431" s="1443"/>
      <c r="AB431" s="14"/>
      <c r="AC431" s="3"/>
      <c r="AD431" s="3"/>
      <c r="AE431" s="5"/>
      <c r="AF431" s="3"/>
      <c r="AG431" s="38"/>
      <c r="AH431" s="5"/>
      <c r="AI431" s="353">
        <v>9.8699999999999996E-2</v>
      </c>
      <c r="AJ431" s="39"/>
      <c r="AK431" s="39"/>
      <c r="AL431" s="39"/>
      <c r="AM431" s="39">
        <f>AE$427*AI431+SUM(AJ431:AL431)</f>
        <v>0.57471364999999985</v>
      </c>
      <c r="AN431" s="3" t="s">
        <v>371</v>
      </c>
      <c r="AO431" s="3" t="s">
        <v>371</v>
      </c>
      <c r="AP431" s="3" t="s">
        <v>371</v>
      </c>
      <c r="AQ431" s="3" t="s">
        <v>371</v>
      </c>
      <c r="AR431" s="3" t="s">
        <v>371</v>
      </c>
      <c r="AS431" s="3" t="s">
        <v>371</v>
      </c>
      <c r="AT431" s="3" t="s">
        <v>371</v>
      </c>
      <c r="AU431" s="3" t="s">
        <v>371</v>
      </c>
      <c r="AV431" s="3" t="s">
        <v>371</v>
      </c>
      <c r="AW431" s="3" t="s">
        <v>371</v>
      </c>
      <c r="AX431" s="1414" t="s">
        <v>92</v>
      </c>
      <c r="AY431" s="3"/>
      <c r="AZ431" s="139"/>
      <c r="BA431" s="139"/>
      <c r="BB431" s="139"/>
      <c r="BC431" s="139"/>
      <c r="BD431" s="139"/>
      <c r="BE431" s="3"/>
    </row>
    <row r="432" spans="1:57" ht="15" customHeight="1" thickBot="1" x14ac:dyDescent="0.45">
      <c r="A432" s="3"/>
      <c r="B432" s="924"/>
      <c r="C432" s="949"/>
      <c r="D432" s="924"/>
      <c r="E432" s="924"/>
      <c r="F432" s="924"/>
      <c r="G432" s="924"/>
      <c r="H432" s="948"/>
      <c r="I432" s="889"/>
      <c r="J432" s="889"/>
      <c r="K432" s="889"/>
      <c r="L432" s="889"/>
      <c r="M432" s="945"/>
      <c r="N432" s="945"/>
      <c r="O432" s="945"/>
      <c r="P432" s="945"/>
      <c r="Q432" s="945"/>
      <c r="R432" s="889"/>
      <c r="S432" s="945"/>
      <c r="T432" s="889"/>
      <c r="U432" s="948"/>
      <c r="V432" s="1876" t="s">
        <v>369</v>
      </c>
      <c r="W432" s="1877" t="s">
        <v>375</v>
      </c>
      <c r="X432" s="1876" t="s">
        <v>369</v>
      </c>
      <c r="Y432" s="1878">
        <v>200170133</v>
      </c>
      <c r="Z432" s="1444"/>
      <c r="AA432" s="1444"/>
      <c r="AB432" s="948"/>
      <c r="AC432" s="889"/>
      <c r="AD432" s="889"/>
      <c r="AE432" s="945"/>
      <c r="AF432" s="889"/>
      <c r="AG432" s="888"/>
      <c r="AH432" s="945"/>
      <c r="AI432" s="1424">
        <v>0</v>
      </c>
      <c r="AJ432" s="947"/>
      <c r="AK432" s="947"/>
      <c r="AL432" s="947"/>
      <c r="AM432" s="947">
        <f>AE$427*AI432+SUM(AJ432:AL432)</f>
        <v>0</v>
      </c>
      <c r="AN432" s="889" t="s">
        <v>92</v>
      </c>
      <c r="AO432" s="889" t="s">
        <v>92</v>
      </c>
      <c r="AP432" s="889" t="s">
        <v>92</v>
      </c>
      <c r="AQ432" s="889" t="s">
        <v>92</v>
      </c>
      <c r="AR432" s="889" t="s">
        <v>92</v>
      </c>
      <c r="AS432" s="889" t="s">
        <v>92</v>
      </c>
      <c r="AT432" s="889" t="s">
        <v>92</v>
      </c>
      <c r="AU432" s="889" t="s">
        <v>92</v>
      </c>
      <c r="AV432" s="889" t="s">
        <v>92</v>
      </c>
      <c r="AW432" s="889" t="s">
        <v>92</v>
      </c>
      <c r="AX432" s="1590" t="s">
        <v>81</v>
      </c>
      <c r="AY432" s="889"/>
      <c r="AZ432" s="139"/>
      <c r="BA432" s="139"/>
      <c r="BB432" s="139"/>
      <c r="BC432" s="139"/>
      <c r="BD432" s="139"/>
      <c r="BE432" s="3"/>
    </row>
    <row r="433" spans="1:57" ht="15" customHeight="1" x14ac:dyDescent="0.4">
      <c r="A433" s="3" t="s">
        <v>498</v>
      </c>
      <c r="B433" s="7" t="s">
        <v>499</v>
      </c>
      <c r="C433" s="8"/>
      <c r="D433" s="155"/>
      <c r="E433" s="155"/>
      <c r="F433" s="155"/>
      <c r="G433" s="7"/>
      <c r="H433" s="14"/>
      <c r="I433" s="3" t="s">
        <v>365</v>
      </c>
      <c r="J433" s="3" t="s">
        <v>346</v>
      </c>
      <c r="K433" s="3">
        <v>2</v>
      </c>
      <c r="L433" s="3" t="s">
        <v>348</v>
      </c>
      <c r="M433" s="5">
        <v>-2.0630000000000002</v>
      </c>
      <c r="N433" s="5"/>
      <c r="O433" s="5"/>
      <c r="P433" s="5" t="s">
        <v>456</v>
      </c>
      <c r="Q433" s="177" t="s">
        <v>2211</v>
      </c>
      <c r="R433" s="3" t="s">
        <v>352</v>
      </c>
      <c r="S433" s="5">
        <f>SHHeight/K433+M433-SHCORnd</f>
        <v>34.936999999999998</v>
      </c>
      <c r="T433" s="3" t="s">
        <v>366</v>
      </c>
      <c r="U433" s="14"/>
      <c r="V433" s="4"/>
      <c r="W433" s="4"/>
      <c r="X433" s="4"/>
      <c r="Y433" s="1443"/>
      <c r="Z433" s="1443"/>
      <c r="AA433" s="1443"/>
      <c r="AB433" s="14"/>
      <c r="AC433" s="3">
        <v>45</v>
      </c>
      <c r="AD433" s="3">
        <v>2</v>
      </c>
      <c r="AE433" s="5">
        <f>S433*AD433/12</f>
        <v>5.8228333333333326</v>
      </c>
      <c r="AF433" s="3" t="s">
        <v>367</v>
      </c>
      <c r="AG433" s="38">
        <v>4.3999999999999997E-2</v>
      </c>
      <c r="AH433" s="5">
        <f>AG433*AtolbperftSH</f>
        <v>2.7829999999999997E-2</v>
      </c>
      <c r="AI433" s="51"/>
      <c r="AJ433" s="51"/>
      <c r="AK433" s="51"/>
      <c r="AL433" s="51"/>
      <c r="AM433" s="39"/>
      <c r="AN433" s="3" t="s">
        <v>371</v>
      </c>
      <c r="AO433" s="3" t="s">
        <v>371</v>
      </c>
      <c r="AP433" s="3" t="s">
        <v>371</v>
      </c>
      <c r="AQ433" s="3" t="s">
        <v>371</v>
      </c>
      <c r="AR433" s="3" t="s">
        <v>371</v>
      </c>
      <c r="AS433" s="3" t="s">
        <v>371</v>
      </c>
      <c r="AT433" s="3" t="s">
        <v>371</v>
      </c>
      <c r="AU433" s="3" t="s">
        <v>371</v>
      </c>
      <c r="AV433" s="3" t="s">
        <v>371</v>
      </c>
      <c r="AW433" s="3" t="s">
        <v>371</v>
      </c>
      <c r="AX433" s="1414" t="s">
        <v>92</v>
      </c>
      <c r="AY433" s="3"/>
      <c r="AZ433" s="139"/>
      <c r="BA433" s="139"/>
      <c r="BB433" s="139"/>
      <c r="BC433" s="139"/>
      <c r="BD433" s="139"/>
      <c r="BE433" s="3"/>
    </row>
    <row r="434" spans="1:57" ht="15" customHeight="1" x14ac:dyDescent="0.4">
      <c r="A434" s="3"/>
      <c r="B434" s="7"/>
      <c r="C434" s="8"/>
      <c r="D434" s="7"/>
      <c r="E434" s="7"/>
      <c r="F434" s="7"/>
      <c r="G434" s="7"/>
      <c r="H434" s="14"/>
      <c r="I434" s="3"/>
      <c r="J434" s="3"/>
      <c r="K434" s="3"/>
      <c r="L434" s="3"/>
      <c r="M434" s="5"/>
      <c r="N434" s="5"/>
      <c r="O434" s="5"/>
      <c r="P434" s="5"/>
      <c r="Q434" s="5"/>
      <c r="R434" s="3"/>
      <c r="S434" s="5"/>
      <c r="T434" s="3"/>
      <c r="U434" s="14"/>
      <c r="V434" s="38" t="s">
        <v>369</v>
      </c>
      <c r="W434" s="3" t="s">
        <v>370</v>
      </c>
      <c r="X434" s="38" t="s">
        <v>369</v>
      </c>
      <c r="Y434" s="1443">
        <v>200171003</v>
      </c>
      <c r="Z434" s="1443"/>
      <c r="AA434" s="1443"/>
      <c r="AB434" s="14"/>
      <c r="AC434" s="3"/>
      <c r="AD434" s="3"/>
      <c r="AE434" s="5"/>
      <c r="AF434" s="3"/>
      <c r="AG434" s="38"/>
      <c r="AH434" s="5"/>
      <c r="AI434" s="353">
        <v>5.7099999999999998E-2</v>
      </c>
      <c r="AJ434" s="39"/>
      <c r="AK434" s="39"/>
      <c r="AL434" s="39"/>
      <c r="AM434" s="39">
        <f>AE$433*AI434+SUM(AJ434:AL434)</f>
        <v>0.33248378333333328</v>
      </c>
      <c r="AN434" s="3" t="s">
        <v>371</v>
      </c>
      <c r="AO434" s="3" t="s">
        <v>371</v>
      </c>
      <c r="AP434" s="3" t="s">
        <v>371</v>
      </c>
      <c r="AQ434" s="3" t="s">
        <v>371</v>
      </c>
      <c r="AR434" s="3" t="s">
        <v>371</v>
      </c>
      <c r="AS434" s="3" t="s">
        <v>371</v>
      </c>
      <c r="AT434" s="3" t="s">
        <v>371</v>
      </c>
      <c r="AU434" s="3" t="s">
        <v>371</v>
      </c>
      <c r="AV434" s="3" t="s">
        <v>371</v>
      </c>
      <c r="AW434" s="3" t="s">
        <v>371</v>
      </c>
      <c r="AX434" s="1414" t="s">
        <v>92</v>
      </c>
      <c r="AY434" s="3"/>
      <c r="AZ434" s="139"/>
      <c r="BA434" s="139"/>
      <c r="BB434" s="139"/>
      <c r="BC434" s="139"/>
      <c r="BD434" s="139"/>
      <c r="BE434" s="3"/>
    </row>
    <row r="435" spans="1:57" ht="15" customHeight="1" x14ac:dyDescent="0.4">
      <c r="A435" s="3"/>
      <c r="B435" s="1490" t="s">
        <v>2086</v>
      </c>
      <c r="C435" s="8"/>
      <c r="D435" s="7"/>
      <c r="E435" s="7"/>
      <c r="F435" s="4"/>
      <c r="G435" s="7"/>
      <c r="H435" s="14"/>
      <c r="I435" s="3"/>
      <c r="J435" s="3"/>
      <c r="K435" s="3"/>
      <c r="L435" s="3"/>
      <c r="M435" s="5"/>
      <c r="N435" s="5"/>
      <c r="O435" s="5"/>
      <c r="P435" s="5"/>
      <c r="Q435" s="5"/>
      <c r="R435" s="3"/>
      <c r="S435" s="5"/>
      <c r="T435" s="3"/>
      <c r="U435" s="14"/>
      <c r="V435" s="38" t="s">
        <v>369</v>
      </c>
      <c r="W435" s="3" t="s">
        <v>372</v>
      </c>
      <c r="X435" s="38" t="s">
        <v>369</v>
      </c>
      <c r="Y435" s="1443">
        <v>200171021</v>
      </c>
      <c r="Z435" s="1443"/>
      <c r="AA435" s="1443"/>
      <c r="AB435" s="14"/>
      <c r="AC435" s="3"/>
      <c r="AD435" s="3"/>
      <c r="AE435" s="5"/>
      <c r="AF435" s="3"/>
      <c r="AG435" s="38"/>
      <c r="AH435" s="5"/>
      <c r="AI435" s="353">
        <v>6.1199999999999997E-2</v>
      </c>
      <c r="AJ435" s="39"/>
      <c r="AK435" s="39"/>
      <c r="AL435" s="39"/>
      <c r="AM435" s="39">
        <f>AE$433*AI435+SUM(AJ435:AL435)</f>
        <v>0.35635739999999994</v>
      </c>
      <c r="AN435" s="3" t="s">
        <v>371</v>
      </c>
      <c r="AO435" s="3" t="s">
        <v>371</v>
      </c>
      <c r="AP435" s="3" t="s">
        <v>371</v>
      </c>
      <c r="AQ435" s="3" t="s">
        <v>371</v>
      </c>
      <c r="AR435" s="3" t="s">
        <v>371</v>
      </c>
      <c r="AS435" s="3" t="s">
        <v>371</v>
      </c>
      <c r="AT435" s="3" t="s">
        <v>371</v>
      </c>
      <c r="AU435" s="3" t="s">
        <v>371</v>
      </c>
      <c r="AV435" s="3" t="s">
        <v>371</v>
      </c>
      <c r="AW435" s="3" t="s">
        <v>371</v>
      </c>
      <c r="AX435" s="1414" t="s">
        <v>92</v>
      </c>
      <c r="AY435" s="3"/>
      <c r="AZ435" s="139"/>
      <c r="BA435" s="139"/>
      <c r="BB435" s="139"/>
      <c r="BC435" s="139"/>
      <c r="BD435" s="139"/>
      <c r="BE435" s="3"/>
    </row>
    <row r="436" spans="1:57" ht="15" customHeight="1" x14ac:dyDescent="0.4">
      <c r="A436" s="3"/>
      <c r="B436" s="7"/>
      <c r="C436" s="8"/>
      <c r="D436" s="7"/>
      <c r="E436" s="7"/>
      <c r="F436" s="7"/>
      <c r="G436" s="7"/>
      <c r="H436" s="14"/>
      <c r="I436" s="3"/>
      <c r="J436" s="3"/>
      <c r="K436" s="3"/>
      <c r="L436" s="3"/>
      <c r="M436" s="5"/>
      <c r="N436" s="5"/>
      <c r="O436" s="5"/>
      <c r="P436" s="5"/>
      <c r="Q436" s="5"/>
      <c r="R436" s="3"/>
      <c r="S436" s="5"/>
      <c r="T436" s="3"/>
      <c r="U436" s="14"/>
      <c r="V436" s="38" t="s">
        <v>369</v>
      </c>
      <c r="W436" s="3" t="s">
        <v>373</v>
      </c>
      <c r="X436" s="38" t="s">
        <v>369</v>
      </c>
      <c r="Y436" s="1443">
        <v>200171033</v>
      </c>
      <c r="Z436" s="1443"/>
      <c r="AA436" s="1443"/>
      <c r="AB436" s="14"/>
      <c r="AC436" s="3"/>
      <c r="AD436" s="3"/>
      <c r="AE436" s="5"/>
      <c r="AF436" s="3"/>
      <c r="AG436" s="38"/>
      <c r="AH436" s="5"/>
      <c r="AI436" s="353">
        <v>6.2199999999999998E-2</v>
      </c>
      <c r="AJ436" s="39"/>
      <c r="AK436" s="39"/>
      <c r="AL436" s="39"/>
      <c r="AM436" s="39">
        <f>AE$433*AI436+SUM(AJ436:AL436)</f>
        <v>0.36218023333333327</v>
      </c>
      <c r="AN436" s="3" t="s">
        <v>371</v>
      </c>
      <c r="AO436" s="3" t="s">
        <v>371</v>
      </c>
      <c r="AP436" s="3" t="s">
        <v>371</v>
      </c>
      <c r="AQ436" s="3" t="s">
        <v>371</v>
      </c>
      <c r="AR436" s="3" t="s">
        <v>371</v>
      </c>
      <c r="AS436" s="3" t="s">
        <v>371</v>
      </c>
      <c r="AT436" s="3" t="s">
        <v>371</v>
      </c>
      <c r="AU436" s="3" t="s">
        <v>371</v>
      </c>
      <c r="AV436" s="3" t="s">
        <v>371</v>
      </c>
      <c r="AW436" s="3" t="s">
        <v>371</v>
      </c>
      <c r="AX436" s="1414" t="s">
        <v>92</v>
      </c>
      <c r="AY436" s="3"/>
      <c r="AZ436" s="139"/>
      <c r="BA436" s="139"/>
      <c r="BB436" s="139"/>
      <c r="BC436" s="139"/>
      <c r="BD436" s="139"/>
      <c r="BE436" s="3"/>
    </row>
    <row r="437" spans="1:57" ht="15" customHeight="1" x14ac:dyDescent="0.4">
      <c r="A437" s="3"/>
      <c r="B437" s="7"/>
      <c r="C437" s="8"/>
      <c r="D437" s="7"/>
      <c r="E437" s="7"/>
      <c r="F437" s="7"/>
      <c r="G437" s="7"/>
      <c r="H437" s="14"/>
      <c r="I437" s="3"/>
      <c r="J437" s="3"/>
      <c r="K437" s="3"/>
      <c r="L437" s="3"/>
      <c r="M437" s="5"/>
      <c r="N437" s="5"/>
      <c r="O437" s="5"/>
      <c r="P437" s="5"/>
      <c r="Q437" s="5"/>
      <c r="R437" s="3"/>
      <c r="S437" s="5"/>
      <c r="T437" s="3"/>
      <c r="U437" s="14"/>
      <c r="V437" s="279" t="s">
        <v>369</v>
      </c>
      <c r="W437" s="112" t="s">
        <v>1849</v>
      </c>
      <c r="X437" s="279" t="s">
        <v>369</v>
      </c>
      <c r="Y437" s="1871">
        <v>200171148</v>
      </c>
      <c r="Z437" s="1443"/>
      <c r="AA437" s="1443"/>
      <c r="AB437" s="14"/>
      <c r="AC437" s="3"/>
      <c r="AD437" s="3"/>
      <c r="AE437" s="5"/>
      <c r="AF437" s="3"/>
      <c r="AG437" s="38"/>
      <c r="AH437" s="5"/>
      <c r="AI437" s="353">
        <v>0.15210000000000001</v>
      </c>
      <c r="AJ437" s="39"/>
      <c r="AK437" s="39"/>
      <c r="AL437" s="39"/>
      <c r="AM437" s="39">
        <f>AE$433*AI437+SUM(AJ437:AL437)</f>
        <v>0.88565294999999999</v>
      </c>
      <c r="AN437" s="3" t="s">
        <v>371</v>
      </c>
      <c r="AO437" s="3" t="s">
        <v>371</v>
      </c>
      <c r="AP437" s="3" t="s">
        <v>371</v>
      </c>
      <c r="AQ437" s="3" t="s">
        <v>371</v>
      </c>
      <c r="AR437" s="3" t="s">
        <v>371</v>
      </c>
      <c r="AS437" s="3" t="s">
        <v>371</v>
      </c>
      <c r="AT437" s="3" t="s">
        <v>371</v>
      </c>
      <c r="AU437" s="3" t="s">
        <v>371</v>
      </c>
      <c r="AV437" s="3" t="s">
        <v>371</v>
      </c>
      <c r="AW437" s="3" t="s">
        <v>371</v>
      </c>
      <c r="AX437" s="1414" t="s">
        <v>92</v>
      </c>
      <c r="AY437" s="3"/>
      <c r="AZ437" s="139"/>
      <c r="BA437" s="139"/>
      <c r="BB437" s="139"/>
      <c r="BC437" s="139"/>
      <c r="BD437" s="139"/>
      <c r="BE437" s="3"/>
    </row>
    <row r="438" spans="1:57" ht="15" customHeight="1" thickBot="1" x14ac:dyDescent="0.45">
      <c r="A438" s="3"/>
      <c r="B438" s="949"/>
      <c r="C438" s="943"/>
      <c r="D438" s="924"/>
      <c r="E438" s="924"/>
      <c r="F438" s="924"/>
      <c r="G438" s="924"/>
      <c r="H438" s="948"/>
      <c r="I438" s="889"/>
      <c r="J438" s="889"/>
      <c r="K438" s="889"/>
      <c r="L438" s="889"/>
      <c r="M438" s="945"/>
      <c r="N438" s="945"/>
      <c r="O438" s="945"/>
      <c r="P438" s="945"/>
      <c r="Q438" s="945"/>
      <c r="R438" s="889"/>
      <c r="S438" s="945"/>
      <c r="T438" s="889"/>
      <c r="U438" s="948"/>
      <c r="V438" s="888" t="s">
        <v>369</v>
      </c>
      <c r="W438" s="889" t="s">
        <v>375</v>
      </c>
      <c r="X438" s="888" t="s">
        <v>369</v>
      </c>
      <c r="Y438" s="1444">
        <v>200171133</v>
      </c>
      <c r="Z438" s="1444"/>
      <c r="AA438" s="1444"/>
      <c r="AB438" s="948"/>
      <c r="AC438" s="889"/>
      <c r="AD438" s="889"/>
      <c r="AE438" s="945"/>
      <c r="AF438" s="889"/>
      <c r="AG438" s="888"/>
      <c r="AH438" s="945"/>
      <c r="AI438" s="937"/>
      <c r="AJ438" s="947"/>
      <c r="AK438" s="947"/>
      <c r="AL438" s="947"/>
      <c r="AM438" s="947"/>
      <c r="AN438" s="889" t="s">
        <v>92</v>
      </c>
      <c r="AO438" s="889" t="s">
        <v>92</v>
      </c>
      <c r="AP438" s="889" t="s">
        <v>92</v>
      </c>
      <c r="AQ438" s="889" t="s">
        <v>92</v>
      </c>
      <c r="AR438" s="889" t="s">
        <v>92</v>
      </c>
      <c r="AS438" s="889" t="s">
        <v>92</v>
      </c>
      <c r="AT438" s="889" t="s">
        <v>92</v>
      </c>
      <c r="AU438" s="889" t="s">
        <v>92</v>
      </c>
      <c r="AV438" s="889" t="s">
        <v>92</v>
      </c>
      <c r="AW438" s="889" t="s">
        <v>92</v>
      </c>
      <c r="AX438" s="1590" t="s">
        <v>371</v>
      </c>
      <c r="AY438" s="889"/>
      <c r="AZ438" s="139"/>
      <c r="BA438" s="139"/>
      <c r="BB438" s="139"/>
      <c r="BC438" s="139"/>
      <c r="BD438" s="139"/>
      <c r="BE438" s="3"/>
    </row>
    <row r="439" spans="1:57" ht="15" customHeight="1" x14ac:dyDescent="0.4">
      <c r="A439" s="3"/>
      <c r="B439" s="7" t="s">
        <v>502</v>
      </c>
      <c r="C439" s="8"/>
      <c r="D439" s="155"/>
      <c r="E439" s="155"/>
      <c r="F439" s="155"/>
      <c r="G439" s="7"/>
      <c r="H439" s="14"/>
      <c r="I439" s="3" t="s">
        <v>365</v>
      </c>
      <c r="J439" s="3" t="s">
        <v>346</v>
      </c>
      <c r="K439" s="3">
        <v>2</v>
      </c>
      <c r="L439" s="3" t="s">
        <v>348</v>
      </c>
      <c r="M439" s="5">
        <v>-2.0630000000000002</v>
      </c>
      <c r="N439" s="5"/>
      <c r="O439" s="5"/>
      <c r="P439" s="5" t="s">
        <v>456</v>
      </c>
      <c r="Q439" s="177" t="s">
        <v>2211</v>
      </c>
      <c r="R439" s="3" t="s">
        <v>352</v>
      </c>
      <c r="S439" s="5">
        <f>SHHeight/K439+M439-SHCORnd</f>
        <v>34.936999999999998</v>
      </c>
      <c r="T439" s="3" t="s">
        <v>366</v>
      </c>
      <c r="U439" s="14"/>
      <c r="V439" s="38"/>
      <c r="W439" s="3"/>
      <c r="X439" s="38"/>
      <c r="Y439" s="1443"/>
      <c r="Z439" s="1443"/>
      <c r="AA439" s="1443"/>
      <c r="AB439" s="14"/>
      <c r="AC439" s="3">
        <v>45</v>
      </c>
      <c r="AD439" s="3">
        <v>2</v>
      </c>
      <c r="AE439" s="5">
        <f>S439*AD439/12</f>
        <v>5.8228333333333326</v>
      </c>
      <c r="AF439" s="3" t="s">
        <v>367</v>
      </c>
      <c r="AG439" s="38">
        <v>4.1000000000000002E-2</v>
      </c>
      <c r="AH439" s="5">
        <f>AG439*AtolbperftSH</f>
        <v>2.5932500000000001E-2</v>
      </c>
      <c r="AI439" s="51"/>
      <c r="AJ439" s="39"/>
      <c r="AK439" s="39"/>
      <c r="AL439" s="39"/>
      <c r="AM439" s="39"/>
      <c r="AN439" s="3" t="s">
        <v>371</v>
      </c>
      <c r="AO439" s="3" t="s">
        <v>371</v>
      </c>
      <c r="AP439" s="3" t="s">
        <v>371</v>
      </c>
      <c r="AQ439" s="3" t="s">
        <v>371</v>
      </c>
      <c r="AR439" s="3" t="s">
        <v>371</v>
      </c>
      <c r="AS439" s="3" t="s">
        <v>371</v>
      </c>
      <c r="AT439" s="3" t="s">
        <v>371</v>
      </c>
      <c r="AU439" s="3" t="s">
        <v>371</v>
      </c>
      <c r="AV439" s="3" t="s">
        <v>371</v>
      </c>
      <c r="AW439" s="3" t="s">
        <v>371</v>
      </c>
      <c r="AX439" s="1414" t="s">
        <v>92</v>
      </c>
      <c r="AY439" s="3"/>
      <c r="AZ439" s="139"/>
      <c r="BA439" s="139"/>
      <c r="BB439" s="139"/>
      <c r="BC439" s="139"/>
      <c r="BD439" s="139"/>
      <c r="BE439" s="3"/>
    </row>
    <row r="440" spans="1:57" ht="15" customHeight="1" x14ac:dyDescent="0.4">
      <c r="A440" s="3"/>
      <c r="B440" s="7"/>
      <c r="C440" s="8"/>
      <c r="D440" s="7"/>
      <c r="E440" s="7"/>
      <c r="F440" s="7"/>
      <c r="G440" s="7"/>
      <c r="H440" s="14"/>
      <c r="I440" s="3"/>
      <c r="J440" s="3"/>
      <c r="K440" s="3"/>
      <c r="L440" s="3"/>
      <c r="M440" s="5"/>
      <c r="N440" s="5"/>
      <c r="O440" s="5"/>
      <c r="P440" s="5"/>
      <c r="Q440" s="5"/>
      <c r="R440" s="3"/>
      <c r="S440" s="5"/>
      <c r="T440" s="3"/>
      <c r="U440" s="14"/>
      <c r="V440" s="38" t="s">
        <v>369</v>
      </c>
      <c r="W440" s="3" t="s">
        <v>370</v>
      </c>
      <c r="X440" s="38" t="s">
        <v>369</v>
      </c>
      <c r="Y440" s="1443">
        <v>200190003</v>
      </c>
      <c r="Z440" s="1443"/>
      <c r="AA440" s="1443"/>
      <c r="AB440" s="14"/>
      <c r="AC440" s="3"/>
      <c r="AD440" s="3"/>
      <c r="AE440" s="5"/>
      <c r="AF440" s="3"/>
      <c r="AG440" s="38"/>
      <c r="AH440" s="5"/>
      <c r="AI440" s="353">
        <v>5.0599999999999999E-2</v>
      </c>
      <c r="AJ440" s="39"/>
      <c r="AK440" s="39"/>
      <c r="AL440" s="39"/>
      <c r="AM440" s="39">
        <f>AE$439*AI440+SUM(AJ440:AL440)</f>
        <v>0.29463536666666662</v>
      </c>
      <c r="AN440" s="3" t="s">
        <v>371</v>
      </c>
      <c r="AO440" s="3" t="s">
        <v>371</v>
      </c>
      <c r="AP440" s="3" t="s">
        <v>371</v>
      </c>
      <c r="AQ440" s="3" t="s">
        <v>371</v>
      </c>
      <c r="AR440" s="3" t="s">
        <v>371</v>
      </c>
      <c r="AS440" s="3" t="s">
        <v>371</v>
      </c>
      <c r="AT440" s="3" t="s">
        <v>371</v>
      </c>
      <c r="AU440" s="3" t="s">
        <v>371</v>
      </c>
      <c r="AV440" s="3" t="s">
        <v>371</v>
      </c>
      <c r="AW440" s="3" t="s">
        <v>371</v>
      </c>
      <c r="AX440" s="1414" t="s">
        <v>92</v>
      </c>
      <c r="AY440" s="3"/>
      <c r="AZ440" s="139"/>
      <c r="BA440" s="139"/>
      <c r="BB440" s="139"/>
      <c r="BC440" s="139"/>
      <c r="BD440" s="139"/>
      <c r="BE440" s="3"/>
    </row>
    <row r="441" spans="1:57" ht="15" customHeight="1" x14ac:dyDescent="0.4">
      <c r="A441" s="3"/>
      <c r="B441" s="7"/>
      <c r="C441" s="8"/>
      <c r="D441" s="7"/>
      <c r="E441" s="7"/>
      <c r="F441" s="7"/>
      <c r="G441" s="7"/>
      <c r="H441" s="14"/>
      <c r="I441" s="3"/>
      <c r="J441" s="3"/>
      <c r="K441" s="3"/>
      <c r="L441" s="3"/>
      <c r="M441" s="5"/>
      <c r="N441" s="5"/>
      <c r="O441" s="5"/>
      <c r="P441" s="5"/>
      <c r="Q441" s="5"/>
      <c r="R441" s="3"/>
      <c r="S441" s="5"/>
      <c r="T441" s="3"/>
      <c r="U441" s="14"/>
      <c r="V441" s="38" t="s">
        <v>369</v>
      </c>
      <c r="W441" s="3" t="s">
        <v>372</v>
      </c>
      <c r="X441" s="38" t="s">
        <v>369</v>
      </c>
      <c r="Y441" s="1443">
        <v>200190021</v>
      </c>
      <c r="Z441" s="1443"/>
      <c r="AA441" s="1443"/>
      <c r="AB441" s="14"/>
      <c r="AC441" s="3"/>
      <c r="AD441" s="3"/>
      <c r="AE441" s="5"/>
      <c r="AF441" s="3"/>
      <c r="AG441" s="38"/>
      <c r="AH441" s="5"/>
      <c r="AI441" s="353">
        <v>5.6800000000000003E-2</v>
      </c>
      <c r="AJ441" s="39"/>
      <c r="AK441" s="39"/>
      <c r="AL441" s="39"/>
      <c r="AM441" s="39">
        <f>AE$439*AI441+SUM(AJ441:AL441)</f>
        <v>0.33073693333333332</v>
      </c>
      <c r="AN441" s="3" t="s">
        <v>371</v>
      </c>
      <c r="AO441" s="3" t="s">
        <v>371</v>
      </c>
      <c r="AP441" s="3" t="s">
        <v>371</v>
      </c>
      <c r="AQ441" s="3" t="s">
        <v>371</v>
      </c>
      <c r="AR441" s="3" t="s">
        <v>371</v>
      </c>
      <c r="AS441" s="3" t="s">
        <v>371</v>
      </c>
      <c r="AT441" s="3" t="s">
        <v>371</v>
      </c>
      <c r="AU441" s="3" t="s">
        <v>371</v>
      </c>
      <c r="AV441" s="3" t="s">
        <v>371</v>
      </c>
      <c r="AW441" s="3" t="s">
        <v>371</v>
      </c>
      <c r="AX441" s="1414" t="s">
        <v>92</v>
      </c>
      <c r="AY441" s="3"/>
      <c r="AZ441" s="139"/>
      <c r="BA441" s="139"/>
      <c r="BB441" s="139"/>
      <c r="BC441" s="139"/>
      <c r="BD441" s="139"/>
      <c r="BE441" s="3"/>
    </row>
    <row r="442" spans="1:57" ht="15" customHeight="1" x14ac:dyDescent="0.4">
      <c r="A442" s="3"/>
      <c r="B442" s="7"/>
      <c r="C442" s="8"/>
      <c r="D442" s="7"/>
      <c r="E442" s="7"/>
      <c r="F442" s="7"/>
      <c r="G442" s="7"/>
      <c r="H442" s="14"/>
      <c r="I442" s="3"/>
      <c r="J442" s="3"/>
      <c r="K442" s="3"/>
      <c r="L442" s="3"/>
      <c r="M442" s="5"/>
      <c r="N442" s="5"/>
      <c r="O442" s="5"/>
      <c r="P442" s="5"/>
      <c r="Q442" s="5"/>
      <c r="R442" s="3"/>
      <c r="S442" s="5"/>
      <c r="T442" s="3"/>
      <c r="U442" s="14"/>
      <c r="V442" s="38" t="s">
        <v>369</v>
      </c>
      <c r="W442" s="3" t="s">
        <v>373</v>
      </c>
      <c r="X442" s="38" t="s">
        <v>369</v>
      </c>
      <c r="Y442" s="1443">
        <v>200190033</v>
      </c>
      <c r="Z442" s="1443"/>
      <c r="AA442" s="1443"/>
      <c r="AB442" s="14"/>
      <c r="AC442" s="3"/>
      <c r="AD442" s="3"/>
      <c r="AE442" s="5"/>
      <c r="AF442" s="3"/>
      <c r="AG442" s="38"/>
      <c r="AH442" s="5"/>
      <c r="AI442" s="353">
        <v>6.1600000000000002E-2</v>
      </c>
      <c r="AJ442" s="39"/>
      <c r="AK442" s="39"/>
      <c r="AL442" s="39"/>
      <c r="AM442" s="39">
        <f>AE$439*AI442+SUM(AJ442:AL442)</f>
        <v>0.35868653333333328</v>
      </c>
      <c r="AN442" s="3" t="s">
        <v>371</v>
      </c>
      <c r="AO442" s="3" t="s">
        <v>371</v>
      </c>
      <c r="AP442" s="3" t="s">
        <v>371</v>
      </c>
      <c r="AQ442" s="3" t="s">
        <v>371</v>
      </c>
      <c r="AR442" s="3" t="s">
        <v>371</v>
      </c>
      <c r="AS442" s="3" t="s">
        <v>371</v>
      </c>
      <c r="AT442" s="3" t="s">
        <v>371</v>
      </c>
      <c r="AU442" s="3" t="s">
        <v>371</v>
      </c>
      <c r="AV442" s="3" t="s">
        <v>371</v>
      </c>
      <c r="AW442" s="3" t="s">
        <v>371</v>
      </c>
      <c r="AX442" s="1414" t="s">
        <v>92</v>
      </c>
      <c r="AY442" s="3"/>
      <c r="AZ442" s="139"/>
      <c r="BA442" s="139"/>
      <c r="BB442" s="139"/>
      <c r="BC442" s="139"/>
      <c r="BD442" s="139"/>
      <c r="BE442" s="3"/>
    </row>
    <row r="443" spans="1:57" ht="15" customHeight="1" x14ac:dyDescent="0.4">
      <c r="A443" s="3"/>
      <c r="B443" s="7"/>
      <c r="C443" s="8"/>
      <c r="D443" s="7"/>
      <c r="E443" s="7"/>
      <c r="F443" s="7"/>
      <c r="G443" s="7"/>
      <c r="H443" s="14"/>
      <c r="I443" s="3"/>
      <c r="J443" s="3"/>
      <c r="K443" s="3"/>
      <c r="L443" s="3"/>
      <c r="M443" s="5"/>
      <c r="N443" s="5"/>
      <c r="O443" s="5"/>
      <c r="P443" s="5"/>
      <c r="Q443" s="5"/>
      <c r="R443" s="3"/>
      <c r="S443" s="5"/>
      <c r="T443" s="3"/>
      <c r="U443" s="14"/>
      <c r="V443" s="38" t="s">
        <v>369</v>
      </c>
      <c r="W443" s="3" t="s">
        <v>1849</v>
      </c>
      <c r="X443" s="38" t="s">
        <v>369</v>
      </c>
      <c r="Y443" s="1443">
        <v>200190148</v>
      </c>
      <c r="Z443" s="1443"/>
      <c r="AA443" s="1443"/>
      <c r="AB443" s="14"/>
      <c r="AC443" s="3"/>
      <c r="AD443" s="3"/>
      <c r="AE443" s="5"/>
      <c r="AF443" s="3"/>
      <c r="AG443" s="38"/>
      <c r="AH443" s="5"/>
      <c r="AI443" s="353">
        <v>0.15640000000000001</v>
      </c>
      <c r="AJ443" s="39"/>
      <c r="AK443" s="39"/>
      <c r="AL443" s="39"/>
      <c r="AM443" s="39">
        <f>AE$439*AI443+SUM(AJ443:AL443)</f>
        <v>0.91069113333333329</v>
      </c>
      <c r="AN443" s="3" t="s">
        <v>371</v>
      </c>
      <c r="AO443" s="3" t="s">
        <v>371</v>
      </c>
      <c r="AP443" s="3" t="s">
        <v>371</v>
      </c>
      <c r="AQ443" s="3" t="s">
        <v>371</v>
      </c>
      <c r="AR443" s="3" t="s">
        <v>371</v>
      </c>
      <c r="AS443" s="3" t="s">
        <v>371</v>
      </c>
      <c r="AT443" s="3" t="s">
        <v>371</v>
      </c>
      <c r="AU443" s="3" t="s">
        <v>371</v>
      </c>
      <c r="AV443" s="3" t="s">
        <v>371</v>
      </c>
      <c r="AW443" s="3" t="s">
        <v>371</v>
      </c>
      <c r="AX443" s="1414" t="s">
        <v>92</v>
      </c>
      <c r="AY443" s="3"/>
      <c r="AZ443" s="139"/>
      <c r="BA443" s="139"/>
      <c r="BB443" s="139"/>
      <c r="BC443" s="139"/>
      <c r="BD443" s="139"/>
      <c r="BE443" s="3"/>
    </row>
    <row r="444" spans="1:57" ht="15" customHeight="1" thickBot="1" x14ac:dyDescent="0.45">
      <c r="A444" s="3"/>
      <c r="B444" s="949"/>
      <c r="C444" s="943"/>
      <c r="D444" s="924"/>
      <c r="E444" s="924"/>
      <c r="F444" s="924"/>
      <c r="G444" s="924"/>
      <c r="H444" s="948"/>
      <c r="I444" s="889"/>
      <c r="J444" s="889"/>
      <c r="K444" s="889"/>
      <c r="L444" s="889"/>
      <c r="M444" s="945"/>
      <c r="N444" s="945"/>
      <c r="O444" s="945"/>
      <c r="P444" s="945"/>
      <c r="Q444" s="945"/>
      <c r="R444" s="889"/>
      <c r="S444" s="945"/>
      <c r="T444" s="889"/>
      <c r="U444" s="948"/>
      <c r="V444" s="888" t="s">
        <v>369</v>
      </c>
      <c r="W444" s="889" t="s">
        <v>375</v>
      </c>
      <c r="X444" s="888" t="s">
        <v>369</v>
      </c>
      <c r="Y444" s="1444">
        <v>200190133</v>
      </c>
      <c r="Z444" s="1444"/>
      <c r="AA444" s="1444"/>
      <c r="AB444" s="948"/>
      <c r="AC444" s="889"/>
      <c r="AD444" s="889"/>
      <c r="AE444" s="945"/>
      <c r="AF444" s="889"/>
      <c r="AG444" s="888"/>
      <c r="AH444" s="945"/>
      <c r="AI444" s="1424">
        <v>0</v>
      </c>
      <c r="AJ444" s="947"/>
      <c r="AK444" s="947"/>
      <c r="AL444" s="947"/>
      <c r="AM444" s="947">
        <f>AE$439*AI444+SUM(AJ444:AL444)</f>
        <v>0</v>
      </c>
      <c r="AN444" s="889" t="s">
        <v>92</v>
      </c>
      <c r="AO444" s="889" t="s">
        <v>92</v>
      </c>
      <c r="AP444" s="889" t="s">
        <v>92</v>
      </c>
      <c r="AQ444" s="889" t="s">
        <v>92</v>
      </c>
      <c r="AR444" s="889" t="s">
        <v>92</v>
      </c>
      <c r="AS444" s="889" t="s">
        <v>92</v>
      </c>
      <c r="AT444" s="889" t="s">
        <v>92</v>
      </c>
      <c r="AU444" s="889" t="s">
        <v>92</v>
      </c>
      <c r="AV444" s="889" t="s">
        <v>92</v>
      </c>
      <c r="AW444" s="889" t="s">
        <v>92</v>
      </c>
      <c r="AX444" s="1590" t="s">
        <v>371</v>
      </c>
      <c r="AY444" s="889"/>
      <c r="AZ444" s="139"/>
      <c r="BA444" s="139"/>
      <c r="BB444" s="139"/>
      <c r="BC444" s="139"/>
      <c r="BD444" s="139"/>
      <c r="BE444" s="3"/>
    </row>
    <row r="445" spans="1:57" ht="15" customHeight="1" x14ac:dyDescent="0.4">
      <c r="A445" s="3"/>
      <c r="B445" s="7" t="s">
        <v>511</v>
      </c>
      <c r="C445" s="3"/>
      <c r="D445" s="3"/>
      <c r="E445" s="7"/>
      <c r="F445" s="7"/>
      <c r="G445" s="7"/>
      <c r="H445" s="20"/>
      <c r="I445" s="8" t="s">
        <v>512</v>
      </c>
      <c r="J445" s="3"/>
      <c r="K445" s="3"/>
      <c r="L445" s="3"/>
      <c r="M445" s="5"/>
      <c r="N445" s="5"/>
      <c r="O445" s="5"/>
      <c r="P445" s="5"/>
      <c r="Q445" s="5"/>
      <c r="R445" s="3"/>
      <c r="S445" s="5">
        <v>1</v>
      </c>
      <c r="T445" s="3" t="s">
        <v>385</v>
      </c>
      <c r="U445" s="20"/>
      <c r="V445" s="7"/>
      <c r="W445" s="7"/>
      <c r="X445" s="7"/>
      <c r="Y445" s="1443"/>
      <c r="Z445" s="1443"/>
      <c r="AA445" s="1443"/>
      <c r="AB445" s="20"/>
      <c r="AC445" s="3">
        <v>45</v>
      </c>
      <c r="AD445" s="3">
        <v>4</v>
      </c>
      <c r="AE445" s="5">
        <f>S445*AD445</f>
        <v>4</v>
      </c>
      <c r="AF445" s="3" t="s">
        <v>385</v>
      </c>
      <c r="AG445" s="38">
        <v>6.6000000000000003E-2</v>
      </c>
      <c r="AH445" s="5">
        <f>AG445*AtolbperftSH</f>
        <v>4.1744999999999997E-2</v>
      </c>
      <c r="AI445" s="51"/>
      <c r="AJ445" s="51"/>
      <c r="AK445" s="51"/>
      <c r="AL445" s="51"/>
      <c r="AM445" s="39"/>
      <c r="AN445" s="3" t="s">
        <v>81</v>
      </c>
      <c r="AO445" s="3" t="s">
        <v>81</v>
      </c>
      <c r="AP445" s="3" t="s">
        <v>81</v>
      </c>
      <c r="AQ445" s="3" t="s">
        <v>81</v>
      </c>
      <c r="AR445" s="3" t="s">
        <v>81</v>
      </c>
      <c r="AS445" s="3" t="s">
        <v>81</v>
      </c>
      <c r="AT445" s="3" t="s">
        <v>81</v>
      </c>
      <c r="AU445" s="3" t="s">
        <v>81</v>
      </c>
      <c r="AV445" s="3" t="s">
        <v>81</v>
      </c>
      <c r="AW445" s="3" t="s">
        <v>81</v>
      </c>
      <c r="AX445" s="1414" t="s">
        <v>92</v>
      </c>
      <c r="AY445" s="3"/>
      <c r="AZ445" s="139"/>
      <c r="BA445" s="139"/>
      <c r="BB445" s="139"/>
      <c r="BC445" s="139"/>
      <c r="BD445" s="139"/>
      <c r="BE445" s="3"/>
    </row>
    <row r="446" spans="1:57" ht="15" customHeight="1" x14ac:dyDescent="0.4">
      <c r="A446" s="3"/>
      <c r="B446" s="36"/>
      <c r="C446" s="443"/>
      <c r="D446" s="155"/>
      <c r="E446" s="7"/>
      <c r="F446" s="7"/>
      <c r="G446" s="7"/>
      <c r="H446" s="20"/>
      <c r="I446" s="3"/>
      <c r="J446" s="3"/>
      <c r="K446" s="3"/>
      <c r="L446" s="3"/>
      <c r="M446" s="5"/>
      <c r="N446" s="5"/>
      <c r="O446" s="5"/>
      <c r="P446" s="24"/>
      <c r="Q446" s="24"/>
      <c r="R446" s="3"/>
      <c r="S446" s="5"/>
      <c r="T446" s="3"/>
      <c r="U446" s="20"/>
      <c r="V446" s="38" t="s">
        <v>369</v>
      </c>
      <c r="W446" s="3" t="s">
        <v>370</v>
      </c>
      <c r="X446" s="38" t="s">
        <v>369</v>
      </c>
      <c r="Y446" s="1443">
        <v>200249003</v>
      </c>
      <c r="Z446" s="1443"/>
      <c r="AA446" s="1443"/>
      <c r="AB446" s="20"/>
      <c r="AC446" s="3"/>
      <c r="AD446" s="3"/>
      <c r="AE446" s="5"/>
      <c r="AF446" s="3"/>
      <c r="AG446" s="38"/>
      <c r="AH446" s="5"/>
      <c r="AI446" s="353">
        <v>1.66E-2</v>
      </c>
      <c r="AJ446" s="39"/>
      <c r="AK446" s="39"/>
      <c r="AL446" s="39"/>
      <c r="AM446" s="39">
        <f>AE$445*AI446+SUM(AJ446:AL446)</f>
        <v>6.6400000000000001E-2</v>
      </c>
      <c r="AN446" s="3" t="s">
        <v>81</v>
      </c>
      <c r="AO446" s="3" t="s">
        <v>81</v>
      </c>
      <c r="AP446" s="3" t="s">
        <v>81</v>
      </c>
      <c r="AQ446" s="3" t="s">
        <v>81</v>
      </c>
      <c r="AR446" s="3" t="s">
        <v>81</v>
      </c>
      <c r="AS446" s="3" t="s">
        <v>81</v>
      </c>
      <c r="AT446" s="3" t="s">
        <v>371</v>
      </c>
      <c r="AU446" s="3" t="s">
        <v>81</v>
      </c>
      <c r="AV446" s="3" t="s">
        <v>371</v>
      </c>
      <c r="AW446" s="3" t="s">
        <v>81</v>
      </c>
      <c r="AX446" s="1414" t="s">
        <v>92</v>
      </c>
      <c r="AY446" s="3"/>
      <c r="AZ446" s="139"/>
      <c r="BA446" s="139"/>
      <c r="BB446" s="139"/>
      <c r="BC446" s="139"/>
      <c r="BD446" s="139"/>
      <c r="BE446" s="3"/>
    </row>
    <row r="447" spans="1:57" ht="15" customHeight="1" x14ac:dyDescent="0.4">
      <c r="A447" s="3"/>
      <c r="B447" s="36"/>
      <c r="C447" s="36"/>
      <c r="D447" s="155"/>
      <c r="E447" s="155"/>
      <c r="F447" s="155"/>
      <c r="G447" s="7"/>
      <c r="H447" s="20"/>
      <c r="I447" s="3"/>
      <c r="J447" s="3"/>
      <c r="K447" s="3"/>
      <c r="L447" s="3"/>
      <c r="M447" s="5"/>
      <c r="N447" s="5"/>
      <c r="O447" s="5"/>
      <c r="P447" s="24"/>
      <c r="Q447" s="24"/>
      <c r="R447" s="3"/>
      <c r="S447" s="5"/>
      <c r="T447" s="3"/>
      <c r="U447" s="20"/>
      <c r="V447" s="38" t="s">
        <v>369</v>
      </c>
      <c r="W447" s="3" t="s">
        <v>372</v>
      </c>
      <c r="X447" s="38" t="s">
        <v>369</v>
      </c>
      <c r="Y447" s="1443">
        <v>200249021</v>
      </c>
      <c r="Z447" s="1443"/>
      <c r="AA447" s="1443"/>
      <c r="AB447" s="20"/>
      <c r="AC447" s="3"/>
      <c r="AD447" s="3"/>
      <c r="AE447" s="5"/>
      <c r="AF447" s="3"/>
      <c r="AG447" s="3"/>
      <c r="AH447" s="5"/>
      <c r="AI447" s="353">
        <v>1.7899999999999999E-2</v>
      </c>
      <c r="AJ447" s="39"/>
      <c r="AK447" s="39"/>
      <c r="AL447" s="39"/>
      <c r="AM447" s="39">
        <f t="shared" ref="AM447:AM451" si="65">AE$445*AI447+SUM(AJ447:AL447)</f>
        <v>7.1599999999999997E-2</v>
      </c>
      <c r="AN447" s="3" t="s">
        <v>371</v>
      </c>
      <c r="AO447" s="3" t="s">
        <v>371</v>
      </c>
      <c r="AP447" s="3" t="s">
        <v>371</v>
      </c>
      <c r="AQ447" s="3" t="s">
        <v>371</v>
      </c>
      <c r="AR447" s="3" t="s">
        <v>371</v>
      </c>
      <c r="AS447" s="3" t="s">
        <v>371</v>
      </c>
      <c r="AT447" s="3" t="s">
        <v>371</v>
      </c>
      <c r="AU447" s="3" t="s">
        <v>371</v>
      </c>
      <c r="AV447" s="3" t="s">
        <v>371</v>
      </c>
      <c r="AW447" s="3" t="s">
        <v>371</v>
      </c>
      <c r="AX447" s="1414" t="s">
        <v>92</v>
      </c>
      <c r="AY447" s="3"/>
      <c r="AZ447" s="139"/>
      <c r="BA447" s="139"/>
      <c r="BB447" s="139"/>
      <c r="BC447" s="139"/>
      <c r="BD447" s="139"/>
      <c r="BE447" s="3"/>
    </row>
    <row r="448" spans="1:57" ht="15.75" customHeight="1" x14ac:dyDescent="0.4">
      <c r="A448" s="3"/>
      <c r="B448" s="36"/>
      <c r="C448" s="36"/>
      <c r="D448" s="155"/>
      <c r="E448" s="155"/>
      <c r="F448" s="155"/>
      <c r="G448" s="7"/>
      <c r="H448" s="20"/>
      <c r="I448" s="3"/>
      <c r="J448" s="3"/>
      <c r="K448" s="3"/>
      <c r="L448" s="3"/>
      <c r="M448" s="5"/>
      <c r="N448" s="5"/>
      <c r="O448" s="5"/>
      <c r="P448" s="24"/>
      <c r="Q448" s="24"/>
      <c r="R448" s="3"/>
      <c r="S448" s="5"/>
      <c r="T448" s="3"/>
      <c r="U448" s="20"/>
      <c r="V448" s="38" t="s">
        <v>369</v>
      </c>
      <c r="W448" s="3" t="s">
        <v>373</v>
      </c>
      <c r="X448" s="38" t="s">
        <v>369</v>
      </c>
      <c r="Y448" s="1443">
        <v>200249033</v>
      </c>
      <c r="Z448" s="1443"/>
      <c r="AA448" s="1443"/>
      <c r="AB448" s="20"/>
      <c r="AC448" s="3"/>
      <c r="AD448" s="3"/>
      <c r="AE448" s="5"/>
      <c r="AF448" s="3"/>
      <c r="AG448" s="3"/>
      <c r="AH448" s="5"/>
      <c r="AI448" s="353">
        <v>1.8200000000000001E-2</v>
      </c>
      <c r="AJ448" s="39"/>
      <c r="AK448" s="39"/>
      <c r="AL448" s="39"/>
      <c r="AM448" s="39">
        <f t="shared" si="65"/>
        <v>7.2800000000000004E-2</v>
      </c>
      <c r="AN448" s="3" t="s">
        <v>371</v>
      </c>
      <c r="AO448" s="3" t="s">
        <v>371</v>
      </c>
      <c r="AP448" s="3" t="s">
        <v>371</v>
      </c>
      <c r="AQ448" s="3" t="s">
        <v>371</v>
      </c>
      <c r="AR448" s="3" t="s">
        <v>371</v>
      </c>
      <c r="AS448" s="3" t="s">
        <v>371</v>
      </c>
      <c r="AT448" s="3" t="s">
        <v>371</v>
      </c>
      <c r="AU448" s="3" t="s">
        <v>371</v>
      </c>
      <c r="AV448" s="3" t="s">
        <v>81</v>
      </c>
      <c r="AW448" s="3" t="s">
        <v>371</v>
      </c>
      <c r="AX448" s="1414" t="s">
        <v>92</v>
      </c>
      <c r="AY448" s="3"/>
      <c r="AZ448" s="139"/>
      <c r="BA448" s="139"/>
      <c r="BB448" s="139"/>
      <c r="BC448" s="139"/>
      <c r="BD448" s="139"/>
      <c r="BE448" s="3"/>
    </row>
    <row r="449" spans="1:57" ht="15.75" customHeight="1" x14ac:dyDescent="0.4">
      <c r="A449" s="3"/>
      <c r="B449" s="36"/>
      <c r="C449" s="36"/>
      <c r="D449" s="155"/>
      <c r="E449" s="155"/>
      <c r="F449" s="155"/>
      <c r="G449" s="7"/>
      <c r="H449" s="20"/>
      <c r="I449" s="3"/>
      <c r="J449" s="3"/>
      <c r="K449" s="3"/>
      <c r="L449" s="3"/>
      <c r="M449" s="5"/>
      <c r="N449" s="5"/>
      <c r="O449" s="5"/>
      <c r="P449" s="24"/>
      <c r="Q449" s="24"/>
      <c r="R449" s="3"/>
      <c r="S449" s="5"/>
      <c r="T449" s="3"/>
      <c r="U449" s="20"/>
      <c r="V449" s="38" t="s">
        <v>369</v>
      </c>
      <c r="W449" s="3" t="s">
        <v>374</v>
      </c>
      <c r="X449" s="38" t="s">
        <v>369</v>
      </c>
      <c r="Y449" s="1443">
        <v>200249090</v>
      </c>
      <c r="Z449" s="1443"/>
      <c r="AA449" s="1443"/>
      <c r="AB449" s="20"/>
      <c r="AC449" s="3"/>
      <c r="AD449" s="3"/>
      <c r="AE449" s="5"/>
      <c r="AF449" s="3"/>
      <c r="AG449" s="3"/>
      <c r="AH449" s="5"/>
      <c r="AI449" s="353">
        <v>1.43E-2</v>
      </c>
      <c r="AJ449" s="39"/>
      <c r="AK449" s="39"/>
      <c r="AL449" s="39"/>
      <c r="AM449" s="39">
        <f>AE$445*AI449+SUM(AJ449:AL449)</f>
        <v>5.7200000000000001E-2</v>
      </c>
      <c r="AN449" s="3" t="s">
        <v>371</v>
      </c>
      <c r="AO449" s="3" t="s">
        <v>371</v>
      </c>
      <c r="AP449" s="3" t="s">
        <v>371</v>
      </c>
      <c r="AQ449" s="3" t="s">
        <v>371</v>
      </c>
      <c r="AR449" s="3" t="s">
        <v>371</v>
      </c>
      <c r="AS449" s="3" t="s">
        <v>371</v>
      </c>
      <c r="AT449" s="3" t="s">
        <v>81</v>
      </c>
      <c r="AU449" s="3" t="s">
        <v>371</v>
      </c>
      <c r="AV449" s="3" t="s">
        <v>371</v>
      </c>
      <c r="AW449" s="3" t="s">
        <v>371</v>
      </c>
      <c r="AX449" s="1414" t="s">
        <v>92</v>
      </c>
      <c r="AY449" s="3"/>
      <c r="AZ449" s="139"/>
      <c r="BA449" s="139"/>
      <c r="BB449" s="139"/>
      <c r="BC449" s="139"/>
      <c r="BD449" s="139"/>
      <c r="BE449" s="3"/>
    </row>
    <row r="450" spans="1:57" ht="15.75" customHeight="1" x14ac:dyDescent="0.4">
      <c r="A450" s="3"/>
      <c r="B450" s="36"/>
      <c r="C450" s="36"/>
      <c r="D450" s="155"/>
      <c r="E450" s="155"/>
      <c r="F450" s="155"/>
      <c r="G450" s="7"/>
      <c r="H450" s="20"/>
      <c r="I450" s="3"/>
      <c r="J450" s="3"/>
      <c r="K450" s="3"/>
      <c r="L450" s="3"/>
      <c r="M450" s="5"/>
      <c r="N450" s="5"/>
      <c r="O450" s="5"/>
      <c r="P450" s="24"/>
      <c r="Q450" s="24"/>
      <c r="R450" s="3"/>
      <c r="S450" s="5"/>
      <c r="T450" s="3"/>
      <c r="U450" s="20"/>
      <c r="V450" s="38" t="s">
        <v>369</v>
      </c>
      <c r="W450" s="3" t="s">
        <v>375</v>
      </c>
      <c r="X450" s="38" t="s">
        <v>369</v>
      </c>
      <c r="Y450" s="1443">
        <v>200249133</v>
      </c>
      <c r="Z450" s="1443"/>
      <c r="AA450" s="1443"/>
      <c r="AB450" s="20"/>
      <c r="AC450" s="3"/>
      <c r="AD450" s="3"/>
      <c r="AE450" s="5"/>
      <c r="AF450" s="3"/>
      <c r="AG450" s="3"/>
      <c r="AH450" s="5"/>
      <c r="AI450" s="353">
        <v>3.7499999999999999E-2</v>
      </c>
      <c r="AJ450" s="39"/>
      <c r="AK450" s="39"/>
      <c r="AL450" s="39"/>
      <c r="AM450" s="39">
        <f t="shared" ref="AM450" si="66">AE$445*AI450+SUM(AJ450:AL450)</f>
        <v>0.15</v>
      </c>
      <c r="AN450" s="3" t="s">
        <v>371</v>
      </c>
      <c r="AO450" s="3" t="s">
        <v>371</v>
      </c>
      <c r="AP450" s="3" t="s">
        <v>371</v>
      </c>
      <c r="AQ450" s="3" t="s">
        <v>371</v>
      </c>
      <c r="AR450" s="3" t="s">
        <v>371</v>
      </c>
      <c r="AS450" s="3" t="s">
        <v>371</v>
      </c>
      <c r="AT450" s="3" t="s">
        <v>371</v>
      </c>
      <c r="AU450" s="3" t="s">
        <v>371</v>
      </c>
      <c r="AV450" s="3" t="s">
        <v>371</v>
      </c>
      <c r="AW450" s="3" t="s">
        <v>371</v>
      </c>
      <c r="AX450" s="1414" t="s">
        <v>81</v>
      </c>
      <c r="AY450" s="3"/>
      <c r="AZ450" s="139"/>
      <c r="BA450" s="139"/>
      <c r="BB450" s="139"/>
      <c r="BC450" s="139"/>
      <c r="BD450" s="139"/>
      <c r="BE450" s="3"/>
    </row>
    <row r="451" spans="1:57" ht="15.75" customHeight="1" thickBot="1" x14ac:dyDescent="0.45">
      <c r="A451" s="3"/>
      <c r="B451" s="943"/>
      <c r="C451" s="943"/>
      <c r="D451" s="925"/>
      <c r="E451" s="925"/>
      <c r="F451" s="925"/>
      <c r="G451" s="924"/>
      <c r="H451" s="20"/>
      <c r="I451" s="889"/>
      <c r="J451" s="889"/>
      <c r="K451" s="889"/>
      <c r="L451" s="889"/>
      <c r="M451" s="945"/>
      <c r="N451" s="945"/>
      <c r="O451" s="945"/>
      <c r="P451" s="1020"/>
      <c r="Q451" s="1020"/>
      <c r="R451" s="889"/>
      <c r="S451" s="945"/>
      <c r="T451" s="889"/>
      <c r="U451" s="887"/>
      <c r="V451" s="1876" t="s">
        <v>369</v>
      </c>
      <c r="W451" s="1877" t="s">
        <v>1849</v>
      </c>
      <c r="X451" s="1876" t="s">
        <v>369</v>
      </c>
      <c r="Y451" s="1878">
        <v>200249148</v>
      </c>
      <c r="Z451" s="1444"/>
      <c r="AA451" s="1444"/>
      <c r="AB451" s="887"/>
      <c r="AC451" s="889"/>
      <c r="AD451" s="889"/>
      <c r="AE451" s="945"/>
      <c r="AF451" s="889"/>
      <c r="AG451" s="889"/>
      <c r="AH451" s="945"/>
      <c r="AI451" s="1424">
        <v>3.5499999999999997E-2</v>
      </c>
      <c r="AJ451" s="947"/>
      <c r="AK451" s="947"/>
      <c r="AL451" s="947"/>
      <c r="AM451" s="947">
        <f t="shared" si="65"/>
        <v>0.14199999999999999</v>
      </c>
      <c r="AN451" s="889" t="s">
        <v>371</v>
      </c>
      <c r="AO451" s="889" t="s">
        <v>371</v>
      </c>
      <c r="AP451" s="889" t="s">
        <v>371</v>
      </c>
      <c r="AQ451" s="889" t="s">
        <v>371</v>
      </c>
      <c r="AR451" s="889" t="s">
        <v>371</v>
      </c>
      <c r="AS451" s="889" t="s">
        <v>371</v>
      </c>
      <c r="AT451" s="889" t="s">
        <v>371</v>
      </c>
      <c r="AU451" s="889" t="s">
        <v>371</v>
      </c>
      <c r="AV451" s="889" t="s">
        <v>371</v>
      </c>
      <c r="AW451" s="889" t="s">
        <v>371</v>
      </c>
      <c r="AX451" s="1590" t="s">
        <v>92</v>
      </c>
      <c r="AY451" s="889"/>
      <c r="AZ451" s="139"/>
      <c r="BA451" s="139"/>
      <c r="BB451" s="139"/>
      <c r="BC451" s="139"/>
      <c r="BD451" s="139"/>
      <c r="BE451" s="3"/>
    </row>
    <row r="452" spans="1:57" ht="15" customHeight="1" x14ac:dyDescent="0.4">
      <c r="A452" s="3"/>
      <c r="B452" s="7" t="s">
        <v>2194</v>
      </c>
      <c r="C452" s="3"/>
      <c r="D452" s="3"/>
      <c r="E452" s="7"/>
      <c r="F452" s="7"/>
      <c r="G452" s="7"/>
      <c r="H452" s="20"/>
      <c r="I452" s="8" t="s">
        <v>365</v>
      </c>
      <c r="J452" s="3" t="s">
        <v>346</v>
      </c>
      <c r="K452" s="3">
        <v>2</v>
      </c>
      <c r="L452" s="3" t="s">
        <v>348</v>
      </c>
      <c r="M452" s="5">
        <f>-1.4375-0.5</f>
        <v>-1.9375</v>
      </c>
      <c r="N452" s="5"/>
      <c r="O452" s="5"/>
      <c r="P452" s="5" t="s">
        <v>348</v>
      </c>
      <c r="Q452" s="5" t="s">
        <v>2211</v>
      </c>
      <c r="R452" s="3"/>
      <c r="S452" s="5">
        <f>(SHHeight/K452+M452+SHCORnd)/12</f>
        <v>2.921875</v>
      </c>
      <c r="T452" s="3" t="s">
        <v>367</v>
      </c>
      <c r="U452" s="20"/>
      <c r="V452" s="7"/>
      <c r="W452" s="7"/>
      <c r="X452" s="7"/>
      <c r="Y452" s="1443"/>
      <c r="Z452" s="1443"/>
      <c r="AA452" s="1443"/>
      <c r="AB452" s="20"/>
      <c r="AC452" s="3">
        <v>45</v>
      </c>
      <c r="AD452" s="3">
        <v>2</v>
      </c>
      <c r="AE452" s="5">
        <f>S452*AD452</f>
        <v>5.84375</v>
      </c>
      <c r="AF452" s="3" t="s">
        <v>367</v>
      </c>
      <c r="AG452" s="38">
        <v>6.6000000000000003E-2</v>
      </c>
      <c r="AH452" s="5">
        <f>AG452*AtolbperftSH</f>
        <v>4.1744999999999997E-2</v>
      </c>
      <c r="AI452" s="51"/>
      <c r="AJ452" s="51"/>
      <c r="AK452" s="51"/>
      <c r="AL452" s="51"/>
      <c r="AM452" s="39"/>
      <c r="AN452" s="3" t="s">
        <v>92</v>
      </c>
      <c r="AO452" s="3" t="s">
        <v>92</v>
      </c>
      <c r="AP452" s="3" t="s">
        <v>92</v>
      </c>
      <c r="AQ452" s="3" t="s">
        <v>92</v>
      </c>
      <c r="AR452" s="3" t="s">
        <v>92</v>
      </c>
      <c r="AS452" s="3" t="s">
        <v>92</v>
      </c>
      <c r="AT452" s="3" t="s">
        <v>92</v>
      </c>
      <c r="AU452" s="3" t="s">
        <v>92</v>
      </c>
      <c r="AV452" s="3" t="s">
        <v>92</v>
      </c>
      <c r="AW452" s="3" t="s">
        <v>92</v>
      </c>
      <c r="AX452" s="1414" t="s">
        <v>92</v>
      </c>
      <c r="AY452" s="3"/>
      <c r="AZ452" s="3"/>
      <c r="BA452" s="139"/>
      <c r="BB452" s="139"/>
      <c r="BC452" s="139"/>
      <c r="BD452" s="139"/>
      <c r="BE452" s="139"/>
    </row>
    <row r="453" spans="1:57" ht="15" customHeight="1" x14ac:dyDescent="0.4">
      <c r="A453" s="3"/>
      <c r="B453" s="1490" t="s">
        <v>2086</v>
      </c>
      <c r="C453" s="443"/>
      <c r="D453" s="155"/>
      <c r="E453" s="7"/>
      <c r="F453" s="7"/>
      <c r="G453" s="7"/>
      <c r="H453" s="20"/>
      <c r="I453" s="3"/>
      <c r="J453" s="3"/>
      <c r="K453" s="3"/>
      <c r="L453" s="3"/>
      <c r="M453" s="5"/>
      <c r="N453" s="5"/>
      <c r="O453" s="5"/>
      <c r="P453" s="24"/>
      <c r="Q453" s="24"/>
      <c r="R453" s="3"/>
      <c r="S453" s="5"/>
      <c r="T453" s="3"/>
      <c r="U453" s="20"/>
      <c r="V453" s="279" t="s">
        <v>369</v>
      </c>
      <c r="W453" s="112" t="s">
        <v>370</v>
      </c>
      <c r="X453" s="279" t="s">
        <v>369</v>
      </c>
      <c r="Y453" s="1871">
        <v>207956003</v>
      </c>
      <c r="Z453" s="1443"/>
      <c r="AA453" s="1443"/>
      <c r="AB453" s="20"/>
      <c r="AC453" s="3"/>
      <c r="AD453" s="3"/>
      <c r="AE453" s="5"/>
      <c r="AF453" s="3"/>
      <c r="AG453" s="38"/>
      <c r="AH453" s="5"/>
      <c r="AI453" s="353">
        <f>0.1249/12</f>
        <v>1.0408333333333334E-2</v>
      </c>
      <c r="AJ453" s="39"/>
      <c r="AK453" s="39"/>
      <c r="AL453" s="39"/>
      <c r="AM453" s="39">
        <f>AE$436*AI453+SUM(AJ453:AL453)</f>
        <v>0</v>
      </c>
      <c r="AN453" s="3" t="s">
        <v>92</v>
      </c>
      <c r="AO453" s="3" t="s">
        <v>92</v>
      </c>
      <c r="AP453" s="3" t="s">
        <v>92</v>
      </c>
      <c r="AQ453" s="3" t="s">
        <v>92</v>
      </c>
      <c r="AR453" s="3" t="s">
        <v>92</v>
      </c>
      <c r="AS453" s="3" t="s">
        <v>92</v>
      </c>
      <c r="AT453" s="3" t="s">
        <v>92</v>
      </c>
      <c r="AU453" s="3" t="s">
        <v>92</v>
      </c>
      <c r="AV453" s="3" t="s">
        <v>92</v>
      </c>
      <c r="AW453" s="3" t="s">
        <v>92</v>
      </c>
      <c r="AX453" s="1414" t="s">
        <v>92</v>
      </c>
      <c r="AY453" s="3"/>
      <c r="AZ453" s="3"/>
      <c r="BA453" s="139"/>
      <c r="BB453" s="139"/>
      <c r="BC453" s="139"/>
      <c r="BD453" s="139"/>
      <c r="BE453" s="139"/>
    </row>
    <row r="454" spans="1:57" ht="15" customHeight="1" x14ac:dyDescent="0.4">
      <c r="A454" s="3"/>
      <c r="B454" s="36"/>
      <c r="C454" s="36"/>
      <c r="D454" s="155"/>
      <c r="E454" s="155"/>
      <c r="F454" s="1490"/>
      <c r="G454" s="7"/>
      <c r="H454" s="20"/>
      <c r="I454" s="3"/>
      <c r="J454" s="3"/>
      <c r="K454" s="3"/>
      <c r="L454" s="3"/>
      <c r="M454" s="5"/>
      <c r="N454" s="5"/>
      <c r="O454" s="5"/>
      <c r="P454" s="24"/>
      <c r="Q454" s="24"/>
      <c r="R454" s="3"/>
      <c r="S454" s="5"/>
      <c r="T454" s="3"/>
      <c r="U454" s="20"/>
      <c r="V454" s="279" t="s">
        <v>369</v>
      </c>
      <c r="W454" s="112" t="s">
        <v>372</v>
      </c>
      <c r="X454" s="279" t="s">
        <v>369</v>
      </c>
      <c r="Y454" s="1871">
        <v>207956021</v>
      </c>
      <c r="Z454" s="1443"/>
      <c r="AA454" s="1443"/>
      <c r="AB454" s="20"/>
      <c r="AC454" s="3"/>
      <c r="AD454" s="3"/>
      <c r="AE454" s="5"/>
      <c r="AF454" s="3"/>
      <c r="AG454" s="3"/>
      <c r="AH454" s="5"/>
      <c r="AI454" s="353">
        <f>0.1346/12</f>
        <v>1.1216666666666666E-2</v>
      </c>
      <c r="AJ454" s="39"/>
      <c r="AK454" s="39"/>
      <c r="AL454" s="39"/>
      <c r="AM454" s="39">
        <f t="shared" ref="AM454:AM455" si="67">AE$436*AI454+SUM(AJ454:AL454)</f>
        <v>0</v>
      </c>
      <c r="AN454" s="3" t="s">
        <v>92</v>
      </c>
      <c r="AO454" s="3" t="s">
        <v>92</v>
      </c>
      <c r="AP454" s="3" t="s">
        <v>92</v>
      </c>
      <c r="AQ454" s="3" t="s">
        <v>92</v>
      </c>
      <c r="AR454" s="3" t="s">
        <v>92</v>
      </c>
      <c r="AS454" s="3" t="s">
        <v>92</v>
      </c>
      <c r="AT454" s="3" t="s">
        <v>92</v>
      </c>
      <c r="AU454" s="3" t="s">
        <v>92</v>
      </c>
      <c r="AV454" s="3" t="s">
        <v>92</v>
      </c>
      <c r="AW454" s="3" t="s">
        <v>92</v>
      </c>
      <c r="AX454" s="1414" t="s">
        <v>92</v>
      </c>
      <c r="AY454" s="3"/>
      <c r="AZ454" s="3"/>
      <c r="BA454" s="139"/>
      <c r="BB454" s="139"/>
      <c r="BC454" s="139"/>
      <c r="BD454" s="139"/>
      <c r="BE454" s="139"/>
    </row>
    <row r="455" spans="1:57" ht="15.75" customHeight="1" thickBot="1" x14ac:dyDescent="0.45">
      <c r="A455" s="3"/>
      <c r="B455" s="943"/>
      <c r="C455" s="943"/>
      <c r="D455" s="925"/>
      <c r="E455" s="925"/>
      <c r="F455" s="925"/>
      <c r="G455" s="924"/>
      <c r="H455" s="20"/>
      <c r="I455" s="889"/>
      <c r="J455" s="889"/>
      <c r="K455" s="889"/>
      <c r="L455" s="889"/>
      <c r="M455" s="945"/>
      <c r="N455" s="945"/>
      <c r="O455" s="945"/>
      <c r="P455" s="1020"/>
      <c r="Q455" s="1020"/>
      <c r="R455" s="889"/>
      <c r="S455" s="945"/>
      <c r="T455" s="889"/>
      <c r="U455" s="20"/>
      <c r="V455" s="1876" t="s">
        <v>369</v>
      </c>
      <c r="W455" s="1877" t="s">
        <v>373</v>
      </c>
      <c r="X455" s="1876" t="s">
        <v>369</v>
      </c>
      <c r="Y455" s="1878">
        <v>207956033</v>
      </c>
      <c r="Z455" s="1444"/>
      <c r="AA455" s="1444"/>
      <c r="AB455" s="20"/>
      <c r="AC455" s="889"/>
      <c r="AD455" s="889"/>
      <c r="AE455" s="945"/>
      <c r="AF455" s="889"/>
      <c r="AG455" s="889"/>
      <c r="AH455" s="945"/>
      <c r="AI455" s="1424">
        <f>0.1368/12</f>
        <v>1.14E-2</v>
      </c>
      <c r="AJ455" s="947"/>
      <c r="AK455" s="947"/>
      <c r="AL455" s="947"/>
      <c r="AM455" s="947">
        <f t="shared" si="67"/>
        <v>0</v>
      </c>
      <c r="AN455" s="889" t="s">
        <v>92</v>
      </c>
      <c r="AO455" s="889" t="s">
        <v>92</v>
      </c>
      <c r="AP455" s="889" t="s">
        <v>92</v>
      </c>
      <c r="AQ455" s="889" t="s">
        <v>92</v>
      </c>
      <c r="AR455" s="889" t="s">
        <v>92</v>
      </c>
      <c r="AS455" s="889" t="s">
        <v>92</v>
      </c>
      <c r="AT455" s="889" t="s">
        <v>92</v>
      </c>
      <c r="AU455" s="889" t="s">
        <v>92</v>
      </c>
      <c r="AV455" s="889" t="s">
        <v>92</v>
      </c>
      <c r="AW455" s="889" t="s">
        <v>92</v>
      </c>
      <c r="AX455" s="1590" t="s">
        <v>92</v>
      </c>
      <c r="AY455" s="889"/>
      <c r="AZ455" s="889"/>
      <c r="BA455" s="139"/>
      <c r="BB455" s="139"/>
      <c r="BC455" s="139"/>
      <c r="BD455" s="139"/>
      <c r="BE455" s="139"/>
    </row>
    <row r="456" spans="1:57" ht="15" customHeight="1" x14ac:dyDescent="0.4">
      <c r="A456" s="3"/>
      <c r="B456" s="7" t="s">
        <v>513</v>
      </c>
      <c r="C456" s="3"/>
      <c r="D456" s="3"/>
      <c r="E456" s="7"/>
      <c r="F456" s="7"/>
      <c r="G456" s="7"/>
      <c r="H456" s="20"/>
      <c r="I456" s="8" t="s">
        <v>514</v>
      </c>
      <c r="J456" s="3"/>
      <c r="K456" s="3"/>
      <c r="L456" s="3"/>
      <c r="M456" s="5"/>
      <c r="N456" s="5"/>
      <c r="O456" s="5"/>
      <c r="P456" s="5"/>
      <c r="Q456" s="5"/>
      <c r="R456" s="3"/>
      <c r="S456" s="5">
        <v>1</v>
      </c>
      <c r="T456" s="3" t="s">
        <v>385</v>
      </c>
      <c r="U456" s="20"/>
      <c r="V456" s="7"/>
      <c r="W456" s="7"/>
      <c r="X456" s="7"/>
      <c r="Y456" s="1443"/>
      <c r="Z456" s="1443"/>
      <c r="AA456" s="1443"/>
      <c r="AB456" s="20"/>
      <c r="AC456" s="3">
        <v>45</v>
      </c>
      <c r="AD456" s="3">
        <v>2</v>
      </c>
      <c r="AE456" s="5">
        <f>S456*AD456</f>
        <v>2</v>
      </c>
      <c r="AF456" s="3" t="s">
        <v>385</v>
      </c>
      <c r="AG456" s="38">
        <v>9.0999999999999998E-2</v>
      </c>
      <c r="AH456" s="5">
        <f>AG456*AtolbperftSH</f>
        <v>5.7557499999999991E-2</v>
      </c>
      <c r="AI456" s="51"/>
      <c r="AJ456" s="51"/>
      <c r="AK456" s="51"/>
      <c r="AL456" s="51"/>
      <c r="AM456" s="39"/>
      <c r="AN456" s="3" t="s">
        <v>81</v>
      </c>
      <c r="AO456" s="3" t="s">
        <v>81</v>
      </c>
      <c r="AP456" s="3" t="s">
        <v>81</v>
      </c>
      <c r="AQ456" s="3" t="s">
        <v>81</v>
      </c>
      <c r="AR456" s="3" t="s">
        <v>81</v>
      </c>
      <c r="AS456" s="3" t="s">
        <v>81</v>
      </c>
      <c r="AT456" s="3" t="s">
        <v>81</v>
      </c>
      <c r="AU456" s="3" t="s">
        <v>81</v>
      </c>
      <c r="AV456" s="3" t="s">
        <v>81</v>
      </c>
      <c r="AW456" s="3" t="s">
        <v>81</v>
      </c>
      <c r="AX456" s="1414" t="s">
        <v>81</v>
      </c>
      <c r="AY456" s="3"/>
      <c r="AZ456" s="139"/>
      <c r="BA456" s="139"/>
      <c r="BB456" s="139"/>
      <c r="BC456" s="139"/>
      <c r="BD456" s="139"/>
      <c r="BE456" s="3"/>
    </row>
    <row r="457" spans="1:57" ht="15.75" customHeight="1" x14ac:dyDescent="0.4">
      <c r="A457" s="3"/>
      <c r="B457" s="36"/>
      <c r="C457" s="443"/>
      <c r="D457" s="155"/>
      <c r="E457" s="7"/>
      <c r="F457" s="7"/>
      <c r="G457" s="7"/>
      <c r="H457" s="20"/>
      <c r="I457" s="3"/>
      <c r="J457" s="3"/>
      <c r="K457" s="3"/>
      <c r="L457" s="3"/>
      <c r="M457" s="5"/>
      <c r="N457" s="5"/>
      <c r="O457" s="5"/>
      <c r="P457" s="24"/>
      <c r="Q457" s="24"/>
      <c r="R457" s="3"/>
      <c r="S457" s="5"/>
      <c r="T457" s="3"/>
      <c r="U457" s="20"/>
      <c r="V457" s="38" t="s">
        <v>369</v>
      </c>
      <c r="W457" s="3" t="s">
        <v>386</v>
      </c>
      <c r="X457" s="38" t="s">
        <v>369</v>
      </c>
      <c r="Y457" s="1443">
        <v>200182008</v>
      </c>
      <c r="Z457" s="1443"/>
      <c r="AA457" s="1443"/>
      <c r="AB457" s="20"/>
      <c r="AC457" s="3"/>
      <c r="AD457" s="3"/>
      <c r="AE457" s="5"/>
      <c r="AF457" s="3"/>
      <c r="AG457" s="38"/>
      <c r="AH457" s="5"/>
      <c r="AI457" s="353">
        <v>9.2999999999999992E-3</v>
      </c>
      <c r="AJ457" s="39"/>
      <c r="AK457" s="39"/>
      <c r="AL457" s="39"/>
      <c r="AM457" s="39">
        <f>AE$456*AI457+SUM(AJ457:AL457)</f>
        <v>1.8599999999999998E-2</v>
      </c>
      <c r="AN457" s="3" t="s">
        <v>81</v>
      </c>
      <c r="AO457" s="3" t="s">
        <v>81</v>
      </c>
      <c r="AP457" s="3" t="s">
        <v>81</v>
      </c>
      <c r="AQ457" s="3" t="s">
        <v>81</v>
      </c>
      <c r="AR457" s="3" t="s">
        <v>81</v>
      </c>
      <c r="AS457" s="3" t="s">
        <v>81</v>
      </c>
      <c r="AT457" s="3" t="s">
        <v>81</v>
      </c>
      <c r="AU457" s="3" t="s">
        <v>81</v>
      </c>
      <c r="AV457" s="3" t="s">
        <v>81</v>
      </c>
      <c r="AW457" s="3" t="s">
        <v>81</v>
      </c>
      <c r="AX457" s="1414" t="s">
        <v>81</v>
      </c>
      <c r="AY457" s="3"/>
      <c r="AZ457" s="139"/>
      <c r="BA457" s="139"/>
      <c r="BB457" s="139"/>
      <c r="BC457" s="139"/>
      <c r="BD457" s="139"/>
      <c r="BE457" s="3"/>
    </row>
    <row r="458" spans="1:57" ht="15.75" customHeight="1" x14ac:dyDescent="0.4">
      <c r="A458" s="3"/>
      <c r="B458" s="36"/>
      <c r="C458" s="443"/>
      <c r="D458" s="155"/>
      <c r="E458" s="7"/>
      <c r="F458" s="7"/>
      <c r="G458" s="7"/>
      <c r="H458" s="20"/>
      <c r="I458" s="3"/>
      <c r="J458" s="3"/>
      <c r="K458" s="3"/>
      <c r="L458" s="3"/>
      <c r="M458" s="5"/>
      <c r="N458" s="5"/>
      <c r="O458" s="5"/>
      <c r="P458" s="24"/>
      <c r="Q458" s="24"/>
      <c r="R458" s="3"/>
      <c r="S458" s="5"/>
      <c r="T458" s="3"/>
      <c r="U458" s="20"/>
      <c r="V458" s="38"/>
      <c r="W458" s="3"/>
      <c r="X458" s="38"/>
      <c r="Y458" s="1443"/>
      <c r="Z458" s="1443"/>
      <c r="AA458" s="1443"/>
      <c r="AB458" s="20"/>
      <c r="AC458" s="3"/>
      <c r="AD458" s="3"/>
      <c r="AE458" s="5"/>
      <c r="AF458" s="3"/>
      <c r="AG458" s="38"/>
      <c r="AH458" s="5"/>
      <c r="AI458" s="51"/>
      <c r="AJ458" s="39"/>
      <c r="AK458" s="39"/>
      <c r="AL458" s="39"/>
      <c r="AM458" s="39"/>
      <c r="AN458" s="3" t="s">
        <v>81</v>
      </c>
      <c r="AO458" s="3" t="s">
        <v>81</v>
      </c>
      <c r="AP458" s="3" t="s">
        <v>81</v>
      </c>
      <c r="AQ458" s="3" t="s">
        <v>81</v>
      </c>
      <c r="AR458" s="3" t="s">
        <v>81</v>
      </c>
      <c r="AS458" s="3" t="s">
        <v>81</v>
      </c>
      <c r="AT458" s="3" t="s">
        <v>81</v>
      </c>
      <c r="AU458" s="3" t="s">
        <v>81</v>
      </c>
      <c r="AV458" s="3" t="s">
        <v>81</v>
      </c>
      <c r="AW458" s="3" t="s">
        <v>81</v>
      </c>
      <c r="AX458" s="1414" t="s">
        <v>81</v>
      </c>
      <c r="AY458" s="3"/>
      <c r="AZ458" s="139"/>
      <c r="BA458" s="139"/>
      <c r="BB458" s="139"/>
      <c r="BC458" s="139"/>
      <c r="BD458" s="139"/>
      <c r="BE458" s="3"/>
    </row>
    <row r="459" spans="1:57" ht="15.75" customHeight="1" thickBot="1" x14ac:dyDescent="0.45">
      <c r="A459" s="3"/>
      <c r="B459" s="36"/>
      <c r="C459" s="443"/>
      <c r="D459" s="155"/>
      <c r="E459" s="7"/>
      <c r="F459" s="7"/>
      <c r="G459" s="7"/>
      <c r="H459" s="20"/>
      <c r="I459" s="3"/>
      <c r="J459" s="3"/>
      <c r="K459" s="3"/>
      <c r="L459" s="3"/>
      <c r="M459" s="5"/>
      <c r="N459" s="5"/>
      <c r="O459" s="5"/>
      <c r="P459" s="24"/>
      <c r="Q459" s="24"/>
      <c r="R459" s="3"/>
      <c r="S459" s="5"/>
      <c r="T459" s="3"/>
      <c r="U459" s="20"/>
      <c r="V459" s="38"/>
      <c r="W459" s="3"/>
      <c r="X459" s="38"/>
      <c r="Y459" s="1443"/>
      <c r="Z459" s="1443"/>
      <c r="AA459" s="1443"/>
      <c r="AB459" s="20"/>
      <c r="AC459" s="3"/>
      <c r="AD459" s="3"/>
      <c r="AE459" s="5"/>
      <c r="AF459" s="3"/>
      <c r="AG459" s="38"/>
      <c r="AH459" s="5"/>
      <c r="AI459" s="51"/>
      <c r="AJ459" s="39"/>
      <c r="AK459" s="39"/>
      <c r="AL459" s="947"/>
      <c r="AM459" s="947"/>
      <c r="AN459" s="3" t="s">
        <v>81</v>
      </c>
      <c r="AO459" s="3" t="s">
        <v>81</v>
      </c>
      <c r="AP459" s="3" t="s">
        <v>81</v>
      </c>
      <c r="AQ459" s="3" t="s">
        <v>81</v>
      </c>
      <c r="AR459" s="3" t="s">
        <v>81</v>
      </c>
      <c r="AS459" s="3" t="s">
        <v>81</v>
      </c>
      <c r="AT459" s="3" t="s">
        <v>81</v>
      </c>
      <c r="AU459" s="3" t="s">
        <v>81</v>
      </c>
      <c r="AV459" s="3" t="s">
        <v>81</v>
      </c>
      <c r="AW459" s="3" t="s">
        <v>81</v>
      </c>
      <c r="AX459" s="1414" t="s">
        <v>81</v>
      </c>
      <c r="AY459" s="3"/>
      <c r="AZ459" s="139"/>
      <c r="BA459" s="139"/>
      <c r="BB459" s="139"/>
      <c r="BC459" s="139"/>
      <c r="BD459" s="139"/>
      <c r="BE459" s="3"/>
    </row>
    <row r="460" spans="1:57" ht="15" customHeight="1" thickBot="1" x14ac:dyDescent="0.45">
      <c r="A460" s="3"/>
      <c r="B460" s="652" t="s">
        <v>515</v>
      </c>
      <c r="C460" s="653"/>
      <c r="D460" s="653"/>
      <c r="E460" s="653"/>
      <c r="F460" s="653"/>
      <c r="G460" s="653"/>
      <c r="H460" s="654"/>
      <c r="I460" s="654"/>
      <c r="J460" s="654"/>
      <c r="K460" s="654"/>
      <c r="L460" s="654"/>
      <c r="M460" s="655"/>
      <c r="N460" s="655"/>
      <c r="O460" s="655"/>
      <c r="P460" s="655"/>
      <c r="Q460" s="655"/>
      <c r="R460" s="654"/>
      <c r="S460" s="655"/>
      <c r="T460" s="654"/>
      <c r="U460" s="654"/>
      <c r="V460" s="653"/>
      <c r="W460" s="653"/>
      <c r="X460" s="653"/>
      <c r="Y460" s="656"/>
      <c r="Z460" s="656"/>
      <c r="AA460" s="656"/>
      <c r="AB460" s="654"/>
      <c r="AC460" s="656"/>
      <c r="AD460" s="654"/>
      <c r="AE460" s="655"/>
      <c r="AF460" s="654"/>
      <c r="AG460" s="654"/>
      <c r="AH460" s="654"/>
      <c r="AI460" s="657"/>
      <c r="AJ460" s="658"/>
      <c r="AK460" s="658"/>
      <c r="AL460" s="659" t="s">
        <v>516</v>
      </c>
      <c r="AM460" s="660">
        <f>SUBTOTAL(109,AM461:AM485)</f>
        <v>0.82499999999999996</v>
      </c>
      <c r="AN460" s="658"/>
      <c r="AO460" s="658"/>
      <c r="AP460" s="658"/>
      <c r="AQ460" s="658"/>
      <c r="AR460" s="658"/>
      <c r="AS460" s="658"/>
      <c r="AT460" s="658"/>
      <c r="AU460" s="658"/>
      <c r="AV460" s="658"/>
      <c r="AW460" s="658"/>
      <c r="AX460" s="658"/>
      <c r="AY460" s="658"/>
      <c r="AZ460" s="139"/>
      <c r="BA460" s="139"/>
      <c r="BB460" s="139"/>
      <c r="BC460" s="139"/>
      <c r="BD460" s="139"/>
      <c r="BE460" s="3"/>
    </row>
    <row r="461" spans="1:57" ht="15" customHeight="1" x14ac:dyDescent="0.4">
      <c r="A461" s="3" t="s">
        <v>517</v>
      </c>
      <c r="B461" s="173" t="s">
        <v>518</v>
      </c>
      <c r="C461" s="182"/>
      <c r="D461" s="138"/>
      <c r="E461" s="182"/>
      <c r="F461" s="430" t="s">
        <v>519</v>
      </c>
      <c r="G461" s="661">
        <v>3</v>
      </c>
      <c r="H461" s="175"/>
      <c r="I461" s="3"/>
      <c r="J461" s="116"/>
      <c r="K461" s="116"/>
      <c r="L461" s="116"/>
      <c r="M461" s="177"/>
      <c r="N461" s="177"/>
      <c r="O461" s="177"/>
      <c r="P461" s="177"/>
      <c r="Q461" s="3"/>
      <c r="R461" s="3"/>
      <c r="S461" s="3"/>
      <c r="T461" s="3"/>
      <c r="U461" s="175"/>
      <c r="V461" s="179"/>
      <c r="W461" s="116"/>
      <c r="X461" s="3"/>
      <c r="Y461" s="3"/>
      <c r="Z461" s="3"/>
      <c r="AA461" s="3"/>
      <c r="AB461" s="20"/>
      <c r="AC461" s="3"/>
      <c r="AD461" s="3"/>
      <c r="AE461" s="3"/>
      <c r="AF461" s="3"/>
      <c r="AG461" s="3"/>
      <c r="AH461" s="3"/>
      <c r="AI461" s="51"/>
      <c r="AJ461" s="3"/>
      <c r="AK461" s="3"/>
      <c r="AL461" s="3"/>
      <c r="AM461" s="457"/>
      <c r="AN461" s="3"/>
      <c r="AO461" s="3"/>
      <c r="AP461" s="3"/>
      <c r="AQ461" s="3"/>
      <c r="AR461" s="3"/>
      <c r="AS461" s="3"/>
      <c r="AT461" s="3"/>
      <c r="AU461" s="3"/>
      <c r="AV461" s="3"/>
      <c r="AW461" s="3"/>
      <c r="AX461" s="1414"/>
      <c r="AY461" s="3"/>
      <c r="AZ461" s="139"/>
      <c r="BA461" s="139"/>
      <c r="BB461" s="139"/>
      <c r="BC461" s="139"/>
      <c r="BD461" s="139"/>
      <c r="BE461" s="3"/>
    </row>
    <row r="462" spans="1:57" ht="15" customHeight="1" x14ac:dyDescent="0.4">
      <c r="A462" s="3"/>
      <c r="B462" s="7"/>
      <c r="C462" s="155"/>
      <c r="D462" s="4"/>
      <c r="E462" s="155"/>
      <c r="F462" s="434" t="s">
        <v>520</v>
      </c>
      <c r="G462" s="662">
        <v>5</v>
      </c>
      <c r="H462" s="20"/>
      <c r="I462" s="663" t="str">
        <f xml:space="preserve"> "Length = INT ( ( UW - " &amp;FIXED(G462,2)&amp;") / "&amp;FIXED(G461,2)&amp;" ) *"&amp;FIXED(G461,2)</f>
        <v>Length = INT ( ( UW - 5.00) / 3.00 ) *3.00</v>
      </c>
      <c r="J462" s="3"/>
      <c r="K462" s="3"/>
      <c r="L462" s="3"/>
      <c r="M462" s="5"/>
      <c r="N462" s="5"/>
      <c r="O462" s="5"/>
      <c r="P462" s="5"/>
      <c r="Q462" s="24"/>
      <c r="R462" s="500"/>
      <c r="S462" s="376"/>
      <c r="T462" s="500"/>
      <c r="U462" s="20"/>
      <c r="V462" s="38"/>
      <c r="W462" s="3"/>
      <c r="X462" s="3"/>
      <c r="Y462" s="56"/>
      <c r="Z462" s="56"/>
      <c r="AA462" s="56"/>
      <c r="AB462" s="20"/>
      <c r="AC462" s="3"/>
      <c r="AD462" s="3"/>
      <c r="AE462" s="3"/>
      <c r="AF462" s="3"/>
      <c r="AG462" s="38"/>
      <c r="AH462" s="38"/>
      <c r="AI462" s="51"/>
      <c r="AJ462" s="51"/>
      <c r="AK462" s="39"/>
      <c r="AL462" s="39"/>
      <c r="AM462" s="39"/>
      <c r="AN462" s="3"/>
      <c r="AO462" s="3"/>
      <c r="AP462" s="3"/>
      <c r="AQ462" s="3"/>
      <c r="AR462" s="3"/>
      <c r="AS462" s="3"/>
      <c r="AT462" s="3"/>
      <c r="AU462" s="3"/>
      <c r="AV462" s="3"/>
      <c r="AW462" s="3"/>
      <c r="AX462" s="1414"/>
      <c r="AY462" s="3"/>
      <c r="AZ462" s="139"/>
      <c r="BA462" s="139"/>
      <c r="BB462" s="139"/>
      <c r="BC462" s="139"/>
      <c r="BD462" s="139"/>
      <c r="BE462" s="3"/>
    </row>
    <row r="463" spans="1:57" ht="15" customHeight="1" thickBot="1" x14ac:dyDescent="0.45">
      <c r="A463" s="3"/>
      <c r="B463" s="4"/>
      <c r="C463" s="155"/>
      <c r="D463" s="4"/>
      <c r="E463" s="155"/>
      <c r="F463" s="434" t="s">
        <v>521</v>
      </c>
      <c r="G463" s="662">
        <v>15</v>
      </c>
      <c r="H463" s="20"/>
      <c r="I463" s="436"/>
      <c r="J463" s="3"/>
      <c r="K463" s="3"/>
      <c r="L463" s="3"/>
      <c r="M463" s="5"/>
      <c r="N463" s="5"/>
      <c r="O463" s="5"/>
      <c r="P463" s="5"/>
      <c r="Q463" s="24" t="s">
        <v>522</v>
      </c>
      <c r="R463" s="3"/>
      <c r="S463" s="24" t="s">
        <v>523</v>
      </c>
      <c r="T463" s="3"/>
      <c r="U463" s="14"/>
      <c r="V463" s="1494" t="s">
        <v>524</v>
      </c>
      <c r="W463" s="500"/>
      <c r="X463" s="500" t="s">
        <v>522</v>
      </c>
      <c r="Y463" s="3"/>
      <c r="Z463" s="3"/>
      <c r="AA463" s="3"/>
      <c r="AB463" s="14"/>
      <c r="AC463" s="3"/>
      <c r="AD463" s="3"/>
      <c r="AE463" s="5"/>
      <c r="AF463" s="5"/>
      <c r="AG463" s="5"/>
      <c r="AH463" s="5"/>
      <c r="AI463" s="51"/>
      <c r="AJ463" s="51"/>
      <c r="AK463" s="937"/>
      <c r="AL463" s="51"/>
      <c r="AM463" s="39"/>
      <c r="AN463" s="889"/>
      <c r="AO463" s="889"/>
      <c r="AP463" s="889"/>
      <c r="AQ463" s="889"/>
      <c r="AR463" s="889"/>
      <c r="AS463" s="889"/>
      <c r="AT463" s="889"/>
      <c r="AU463" s="889"/>
      <c r="AV463" s="889"/>
      <c r="AW463" s="889"/>
      <c r="AX463" s="1590"/>
      <c r="AY463" s="889"/>
      <c r="AZ463" s="139"/>
      <c r="BA463" s="139"/>
      <c r="BB463" s="139"/>
      <c r="BC463" s="139"/>
      <c r="BD463" s="139"/>
      <c r="BE463" s="3"/>
    </row>
    <row r="464" spans="1:57" ht="15" customHeight="1" x14ac:dyDescent="0.4">
      <c r="A464" s="3"/>
      <c r="B464" s="173" t="s">
        <v>525</v>
      </c>
      <c r="C464" s="182"/>
      <c r="D464" s="138"/>
      <c r="E464" s="182"/>
      <c r="F464" s="430"/>
      <c r="G464" s="664"/>
      <c r="H464" s="175"/>
      <c r="I464" s="665">
        <v>23.5</v>
      </c>
      <c r="J464" s="666" t="s">
        <v>526</v>
      </c>
      <c r="K464" s="116"/>
      <c r="L464" s="116"/>
      <c r="M464" s="177"/>
      <c r="N464" s="177"/>
      <c r="O464" s="177"/>
      <c r="P464" s="177"/>
      <c r="Q464" s="178"/>
      <c r="R464" s="116"/>
      <c r="S464" s="177"/>
      <c r="T464" s="116"/>
      <c r="U464" s="193"/>
      <c r="V464" s="989" t="str">
        <f>IF(AND(SHImpactBox="NO",SHWidth&lt;=I464,SHHeight&lt;=I465),"√","")</f>
        <v/>
      </c>
      <c r="W464" s="987" t="str">
        <f>" If non-Impact AND Width &lt;= "&amp;I464&amp;" AND Height &lt;= "&amp;I465&amp;" no reinforcement is required in the Keeper Rail"</f>
        <v xml:space="preserve"> If non-Impact AND Width &lt;= 23.5 AND Height &lt;= 47.5 no reinforcement is required in the Keeper Rail</v>
      </c>
      <c r="X464" s="448"/>
      <c r="Y464" s="116"/>
      <c r="Z464" s="116"/>
      <c r="AA464" s="116"/>
      <c r="AB464" s="116"/>
      <c r="AC464" s="116"/>
      <c r="AD464" s="116"/>
      <c r="AE464" s="116"/>
      <c r="AF464" s="177"/>
      <c r="AG464" s="177"/>
      <c r="AH464" s="177"/>
      <c r="AI464" s="185"/>
      <c r="AJ464" s="185"/>
      <c r="AK464" s="51"/>
      <c r="AL464" s="185"/>
      <c r="AM464" s="180"/>
      <c r="AN464" s="3" t="s">
        <v>92</v>
      </c>
      <c r="AO464" s="3" t="s">
        <v>92</v>
      </c>
      <c r="AP464" s="3" t="s">
        <v>92</v>
      </c>
      <c r="AQ464" s="3" t="s">
        <v>92</v>
      </c>
      <c r="AR464" s="3" t="s">
        <v>92</v>
      </c>
      <c r="AS464" s="3" t="s">
        <v>92</v>
      </c>
      <c r="AT464" s="3" t="s">
        <v>92</v>
      </c>
      <c r="AU464" s="3" t="s">
        <v>81</v>
      </c>
      <c r="AV464" s="3" t="s">
        <v>81</v>
      </c>
      <c r="AW464" s="3" t="s">
        <v>81</v>
      </c>
      <c r="AX464" s="1414" t="s">
        <v>92</v>
      </c>
      <c r="AY464" s="3"/>
      <c r="AZ464" s="139"/>
      <c r="BA464" s="139"/>
      <c r="BB464" s="139"/>
      <c r="BC464" s="139"/>
      <c r="BD464" s="139"/>
      <c r="BE464" s="3"/>
    </row>
    <row r="465" spans="1:57" ht="15" customHeight="1" x14ac:dyDescent="0.4">
      <c r="A465" s="3"/>
      <c r="B465" s="7"/>
      <c r="C465" s="155"/>
      <c r="D465" s="4"/>
      <c r="E465" s="155"/>
      <c r="F465" s="3"/>
      <c r="G465" s="3"/>
      <c r="H465" s="20"/>
      <c r="I465" s="669">
        <v>47.5</v>
      </c>
      <c r="J465" s="201" t="s">
        <v>527</v>
      </c>
      <c r="K465" s="3"/>
      <c r="L465" s="3"/>
      <c r="M465" s="5"/>
      <c r="N465" s="5"/>
      <c r="O465" s="5"/>
      <c r="P465" s="5"/>
      <c r="Q465" s="437" t="s">
        <v>528</v>
      </c>
      <c r="R465" s="500" t="s">
        <v>352</v>
      </c>
      <c r="S465" s="528">
        <f>INT((SHWidth-G462)/G461)*G461</f>
        <v>33</v>
      </c>
      <c r="T465" s="3" t="s">
        <v>366</v>
      </c>
      <c r="U465" s="20"/>
      <c r="V465" s="990" t="str">
        <f>IF(OR(SHImpactBox="YES",SHWidth&gt;I464,SHHeight&gt;I465),"√","")</f>
        <v>√</v>
      </c>
      <c r="W465" s="376"/>
      <c r="X465" s="24" t="str">
        <f>LOOKUP(S465,S467:S485,Q467:Q485)</f>
        <v>G</v>
      </c>
      <c r="Y465" s="1443">
        <v>230193011</v>
      </c>
      <c r="Z465" s="1443"/>
      <c r="AA465" s="1443"/>
      <c r="AB465" s="20"/>
      <c r="AC465" s="3">
        <v>45</v>
      </c>
      <c r="AD465" s="3">
        <f>IF(V465&lt;&gt;"",1,0)</f>
        <v>1</v>
      </c>
      <c r="AE465" s="5">
        <f>S465/12*AD465</f>
        <v>2.75</v>
      </c>
      <c r="AF465" s="3" t="s">
        <v>367</v>
      </c>
      <c r="AG465" s="38" t="s">
        <v>8</v>
      </c>
      <c r="AH465" s="38">
        <v>0.21479999999999999</v>
      </c>
      <c r="AI465" s="353">
        <v>0.3</v>
      </c>
      <c r="AJ465" s="39"/>
      <c r="AK465" s="51"/>
      <c r="AL465" s="39"/>
      <c r="AM465" s="39">
        <f>AE465*AI465+SUM(AJ465:AL465)</f>
        <v>0.82499999999999996</v>
      </c>
      <c r="AN465" s="3" t="s">
        <v>92</v>
      </c>
      <c r="AO465" s="3" t="s">
        <v>92</v>
      </c>
      <c r="AP465" s="3" t="s">
        <v>92</v>
      </c>
      <c r="AQ465" s="3" t="s">
        <v>92</v>
      </c>
      <c r="AR465" s="3" t="s">
        <v>92</v>
      </c>
      <c r="AS465" s="3" t="s">
        <v>92</v>
      </c>
      <c r="AT465" s="3" t="s">
        <v>92</v>
      </c>
      <c r="AU465" s="3" t="s">
        <v>81</v>
      </c>
      <c r="AV465" s="3" t="s">
        <v>81</v>
      </c>
      <c r="AW465" s="3" t="s">
        <v>81</v>
      </c>
      <c r="AX465" s="1414" t="s">
        <v>92</v>
      </c>
      <c r="AY465" s="3"/>
      <c r="AZ465" s="139"/>
      <c r="BA465" s="139"/>
      <c r="BB465" s="139"/>
      <c r="BC465" s="139"/>
      <c r="BD465" s="139"/>
      <c r="BE465" s="3"/>
    </row>
    <row r="466" spans="1:57" ht="15" customHeight="1" x14ac:dyDescent="0.4">
      <c r="A466" s="3"/>
      <c r="B466" s="4"/>
      <c r="C466" s="155"/>
      <c r="D466" s="155"/>
      <c r="E466" s="155"/>
      <c r="F466" s="3"/>
      <c r="G466" s="3"/>
      <c r="H466" s="20"/>
      <c r="I466" s="3"/>
      <c r="J466" s="3"/>
      <c r="K466" s="3"/>
      <c r="L466" s="3"/>
      <c r="M466" s="5"/>
      <c r="N466" s="5"/>
      <c r="O466" s="5"/>
      <c r="P466" s="5"/>
      <c r="Q466" s="24" t="s">
        <v>522</v>
      </c>
      <c r="R466" s="3"/>
      <c r="S466" s="5"/>
      <c r="T466" s="3"/>
      <c r="U466" s="20"/>
      <c r="V466" s="38"/>
      <c r="W466" s="3"/>
      <c r="X466" s="38"/>
      <c r="Y466" s="3"/>
      <c r="Z466" s="3"/>
      <c r="AA466" s="3"/>
      <c r="AB466" s="20"/>
      <c r="AC466" s="3"/>
      <c r="AD466" s="3"/>
      <c r="AE466" s="5"/>
      <c r="AF466" s="3"/>
      <c r="AG466" s="38"/>
      <c r="AH466" s="38" t="s">
        <v>2191</v>
      </c>
      <c r="AI466" s="51" t="s">
        <v>2192</v>
      </c>
      <c r="AJ466" s="39"/>
      <c r="AK466" s="51"/>
      <c r="AL466" s="39"/>
      <c r="AM466" s="39"/>
      <c r="AN466" s="3" t="s">
        <v>92</v>
      </c>
      <c r="AO466" s="3" t="s">
        <v>92</v>
      </c>
      <c r="AP466" s="3" t="s">
        <v>92</v>
      </c>
      <c r="AQ466" s="3" t="s">
        <v>92</v>
      </c>
      <c r="AR466" s="3" t="s">
        <v>92</v>
      </c>
      <c r="AS466" s="3" t="s">
        <v>92</v>
      </c>
      <c r="AT466" s="3" t="s">
        <v>92</v>
      </c>
      <c r="AU466" s="3" t="s">
        <v>81</v>
      </c>
      <c r="AV466" s="3" t="s">
        <v>81</v>
      </c>
      <c r="AW466" s="3" t="s">
        <v>81</v>
      </c>
      <c r="AX466" s="1414" t="s">
        <v>92</v>
      </c>
      <c r="AY466" s="3"/>
      <c r="AZ466" s="139"/>
      <c r="BA466" s="139"/>
      <c r="BB466" s="139"/>
      <c r="BC466" s="139"/>
      <c r="BD466" s="139"/>
      <c r="BE466" s="3"/>
    </row>
    <row r="467" spans="1:57" ht="15" customHeight="1" x14ac:dyDescent="0.4">
      <c r="A467" s="3"/>
      <c r="B467" s="7"/>
      <c r="C467" s="155"/>
      <c r="D467" s="155"/>
      <c r="E467" s="155"/>
      <c r="F467" s="3"/>
      <c r="G467" s="3"/>
      <c r="H467" s="20"/>
      <c r="I467" s="3"/>
      <c r="J467" s="3"/>
      <c r="K467" s="3"/>
      <c r="L467" s="3"/>
      <c r="M467" s="5"/>
      <c r="N467" s="5"/>
      <c r="O467" s="5"/>
      <c r="P467" s="5"/>
      <c r="Q467" s="439" t="s">
        <v>529</v>
      </c>
      <c r="R467" s="3" t="s">
        <v>352</v>
      </c>
      <c r="S467" s="5">
        <v>0</v>
      </c>
      <c r="T467" s="3" t="s">
        <v>366</v>
      </c>
      <c r="U467" s="20"/>
      <c r="V467" s="8"/>
      <c r="W467" s="3"/>
      <c r="X467" s="38"/>
      <c r="Y467" s="3"/>
      <c r="Z467" s="3"/>
      <c r="AA467" s="3"/>
      <c r="AB467" s="20"/>
      <c r="AC467" s="3"/>
      <c r="AD467" s="3"/>
      <c r="AE467" s="5"/>
      <c r="AF467" s="3"/>
      <c r="AG467" s="38"/>
      <c r="AH467" s="38"/>
      <c r="AI467" s="51"/>
      <c r="AJ467" s="39"/>
      <c r="AK467" s="39"/>
      <c r="AL467" s="39"/>
      <c r="AM467" s="39"/>
      <c r="AN467" s="3" t="s">
        <v>92</v>
      </c>
      <c r="AO467" s="3" t="s">
        <v>92</v>
      </c>
      <c r="AP467" s="3" t="s">
        <v>92</v>
      </c>
      <c r="AQ467" s="3" t="s">
        <v>92</v>
      </c>
      <c r="AR467" s="3" t="s">
        <v>92</v>
      </c>
      <c r="AS467" s="3" t="s">
        <v>92</v>
      </c>
      <c r="AT467" s="3" t="s">
        <v>92</v>
      </c>
      <c r="AU467" s="3" t="s">
        <v>81</v>
      </c>
      <c r="AV467" s="3" t="s">
        <v>81</v>
      </c>
      <c r="AW467" s="3" t="s">
        <v>81</v>
      </c>
      <c r="AX467" s="1414" t="s">
        <v>92</v>
      </c>
      <c r="AY467" s="3"/>
      <c r="AZ467" s="139"/>
      <c r="BA467" s="139"/>
      <c r="BB467" s="139"/>
      <c r="BC467" s="139"/>
      <c r="BD467" s="139"/>
      <c r="BE467" s="3"/>
    </row>
    <row r="468" spans="1:57" ht="15" customHeight="1" x14ac:dyDescent="0.4">
      <c r="A468" s="3"/>
      <c r="B468" s="7"/>
      <c r="C468" s="155"/>
      <c r="D468" s="155"/>
      <c r="E468" s="155"/>
      <c r="F468" s="3"/>
      <c r="G468" s="3"/>
      <c r="H468" s="20"/>
      <c r="I468" s="3"/>
      <c r="J468" s="3"/>
      <c r="K468" s="3"/>
      <c r="L468" s="3"/>
      <c r="M468" s="5"/>
      <c r="N468" s="5"/>
      <c r="O468" s="5"/>
      <c r="P468" s="5"/>
      <c r="Q468" s="439" t="s">
        <v>70</v>
      </c>
      <c r="R468" s="440" t="s">
        <v>352</v>
      </c>
      <c r="S468" s="376">
        <f>G463</f>
        <v>15</v>
      </c>
      <c r="T468" s="3" t="s">
        <v>366</v>
      </c>
      <c r="U468" s="20"/>
      <c r="V468" s="38"/>
      <c r="W468" s="3"/>
      <c r="X468" s="38"/>
      <c r="Y468" s="441"/>
      <c r="Z468" s="441"/>
      <c r="AA468" s="441"/>
      <c r="AB468" s="20"/>
      <c r="AC468" s="3"/>
      <c r="AD468" s="3"/>
      <c r="AE468" s="5"/>
      <c r="AF468" s="3"/>
      <c r="AG468" s="38"/>
      <c r="AH468" s="38"/>
      <c r="AI468" s="51"/>
      <c r="AJ468" s="51"/>
      <c r="AK468" s="51"/>
      <c r="AL468" s="51"/>
      <c r="AM468" s="39"/>
      <c r="AN468" s="3" t="s">
        <v>92</v>
      </c>
      <c r="AO468" s="3" t="s">
        <v>92</v>
      </c>
      <c r="AP468" s="3" t="s">
        <v>92</v>
      </c>
      <c r="AQ468" s="3" t="s">
        <v>92</v>
      </c>
      <c r="AR468" s="3" t="s">
        <v>92</v>
      </c>
      <c r="AS468" s="3" t="s">
        <v>92</v>
      </c>
      <c r="AT468" s="3" t="s">
        <v>92</v>
      </c>
      <c r="AU468" s="3" t="s">
        <v>81</v>
      </c>
      <c r="AV468" s="3" t="s">
        <v>81</v>
      </c>
      <c r="AW468" s="3" t="s">
        <v>81</v>
      </c>
      <c r="AX468" s="1414" t="s">
        <v>92</v>
      </c>
      <c r="AY468" s="3"/>
      <c r="AZ468" s="139"/>
      <c r="BA468" s="139"/>
      <c r="BB468" s="139"/>
      <c r="BC468" s="139"/>
      <c r="BD468" s="139"/>
      <c r="BE468" s="3"/>
    </row>
    <row r="469" spans="1:57" ht="15" customHeight="1" x14ac:dyDescent="0.4">
      <c r="A469" s="3"/>
      <c r="B469" s="7"/>
      <c r="C469" s="155"/>
      <c r="D469" s="155"/>
      <c r="E469" s="155"/>
      <c r="F469" s="3"/>
      <c r="G469" s="3"/>
      <c r="H469" s="20"/>
      <c r="I469" s="3"/>
      <c r="J469" s="3"/>
      <c r="K469" s="3"/>
      <c r="L469" s="3"/>
      <c r="M469" s="5"/>
      <c r="N469" s="5"/>
      <c r="O469" s="5"/>
      <c r="P469" s="5"/>
      <c r="Q469" s="439" t="s">
        <v>81</v>
      </c>
      <c r="R469" s="440" t="s">
        <v>352</v>
      </c>
      <c r="S469" s="376">
        <f t="shared" ref="S469:S485" si="68">S468+$G$461</f>
        <v>18</v>
      </c>
      <c r="T469" s="3" t="s">
        <v>366</v>
      </c>
      <c r="U469" s="20"/>
      <c r="V469" s="38"/>
      <c r="W469" s="3"/>
      <c r="X469" s="3"/>
      <c r="Y469" s="441"/>
      <c r="Z469" s="441"/>
      <c r="AA469" s="441"/>
      <c r="AB469" s="20"/>
      <c r="AC469" s="3"/>
      <c r="AD469" s="3"/>
      <c r="AE469" s="5"/>
      <c r="AF469" s="3"/>
      <c r="AG469" s="38"/>
      <c r="AH469" s="38"/>
      <c r="AI469" s="51"/>
      <c r="AJ469" s="39"/>
      <c r="AK469" s="39"/>
      <c r="AL469" s="39"/>
      <c r="AM469" s="39"/>
      <c r="AN469" s="3" t="s">
        <v>92</v>
      </c>
      <c r="AO469" s="3" t="s">
        <v>92</v>
      </c>
      <c r="AP469" s="3" t="s">
        <v>92</v>
      </c>
      <c r="AQ469" s="3" t="s">
        <v>92</v>
      </c>
      <c r="AR469" s="3" t="s">
        <v>92</v>
      </c>
      <c r="AS469" s="3" t="s">
        <v>92</v>
      </c>
      <c r="AT469" s="3" t="s">
        <v>92</v>
      </c>
      <c r="AU469" s="3" t="s">
        <v>81</v>
      </c>
      <c r="AV469" s="3" t="s">
        <v>81</v>
      </c>
      <c r="AW469" s="3" t="s">
        <v>81</v>
      </c>
      <c r="AX469" s="1414" t="s">
        <v>92</v>
      </c>
      <c r="AY469" s="3"/>
      <c r="AZ469" s="139"/>
      <c r="BA469" s="139"/>
      <c r="BB469" s="139"/>
      <c r="BC469" s="139"/>
      <c r="BD469" s="139"/>
      <c r="BE469" s="3"/>
    </row>
    <row r="470" spans="1:57" ht="15" customHeight="1" x14ac:dyDescent="0.4">
      <c r="A470" s="3"/>
      <c r="B470" s="7"/>
      <c r="C470" s="155"/>
      <c r="D470" s="155"/>
      <c r="E470" s="155"/>
      <c r="F470" s="4"/>
      <c r="G470" s="4"/>
      <c r="H470" s="20"/>
      <c r="I470" s="442" t="s">
        <v>530</v>
      </c>
      <c r="J470" s="3"/>
      <c r="K470" s="3"/>
      <c r="L470" s="3"/>
      <c r="M470" s="5"/>
      <c r="N470" s="5"/>
      <c r="O470" s="5"/>
      <c r="P470" s="5"/>
      <c r="Q470" s="439" t="s">
        <v>531</v>
      </c>
      <c r="R470" s="440" t="s">
        <v>352</v>
      </c>
      <c r="S470" s="376">
        <f t="shared" si="68"/>
        <v>21</v>
      </c>
      <c r="T470" s="3" t="s">
        <v>366</v>
      </c>
      <c r="U470" s="20"/>
      <c r="V470" s="38"/>
      <c r="W470" s="3"/>
      <c r="X470" s="38"/>
      <c r="Y470" s="441"/>
      <c r="Z470" s="441"/>
      <c r="AA470" s="441"/>
      <c r="AB470" s="20"/>
      <c r="AC470" s="3"/>
      <c r="AD470" s="3"/>
      <c r="AE470" s="5"/>
      <c r="AF470" s="3"/>
      <c r="AG470" s="38"/>
      <c r="AH470" s="38"/>
      <c r="AI470" s="51"/>
      <c r="AJ470" s="39"/>
      <c r="AK470" s="39"/>
      <c r="AL470" s="39"/>
      <c r="AM470" s="39"/>
      <c r="AN470" s="3" t="s">
        <v>92</v>
      </c>
      <c r="AO470" s="3" t="s">
        <v>92</v>
      </c>
      <c r="AP470" s="3" t="s">
        <v>92</v>
      </c>
      <c r="AQ470" s="3" t="s">
        <v>92</v>
      </c>
      <c r="AR470" s="3" t="s">
        <v>92</v>
      </c>
      <c r="AS470" s="3" t="s">
        <v>92</v>
      </c>
      <c r="AT470" s="3" t="s">
        <v>92</v>
      </c>
      <c r="AU470" s="3" t="s">
        <v>81</v>
      </c>
      <c r="AV470" s="3" t="s">
        <v>81</v>
      </c>
      <c r="AW470" s="3" t="s">
        <v>81</v>
      </c>
      <c r="AX470" s="1414" t="s">
        <v>92</v>
      </c>
      <c r="AY470" s="3"/>
      <c r="AZ470" s="139"/>
      <c r="BA470" s="139"/>
      <c r="BB470" s="139"/>
      <c r="BC470" s="139"/>
      <c r="BD470" s="139"/>
      <c r="BE470" s="3"/>
    </row>
    <row r="471" spans="1:57" ht="15" customHeight="1" x14ac:dyDescent="0.4">
      <c r="A471" s="3"/>
      <c r="B471" s="7"/>
      <c r="C471" s="155"/>
      <c r="D471" s="155"/>
      <c r="E471" s="155"/>
      <c r="F471" s="155"/>
      <c r="G471" s="7"/>
      <c r="H471" s="20"/>
      <c r="I471" s="443" t="s">
        <v>532</v>
      </c>
      <c r="J471" s="3"/>
      <c r="K471" s="3"/>
      <c r="L471" s="3"/>
      <c r="M471" s="5"/>
      <c r="N471" s="5"/>
      <c r="O471" s="5"/>
      <c r="P471" s="5"/>
      <c r="Q471" s="439" t="s">
        <v>94</v>
      </c>
      <c r="R471" s="440" t="s">
        <v>352</v>
      </c>
      <c r="S471" s="376">
        <f t="shared" si="68"/>
        <v>24</v>
      </c>
      <c r="T471" s="3" t="s">
        <v>366</v>
      </c>
      <c r="U471" s="20"/>
      <c r="V471" s="38"/>
      <c r="W471" s="3"/>
      <c r="X471" s="38"/>
      <c r="Y471" s="441"/>
      <c r="Z471" s="441"/>
      <c r="AA471" s="441"/>
      <c r="AB471" s="20"/>
      <c r="AC471" s="3"/>
      <c r="AD471" s="3"/>
      <c r="AE471" s="5"/>
      <c r="AF471" s="3"/>
      <c r="AG471" s="38"/>
      <c r="AH471" s="38"/>
      <c r="AI471" s="51"/>
      <c r="AJ471" s="39"/>
      <c r="AK471" s="39"/>
      <c r="AL471" s="39"/>
      <c r="AM471" s="39"/>
      <c r="AN471" s="3" t="s">
        <v>92</v>
      </c>
      <c r="AO471" s="3" t="s">
        <v>92</v>
      </c>
      <c r="AP471" s="3" t="s">
        <v>92</v>
      </c>
      <c r="AQ471" s="3" t="s">
        <v>92</v>
      </c>
      <c r="AR471" s="3" t="s">
        <v>92</v>
      </c>
      <c r="AS471" s="3" t="s">
        <v>92</v>
      </c>
      <c r="AT471" s="3" t="s">
        <v>92</v>
      </c>
      <c r="AU471" s="3" t="s">
        <v>81</v>
      </c>
      <c r="AV471" s="3" t="s">
        <v>81</v>
      </c>
      <c r="AW471" s="3" t="s">
        <v>81</v>
      </c>
      <c r="AX471" s="1414" t="s">
        <v>92</v>
      </c>
      <c r="AY471" s="3"/>
      <c r="AZ471" s="139"/>
      <c r="BA471" s="139"/>
      <c r="BB471" s="139"/>
      <c r="BC471" s="139"/>
      <c r="BD471" s="139"/>
      <c r="BE471" s="3"/>
    </row>
    <row r="472" spans="1:57" ht="15" customHeight="1" x14ac:dyDescent="0.4">
      <c r="A472" s="3"/>
      <c r="B472" s="7"/>
      <c r="C472" s="155"/>
      <c r="D472" s="155"/>
      <c r="E472" s="155"/>
      <c r="F472" s="155"/>
      <c r="G472" s="7"/>
      <c r="H472" s="20"/>
      <c r="I472" s="3"/>
      <c r="J472" s="3"/>
      <c r="K472" s="3"/>
      <c r="L472" s="3"/>
      <c r="M472" s="5"/>
      <c r="N472" s="5"/>
      <c r="O472" s="5"/>
      <c r="P472" s="5"/>
      <c r="Q472" s="439" t="s">
        <v>112</v>
      </c>
      <c r="R472" s="440" t="s">
        <v>352</v>
      </c>
      <c r="S472" s="376">
        <f t="shared" si="68"/>
        <v>27</v>
      </c>
      <c r="T472" s="3" t="s">
        <v>366</v>
      </c>
      <c r="U472" s="20"/>
      <c r="V472" s="38"/>
      <c r="W472" s="3"/>
      <c r="X472" s="38"/>
      <c r="Y472" s="441"/>
      <c r="Z472" s="441"/>
      <c r="AA472" s="441"/>
      <c r="AB472" s="20"/>
      <c r="AC472" s="3"/>
      <c r="AD472" s="3"/>
      <c r="AE472" s="5"/>
      <c r="AF472" s="3"/>
      <c r="AG472" s="38"/>
      <c r="AH472" s="38"/>
      <c r="AI472" s="51"/>
      <c r="AJ472" s="39"/>
      <c r="AK472" s="39"/>
      <c r="AL472" s="39"/>
      <c r="AM472" s="39"/>
      <c r="AN472" s="3" t="s">
        <v>92</v>
      </c>
      <c r="AO472" s="3" t="s">
        <v>92</v>
      </c>
      <c r="AP472" s="3" t="s">
        <v>92</v>
      </c>
      <c r="AQ472" s="3" t="s">
        <v>92</v>
      </c>
      <c r="AR472" s="3" t="s">
        <v>92</v>
      </c>
      <c r="AS472" s="3" t="s">
        <v>92</v>
      </c>
      <c r="AT472" s="3" t="s">
        <v>92</v>
      </c>
      <c r="AU472" s="3" t="s">
        <v>81</v>
      </c>
      <c r="AV472" s="3" t="s">
        <v>81</v>
      </c>
      <c r="AW472" s="3" t="s">
        <v>81</v>
      </c>
      <c r="AX472" s="1414" t="s">
        <v>92</v>
      </c>
      <c r="AY472" s="3"/>
      <c r="AZ472" s="139"/>
      <c r="BA472" s="139"/>
      <c r="BB472" s="139"/>
      <c r="BC472" s="139"/>
      <c r="BD472" s="139"/>
      <c r="BE472" s="3"/>
    </row>
    <row r="473" spans="1:57" ht="15" customHeight="1" x14ac:dyDescent="0.4">
      <c r="A473" s="3"/>
      <c r="B473" s="7"/>
      <c r="C473" s="155"/>
      <c r="D473" s="155"/>
      <c r="E473" s="155"/>
      <c r="F473" s="155"/>
      <c r="G473" s="7"/>
      <c r="H473" s="20"/>
      <c r="I473" s="3"/>
      <c r="J473" s="3"/>
      <c r="K473" s="3"/>
      <c r="L473" s="3"/>
      <c r="M473" s="5"/>
      <c r="N473" s="5"/>
      <c r="O473" s="5"/>
      <c r="P473" s="5"/>
      <c r="Q473" s="439" t="s">
        <v>128</v>
      </c>
      <c r="R473" s="440" t="s">
        <v>352</v>
      </c>
      <c r="S473" s="376">
        <f t="shared" si="68"/>
        <v>30</v>
      </c>
      <c r="T473" s="3" t="s">
        <v>366</v>
      </c>
      <c r="U473" s="20"/>
      <c r="V473" s="38"/>
      <c r="W473" s="3"/>
      <c r="X473" s="38"/>
      <c r="Y473" s="441"/>
      <c r="Z473" s="441"/>
      <c r="AA473" s="441"/>
      <c r="AB473" s="20"/>
      <c r="AC473" s="3"/>
      <c r="AD473" s="3"/>
      <c r="AE473" s="5"/>
      <c r="AF473" s="3"/>
      <c r="AG473" s="38"/>
      <c r="AH473" s="38"/>
      <c r="AI473" s="51"/>
      <c r="AJ473" s="39"/>
      <c r="AK473" s="39"/>
      <c r="AL473" s="39"/>
      <c r="AM473" s="39"/>
      <c r="AN473" s="3" t="s">
        <v>92</v>
      </c>
      <c r="AO473" s="3" t="s">
        <v>92</v>
      </c>
      <c r="AP473" s="3" t="s">
        <v>92</v>
      </c>
      <c r="AQ473" s="3" t="s">
        <v>92</v>
      </c>
      <c r="AR473" s="3" t="s">
        <v>92</v>
      </c>
      <c r="AS473" s="3" t="s">
        <v>92</v>
      </c>
      <c r="AT473" s="3" t="s">
        <v>92</v>
      </c>
      <c r="AU473" s="3" t="s">
        <v>81</v>
      </c>
      <c r="AV473" s="3" t="s">
        <v>81</v>
      </c>
      <c r="AW473" s="3" t="s">
        <v>81</v>
      </c>
      <c r="AX473" s="1414" t="s">
        <v>92</v>
      </c>
      <c r="AY473" s="3"/>
      <c r="AZ473" s="139"/>
      <c r="BA473" s="139"/>
      <c r="BB473" s="139"/>
      <c r="BC473" s="139"/>
      <c r="BD473" s="139"/>
      <c r="BE473" s="3"/>
    </row>
    <row r="474" spans="1:57" ht="15" customHeight="1" x14ac:dyDescent="0.4">
      <c r="A474" s="3"/>
      <c r="B474" s="7"/>
      <c r="C474" s="155"/>
      <c r="D474" s="155"/>
      <c r="E474" s="155"/>
      <c r="F474" s="155"/>
      <c r="G474" s="7"/>
      <c r="H474" s="20"/>
      <c r="I474" s="3"/>
      <c r="J474" s="3"/>
      <c r="K474" s="3"/>
      <c r="L474" s="3"/>
      <c r="M474" s="5"/>
      <c r="N474" s="5"/>
      <c r="O474" s="5"/>
      <c r="P474" s="5"/>
      <c r="Q474" s="439" t="s">
        <v>155</v>
      </c>
      <c r="R474" s="440" t="s">
        <v>352</v>
      </c>
      <c r="S474" s="376">
        <f t="shared" si="68"/>
        <v>33</v>
      </c>
      <c r="T474" s="3" t="s">
        <v>366</v>
      </c>
      <c r="U474" s="20"/>
      <c r="V474" s="38"/>
      <c r="W474" s="3"/>
      <c r="X474" s="38"/>
      <c r="Y474" s="441"/>
      <c r="Z474" s="441"/>
      <c r="AA474" s="441"/>
      <c r="AB474" s="20"/>
      <c r="AC474" s="3"/>
      <c r="AD474" s="3"/>
      <c r="AE474" s="5"/>
      <c r="AF474" s="3"/>
      <c r="AG474" s="38"/>
      <c r="AH474" s="38"/>
      <c r="AI474" s="51"/>
      <c r="AJ474" s="39"/>
      <c r="AK474" s="39"/>
      <c r="AL474" s="39"/>
      <c r="AM474" s="39"/>
      <c r="AN474" s="3" t="s">
        <v>92</v>
      </c>
      <c r="AO474" s="3" t="s">
        <v>92</v>
      </c>
      <c r="AP474" s="3" t="s">
        <v>92</v>
      </c>
      <c r="AQ474" s="3" t="s">
        <v>92</v>
      </c>
      <c r="AR474" s="3" t="s">
        <v>92</v>
      </c>
      <c r="AS474" s="3" t="s">
        <v>92</v>
      </c>
      <c r="AT474" s="3" t="s">
        <v>92</v>
      </c>
      <c r="AU474" s="3" t="s">
        <v>81</v>
      </c>
      <c r="AV474" s="3" t="s">
        <v>81</v>
      </c>
      <c r="AW474" s="3" t="s">
        <v>81</v>
      </c>
      <c r="AX474" s="1414" t="s">
        <v>92</v>
      </c>
      <c r="AY474" s="3"/>
      <c r="AZ474" s="139"/>
      <c r="BA474" s="139"/>
      <c r="BB474" s="139"/>
      <c r="BC474" s="139"/>
      <c r="BD474" s="139"/>
      <c r="BE474" s="3"/>
    </row>
    <row r="475" spans="1:57" ht="15" customHeight="1" x14ac:dyDescent="0.4">
      <c r="A475" s="3"/>
      <c r="B475" s="7"/>
      <c r="C475" s="155"/>
      <c r="D475" s="155"/>
      <c r="E475" s="155"/>
      <c r="F475" s="155"/>
      <c r="G475" s="7"/>
      <c r="H475" s="20"/>
      <c r="I475" s="3"/>
      <c r="J475" s="3"/>
      <c r="K475" s="3"/>
      <c r="L475" s="3"/>
      <c r="M475" s="5"/>
      <c r="N475" s="5"/>
      <c r="O475" s="5"/>
      <c r="P475" s="5"/>
      <c r="Q475" s="439" t="s">
        <v>163</v>
      </c>
      <c r="R475" s="440" t="s">
        <v>352</v>
      </c>
      <c r="S475" s="376">
        <f t="shared" si="68"/>
        <v>36</v>
      </c>
      <c r="T475" s="3" t="s">
        <v>366</v>
      </c>
      <c r="U475" s="20"/>
      <c r="V475" s="38"/>
      <c r="W475" s="3"/>
      <c r="X475" s="38"/>
      <c r="Y475" s="441"/>
      <c r="Z475" s="441"/>
      <c r="AA475" s="441"/>
      <c r="AB475" s="20"/>
      <c r="AC475" s="3"/>
      <c r="AD475" s="3"/>
      <c r="AE475" s="5"/>
      <c r="AF475" s="3"/>
      <c r="AG475" s="38"/>
      <c r="AH475" s="38"/>
      <c r="AI475" s="51"/>
      <c r="AJ475" s="39"/>
      <c r="AK475" s="39"/>
      <c r="AL475" s="39"/>
      <c r="AM475" s="39"/>
      <c r="AN475" s="3" t="s">
        <v>92</v>
      </c>
      <c r="AO475" s="3" t="s">
        <v>92</v>
      </c>
      <c r="AP475" s="3" t="s">
        <v>92</v>
      </c>
      <c r="AQ475" s="3" t="s">
        <v>92</v>
      </c>
      <c r="AR475" s="3" t="s">
        <v>92</v>
      </c>
      <c r="AS475" s="3" t="s">
        <v>92</v>
      </c>
      <c r="AT475" s="3" t="s">
        <v>92</v>
      </c>
      <c r="AU475" s="3" t="s">
        <v>81</v>
      </c>
      <c r="AV475" s="3" t="s">
        <v>81</v>
      </c>
      <c r="AW475" s="3" t="s">
        <v>81</v>
      </c>
      <c r="AX475" s="1414" t="s">
        <v>92</v>
      </c>
      <c r="AY475" s="3"/>
      <c r="AZ475" s="139"/>
      <c r="BA475" s="139"/>
      <c r="BB475" s="139"/>
      <c r="BC475" s="139"/>
      <c r="BD475" s="139"/>
      <c r="BE475" s="3"/>
    </row>
    <row r="476" spans="1:57" ht="15" customHeight="1" x14ac:dyDescent="0.4">
      <c r="A476" s="3"/>
      <c r="B476" s="7"/>
      <c r="C476" s="155"/>
      <c r="D476" s="155"/>
      <c r="E476" s="155"/>
      <c r="F476" s="155"/>
      <c r="G476" s="7"/>
      <c r="H476" s="20"/>
      <c r="I476" s="3"/>
      <c r="J476" s="3"/>
      <c r="K476" s="3"/>
      <c r="L476" s="3"/>
      <c r="M476" s="5"/>
      <c r="N476" s="5"/>
      <c r="O476" s="5"/>
      <c r="P476" s="5"/>
      <c r="Q476" s="439" t="s">
        <v>175</v>
      </c>
      <c r="R476" s="440" t="s">
        <v>352</v>
      </c>
      <c r="S476" s="376">
        <f t="shared" si="68"/>
        <v>39</v>
      </c>
      <c r="T476" s="3" t="s">
        <v>366</v>
      </c>
      <c r="U476" s="20"/>
      <c r="V476" s="38"/>
      <c r="W476" s="3"/>
      <c r="X476" s="38"/>
      <c r="Y476" s="441"/>
      <c r="Z476" s="441"/>
      <c r="AA476" s="441"/>
      <c r="AB476" s="20"/>
      <c r="AC476" s="3"/>
      <c r="AD476" s="3"/>
      <c r="AE476" s="5"/>
      <c r="AF476" s="3"/>
      <c r="AG476" s="38"/>
      <c r="AH476" s="38"/>
      <c r="AI476" s="51"/>
      <c r="AJ476" s="39"/>
      <c r="AK476" s="39"/>
      <c r="AL476" s="39"/>
      <c r="AM476" s="39"/>
      <c r="AN476" s="3" t="s">
        <v>92</v>
      </c>
      <c r="AO476" s="3" t="s">
        <v>92</v>
      </c>
      <c r="AP476" s="3" t="s">
        <v>92</v>
      </c>
      <c r="AQ476" s="3" t="s">
        <v>92</v>
      </c>
      <c r="AR476" s="3" t="s">
        <v>92</v>
      </c>
      <c r="AS476" s="3" t="s">
        <v>92</v>
      </c>
      <c r="AT476" s="3" t="s">
        <v>92</v>
      </c>
      <c r="AU476" s="3" t="s">
        <v>81</v>
      </c>
      <c r="AV476" s="3" t="s">
        <v>81</v>
      </c>
      <c r="AW476" s="3" t="s">
        <v>81</v>
      </c>
      <c r="AX476" s="1414" t="s">
        <v>92</v>
      </c>
      <c r="AY476" s="3"/>
      <c r="AZ476" s="139"/>
      <c r="BA476" s="139"/>
      <c r="BB476" s="139"/>
      <c r="BC476" s="139"/>
      <c r="BD476" s="139"/>
      <c r="BE476" s="3"/>
    </row>
    <row r="477" spans="1:57" ht="15" customHeight="1" x14ac:dyDescent="0.4">
      <c r="A477" s="3"/>
      <c r="B477" s="7"/>
      <c r="C477" s="155"/>
      <c r="D477" s="155"/>
      <c r="E477" s="155"/>
      <c r="F477" s="155"/>
      <c r="G477" s="7"/>
      <c r="H477" s="20"/>
      <c r="I477" s="3"/>
      <c r="J477" s="3"/>
      <c r="K477" s="3"/>
      <c r="L477" s="3"/>
      <c r="M477" s="5"/>
      <c r="N477" s="5"/>
      <c r="O477" s="5"/>
      <c r="P477" s="5"/>
      <c r="Q477" s="439" t="s">
        <v>533</v>
      </c>
      <c r="R477" s="440" t="s">
        <v>352</v>
      </c>
      <c r="S477" s="376">
        <f t="shared" si="68"/>
        <v>42</v>
      </c>
      <c r="T477" s="3" t="s">
        <v>366</v>
      </c>
      <c r="U477" s="20"/>
      <c r="V477" s="38"/>
      <c r="W477" s="3"/>
      <c r="X477" s="38"/>
      <c r="Y477" s="441"/>
      <c r="Z477" s="441"/>
      <c r="AA477" s="441"/>
      <c r="AB477" s="20"/>
      <c r="AC477" s="3"/>
      <c r="AD477" s="3"/>
      <c r="AE477" s="5"/>
      <c r="AF477" s="3"/>
      <c r="AG477" s="38"/>
      <c r="AH477" s="38"/>
      <c r="AI477" s="51"/>
      <c r="AJ477" s="39"/>
      <c r="AK477" s="39"/>
      <c r="AL477" s="39"/>
      <c r="AM477" s="39"/>
      <c r="AN477" s="3" t="s">
        <v>92</v>
      </c>
      <c r="AO477" s="3" t="s">
        <v>92</v>
      </c>
      <c r="AP477" s="3" t="s">
        <v>92</v>
      </c>
      <c r="AQ477" s="3" t="s">
        <v>92</v>
      </c>
      <c r="AR477" s="3" t="s">
        <v>92</v>
      </c>
      <c r="AS477" s="3" t="s">
        <v>92</v>
      </c>
      <c r="AT477" s="3" t="s">
        <v>92</v>
      </c>
      <c r="AU477" s="3" t="s">
        <v>81</v>
      </c>
      <c r="AV477" s="3" t="s">
        <v>81</v>
      </c>
      <c r="AW477" s="3" t="s">
        <v>81</v>
      </c>
      <c r="AX477" s="1414" t="s">
        <v>92</v>
      </c>
      <c r="AY477" s="3"/>
      <c r="AZ477" s="139"/>
      <c r="BA477" s="139"/>
      <c r="BB477" s="139"/>
      <c r="BC477" s="139"/>
      <c r="BD477" s="139"/>
      <c r="BE477" s="3"/>
    </row>
    <row r="478" spans="1:57" ht="15" customHeight="1" x14ac:dyDescent="0.4">
      <c r="A478" s="3"/>
      <c r="B478" s="7"/>
      <c r="C478" s="155"/>
      <c r="D478" s="155"/>
      <c r="E478" s="155"/>
      <c r="F478" s="155"/>
      <c r="G478" s="7"/>
      <c r="H478" s="20"/>
      <c r="I478" s="3"/>
      <c r="J478" s="3"/>
      <c r="K478" s="3"/>
      <c r="L478" s="3"/>
      <c r="M478" s="5"/>
      <c r="N478" s="5"/>
      <c r="O478" s="5"/>
      <c r="P478" s="5"/>
      <c r="Q478" s="439" t="s">
        <v>534</v>
      </c>
      <c r="R478" s="440" t="s">
        <v>352</v>
      </c>
      <c r="S478" s="376">
        <f t="shared" si="68"/>
        <v>45</v>
      </c>
      <c r="T478" s="3" t="s">
        <v>366</v>
      </c>
      <c r="U478" s="20"/>
      <c r="V478" s="38"/>
      <c r="W478" s="3"/>
      <c r="X478" s="38"/>
      <c r="Y478" s="441"/>
      <c r="Z478" s="441"/>
      <c r="AA478" s="441"/>
      <c r="AB478" s="20"/>
      <c r="AC478" s="3"/>
      <c r="AD478" s="3"/>
      <c r="AE478" s="5"/>
      <c r="AF478" s="3"/>
      <c r="AG478" s="38"/>
      <c r="AH478" s="38"/>
      <c r="AI478" s="51"/>
      <c r="AJ478" s="39"/>
      <c r="AK478" s="39"/>
      <c r="AL478" s="39"/>
      <c r="AM478" s="39"/>
      <c r="AN478" s="3" t="s">
        <v>92</v>
      </c>
      <c r="AO478" s="3" t="s">
        <v>92</v>
      </c>
      <c r="AP478" s="3" t="s">
        <v>92</v>
      </c>
      <c r="AQ478" s="3" t="s">
        <v>92</v>
      </c>
      <c r="AR478" s="3" t="s">
        <v>92</v>
      </c>
      <c r="AS478" s="3" t="s">
        <v>92</v>
      </c>
      <c r="AT478" s="3" t="s">
        <v>92</v>
      </c>
      <c r="AU478" s="3" t="s">
        <v>81</v>
      </c>
      <c r="AV478" s="3" t="s">
        <v>81</v>
      </c>
      <c r="AW478" s="3" t="s">
        <v>81</v>
      </c>
      <c r="AX478" s="1414" t="s">
        <v>92</v>
      </c>
      <c r="AY478" s="3"/>
      <c r="AZ478" s="139"/>
      <c r="BA478" s="139"/>
      <c r="BB478" s="139"/>
      <c r="BC478" s="139"/>
      <c r="BD478" s="139"/>
      <c r="BE478" s="3"/>
    </row>
    <row r="479" spans="1:57" ht="15" customHeight="1" x14ac:dyDescent="0.4">
      <c r="A479" s="3"/>
      <c r="B479" s="7"/>
      <c r="C479" s="155"/>
      <c r="D479" s="155"/>
      <c r="E479" s="155"/>
      <c r="F479" s="155"/>
      <c r="G479" s="7"/>
      <c r="H479" s="20"/>
      <c r="I479" s="3"/>
      <c r="J479" s="3"/>
      <c r="K479" s="3"/>
      <c r="L479" s="3"/>
      <c r="M479" s="5"/>
      <c r="N479" s="5"/>
      <c r="O479" s="5"/>
      <c r="P479" s="5"/>
      <c r="Q479" s="439" t="s">
        <v>535</v>
      </c>
      <c r="R479" s="440" t="s">
        <v>352</v>
      </c>
      <c r="S479" s="376">
        <f t="shared" si="68"/>
        <v>48</v>
      </c>
      <c r="T479" s="3" t="s">
        <v>366</v>
      </c>
      <c r="U479" s="20"/>
      <c r="V479" s="38"/>
      <c r="W479" s="3"/>
      <c r="X479" s="38"/>
      <c r="Y479" s="441"/>
      <c r="Z479" s="441"/>
      <c r="AA479" s="441"/>
      <c r="AB479" s="20"/>
      <c r="AC479" s="3"/>
      <c r="AD479" s="3"/>
      <c r="AE479" s="5"/>
      <c r="AF479" s="3"/>
      <c r="AG479" s="38"/>
      <c r="AH479" s="38"/>
      <c r="AI479" s="51"/>
      <c r="AJ479" s="39"/>
      <c r="AK479" s="39"/>
      <c r="AL479" s="39"/>
      <c r="AM479" s="39"/>
      <c r="AN479" s="3" t="s">
        <v>92</v>
      </c>
      <c r="AO479" s="3" t="s">
        <v>92</v>
      </c>
      <c r="AP479" s="3" t="s">
        <v>92</v>
      </c>
      <c r="AQ479" s="3" t="s">
        <v>92</v>
      </c>
      <c r="AR479" s="3" t="s">
        <v>92</v>
      </c>
      <c r="AS479" s="3" t="s">
        <v>92</v>
      </c>
      <c r="AT479" s="3" t="s">
        <v>92</v>
      </c>
      <c r="AU479" s="3" t="s">
        <v>81</v>
      </c>
      <c r="AV479" s="3" t="s">
        <v>81</v>
      </c>
      <c r="AW479" s="3" t="s">
        <v>81</v>
      </c>
      <c r="AX479" s="1414" t="s">
        <v>92</v>
      </c>
      <c r="AY479" s="3"/>
      <c r="AZ479" s="139"/>
      <c r="BA479" s="139"/>
      <c r="BB479" s="139"/>
      <c r="BC479" s="139"/>
      <c r="BD479" s="139"/>
      <c r="BE479" s="3"/>
    </row>
    <row r="480" spans="1:57" ht="15" customHeight="1" x14ac:dyDescent="0.4">
      <c r="A480" s="3"/>
      <c r="B480" s="7"/>
      <c r="C480" s="155"/>
      <c r="D480" s="155"/>
      <c r="E480" s="155"/>
      <c r="F480" s="155"/>
      <c r="G480" s="7"/>
      <c r="H480" s="20"/>
      <c r="I480" s="3"/>
      <c r="J480" s="3"/>
      <c r="K480" s="3"/>
      <c r="L480" s="3"/>
      <c r="M480" s="5"/>
      <c r="N480" s="5"/>
      <c r="O480" s="5"/>
      <c r="P480" s="5"/>
      <c r="Q480" s="439" t="s">
        <v>536</v>
      </c>
      <c r="R480" s="440" t="s">
        <v>352</v>
      </c>
      <c r="S480" s="376">
        <f t="shared" si="68"/>
        <v>51</v>
      </c>
      <c r="T480" s="3" t="s">
        <v>366</v>
      </c>
      <c r="U480" s="20"/>
      <c r="V480" s="38"/>
      <c r="W480" s="3"/>
      <c r="X480" s="38"/>
      <c r="Y480" s="441"/>
      <c r="Z480" s="441"/>
      <c r="AA480" s="441"/>
      <c r="AB480" s="20"/>
      <c r="AC480" s="3"/>
      <c r="AD480" s="3"/>
      <c r="AE480" s="5"/>
      <c r="AF480" s="3"/>
      <c r="AG480" s="38"/>
      <c r="AH480" s="38"/>
      <c r="AI480" s="51"/>
      <c r="AJ480" s="39"/>
      <c r="AK480" s="39"/>
      <c r="AL480" s="39"/>
      <c r="AM480" s="39"/>
      <c r="AN480" s="3" t="s">
        <v>92</v>
      </c>
      <c r="AO480" s="3" t="s">
        <v>92</v>
      </c>
      <c r="AP480" s="3" t="s">
        <v>92</v>
      </c>
      <c r="AQ480" s="3" t="s">
        <v>92</v>
      </c>
      <c r="AR480" s="3" t="s">
        <v>92</v>
      </c>
      <c r="AS480" s="3" t="s">
        <v>92</v>
      </c>
      <c r="AT480" s="3" t="s">
        <v>92</v>
      </c>
      <c r="AU480" s="3" t="s">
        <v>81</v>
      </c>
      <c r="AV480" s="3" t="s">
        <v>81</v>
      </c>
      <c r="AW480" s="3" t="s">
        <v>81</v>
      </c>
      <c r="AX480" s="1414" t="s">
        <v>92</v>
      </c>
      <c r="AY480" s="3"/>
      <c r="AZ480" s="139"/>
      <c r="BA480" s="139"/>
      <c r="BB480" s="139"/>
      <c r="BC480" s="139"/>
      <c r="BD480" s="139"/>
      <c r="BE480" s="3"/>
    </row>
    <row r="481" spans="1:57" ht="15" customHeight="1" x14ac:dyDescent="0.4">
      <c r="A481" s="3"/>
      <c r="B481" s="7"/>
      <c r="C481" s="155"/>
      <c r="D481" s="155"/>
      <c r="E481" s="155"/>
      <c r="F481" s="155"/>
      <c r="G481" s="7"/>
      <c r="H481" s="20"/>
      <c r="I481" s="3"/>
      <c r="J481" s="3"/>
      <c r="K481" s="3"/>
      <c r="L481" s="3"/>
      <c r="M481" s="5"/>
      <c r="N481" s="5"/>
      <c r="O481" s="5"/>
      <c r="P481" s="5"/>
      <c r="Q481" s="439" t="s">
        <v>537</v>
      </c>
      <c r="R481" s="440" t="s">
        <v>352</v>
      </c>
      <c r="S481" s="376">
        <f t="shared" si="68"/>
        <v>54</v>
      </c>
      <c r="T481" s="3" t="s">
        <v>366</v>
      </c>
      <c r="U481" s="20"/>
      <c r="V481" s="38"/>
      <c r="W481" s="3"/>
      <c r="X481" s="38"/>
      <c r="Y481" s="441"/>
      <c r="Z481" s="441"/>
      <c r="AA481" s="441"/>
      <c r="AB481" s="20"/>
      <c r="AC481" s="3"/>
      <c r="AD481" s="3"/>
      <c r="AE481" s="5"/>
      <c r="AF481" s="3"/>
      <c r="AG481" s="38"/>
      <c r="AH481" s="38"/>
      <c r="AI481" s="51"/>
      <c r="AJ481" s="39"/>
      <c r="AK481" s="39"/>
      <c r="AL481" s="39"/>
      <c r="AM481" s="39"/>
      <c r="AN481" s="3" t="s">
        <v>92</v>
      </c>
      <c r="AO481" s="3" t="s">
        <v>92</v>
      </c>
      <c r="AP481" s="3" t="s">
        <v>92</v>
      </c>
      <c r="AQ481" s="3" t="s">
        <v>92</v>
      </c>
      <c r="AR481" s="3" t="s">
        <v>92</v>
      </c>
      <c r="AS481" s="3" t="s">
        <v>92</v>
      </c>
      <c r="AT481" s="3" t="s">
        <v>92</v>
      </c>
      <c r="AU481" s="3" t="s">
        <v>81</v>
      </c>
      <c r="AV481" s="3" t="s">
        <v>81</v>
      </c>
      <c r="AW481" s="3" t="s">
        <v>81</v>
      </c>
      <c r="AX481" s="1414" t="s">
        <v>92</v>
      </c>
      <c r="AY481" s="3"/>
      <c r="AZ481" s="139"/>
      <c r="BA481" s="139"/>
      <c r="BB481" s="139"/>
      <c r="BC481" s="139"/>
      <c r="BD481" s="139"/>
      <c r="BE481" s="3"/>
    </row>
    <row r="482" spans="1:57" ht="15" customHeight="1" x14ac:dyDescent="0.4">
      <c r="A482" s="3"/>
      <c r="B482" s="7"/>
      <c r="C482" s="155"/>
      <c r="D482" s="155"/>
      <c r="E482" s="155"/>
      <c r="F482" s="155"/>
      <c r="G482" s="7"/>
      <c r="H482" s="20"/>
      <c r="I482" s="3"/>
      <c r="J482" s="3"/>
      <c r="K482" s="3"/>
      <c r="L482" s="3"/>
      <c r="M482" s="5"/>
      <c r="N482" s="5"/>
      <c r="O482" s="5"/>
      <c r="P482" s="5"/>
      <c r="Q482" s="439" t="s">
        <v>371</v>
      </c>
      <c r="R482" s="440" t="s">
        <v>352</v>
      </c>
      <c r="S482" s="376">
        <f t="shared" si="68"/>
        <v>57</v>
      </c>
      <c r="T482" s="3" t="s">
        <v>366</v>
      </c>
      <c r="U482" s="20"/>
      <c r="V482" s="38"/>
      <c r="W482" s="3"/>
      <c r="X482" s="38"/>
      <c r="Y482" s="441"/>
      <c r="Z482" s="441"/>
      <c r="AA482" s="441"/>
      <c r="AB482" s="20"/>
      <c r="AC482" s="3"/>
      <c r="AD482" s="3"/>
      <c r="AE482" s="5"/>
      <c r="AF482" s="3"/>
      <c r="AG482" s="38"/>
      <c r="AH482" s="38"/>
      <c r="AI482" s="51"/>
      <c r="AJ482" s="39"/>
      <c r="AK482" s="39"/>
      <c r="AL482" s="39"/>
      <c r="AM482" s="39"/>
      <c r="AN482" s="3" t="s">
        <v>92</v>
      </c>
      <c r="AO482" s="3" t="s">
        <v>92</v>
      </c>
      <c r="AP482" s="3" t="s">
        <v>92</v>
      </c>
      <c r="AQ482" s="3" t="s">
        <v>92</v>
      </c>
      <c r="AR482" s="3" t="s">
        <v>92</v>
      </c>
      <c r="AS482" s="3" t="s">
        <v>92</v>
      </c>
      <c r="AT482" s="3" t="s">
        <v>92</v>
      </c>
      <c r="AU482" s="3" t="s">
        <v>81</v>
      </c>
      <c r="AV482" s="3" t="s">
        <v>81</v>
      </c>
      <c r="AW482" s="3" t="s">
        <v>81</v>
      </c>
      <c r="AX482" s="1414" t="s">
        <v>92</v>
      </c>
      <c r="AY482" s="3"/>
      <c r="AZ482" s="139"/>
      <c r="BA482" s="139"/>
      <c r="BB482" s="139"/>
      <c r="BC482" s="139"/>
      <c r="BD482" s="139"/>
      <c r="BE482" s="3"/>
    </row>
    <row r="483" spans="1:57" ht="15" customHeight="1" x14ac:dyDescent="0.4">
      <c r="A483" s="3"/>
      <c r="B483" s="7"/>
      <c r="C483" s="155"/>
      <c r="D483" s="155"/>
      <c r="E483" s="155"/>
      <c r="F483" s="155"/>
      <c r="G483" s="7"/>
      <c r="H483" s="20"/>
      <c r="I483" s="3"/>
      <c r="J483" s="3"/>
      <c r="K483" s="3"/>
      <c r="L483" s="3"/>
      <c r="M483" s="5"/>
      <c r="N483" s="5"/>
      <c r="O483" s="5"/>
      <c r="P483" s="5"/>
      <c r="Q483" s="439" t="s">
        <v>538</v>
      </c>
      <c r="R483" s="440" t="s">
        <v>352</v>
      </c>
      <c r="S483" s="376">
        <f t="shared" si="68"/>
        <v>60</v>
      </c>
      <c r="T483" s="3" t="s">
        <v>366</v>
      </c>
      <c r="U483" s="20"/>
      <c r="V483" s="38"/>
      <c r="W483" s="3"/>
      <c r="X483" s="38"/>
      <c r="Y483" s="441"/>
      <c r="Z483" s="441"/>
      <c r="AA483" s="441"/>
      <c r="AB483" s="20"/>
      <c r="AC483" s="3"/>
      <c r="AD483" s="3"/>
      <c r="AE483" s="5"/>
      <c r="AF483" s="3"/>
      <c r="AG483" s="38"/>
      <c r="AH483" s="38"/>
      <c r="AI483" s="51"/>
      <c r="AJ483" s="39"/>
      <c r="AK483" s="39"/>
      <c r="AL483" s="39"/>
      <c r="AM483" s="39"/>
      <c r="AN483" s="3" t="s">
        <v>92</v>
      </c>
      <c r="AO483" s="3" t="s">
        <v>92</v>
      </c>
      <c r="AP483" s="3" t="s">
        <v>92</v>
      </c>
      <c r="AQ483" s="3" t="s">
        <v>92</v>
      </c>
      <c r="AR483" s="3" t="s">
        <v>92</v>
      </c>
      <c r="AS483" s="3" t="s">
        <v>92</v>
      </c>
      <c r="AT483" s="3" t="s">
        <v>92</v>
      </c>
      <c r="AU483" s="3" t="s">
        <v>81</v>
      </c>
      <c r="AV483" s="3" t="s">
        <v>81</v>
      </c>
      <c r="AW483" s="3" t="s">
        <v>81</v>
      </c>
      <c r="AX483" s="1414" t="s">
        <v>92</v>
      </c>
      <c r="AY483" s="3"/>
      <c r="AZ483" s="139"/>
      <c r="BA483" s="139"/>
      <c r="BB483" s="139"/>
      <c r="BC483" s="139"/>
      <c r="BD483" s="139"/>
      <c r="BE483" s="3"/>
    </row>
    <row r="484" spans="1:57" ht="15" customHeight="1" x14ac:dyDescent="0.4">
      <c r="A484" s="3"/>
      <c r="B484" s="7"/>
      <c r="C484" s="155"/>
      <c r="D484" s="155"/>
      <c r="E484" s="155"/>
      <c r="F484" s="155"/>
      <c r="G484" s="7"/>
      <c r="H484" s="20"/>
      <c r="I484" s="3"/>
      <c r="J484" s="3"/>
      <c r="K484" s="3"/>
      <c r="L484" s="3"/>
      <c r="M484" s="5"/>
      <c r="N484" s="5"/>
      <c r="O484" s="5"/>
      <c r="P484" s="5"/>
      <c r="Q484" s="439" t="s">
        <v>539</v>
      </c>
      <c r="R484" s="440" t="s">
        <v>352</v>
      </c>
      <c r="S484" s="376">
        <f t="shared" si="68"/>
        <v>63</v>
      </c>
      <c r="T484" s="3" t="s">
        <v>366</v>
      </c>
      <c r="U484" s="20"/>
      <c r="V484" s="38"/>
      <c r="W484" s="3"/>
      <c r="X484" s="38"/>
      <c r="Y484" s="441"/>
      <c r="Z484" s="441"/>
      <c r="AA484" s="441"/>
      <c r="AB484" s="20"/>
      <c r="AC484" s="3"/>
      <c r="AD484" s="3"/>
      <c r="AE484" s="5"/>
      <c r="AF484" s="3"/>
      <c r="AG484" s="38"/>
      <c r="AH484" s="38"/>
      <c r="AI484" s="51"/>
      <c r="AJ484" s="39"/>
      <c r="AK484" s="39"/>
      <c r="AL484" s="39"/>
      <c r="AM484" s="39"/>
      <c r="AN484" s="3" t="s">
        <v>92</v>
      </c>
      <c r="AO484" s="3" t="s">
        <v>92</v>
      </c>
      <c r="AP484" s="3" t="s">
        <v>92</v>
      </c>
      <c r="AQ484" s="3" t="s">
        <v>92</v>
      </c>
      <c r="AR484" s="3" t="s">
        <v>92</v>
      </c>
      <c r="AS484" s="3" t="s">
        <v>92</v>
      </c>
      <c r="AT484" s="3" t="s">
        <v>92</v>
      </c>
      <c r="AU484" s="3" t="s">
        <v>81</v>
      </c>
      <c r="AV484" s="3" t="s">
        <v>81</v>
      </c>
      <c r="AW484" s="3" t="s">
        <v>81</v>
      </c>
      <c r="AX484" s="1414" t="s">
        <v>92</v>
      </c>
      <c r="AY484" s="3"/>
      <c r="AZ484" s="139"/>
      <c r="BA484" s="139"/>
      <c r="BB484" s="139"/>
      <c r="BC484" s="139"/>
      <c r="BD484" s="139"/>
      <c r="BE484" s="3"/>
    </row>
    <row r="485" spans="1:57" ht="15" customHeight="1" thickBot="1" x14ac:dyDescent="0.45">
      <c r="A485" s="3"/>
      <c r="B485" s="924"/>
      <c r="C485" s="925"/>
      <c r="D485" s="925"/>
      <c r="E485" s="925"/>
      <c r="F485" s="925"/>
      <c r="G485" s="924"/>
      <c r="H485" s="887"/>
      <c r="I485" s="889"/>
      <c r="J485" s="889"/>
      <c r="K485" s="889"/>
      <c r="L485" s="889"/>
      <c r="M485" s="945"/>
      <c r="N485" s="945"/>
      <c r="O485" s="945"/>
      <c r="P485" s="945"/>
      <c r="Q485" s="1192" t="s">
        <v>540</v>
      </c>
      <c r="R485" s="1005" t="s">
        <v>352</v>
      </c>
      <c r="S485" s="970">
        <f t="shared" si="68"/>
        <v>66</v>
      </c>
      <c r="T485" s="889" t="s">
        <v>366</v>
      </c>
      <c r="U485" s="887"/>
      <c r="V485" s="888"/>
      <c r="W485" s="889"/>
      <c r="X485" s="888"/>
      <c r="Y485" s="1006"/>
      <c r="Z485" s="1006"/>
      <c r="AA485" s="1006"/>
      <c r="AB485" s="887"/>
      <c r="AC485" s="889"/>
      <c r="AD485" s="889"/>
      <c r="AE485" s="945"/>
      <c r="AF485" s="889"/>
      <c r="AG485" s="888"/>
      <c r="AH485" s="888"/>
      <c r="AI485" s="937"/>
      <c r="AJ485" s="947"/>
      <c r="AK485" s="947"/>
      <c r="AL485" s="947"/>
      <c r="AM485" s="947"/>
      <c r="AN485" s="889" t="s">
        <v>92</v>
      </c>
      <c r="AO485" s="889" t="s">
        <v>92</v>
      </c>
      <c r="AP485" s="889" t="s">
        <v>92</v>
      </c>
      <c r="AQ485" s="889" t="s">
        <v>92</v>
      </c>
      <c r="AR485" s="889" t="s">
        <v>92</v>
      </c>
      <c r="AS485" s="889" t="s">
        <v>92</v>
      </c>
      <c r="AT485" s="889" t="s">
        <v>92</v>
      </c>
      <c r="AU485" s="889" t="s">
        <v>81</v>
      </c>
      <c r="AV485" s="889" t="s">
        <v>81</v>
      </c>
      <c r="AW485" s="889" t="s">
        <v>81</v>
      </c>
      <c r="AX485" s="1590" t="s">
        <v>92</v>
      </c>
      <c r="AY485" s="889"/>
      <c r="AZ485" s="139"/>
      <c r="BA485" s="139"/>
      <c r="BB485" s="139"/>
      <c r="BC485" s="139"/>
      <c r="BD485" s="139"/>
      <c r="BE485" s="3"/>
    </row>
    <row r="486" spans="1:57" ht="15" customHeight="1" x14ac:dyDescent="0.4">
      <c r="A486" s="3" t="s">
        <v>541</v>
      </c>
      <c r="B486" s="642" t="s">
        <v>542</v>
      </c>
      <c r="C486" s="642"/>
      <c r="D486" s="642"/>
      <c r="E486" s="642"/>
      <c r="F486" s="642"/>
      <c r="G486" s="642"/>
      <c r="H486" s="643"/>
      <c r="I486" s="643"/>
      <c r="J486" s="643"/>
      <c r="K486" s="643"/>
      <c r="L486" s="643"/>
      <c r="M486" s="644"/>
      <c r="N486" s="644"/>
      <c r="O486" s="644"/>
      <c r="P486" s="644"/>
      <c r="Q486" s="644"/>
      <c r="R486" s="643"/>
      <c r="S486" s="644"/>
      <c r="T486" s="643"/>
      <c r="U486" s="643"/>
      <c r="V486" s="642"/>
      <c r="W486" s="642"/>
      <c r="X486" s="642"/>
      <c r="Y486" s="645"/>
      <c r="Z486" s="645"/>
      <c r="AA486" s="645"/>
      <c r="AB486" s="643"/>
      <c r="AC486" s="645"/>
      <c r="AD486" s="643"/>
      <c r="AE486" s="644"/>
      <c r="AF486" s="643"/>
      <c r="AG486" s="643"/>
      <c r="AH486" s="643"/>
      <c r="AI486" s="646"/>
      <c r="AJ486" s="647"/>
      <c r="AK486" s="647"/>
      <c r="AL486" s="648" t="s">
        <v>543</v>
      </c>
      <c r="AM486" s="649">
        <f>SUBTOTAL(109,AM487:AM491)</f>
        <v>5.2408307291666674</v>
      </c>
      <c r="AN486" s="647" t="s">
        <v>371</v>
      </c>
      <c r="AO486" s="647" t="s">
        <v>81</v>
      </c>
      <c r="AP486" s="647" t="s">
        <v>371</v>
      </c>
      <c r="AQ486" s="647" t="s">
        <v>371</v>
      </c>
      <c r="AR486" s="647" t="s">
        <v>371</v>
      </c>
      <c r="AS486" s="647" t="s">
        <v>371</v>
      </c>
      <c r="AT486" s="647" t="s">
        <v>371</v>
      </c>
      <c r="AU486" s="647" t="s">
        <v>371</v>
      </c>
      <c r="AV486" s="647" t="s">
        <v>371</v>
      </c>
      <c r="AW486" s="647" t="s">
        <v>371</v>
      </c>
      <c r="AX486" s="647" t="s">
        <v>371</v>
      </c>
      <c r="AY486" s="647"/>
      <c r="AZ486" s="139"/>
      <c r="BA486" s="139"/>
      <c r="BB486" s="139"/>
      <c r="BC486" s="139"/>
      <c r="BD486" s="139"/>
      <c r="BE486" s="3"/>
    </row>
    <row r="487" spans="1:57" ht="26.25" customHeight="1" x14ac:dyDescent="0.4">
      <c r="A487" s="3"/>
      <c r="B487" s="4"/>
      <c r="C487" s="4" t="s">
        <v>544</v>
      </c>
      <c r="D487" s="4"/>
      <c r="E487" s="4"/>
      <c r="F487" s="4"/>
      <c r="G487" s="3"/>
      <c r="H487" s="14"/>
      <c r="I487" s="3" t="s">
        <v>392</v>
      </c>
      <c r="J487" s="3"/>
      <c r="K487" s="3"/>
      <c r="L487" s="5" t="s">
        <v>348</v>
      </c>
      <c r="M487" s="5">
        <v>-2</v>
      </c>
      <c r="N487" s="5"/>
      <c r="O487" s="5"/>
      <c r="P487" s="5"/>
      <c r="Q487" s="3"/>
      <c r="R487" s="5" t="s">
        <v>352</v>
      </c>
      <c r="S487" s="5">
        <f>SHWidth+M487</f>
        <v>36.5625</v>
      </c>
      <c r="T487" s="3" t="s">
        <v>366</v>
      </c>
      <c r="U487" s="14"/>
      <c r="V487" s="4"/>
      <c r="W487" s="4"/>
      <c r="X487" s="56"/>
      <c r="Y487" s="1443">
        <v>640014000</v>
      </c>
      <c r="Z487" s="1443"/>
      <c r="AA487" s="1443"/>
      <c r="AB487" s="14"/>
      <c r="AC487" s="3">
        <v>45</v>
      </c>
      <c r="AD487" s="56">
        <v>1</v>
      </c>
      <c r="AE487" s="376">
        <f>S487*AD487/12</f>
        <v>3.046875</v>
      </c>
      <c r="AF487" s="3" t="s">
        <v>367</v>
      </c>
      <c r="AG487" s="38"/>
      <c r="AH487" s="38"/>
      <c r="AI487" s="1427">
        <v>0.15290000000000001</v>
      </c>
      <c r="AJ487" s="477"/>
      <c r="AK487" s="477"/>
      <c r="AL487" s="477"/>
      <c r="AM487" s="39">
        <f>AE487*AI487+SUM(AJ487:AL487)</f>
        <v>0.4658671875</v>
      </c>
      <c r="AN487" s="3" t="s">
        <v>371</v>
      </c>
      <c r="AO487" s="3" t="s">
        <v>371</v>
      </c>
      <c r="AP487" s="3" t="s">
        <v>371</v>
      </c>
      <c r="AQ487" s="3" t="s">
        <v>371</v>
      </c>
      <c r="AR487" s="3" t="s">
        <v>92</v>
      </c>
      <c r="AS487" s="3" t="s">
        <v>92</v>
      </c>
      <c r="AT487" s="3" t="s">
        <v>371</v>
      </c>
      <c r="AU487" s="3" t="s">
        <v>371</v>
      </c>
      <c r="AV487" s="3" t="s">
        <v>371</v>
      </c>
      <c r="AW487" s="3" t="s">
        <v>92</v>
      </c>
      <c r="AX487" s="1414" t="s">
        <v>371</v>
      </c>
      <c r="AY487" s="3"/>
      <c r="AZ487" s="139"/>
      <c r="BA487" s="139"/>
      <c r="BB487" s="139"/>
      <c r="BC487" s="139"/>
      <c r="BD487" s="139"/>
      <c r="BE487" s="3"/>
    </row>
    <row r="488" spans="1:57" ht="26.25" customHeight="1" x14ac:dyDescent="0.4">
      <c r="A488" s="3"/>
      <c r="B488" s="4"/>
      <c r="C488" s="4" t="s">
        <v>545</v>
      </c>
      <c r="D488" s="573"/>
      <c r="E488" s="573"/>
      <c r="F488" s="573"/>
      <c r="G488" s="577"/>
      <c r="H488" s="574"/>
      <c r="I488" s="577" t="s">
        <v>365</v>
      </c>
      <c r="J488" s="577"/>
      <c r="K488" s="577"/>
      <c r="L488" s="575" t="s">
        <v>348</v>
      </c>
      <c r="M488" s="575">
        <v>-2</v>
      </c>
      <c r="N488" s="575"/>
      <c r="O488" s="575"/>
      <c r="P488" s="575"/>
      <c r="Q488" s="577"/>
      <c r="R488" s="575" t="s">
        <v>352</v>
      </c>
      <c r="S488" s="575">
        <f>SHHeight+M488</f>
        <v>72</v>
      </c>
      <c r="T488" s="577" t="s">
        <v>366</v>
      </c>
      <c r="U488" s="574"/>
      <c r="V488" s="573"/>
      <c r="W488" s="573"/>
      <c r="X488" s="576"/>
      <c r="Y488" s="1446">
        <v>640014000</v>
      </c>
      <c r="Z488" s="1446"/>
      <c r="AA488" s="1446"/>
      <c r="AB488" s="574"/>
      <c r="AC488" s="577">
        <v>45</v>
      </c>
      <c r="AD488" s="576">
        <v>2</v>
      </c>
      <c r="AE488" s="578">
        <f>S488*AD488/12</f>
        <v>12</v>
      </c>
      <c r="AF488" s="577" t="s">
        <v>367</v>
      </c>
      <c r="AG488" s="579"/>
      <c r="AH488" s="579"/>
      <c r="AI488" s="673">
        <f>AI487</f>
        <v>0.15290000000000001</v>
      </c>
      <c r="AJ488" s="580"/>
      <c r="AK488" s="580"/>
      <c r="AL488" s="580"/>
      <c r="AM488" s="581">
        <f>AE488*AI488+SUM(AJ488:AL488)</f>
        <v>1.8348</v>
      </c>
      <c r="AN488" s="577" t="s">
        <v>371</v>
      </c>
      <c r="AO488" s="577" t="s">
        <v>371</v>
      </c>
      <c r="AP488" s="577" t="s">
        <v>371</v>
      </c>
      <c r="AQ488" s="577" t="s">
        <v>371</v>
      </c>
      <c r="AR488" s="577" t="s">
        <v>92</v>
      </c>
      <c r="AS488" s="577" t="s">
        <v>92</v>
      </c>
      <c r="AT488" s="577" t="s">
        <v>371</v>
      </c>
      <c r="AU488" s="577" t="s">
        <v>371</v>
      </c>
      <c r="AV488" s="577" t="s">
        <v>371</v>
      </c>
      <c r="AW488" s="577" t="s">
        <v>92</v>
      </c>
      <c r="AX488" s="1881" t="s">
        <v>371</v>
      </c>
      <c r="AY488" s="577"/>
      <c r="AZ488" s="139"/>
      <c r="BA488" s="139"/>
      <c r="BB488" s="139"/>
      <c r="BC488" s="139"/>
      <c r="BD488" s="139"/>
      <c r="BE488" s="3"/>
    </row>
    <row r="489" spans="1:57" ht="22.5" customHeight="1" x14ac:dyDescent="0.4">
      <c r="A489" s="3"/>
      <c r="B489" s="4"/>
      <c r="C489" s="582" t="s">
        <v>546</v>
      </c>
      <c r="D489" s="582"/>
      <c r="E489" s="582"/>
      <c r="F489" s="582"/>
      <c r="G489" s="3"/>
      <c r="H489" s="583"/>
      <c r="I489" s="3" t="s">
        <v>392</v>
      </c>
      <c r="J489" s="130"/>
      <c r="K489" s="130"/>
      <c r="L489" s="584" t="s">
        <v>348</v>
      </c>
      <c r="M489" s="584">
        <v>-2</v>
      </c>
      <c r="N489" s="584"/>
      <c r="O489" s="584"/>
      <c r="P489" s="584"/>
      <c r="Q489" s="130"/>
      <c r="R489" s="584" t="s">
        <v>352</v>
      </c>
      <c r="S489" s="5">
        <f>SHWidth+M489</f>
        <v>36.5625</v>
      </c>
      <c r="T489" s="130" t="s">
        <v>366</v>
      </c>
      <c r="U489" s="583"/>
      <c r="V489" s="582"/>
      <c r="W489" s="582"/>
      <c r="X489" s="585"/>
      <c r="Y489" s="1452">
        <v>640015000</v>
      </c>
      <c r="Z489" s="1452"/>
      <c r="AA489" s="1452"/>
      <c r="AB489" s="583"/>
      <c r="AC489" s="130">
        <v>45</v>
      </c>
      <c r="AD489" s="585">
        <v>1</v>
      </c>
      <c r="AE489" s="376">
        <f>S489*AD489/12</f>
        <v>3.046875</v>
      </c>
      <c r="AF489" s="130" t="s">
        <v>367</v>
      </c>
      <c r="AG489" s="587"/>
      <c r="AH489" s="587"/>
      <c r="AI489" s="1430">
        <v>0.17399999999999999</v>
      </c>
      <c r="AJ489" s="588"/>
      <c r="AK489" s="588"/>
      <c r="AL489" s="588"/>
      <c r="AM489" s="39">
        <f>AE489*AI489+SUM(AJ489:AL489)</f>
        <v>0.53015625</v>
      </c>
      <c r="AN489" s="3" t="s">
        <v>92</v>
      </c>
      <c r="AO489" s="3" t="s">
        <v>92</v>
      </c>
      <c r="AP489" s="3" t="s">
        <v>92</v>
      </c>
      <c r="AQ489" s="3" t="s">
        <v>92</v>
      </c>
      <c r="AR489" s="3" t="s">
        <v>371</v>
      </c>
      <c r="AS489" s="3" t="s">
        <v>371</v>
      </c>
      <c r="AT489" s="3" t="s">
        <v>92</v>
      </c>
      <c r="AU489" s="3" t="s">
        <v>92</v>
      </c>
      <c r="AV489" s="3" t="s">
        <v>92</v>
      </c>
      <c r="AW489" s="3" t="s">
        <v>371</v>
      </c>
      <c r="AX489" s="1414" t="s">
        <v>92</v>
      </c>
      <c r="AY489" s="3"/>
      <c r="AZ489" s="139"/>
      <c r="BA489" s="139"/>
      <c r="BB489" s="139"/>
      <c r="BC489" s="139"/>
      <c r="BD489" s="139"/>
      <c r="BE489" s="3"/>
    </row>
    <row r="490" spans="1:57" ht="22.5" customHeight="1" x14ac:dyDescent="0.4">
      <c r="A490" s="3"/>
      <c r="B490" s="4"/>
      <c r="C490" s="573" t="s">
        <v>547</v>
      </c>
      <c r="D490" s="573"/>
      <c r="E490" s="573"/>
      <c r="F490" s="573"/>
      <c r="G490" s="577"/>
      <c r="H490" s="574"/>
      <c r="I490" s="577" t="s">
        <v>365</v>
      </c>
      <c r="J490" s="577"/>
      <c r="K490" s="577"/>
      <c r="L490" s="575" t="s">
        <v>348</v>
      </c>
      <c r="M490" s="575">
        <v>-2</v>
      </c>
      <c r="N490" s="575"/>
      <c r="O490" s="575"/>
      <c r="P490" s="575"/>
      <c r="Q490" s="577"/>
      <c r="R490" s="575" t="s">
        <v>352</v>
      </c>
      <c r="S490" s="575">
        <f>SHHeight+M490</f>
        <v>72</v>
      </c>
      <c r="T490" s="577" t="s">
        <v>366</v>
      </c>
      <c r="U490" s="574"/>
      <c r="V490" s="573"/>
      <c r="W490" s="573"/>
      <c r="X490" s="576"/>
      <c r="Y490" s="1446">
        <v>640015000</v>
      </c>
      <c r="Z490" s="1446"/>
      <c r="AA490" s="1446"/>
      <c r="AB490" s="574"/>
      <c r="AC490" s="577">
        <v>45</v>
      </c>
      <c r="AD490" s="576">
        <v>2</v>
      </c>
      <c r="AE490" s="578">
        <f>S490*AD490/12</f>
        <v>12</v>
      </c>
      <c r="AF490" s="577" t="s">
        <v>367</v>
      </c>
      <c r="AG490" s="579"/>
      <c r="AH490" s="579"/>
      <c r="AI490" s="673">
        <f>AI489</f>
        <v>0.17399999999999999</v>
      </c>
      <c r="AJ490" s="580"/>
      <c r="AK490" s="580"/>
      <c r="AL490" s="580"/>
      <c r="AM490" s="581">
        <f>AE490*AI490+SUM(AJ490:AL490)</f>
        <v>2.0880000000000001</v>
      </c>
      <c r="AN490" s="577" t="s">
        <v>92</v>
      </c>
      <c r="AO490" s="577" t="s">
        <v>92</v>
      </c>
      <c r="AP490" s="577" t="s">
        <v>92</v>
      </c>
      <c r="AQ490" s="577" t="s">
        <v>92</v>
      </c>
      <c r="AR490" s="577" t="s">
        <v>371</v>
      </c>
      <c r="AS490" s="577" t="s">
        <v>371</v>
      </c>
      <c r="AT490" s="577" t="s">
        <v>92</v>
      </c>
      <c r="AU490" s="577" t="s">
        <v>92</v>
      </c>
      <c r="AV490" s="577" t="s">
        <v>92</v>
      </c>
      <c r="AW490" s="577" t="s">
        <v>371</v>
      </c>
      <c r="AX490" s="1881" t="s">
        <v>92</v>
      </c>
      <c r="AY490" s="577"/>
      <c r="AZ490" s="139"/>
      <c r="BA490" s="139"/>
      <c r="BB490" s="139"/>
      <c r="BC490" s="139"/>
      <c r="BD490" s="139"/>
      <c r="BE490" s="3"/>
    </row>
    <row r="491" spans="1:57" ht="40.5" customHeight="1" thickBot="1" x14ac:dyDescent="0.45">
      <c r="A491" s="3"/>
      <c r="B491" s="968"/>
      <c r="C491" s="968" t="s">
        <v>548</v>
      </c>
      <c r="D491" s="968"/>
      <c r="E491" s="968"/>
      <c r="F491" s="968"/>
      <c r="G491" s="889"/>
      <c r="H491" s="948"/>
      <c r="I491" s="889" t="s">
        <v>392</v>
      </c>
      <c r="J491" s="889"/>
      <c r="K491" s="889"/>
      <c r="L491" s="945" t="s">
        <v>348</v>
      </c>
      <c r="M491" s="945">
        <v>-4</v>
      </c>
      <c r="N491" s="945"/>
      <c r="O491" s="945"/>
      <c r="P491" s="945"/>
      <c r="Q491" s="889"/>
      <c r="R491" s="945" t="s">
        <v>352</v>
      </c>
      <c r="S491" s="945">
        <f>SHWidth+M491</f>
        <v>34.5625</v>
      </c>
      <c r="T491" s="889" t="s">
        <v>366</v>
      </c>
      <c r="U491" s="948"/>
      <c r="V491" s="968"/>
      <c r="W491" s="968"/>
      <c r="X491" s="1156"/>
      <c r="Y491" s="1444">
        <v>640024000</v>
      </c>
      <c r="Z491" s="1444"/>
      <c r="AA491" s="1444"/>
      <c r="AB491" s="948"/>
      <c r="AC491" s="889">
        <v>45</v>
      </c>
      <c r="AD491" s="1156">
        <v>1</v>
      </c>
      <c r="AE491" s="970">
        <f>S491*AD491/12</f>
        <v>2.8802083333333335</v>
      </c>
      <c r="AF491" s="889" t="s">
        <v>367</v>
      </c>
      <c r="AG491" s="888"/>
      <c r="AH491" s="888"/>
      <c r="AI491" s="1428">
        <v>0.1118</v>
      </c>
      <c r="AJ491" s="1157"/>
      <c r="AK491" s="1157"/>
      <c r="AL491" s="1157"/>
      <c r="AM491" s="947">
        <f>AE491*AI491+SUM(AJ491:AL491)</f>
        <v>0.3220072916666667</v>
      </c>
      <c r="AN491" s="889" t="s">
        <v>371</v>
      </c>
      <c r="AO491" s="889" t="s">
        <v>81</v>
      </c>
      <c r="AP491" s="889" t="s">
        <v>371</v>
      </c>
      <c r="AQ491" s="889" t="s">
        <v>371</v>
      </c>
      <c r="AR491" s="889" t="s">
        <v>371</v>
      </c>
      <c r="AS491" s="889" t="s">
        <v>371</v>
      </c>
      <c r="AT491" s="889" t="s">
        <v>371</v>
      </c>
      <c r="AU491" s="889" t="s">
        <v>371</v>
      </c>
      <c r="AV491" s="889" t="s">
        <v>371</v>
      </c>
      <c r="AW491" s="889" t="s">
        <v>371</v>
      </c>
      <c r="AX491" s="1590" t="s">
        <v>371</v>
      </c>
      <c r="AY491" s="889"/>
      <c r="AZ491" s="139"/>
      <c r="BA491" s="139"/>
      <c r="BB491" s="139"/>
      <c r="BC491" s="139"/>
      <c r="BD491" s="139"/>
      <c r="BE491" s="3"/>
    </row>
    <row r="492" spans="1:57" ht="15" customHeight="1" x14ac:dyDescent="0.4">
      <c r="A492" s="3"/>
      <c r="B492" s="641" t="s">
        <v>549</v>
      </c>
      <c r="C492" s="642"/>
      <c r="D492" s="642"/>
      <c r="E492" s="642"/>
      <c r="F492" s="642"/>
      <c r="G492" s="642"/>
      <c r="H492" s="643"/>
      <c r="I492" s="643"/>
      <c r="J492" s="643"/>
      <c r="K492" s="643"/>
      <c r="L492" s="643"/>
      <c r="M492" s="644"/>
      <c r="N492" s="644"/>
      <c r="O492" s="644"/>
      <c r="P492" s="644"/>
      <c r="Q492" s="644"/>
      <c r="R492" s="643"/>
      <c r="S492" s="644"/>
      <c r="T492" s="643"/>
      <c r="U492" s="643"/>
      <c r="V492" s="642"/>
      <c r="W492" s="642"/>
      <c r="X492" s="642"/>
      <c r="Y492" s="1453"/>
      <c r="Z492" s="1453"/>
      <c r="AA492" s="1453"/>
      <c r="AB492" s="643"/>
      <c r="AC492" s="645"/>
      <c r="AD492" s="643"/>
      <c r="AE492" s="644"/>
      <c r="AF492" s="643"/>
      <c r="AG492" s="643"/>
      <c r="AH492" s="643"/>
      <c r="AI492" s="646"/>
      <c r="AJ492" s="647"/>
      <c r="AK492" s="647"/>
      <c r="AL492" s="671" t="s">
        <v>550</v>
      </c>
      <c r="AM492" s="672">
        <f>SUBTOTAL(109,AM497:AM539)</f>
        <v>13.1091</v>
      </c>
      <c r="AN492" s="647"/>
      <c r="AO492" s="647"/>
      <c r="AP492" s="647"/>
      <c r="AQ492" s="647"/>
      <c r="AR492" s="647"/>
      <c r="AS492" s="647"/>
      <c r="AT492" s="647"/>
      <c r="AU492" s="647"/>
      <c r="AV492" s="647"/>
      <c r="AW492" s="647"/>
      <c r="AX492" s="647"/>
      <c r="AY492" s="647"/>
      <c r="AZ492" s="139"/>
      <c r="BA492" s="139"/>
      <c r="BB492" s="139"/>
      <c r="BC492" s="139"/>
      <c r="BD492" s="139"/>
      <c r="BE492" s="3"/>
    </row>
    <row r="493" spans="1:57" ht="15" customHeight="1" x14ac:dyDescent="0.4">
      <c r="A493" s="3"/>
      <c r="B493" s="36" t="s">
        <v>551</v>
      </c>
      <c r="C493" s="36"/>
      <c r="D493" s="447"/>
      <c r="E493" s="155"/>
      <c r="F493" s="155"/>
      <c r="G493" s="7"/>
      <c r="H493" s="20"/>
      <c r="I493" s="3"/>
      <c r="J493" s="3"/>
      <c r="K493" s="3"/>
      <c r="L493" s="3"/>
      <c r="M493" s="5"/>
      <c r="N493" s="5"/>
      <c r="O493" s="5"/>
      <c r="P493" s="5"/>
      <c r="Q493" s="5"/>
      <c r="R493" s="5"/>
      <c r="S493" s="56">
        <v>2</v>
      </c>
      <c r="T493" s="3" t="s">
        <v>385</v>
      </c>
      <c r="U493" s="20"/>
      <c r="V493" s="38"/>
      <c r="W493" s="3"/>
      <c r="X493" s="38"/>
      <c r="Y493" s="1443"/>
      <c r="Z493" s="1443"/>
      <c r="AA493" s="1443"/>
      <c r="AB493" s="20"/>
      <c r="AC493" s="3">
        <v>45</v>
      </c>
      <c r="AD493" s="3">
        <v>2</v>
      </c>
      <c r="AE493" s="5">
        <v>2</v>
      </c>
      <c r="AF493" s="3" t="s">
        <v>385</v>
      </c>
      <c r="AG493" s="38" t="s">
        <v>8</v>
      </c>
      <c r="AH493" s="38" t="s">
        <v>8</v>
      </c>
      <c r="AI493" s="51"/>
      <c r="AJ493" s="39"/>
      <c r="AK493" s="39"/>
      <c r="AL493" s="39"/>
      <c r="AM493" s="39"/>
      <c r="AN493" s="3"/>
      <c r="AO493" s="3"/>
      <c r="AP493" s="3"/>
      <c r="AQ493" s="3"/>
      <c r="AR493" s="3"/>
      <c r="AS493" s="3"/>
      <c r="AT493" s="3"/>
      <c r="AU493" s="3"/>
      <c r="AV493" s="3"/>
      <c r="AW493" s="3"/>
      <c r="AX493" s="3"/>
      <c r="AY493" s="3"/>
      <c r="AZ493" s="140"/>
      <c r="BA493" s="140"/>
      <c r="BB493" s="139"/>
      <c r="BC493" s="139"/>
      <c r="BD493" s="139"/>
      <c r="BE493" s="3"/>
    </row>
    <row r="494" spans="1:57" ht="15" customHeight="1" x14ac:dyDescent="0.4">
      <c r="A494" s="3"/>
      <c r="B494" s="36"/>
      <c r="C494" s="36"/>
      <c r="D494" s="447"/>
      <c r="E494" s="155"/>
      <c r="F494" s="155"/>
      <c r="G494" s="7"/>
      <c r="H494" s="20"/>
      <c r="I494" s="3"/>
      <c r="J494" s="3"/>
      <c r="K494" s="3"/>
      <c r="L494" s="3"/>
      <c r="M494" s="5"/>
      <c r="N494" s="5"/>
      <c r="O494" s="5"/>
      <c r="P494" s="5"/>
      <c r="Q494" s="5"/>
      <c r="R494" s="3"/>
      <c r="S494" s="5"/>
      <c r="T494" s="42"/>
      <c r="U494" s="20"/>
      <c r="V494" s="38"/>
      <c r="W494" s="3"/>
      <c r="X494" s="38"/>
      <c r="Y494" s="1443"/>
      <c r="Z494" s="1443"/>
      <c r="AA494" s="1443"/>
      <c r="AB494" s="20"/>
      <c r="AC494" s="3"/>
      <c r="AD494" s="3"/>
      <c r="AE494" s="5"/>
      <c r="AF494" s="3"/>
      <c r="AG494" s="38"/>
      <c r="AH494" s="38"/>
      <c r="AI494" s="51"/>
      <c r="AJ494" s="39"/>
      <c r="AK494" s="39"/>
      <c r="AL494" s="39"/>
      <c r="AM494" s="39"/>
      <c r="AN494" s="3"/>
      <c r="AO494" s="3"/>
      <c r="AP494" s="3"/>
      <c r="AQ494" s="3"/>
      <c r="AR494" s="3"/>
      <c r="AS494" s="3"/>
      <c r="AT494" s="3"/>
      <c r="AU494" s="3"/>
      <c r="AV494" s="3"/>
      <c r="AW494" s="3"/>
      <c r="AX494" s="1414"/>
      <c r="AY494" s="3"/>
      <c r="AZ494" s="140"/>
      <c r="BA494" s="140"/>
      <c r="BB494" s="139"/>
      <c r="BC494" s="139"/>
      <c r="BD494" s="139"/>
      <c r="BE494" s="3"/>
    </row>
    <row r="495" spans="1:57" ht="15" customHeight="1" x14ac:dyDescent="0.4">
      <c r="A495" s="3"/>
      <c r="B495" s="36"/>
      <c r="C495" s="36"/>
      <c r="D495" s="447"/>
      <c r="E495" s="155"/>
      <c r="F495" s="155"/>
      <c r="G495" s="7"/>
      <c r="H495" s="20"/>
      <c r="I495" s="3"/>
      <c r="J495" s="3"/>
      <c r="K495" s="3"/>
      <c r="L495" s="3"/>
      <c r="M495" s="5"/>
      <c r="N495" s="5"/>
      <c r="O495" s="5"/>
      <c r="P495" s="5"/>
      <c r="Q495" s="5"/>
      <c r="R495" s="3"/>
      <c r="S495" s="5"/>
      <c r="T495" s="42" t="s">
        <v>552</v>
      </c>
      <c r="U495" s="20"/>
      <c r="V495" s="38" t="s">
        <v>369</v>
      </c>
      <c r="W495" s="3" t="s">
        <v>405</v>
      </c>
      <c r="X495" s="38" t="s">
        <v>369</v>
      </c>
      <c r="Y495" s="1443">
        <v>600141010</v>
      </c>
      <c r="Z495" s="1443"/>
      <c r="AA495" s="1443"/>
      <c r="AB495" s="20"/>
      <c r="AC495" s="3"/>
      <c r="AD495" s="3"/>
      <c r="AE495" s="5"/>
      <c r="AF495" s="3"/>
      <c r="AG495" s="38"/>
      <c r="AH495" s="38"/>
      <c r="AI495" s="353">
        <v>0.01</v>
      </c>
      <c r="AJ495" s="39"/>
      <c r="AK495" s="39"/>
      <c r="AL495" s="39"/>
      <c r="AM495" s="39">
        <f>AE$497*AI495+SUM(AJ495:AL495)</f>
        <v>0.02</v>
      </c>
      <c r="AN495" s="3" t="s">
        <v>81</v>
      </c>
      <c r="AO495" s="3" t="s">
        <v>81</v>
      </c>
      <c r="AP495" s="3" t="s">
        <v>81</v>
      </c>
      <c r="AQ495" s="3" t="s">
        <v>81</v>
      </c>
      <c r="AR495" s="3" t="s">
        <v>81</v>
      </c>
      <c r="AS495" s="3" t="s">
        <v>81</v>
      </c>
      <c r="AT495" s="3" t="s">
        <v>92</v>
      </c>
      <c r="AU495" s="3" t="s">
        <v>81</v>
      </c>
      <c r="AV495" s="3" t="s">
        <v>81</v>
      </c>
      <c r="AW495" s="3" t="s">
        <v>81</v>
      </c>
      <c r="AX495" s="1414" t="s">
        <v>81</v>
      </c>
      <c r="AY495" s="3"/>
      <c r="AZ495" s="140"/>
      <c r="BA495" s="140"/>
      <c r="BB495" s="139"/>
      <c r="BC495" s="139"/>
      <c r="BD495" s="139"/>
      <c r="BE495" s="3"/>
    </row>
    <row r="496" spans="1:57" ht="15" customHeight="1" thickBot="1" x14ac:dyDescent="0.45">
      <c r="A496" s="3"/>
      <c r="B496" s="36"/>
      <c r="C496" s="36"/>
      <c r="D496" s="447"/>
      <c r="E496" s="155"/>
      <c r="F496" s="155"/>
      <c r="G496" s="7"/>
      <c r="H496" s="20"/>
      <c r="I496" s="3"/>
      <c r="J496" s="3"/>
      <c r="K496" s="3"/>
      <c r="L496" s="3"/>
      <c r="M496" s="5"/>
      <c r="N496" s="5"/>
      <c r="O496" s="5"/>
      <c r="P496" s="5"/>
      <c r="Q496" s="5"/>
      <c r="R496" s="3"/>
      <c r="S496" s="5"/>
      <c r="T496" s="42" t="s">
        <v>553</v>
      </c>
      <c r="U496" s="20"/>
      <c r="V496" s="888" t="s">
        <v>369</v>
      </c>
      <c r="W496" s="889" t="s">
        <v>375</v>
      </c>
      <c r="X496" s="888" t="s">
        <v>369</v>
      </c>
      <c r="Y496" s="1443">
        <v>600141012</v>
      </c>
      <c r="Z496" s="1443"/>
      <c r="AA496" s="1443"/>
      <c r="AB496" s="20"/>
      <c r="AC496" s="3"/>
      <c r="AD496" s="3"/>
      <c r="AE496" s="5"/>
      <c r="AF496" s="3"/>
      <c r="AG496" s="38"/>
      <c r="AH496" s="38"/>
      <c r="AI496" s="353">
        <v>0.01</v>
      </c>
      <c r="AJ496" s="39"/>
      <c r="AK496" s="39"/>
      <c r="AL496" s="39"/>
      <c r="AM496" s="947">
        <f>AE$497*AI496+SUM(AJ496:AL496)</f>
        <v>0.02</v>
      </c>
      <c r="AN496" s="3" t="s">
        <v>92</v>
      </c>
      <c r="AO496" s="3" t="s">
        <v>92</v>
      </c>
      <c r="AP496" s="3" t="s">
        <v>92</v>
      </c>
      <c r="AQ496" s="3" t="s">
        <v>92</v>
      </c>
      <c r="AR496" s="3" t="s">
        <v>92</v>
      </c>
      <c r="AS496" s="3" t="s">
        <v>92</v>
      </c>
      <c r="AT496" s="1414" t="s">
        <v>81</v>
      </c>
      <c r="AU496" s="3" t="s">
        <v>92</v>
      </c>
      <c r="AV496" s="3" t="s">
        <v>92</v>
      </c>
      <c r="AW496" s="3" t="s">
        <v>92</v>
      </c>
      <c r="AX496" s="1414" t="s">
        <v>92</v>
      </c>
      <c r="AY496" s="3"/>
      <c r="AZ496" s="140"/>
      <c r="BA496" s="140"/>
      <c r="BB496" s="139"/>
      <c r="BC496" s="139"/>
      <c r="BD496" s="139"/>
      <c r="BE496" s="3"/>
    </row>
    <row r="497" spans="1:57" ht="15" customHeight="1" x14ac:dyDescent="0.4">
      <c r="A497" s="3" t="s">
        <v>473</v>
      </c>
      <c r="B497" s="173" t="s">
        <v>554</v>
      </c>
      <c r="C497" s="173"/>
      <c r="D497" s="173"/>
      <c r="E497" s="173"/>
      <c r="F497" s="173"/>
      <c r="G497" s="173"/>
      <c r="H497" s="193"/>
      <c r="I497" s="448" t="s">
        <v>461</v>
      </c>
      <c r="J497" s="116"/>
      <c r="K497" s="116" t="s">
        <v>392</v>
      </c>
      <c r="L497" s="116" t="s">
        <v>465</v>
      </c>
      <c r="M497" s="178">
        <f>SHTwoLockCutoff</f>
        <v>25</v>
      </c>
      <c r="N497" s="177"/>
      <c r="O497" s="177"/>
      <c r="P497" s="177"/>
      <c r="Q497" s="177"/>
      <c r="R497" s="177" t="s">
        <v>352</v>
      </c>
      <c r="S497" s="198">
        <v>1</v>
      </c>
      <c r="T497" s="116" t="s">
        <v>385</v>
      </c>
      <c r="U497" s="193"/>
      <c r="V497" s="138"/>
      <c r="W497" s="138"/>
      <c r="X497" s="138"/>
      <c r="Y497" s="1449"/>
      <c r="Z497" s="1449"/>
      <c r="AA497" s="1449"/>
      <c r="AB497" s="193"/>
      <c r="AC497" s="116">
        <v>45</v>
      </c>
      <c r="AD497" s="116">
        <f>IF((SHWidth&lt;SHTwoLockCutoff),1,2)</f>
        <v>2</v>
      </c>
      <c r="AE497" s="198">
        <f>S497*AD497</f>
        <v>2</v>
      </c>
      <c r="AF497" s="116" t="s">
        <v>385</v>
      </c>
      <c r="AG497" s="179" t="s">
        <v>8</v>
      </c>
      <c r="AH497" s="179" t="s">
        <v>8</v>
      </c>
      <c r="AI497" s="185"/>
      <c r="AJ497" s="180"/>
      <c r="AK497" s="180"/>
      <c r="AL497" s="180"/>
      <c r="AM497" s="180"/>
      <c r="AN497" s="116"/>
      <c r="AO497" s="116"/>
      <c r="AP497" s="116"/>
      <c r="AQ497" s="116"/>
      <c r="AR497" s="116"/>
      <c r="AS497" s="116"/>
      <c r="AT497" s="116"/>
      <c r="AU497" s="116"/>
      <c r="AV497" s="116"/>
      <c r="AW497" s="116"/>
      <c r="AX497" s="1884"/>
      <c r="AY497" s="116"/>
      <c r="AZ497" s="139"/>
      <c r="BA497" s="139"/>
      <c r="BB497" s="139"/>
      <c r="BC497" s="139"/>
      <c r="BD497" s="139"/>
      <c r="BE497" s="3"/>
    </row>
    <row r="498" spans="1:57" ht="15" customHeight="1" x14ac:dyDescent="0.4">
      <c r="A498" s="3"/>
      <c r="B498" s="7"/>
      <c r="C498" s="7"/>
      <c r="D498" s="7"/>
      <c r="E498" s="7"/>
      <c r="F498" s="7"/>
      <c r="G498" s="7"/>
      <c r="H498" s="14"/>
      <c r="I498" s="36" t="s">
        <v>464</v>
      </c>
      <c r="J498" s="38"/>
      <c r="K498" s="3" t="s">
        <v>392</v>
      </c>
      <c r="L498" s="3" t="s">
        <v>463</v>
      </c>
      <c r="M498" s="5">
        <f>SHTwoLockCutoff</f>
        <v>25</v>
      </c>
      <c r="N498" s="5"/>
      <c r="O498" s="5"/>
      <c r="P498" s="5"/>
      <c r="Q498" s="5"/>
      <c r="R498" s="3" t="s">
        <v>352</v>
      </c>
      <c r="S498" s="56">
        <v>2</v>
      </c>
      <c r="T498" s="3"/>
      <c r="U498" s="14"/>
      <c r="V498" s="38" t="s">
        <v>369</v>
      </c>
      <c r="W498" s="3" t="s">
        <v>370</v>
      </c>
      <c r="X498" s="38" t="s">
        <v>369</v>
      </c>
      <c r="Y498" s="1443">
        <v>420130003</v>
      </c>
      <c r="Z498" s="1443"/>
      <c r="AA498" s="1443"/>
      <c r="AB498" s="14"/>
      <c r="AC498" s="3"/>
      <c r="AD498" s="3"/>
      <c r="AE498" s="5"/>
      <c r="AF498" s="5"/>
      <c r="AG498" s="3"/>
      <c r="AH498" s="5"/>
      <c r="AI498" s="353">
        <v>0.09</v>
      </c>
      <c r="AJ498" s="39"/>
      <c r="AK498" s="39"/>
      <c r="AL498" s="39"/>
      <c r="AM498" s="39">
        <f>AE$497*AI498+SUM(AJ498:AL498)</f>
        <v>0.18</v>
      </c>
      <c r="AN498" s="3" t="s">
        <v>81</v>
      </c>
      <c r="AO498" s="3" t="s">
        <v>81</v>
      </c>
      <c r="AP498" s="3" t="s">
        <v>81</v>
      </c>
      <c r="AQ498" s="3" t="s">
        <v>81</v>
      </c>
      <c r="AR498" s="3" t="s">
        <v>81</v>
      </c>
      <c r="AS498" s="3" t="s">
        <v>81</v>
      </c>
      <c r="AT498" s="3" t="s">
        <v>81</v>
      </c>
      <c r="AU498" s="3" t="s">
        <v>81</v>
      </c>
      <c r="AV498" s="3" t="s">
        <v>371</v>
      </c>
      <c r="AW498" s="3" t="s">
        <v>81</v>
      </c>
      <c r="AX498" s="1414" t="s">
        <v>92</v>
      </c>
      <c r="AY498" s="3"/>
      <c r="AZ498" s="139"/>
      <c r="BA498" s="139"/>
      <c r="BB498" s="139"/>
      <c r="BC498" s="139"/>
      <c r="BD498" s="139"/>
      <c r="BE498" s="3"/>
    </row>
    <row r="499" spans="1:57" ht="15" customHeight="1" x14ac:dyDescent="0.4">
      <c r="A499" s="3"/>
      <c r="B499" s="7"/>
      <c r="C499" s="7"/>
      <c r="D499" s="7"/>
      <c r="E499" s="7"/>
      <c r="F499" s="7"/>
      <c r="G499" s="7"/>
      <c r="H499" s="14"/>
      <c r="I499" s="3"/>
      <c r="J499" s="3"/>
      <c r="K499" s="3"/>
      <c r="L499" s="3"/>
      <c r="M499" s="5"/>
      <c r="N499" s="5"/>
      <c r="O499" s="5"/>
      <c r="P499" s="5"/>
      <c r="Q499" s="5"/>
      <c r="R499" s="3"/>
      <c r="S499" s="5"/>
      <c r="T499" s="3"/>
      <c r="U499" s="14"/>
      <c r="V499" s="38" t="s">
        <v>369</v>
      </c>
      <c r="W499" s="3" t="s">
        <v>372</v>
      </c>
      <c r="X499" s="38" t="s">
        <v>369</v>
      </c>
      <c r="Y499" s="1443">
        <v>420130021</v>
      </c>
      <c r="Z499" s="1443"/>
      <c r="AA499" s="1443"/>
      <c r="AB499" s="14"/>
      <c r="AC499" s="3"/>
      <c r="AD499" s="56"/>
      <c r="AE499" s="56"/>
      <c r="AF499" s="3"/>
      <c r="AG499" s="3"/>
      <c r="AH499" s="5"/>
      <c r="AI499" s="353">
        <f>AI498</f>
        <v>0.09</v>
      </c>
      <c r="AJ499" s="39"/>
      <c r="AK499" s="39"/>
      <c r="AL499" s="39"/>
      <c r="AM499" s="39">
        <f>AE$497*AI499+SUM(AJ499:AL499)</f>
        <v>0.18</v>
      </c>
      <c r="AN499" s="3" t="s">
        <v>371</v>
      </c>
      <c r="AO499" s="3" t="s">
        <v>371</v>
      </c>
      <c r="AP499" s="3" t="s">
        <v>371</v>
      </c>
      <c r="AQ499" s="3" t="s">
        <v>371</v>
      </c>
      <c r="AR499" s="3" t="s">
        <v>371</v>
      </c>
      <c r="AS499" s="3" t="s">
        <v>371</v>
      </c>
      <c r="AT499" s="3" t="s">
        <v>371</v>
      </c>
      <c r="AU499" s="3" t="s">
        <v>371</v>
      </c>
      <c r="AV499" s="3" t="s">
        <v>371</v>
      </c>
      <c r="AW499" s="3" t="s">
        <v>371</v>
      </c>
      <c r="AX499" s="1414" t="s">
        <v>92</v>
      </c>
      <c r="AY499" s="3"/>
      <c r="AZ499" s="139"/>
      <c r="BA499" s="139"/>
      <c r="BB499" s="139"/>
      <c r="BC499" s="139"/>
      <c r="BD499" s="139"/>
      <c r="BE499" s="3"/>
    </row>
    <row r="500" spans="1:57" ht="15" customHeight="1" x14ac:dyDescent="0.4">
      <c r="A500" s="3"/>
      <c r="B500" s="7"/>
      <c r="C500" s="7"/>
      <c r="D500" s="7"/>
      <c r="E500" s="7"/>
      <c r="F500" s="7"/>
      <c r="G500" s="7"/>
      <c r="H500" s="14"/>
      <c r="I500" s="3"/>
      <c r="J500" s="3"/>
      <c r="K500" s="3"/>
      <c r="L500" s="3"/>
      <c r="M500" s="5"/>
      <c r="N500" s="5"/>
      <c r="O500" s="5"/>
      <c r="P500" s="5"/>
      <c r="Q500" s="5"/>
      <c r="R500" s="3"/>
      <c r="S500" s="5"/>
      <c r="T500" s="3"/>
      <c r="U500" s="14"/>
      <c r="V500" s="38" t="s">
        <v>369</v>
      </c>
      <c r="W500" s="3" t="s">
        <v>373</v>
      </c>
      <c r="X500" s="38" t="s">
        <v>369</v>
      </c>
      <c r="Y500" s="1443">
        <v>420130033</v>
      </c>
      <c r="Z500" s="1443"/>
      <c r="AA500" s="1443"/>
      <c r="AB500" s="14"/>
      <c r="AC500" s="3"/>
      <c r="AD500" s="56"/>
      <c r="AE500" s="56"/>
      <c r="AF500" s="3"/>
      <c r="AG500" s="3"/>
      <c r="AH500" s="5"/>
      <c r="AI500" s="353">
        <f>AI499</f>
        <v>0.09</v>
      </c>
      <c r="AJ500" s="39"/>
      <c r="AK500" s="39"/>
      <c r="AL500" s="39"/>
      <c r="AM500" s="39">
        <f>AE$497*AI500+SUM(AJ500:AL500)</f>
        <v>0.18</v>
      </c>
      <c r="AN500" s="3" t="s">
        <v>371</v>
      </c>
      <c r="AO500" s="3" t="s">
        <v>371</v>
      </c>
      <c r="AP500" s="3" t="s">
        <v>371</v>
      </c>
      <c r="AQ500" s="3" t="s">
        <v>371</v>
      </c>
      <c r="AR500" s="3" t="s">
        <v>371</v>
      </c>
      <c r="AS500" s="3" t="s">
        <v>371</v>
      </c>
      <c r="AT500" s="3" t="s">
        <v>371</v>
      </c>
      <c r="AU500" s="3" t="s">
        <v>371</v>
      </c>
      <c r="AV500" s="1414" t="s">
        <v>81</v>
      </c>
      <c r="AW500" s="3" t="s">
        <v>371</v>
      </c>
      <c r="AX500" s="1414" t="s">
        <v>92</v>
      </c>
      <c r="AY500" s="3"/>
      <c r="AZ500" s="139"/>
      <c r="BA500" s="139"/>
      <c r="BB500" s="139"/>
      <c r="BC500" s="139"/>
      <c r="BD500" s="139"/>
      <c r="BE500" s="3"/>
    </row>
    <row r="501" spans="1:57" ht="15" customHeight="1" thickBot="1" x14ac:dyDescent="0.45">
      <c r="A501" s="3"/>
      <c r="B501" s="924"/>
      <c r="C501" s="924"/>
      <c r="D501" s="924"/>
      <c r="E501" s="924"/>
      <c r="F501" s="924"/>
      <c r="G501" s="924"/>
      <c r="H501" s="948"/>
      <c r="I501" s="889"/>
      <c r="J501" s="889"/>
      <c r="K501" s="889"/>
      <c r="L501" s="889"/>
      <c r="M501" s="945"/>
      <c r="N501" s="945"/>
      <c r="O501" s="945"/>
      <c r="P501" s="945"/>
      <c r="Q501" s="945"/>
      <c r="R501" s="889"/>
      <c r="S501" s="945"/>
      <c r="T501" s="889"/>
      <c r="U501" s="948"/>
      <c r="V501" s="888" t="s">
        <v>369</v>
      </c>
      <c r="W501" s="889" t="s">
        <v>375</v>
      </c>
      <c r="X501" s="888" t="s">
        <v>369</v>
      </c>
      <c r="Y501" s="1444">
        <v>420130133</v>
      </c>
      <c r="Z501" s="1444"/>
      <c r="AA501" s="1444"/>
      <c r="AB501" s="948"/>
      <c r="AC501" s="889"/>
      <c r="AD501" s="1156"/>
      <c r="AE501" s="1156"/>
      <c r="AF501" s="889"/>
      <c r="AG501" s="889"/>
      <c r="AH501" s="945"/>
      <c r="AI501" s="1424"/>
      <c r="AJ501" s="947"/>
      <c r="AK501" s="947"/>
      <c r="AL501" s="947"/>
      <c r="AM501" s="947"/>
      <c r="AN501" s="889"/>
      <c r="AO501" s="889"/>
      <c r="AP501" s="889"/>
      <c r="AQ501" s="889"/>
      <c r="AR501" s="889"/>
      <c r="AS501" s="889"/>
      <c r="AT501" s="889"/>
      <c r="AU501" s="889"/>
      <c r="AV501" s="1590"/>
      <c r="AW501" s="889"/>
      <c r="AX501" s="1590" t="s">
        <v>81</v>
      </c>
      <c r="AY501" s="889"/>
      <c r="AZ501" s="139"/>
      <c r="BA501" s="139"/>
      <c r="BB501" s="139"/>
      <c r="BC501" s="139"/>
      <c r="BD501" s="139"/>
      <c r="BE501" s="3"/>
    </row>
    <row r="502" spans="1:57" ht="15" customHeight="1" x14ac:dyDescent="0.4">
      <c r="A502" s="3"/>
      <c r="B502" s="7" t="s">
        <v>557</v>
      </c>
      <c r="C502" s="7"/>
      <c r="D502" s="7"/>
      <c r="E502" s="7"/>
      <c r="F502" s="7"/>
      <c r="G502" s="7"/>
      <c r="H502" s="14"/>
      <c r="I502" s="500" t="s">
        <v>461</v>
      </c>
      <c r="J502" s="3"/>
      <c r="K502" s="3" t="s">
        <v>392</v>
      </c>
      <c r="L502" s="3" t="s">
        <v>465</v>
      </c>
      <c r="M502" s="24">
        <f>SHTwoLockCutoff</f>
        <v>25</v>
      </c>
      <c r="N502" s="5"/>
      <c r="O502" s="5"/>
      <c r="P502" s="5"/>
      <c r="Q502" s="5"/>
      <c r="R502" s="5" t="s">
        <v>352</v>
      </c>
      <c r="S502" s="56">
        <v>1</v>
      </c>
      <c r="T502" s="3" t="s">
        <v>385</v>
      </c>
      <c r="U502" s="14"/>
      <c r="V502" s="4"/>
      <c r="W502" s="4"/>
      <c r="X502" s="4"/>
      <c r="Y502" s="1443"/>
      <c r="Z502" s="1443"/>
      <c r="AA502" s="1443"/>
      <c r="AB502" s="14"/>
      <c r="AC502" s="3">
        <v>45</v>
      </c>
      <c r="AD502" s="3">
        <f>IF((SHWidth&lt;SHTwoLockCutoff),1,2)</f>
        <v>2</v>
      </c>
      <c r="AE502" s="56">
        <f>S502*AD502</f>
        <v>2</v>
      </c>
      <c r="AF502" s="3" t="s">
        <v>385</v>
      </c>
      <c r="AG502" s="38" t="s">
        <v>8</v>
      </c>
      <c r="AH502" s="38" t="s">
        <v>8</v>
      </c>
      <c r="AI502" s="51"/>
      <c r="AJ502" s="39"/>
      <c r="AK502" s="39"/>
      <c r="AL502" s="39"/>
      <c r="AM502" s="39"/>
      <c r="AN502" s="3"/>
      <c r="AO502" s="3"/>
      <c r="AP502" s="3"/>
      <c r="AQ502" s="3"/>
      <c r="AR502" s="3"/>
      <c r="AS502" s="3"/>
      <c r="AT502" s="3"/>
      <c r="AU502" s="3"/>
      <c r="AV502" s="3"/>
      <c r="AW502" s="3"/>
      <c r="AX502" s="1414"/>
      <c r="AY502" s="3"/>
      <c r="AZ502" s="139"/>
      <c r="BA502" s="139"/>
      <c r="BB502" s="139"/>
      <c r="BC502" s="139"/>
      <c r="BD502" s="139"/>
      <c r="BE502" s="3"/>
    </row>
    <row r="503" spans="1:57" ht="15" customHeight="1" x14ac:dyDescent="0.4">
      <c r="A503" s="3"/>
      <c r="B503" s="7"/>
      <c r="C503" s="7"/>
      <c r="D503" s="7"/>
      <c r="E503" s="7"/>
      <c r="F503" s="7"/>
      <c r="G503" s="7"/>
      <c r="H503" s="14"/>
      <c r="I503" s="36" t="s">
        <v>464</v>
      </c>
      <c r="J503" s="38"/>
      <c r="K503" s="3" t="s">
        <v>392</v>
      </c>
      <c r="L503" s="3" t="s">
        <v>463</v>
      </c>
      <c r="M503" s="5">
        <f>SHTwoLockCutoff</f>
        <v>25</v>
      </c>
      <c r="N503" s="5"/>
      <c r="O503" s="5"/>
      <c r="P503" s="5"/>
      <c r="Q503" s="5"/>
      <c r="R503" s="3" t="s">
        <v>352</v>
      </c>
      <c r="S503" s="56">
        <v>2</v>
      </c>
      <c r="T503" s="3"/>
      <c r="U503" s="14"/>
      <c r="V503" s="38" t="s">
        <v>369</v>
      </c>
      <c r="W503" s="3" t="s">
        <v>370</v>
      </c>
      <c r="X503" s="38" t="s">
        <v>369</v>
      </c>
      <c r="Y503" s="1443">
        <v>420147003</v>
      </c>
      <c r="Z503" s="1443"/>
      <c r="AA503" s="1443"/>
      <c r="AB503" s="14"/>
      <c r="AC503" s="3"/>
      <c r="AD503" s="3"/>
      <c r="AE503" s="5"/>
      <c r="AF503" s="5"/>
      <c r="AG503" s="3"/>
      <c r="AH503" s="5"/>
      <c r="AI503" s="353">
        <v>0.39</v>
      </c>
      <c r="AJ503" s="39"/>
      <c r="AK503" s="39"/>
      <c r="AL503" s="39"/>
      <c r="AM503" s="39">
        <f>AE$502*AI503+SUM(AJ503:AL503)</f>
        <v>0.78</v>
      </c>
      <c r="AN503" s="3" t="s">
        <v>371</v>
      </c>
      <c r="AO503" s="3" t="s">
        <v>371</v>
      </c>
      <c r="AP503" s="3" t="s">
        <v>371</v>
      </c>
      <c r="AQ503" s="3" t="s">
        <v>371</v>
      </c>
      <c r="AR503" s="3" t="s">
        <v>371</v>
      </c>
      <c r="AS503" s="3" t="s">
        <v>371</v>
      </c>
      <c r="AT503" s="3" t="s">
        <v>371</v>
      </c>
      <c r="AU503" s="3" t="s">
        <v>371</v>
      </c>
      <c r="AV503" s="3" t="s">
        <v>371</v>
      </c>
      <c r="AW503" s="3" t="s">
        <v>371</v>
      </c>
      <c r="AX503" s="1414" t="s">
        <v>371</v>
      </c>
      <c r="AY503" s="3"/>
      <c r="AZ503" s="139"/>
      <c r="BA503" s="139"/>
      <c r="BB503" s="139"/>
      <c r="BC503" s="139"/>
      <c r="BD503" s="139"/>
      <c r="BE503" s="3"/>
    </row>
    <row r="504" spans="1:57" ht="15" customHeight="1" x14ac:dyDescent="0.4">
      <c r="A504" s="3"/>
      <c r="B504" s="7"/>
      <c r="C504" s="7"/>
      <c r="D504" s="7"/>
      <c r="E504" s="7"/>
      <c r="F504" s="7"/>
      <c r="G504" s="7"/>
      <c r="H504" s="14"/>
      <c r="I504" s="3"/>
      <c r="J504" s="3"/>
      <c r="K504" s="3"/>
      <c r="L504" s="3"/>
      <c r="M504" s="5"/>
      <c r="N504" s="5"/>
      <c r="O504" s="5"/>
      <c r="P504" s="5"/>
      <c r="Q504" s="5"/>
      <c r="R504" s="3"/>
      <c r="S504" s="5"/>
      <c r="T504" s="3"/>
      <c r="U504" s="14"/>
      <c r="V504" s="38" t="s">
        <v>369</v>
      </c>
      <c r="W504" s="3" t="s">
        <v>372</v>
      </c>
      <c r="X504" s="38" t="s">
        <v>369</v>
      </c>
      <c r="Y504" s="1443">
        <v>420147021</v>
      </c>
      <c r="Z504" s="1443"/>
      <c r="AA504" s="1443"/>
      <c r="AB504" s="14"/>
      <c r="AC504" s="3"/>
      <c r="AD504" s="56"/>
      <c r="AE504" s="56"/>
      <c r="AF504" s="3"/>
      <c r="AG504" s="3"/>
      <c r="AH504" s="5"/>
      <c r="AI504" s="353">
        <v>0.39</v>
      </c>
      <c r="AJ504" s="39"/>
      <c r="AK504" s="39"/>
      <c r="AL504" s="39"/>
      <c r="AM504" s="39">
        <f t="shared" ref="AM504:AM505" si="69">AE$502*AI504+SUM(AJ504:AL504)</f>
        <v>0.78</v>
      </c>
      <c r="AN504" s="3" t="s">
        <v>371</v>
      </c>
      <c r="AO504" s="3" t="s">
        <v>371</v>
      </c>
      <c r="AP504" s="3" t="s">
        <v>371</v>
      </c>
      <c r="AQ504" s="3" t="s">
        <v>371</v>
      </c>
      <c r="AR504" s="3" t="s">
        <v>371</v>
      </c>
      <c r="AS504" s="3" t="s">
        <v>371</v>
      </c>
      <c r="AT504" s="3" t="s">
        <v>371</v>
      </c>
      <c r="AU504" s="3" t="s">
        <v>371</v>
      </c>
      <c r="AV504" s="3" t="s">
        <v>371</v>
      </c>
      <c r="AW504" s="3" t="s">
        <v>371</v>
      </c>
      <c r="AX504" s="1414" t="s">
        <v>371</v>
      </c>
      <c r="AY504" s="3"/>
      <c r="AZ504" s="139"/>
      <c r="BA504" s="139"/>
      <c r="BB504" s="139"/>
      <c r="BC504" s="139"/>
      <c r="BD504" s="139"/>
      <c r="BE504" s="3"/>
    </row>
    <row r="505" spans="1:57" ht="15" customHeight="1" x14ac:dyDescent="0.4">
      <c r="A505" s="3"/>
      <c r="B505" s="7"/>
      <c r="C505" s="7"/>
      <c r="D505" s="7"/>
      <c r="E505" s="7"/>
      <c r="F505" s="7"/>
      <c r="G505" s="7"/>
      <c r="H505" s="14"/>
      <c r="I505" s="3"/>
      <c r="J505" s="3"/>
      <c r="K505" s="3"/>
      <c r="L505" s="3"/>
      <c r="M505" s="5"/>
      <c r="N505" s="5"/>
      <c r="O505" s="5"/>
      <c r="P505" s="5"/>
      <c r="Q505" s="5"/>
      <c r="R505" s="3"/>
      <c r="S505" s="5"/>
      <c r="T505" s="3"/>
      <c r="U505" s="14"/>
      <c r="V505" s="38" t="s">
        <v>369</v>
      </c>
      <c r="W505" s="3" t="s">
        <v>373</v>
      </c>
      <c r="X505" s="38" t="s">
        <v>369</v>
      </c>
      <c r="Y505" s="1443">
        <v>420147033</v>
      </c>
      <c r="Z505" s="1443"/>
      <c r="AA505" s="1443"/>
      <c r="AB505" s="14"/>
      <c r="AC505" s="3"/>
      <c r="AD505" s="56"/>
      <c r="AE505" s="56"/>
      <c r="AF505" s="3"/>
      <c r="AG505" s="3"/>
      <c r="AH505" s="5"/>
      <c r="AI505" s="353">
        <v>0.39</v>
      </c>
      <c r="AJ505" s="39"/>
      <c r="AK505" s="39"/>
      <c r="AL505" s="39"/>
      <c r="AM505" s="39">
        <f t="shared" si="69"/>
        <v>0.78</v>
      </c>
      <c r="AN505" s="3" t="s">
        <v>371</v>
      </c>
      <c r="AO505" s="3" t="s">
        <v>371</v>
      </c>
      <c r="AP505" s="3" t="s">
        <v>371</v>
      </c>
      <c r="AQ505" s="3" t="s">
        <v>371</v>
      </c>
      <c r="AR505" s="3" t="s">
        <v>371</v>
      </c>
      <c r="AS505" s="3" t="s">
        <v>371</v>
      </c>
      <c r="AT505" s="3" t="s">
        <v>371</v>
      </c>
      <c r="AU505" s="3" t="s">
        <v>371</v>
      </c>
      <c r="AV505" s="3" t="s">
        <v>371</v>
      </c>
      <c r="AW505" s="3" t="s">
        <v>371</v>
      </c>
      <c r="AX505" s="1414" t="s">
        <v>371</v>
      </c>
      <c r="AY505" s="3"/>
      <c r="AZ505" s="139"/>
      <c r="BA505" s="139"/>
      <c r="BB505" s="139"/>
      <c r="BC505" s="139"/>
      <c r="BD505" s="139"/>
      <c r="BE505" s="3"/>
    </row>
    <row r="506" spans="1:57" ht="15" customHeight="1" thickBot="1" x14ac:dyDescent="0.45">
      <c r="A506" s="3"/>
      <c r="B506" s="924"/>
      <c r="C506" s="924"/>
      <c r="D506" s="924"/>
      <c r="E506" s="924"/>
      <c r="F506" s="924"/>
      <c r="G506" s="924"/>
      <c r="H506" s="948"/>
      <c r="I506" s="889"/>
      <c r="J506" s="889"/>
      <c r="K506" s="889"/>
      <c r="L506" s="889"/>
      <c r="M506" s="945"/>
      <c r="N506" s="945"/>
      <c r="O506" s="945"/>
      <c r="P506" s="945"/>
      <c r="Q506" s="945"/>
      <c r="R506" s="889"/>
      <c r="S506" s="945"/>
      <c r="T506" s="889"/>
      <c r="U506" s="948"/>
      <c r="V506" s="888" t="s">
        <v>369</v>
      </c>
      <c r="W506" s="889" t="s">
        <v>375</v>
      </c>
      <c r="X506" s="888" t="s">
        <v>369</v>
      </c>
      <c r="Y506" s="1444">
        <v>420147133</v>
      </c>
      <c r="Z506" s="1444"/>
      <c r="AA506" s="1444"/>
      <c r="AB506" s="948"/>
      <c r="AC506" s="889"/>
      <c r="AD506" s="1156"/>
      <c r="AE506" s="1156"/>
      <c r="AF506" s="889"/>
      <c r="AG506" s="889"/>
      <c r="AH506" s="945"/>
      <c r="AI506" s="1424"/>
      <c r="AJ506" s="947"/>
      <c r="AK506" s="947"/>
      <c r="AL506" s="947"/>
      <c r="AM506" s="947"/>
      <c r="AN506" s="889" t="s">
        <v>371</v>
      </c>
      <c r="AO506" s="889" t="s">
        <v>371</v>
      </c>
      <c r="AP506" s="889" t="s">
        <v>371</v>
      </c>
      <c r="AQ506" s="889" t="s">
        <v>371</v>
      </c>
      <c r="AR506" s="889" t="s">
        <v>371</v>
      </c>
      <c r="AS506" s="889" t="s">
        <v>371</v>
      </c>
      <c r="AT506" s="889" t="s">
        <v>371</v>
      </c>
      <c r="AU506" s="889" t="s">
        <v>371</v>
      </c>
      <c r="AV506" s="889" t="s">
        <v>371</v>
      </c>
      <c r="AW506" s="889" t="s">
        <v>371</v>
      </c>
      <c r="AX506" s="1590" t="s">
        <v>371</v>
      </c>
      <c r="AY506" s="889"/>
      <c r="AZ506" s="139"/>
      <c r="BA506" s="139"/>
      <c r="BB506" s="139"/>
      <c r="BC506" s="139"/>
      <c r="BD506" s="139"/>
      <c r="BE506" s="3"/>
    </row>
    <row r="507" spans="1:57" ht="15" customHeight="1" x14ac:dyDescent="0.4">
      <c r="A507" s="3"/>
      <c r="B507" s="7" t="s">
        <v>558</v>
      </c>
      <c r="C507" s="7"/>
      <c r="D507" s="3"/>
      <c r="E507" s="7"/>
      <c r="F507" s="7"/>
      <c r="G507" s="7"/>
      <c r="H507" s="14"/>
      <c r="I507" s="8" t="s">
        <v>559</v>
      </c>
      <c r="J507" s="3"/>
      <c r="K507" s="3"/>
      <c r="L507" s="3"/>
      <c r="M507" s="5"/>
      <c r="N507" s="5"/>
      <c r="O507" s="5"/>
      <c r="P507" s="5"/>
      <c r="Q507" s="5"/>
      <c r="R507" s="3"/>
      <c r="S507" s="56">
        <v>2</v>
      </c>
      <c r="T507" s="3" t="s">
        <v>385</v>
      </c>
      <c r="U507" s="14"/>
      <c r="V507" s="38"/>
      <c r="W507" s="3"/>
      <c r="X507" s="38"/>
      <c r="Y507" s="1443"/>
      <c r="Z507" s="1443"/>
      <c r="AA507" s="1443"/>
      <c r="AB507" s="14"/>
      <c r="AC507" s="3">
        <v>45</v>
      </c>
      <c r="AD507" s="56">
        <f>AD497</f>
        <v>2</v>
      </c>
      <c r="AE507" s="56">
        <f>S507*AD507</f>
        <v>4</v>
      </c>
      <c r="AF507" s="3" t="s">
        <v>385</v>
      </c>
      <c r="AG507" s="38" t="s">
        <v>8</v>
      </c>
      <c r="AH507" s="38" t="s">
        <v>8</v>
      </c>
      <c r="AI507" s="51"/>
      <c r="AJ507" s="39"/>
      <c r="AK507" s="39"/>
      <c r="AL507" s="39"/>
      <c r="AM507" s="39"/>
      <c r="AN507" s="3"/>
      <c r="AO507" s="3"/>
      <c r="AP507" s="3"/>
      <c r="AQ507" s="3"/>
      <c r="AR507" s="3"/>
      <c r="AS507" s="3"/>
      <c r="AT507" s="3"/>
      <c r="AU507" s="3"/>
      <c r="AV507" s="3"/>
      <c r="AW507" s="3"/>
      <c r="AX507" s="1414"/>
      <c r="AY507" s="3"/>
      <c r="AZ507" s="139"/>
      <c r="BA507" s="139"/>
      <c r="BB507" s="139"/>
      <c r="BC507" s="139"/>
      <c r="BD507" s="139"/>
      <c r="BE507" s="3"/>
    </row>
    <row r="508" spans="1:57" ht="15" customHeight="1" x14ac:dyDescent="0.4">
      <c r="A508" s="3"/>
      <c r="B508" s="7"/>
      <c r="C508" s="7"/>
      <c r="D508" s="7"/>
      <c r="E508" s="7"/>
      <c r="F508" s="7"/>
      <c r="G508" s="7"/>
      <c r="H508" s="14"/>
      <c r="I508" s="8"/>
      <c r="J508" s="3"/>
      <c r="K508" s="3"/>
      <c r="L508" s="3"/>
      <c r="M508" s="5"/>
      <c r="N508" s="5"/>
      <c r="O508" s="5"/>
      <c r="P508" s="5"/>
      <c r="Q508" s="5"/>
      <c r="R508" s="461"/>
      <c r="S508" s="56"/>
      <c r="T508" s="3"/>
      <c r="U508" s="14"/>
      <c r="V508" s="38" t="s">
        <v>369</v>
      </c>
      <c r="W508" s="3" t="s">
        <v>370</v>
      </c>
      <c r="X508" s="38" t="s">
        <v>369</v>
      </c>
      <c r="Y508" s="1443">
        <v>440030003</v>
      </c>
      <c r="Z508" s="1443"/>
      <c r="AA508" s="1443"/>
      <c r="AB508" s="14"/>
      <c r="AC508" s="3"/>
      <c r="AD508" s="3"/>
      <c r="AE508" s="5"/>
      <c r="AF508" s="5"/>
      <c r="AG508" s="5"/>
      <c r="AH508" s="38"/>
      <c r="AI508" s="353">
        <v>5.4999999999999997E-3</v>
      </c>
      <c r="AJ508" s="39"/>
      <c r="AK508" s="39"/>
      <c r="AL508" s="39"/>
      <c r="AM508" s="39">
        <f>AE$507*AI508+SUM(AJ508:AL508)</f>
        <v>2.1999999999999999E-2</v>
      </c>
      <c r="AN508" s="3" t="s">
        <v>81</v>
      </c>
      <c r="AO508" s="3" t="s">
        <v>81</v>
      </c>
      <c r="AP508" s="3" t="s">
        <v>81</v>
      </c>
      <c r="AQ508" s="3" t="s">
        <v>81</v>
      </c>
      <c r="AR508" s="3" t="s">
        <v>81</v>
      </c>
      <c r="AS508" s="3" t="s">
        <v>81</v>
      </c>
      <c r="AT508" s="3" t="s">
        <v>81</v>
      </c>
      <c r="AU508" s="3" t="s">
        <v>81</v>
      </c>
      <c r="AV508" s="3" t="s">
        <v>371</v>
      </c>
      <c r="AW508" s="3" t="s">
        <v>81</v>
      </c>
      <c r="AX508" s="1414" t="s">
        <v>92</v>
      </c>
      <c r="AY508" s="3"/>
      <c r="AZ508" s="139"/>
      <c r="BA508" s="139"/>
      <c r="BB508" s="139"/>
      <c r="BC508" s="139"/>
      <c r="BD508" s="139"/>
      <c r="BE508" s="3"/>
    </row>
    <row r="509" spans="1:57" ht="15" customHeight="1" x14ac:dyDescent="0.4">
      <c r="A509" s="3"/>
      <c r="B509" s="7"/>
      <c r="C509" s="7"/>
      <c r="D509" s="3"/>
      <c r="E509" s="7"/>
      <c r="F509" s="7"/>
      <c r="G509" s="7"/>
      <c r="H509" s="14"/>
      <c r="I509" s="8"/>
      <c r="J509" s="3"/>
      <c r="K509" s="3"/>
      <c r="L509" s="3"/>
      <c r="M509" s="5"/>
      <c r="N509" s="5"/>
      <c r="O509" s="5"/>
      <c r="P509" s="5"/>
      <c r="Q509" s="5"/>
      <c r="R509" s="3"/>
      <c r="S509" s="56"/>
      <c r="T509" s="3"/>
      <c r="U509" s="14"/>
      <c r="V509" s="38" t="s">
        <v>369</v>
      </c>
      <c r="W509" s="3" t="s">
        <v>372</v>
      </c>
      <c r="X509" s="38" t="s">
        <v>369</v>
      </c>
      <c r="Y509" s="1443">
        <v>440030021</v>
      </c>
      <c r="Z509" s="1443"/>
      <c r="AA509" s="1443"/>
      <c r="AB509" s="14"/>
      <c r="AC509" s="3"/>
      <c r="AD509" s="56"/>
      <c r="AE509" s="3"/>
      <c r="AF509" s="3"/>
      <c r="AG509" s="38"/>
      <c r="AH509" s="38"/>
      <c r="AI509" s="353">
        <v>5.4999999999999997E-3</v>
      </c>
      <c r="AJ509" s="39"/>
      <c r="AK509" s="39"/>
      <c r="AL509" s="39"/>
      <c r="AM509" s="39">
        <f t="shared" ref="AM509:AM510" si="70">AE$507*AI509+SUM(AJ509:AL509)</f>
        <v>2.1999999999999999E-2</v>
      </c>
      <c r="AN509" s="3" t="s">
        <v>371</v>
      </c>
      <c r="AO509" s="3" t="s">
        <v>371</v>
      </c>
      <c r="AP509" s="3" t="s">
        <v>371</v>
      </c>
      <c r="AQ509" s="3" t="s">
        <v>371</v>
      </c>
      <c r="AR509" s="3" t="s">
        <v>371</v>
      </c>
      <c r="AS509" s="3" t="s">
        <v>371</v>
      </c>
      <c r="AT509" s="3" t="s">
        <v>371</v>
      </c>
      <c r="AU509" s="3" t="s">
        <v>371</v>
      </c>
      <c r="AV509" s="3" t="s">
        <v>371</v>
      </c>
      <c r="AW509" s="3" t="s">
        <v>371</v>
      </c>
      <c r="AX509" s="1414" t="s">
        <v>92</v>
      </c>
      <c r="AY509" s="3"/>
      <c r="AZ509" s="139"/>
      <c r="BA509" s="139"/>
      <c r="BB509" s="139"/>
      <c r="BC509" s="139"/>
      <c r="BD509" s="139"/>
      <c r="BE509" s="3"/>
    </row>
    <row r="510" spans="1:57" ht="15" customHeight="1" x14ac:dyDescent="0.4">
      <c r="A510" s="3"/>
      <c r="B510" s="7"/>
      <c r="C510" s="7"/>
      <c r="D510" s="3"/>
      <c r="E510" s="7"/>
      <c r="F510" s="7"/>
      <c r="G510" s="7"/>
      <c r="H510" s="14"/>
      <c r="I510" s="8"/>
      <c r="J510" s="3"/>
      <c r="K510" s="3"/>
      <c r="L510" s="3"/>
      <c r="M510" s="5"/>
      <c r="N510" s="5"/>
      <c r="O510" s="5"/>
      <c r="P510" s="5"/>
      <c r="Q510" s="5"/>
      <c r="R510" s="3"/>
      <c r="S510" s="56"/>
      <c r="T510" s="3"/>
      <c r="U510" s="14"/>
      <c r="V510" s="38" t="s">
        <v>369</v>
      </c>
      <c r="W510" s="3" t="s">
        <v>373</v>
      </c>
      <c r="X510" s="38" t="s">
        <v>369</v>
      </c>
      <c r="Y510" s="1443">
        <v>440030033</v>
      </c>
      <c r="Z510" s="1443"/>
      <c r="AA510" s="1443"/>
      <c r="AB510" s="14"/>
      <c r="AC510" s="3"/>
      <c r="AD510" s="56"/>
      <c r="AE510" s="3"/>
      <c r="AF510" s="3"/>
      <c r="AG510" s="38"/>
      <c r="AH510" s="38"/>
      <c r="AI510" s="353">
        <v>5.4999999999999997E-3</v>
      </c>
      <c r="AJ510" s="39"/>
      <c r="AK510" s="39"/>
      <c r="AL510" s="39"/>
      <c r="AM510" s="39">
        <f t="shared" si="70"/>
        <v>2.1999999999999999E-2</v>
      </c>
      <c r="AN510" s="3" t="s">
        <v>371</v>
      </c>
      <c r="AO510" s="3" t="s">
        <v>371</v>
      </c>
      <c r="AP510" s="3" t="s">
        <v>371</v>
      </c>
      <c r="AQ510" s="3" t="s">
        <v>371</v>
      </c>
      <c r="AR510" s="3" t="s">
        <v>371</v>
      </c>
      <c r="AS510" s="3" t="s">
        <v>371</v>
      </c>
      <c r="AT510" s="3" t="s">
        <v>371</v>
      </c>
      <c r="AU510" s="3" t="s">
        <v>371</v>
      </c>
      <c r="AV510" s="1414" t="s">
        <v>81</v>
      </c>
      <c r="AW510" s="3" t="s">
        <v>371</v>
      </c>
      <c r="AX510" s="1414" t="s">
        <v>92</v>
      </c>
      <c r="AY510" s="3"/>
      <c r="AZ510" s="139"/>
      <c r="BA510" s="139"/>
      <c r="BB510" s="139"/>
      <c r="BC510" s="139"/>
      <c r="BD510" s="139"/>
      <c r="BE510" s="3"/>
    </row>
    <row r="511" spans="1:57" ht="15" customHeight="1" thickBot="1" x14ac:dyDescent="0.45">
      <c r="A511" s="3"/>
      <c r="B511" s="924"/>
      <c r="C511" s="924"/>
      <c r="D511" s="889"/>
      <c r="E511" s="924"/>
      <c r="F511" s="924"/>
      <c r="G511" s="924"/>
      <c r="H511" s="948"/>
      <c r="I511" s="949"/>
      <c r="J511" s="889"/>
      <c r="K511" s="889"/>
      <c r="L511" s="889"/>
      <c r="M511" s="945"/>
      <c r="N511" s="945"/>
      <c r="O511" s="945"/>
      <c r="P511" s="945"/>
      <c r="Q511" s="945"/>
      <c r="R511" s="889"/>
      <c r="S511" s="1156"/>
      <c r="T511" s="889"/>
      <c r="U511" s="948"/>
      <c r="V511" s="888" t="s">
        <v>369</v>
      </c>
      <c r="W511" s="889" t="s">
        <v>375</v>
      </c>
      <c r="X511" s="888" t="s">
        <v>369</v>
      </c>
      <c r="Y511" s="1444">
        <v>440030133</v>
      </c>
      <c r="Z511" s="1444"/>
      <c r="AA511" s="1444"/>
      <c r="AB511" s="948"/>
      <c r="AC511" s="889"/>
      <c r="AD511" s="1156"/>
      <c r="AE511" s="889"/>
      <c r="AF511" s="889"/>
      <c r="AG511" s="888"/>
      <c r="AH511" s="888"/>
      <c r="AI511" s="1424"/>
      <c r="AJ511" s="947"/>
      <c r="AK511" s="947"/>
      <c r="AL511" s="947"/>
      <c r="AM511" s="947"/>
      <c r="AN511" s="889" t="s">
        <v>92</v>
      </c>
      <c r="AO511" s="889" t="s">
        <v>92</v>
      </c>
      <c r="AP511" s="889" t="s">
        <v>92</v>
      </c>
      <c r="AQ511" s="889" t="s">
        <v>92</v>
      </c>
      <c r="AR511" s="889" t="s">
        <v>92</v>
      </c>
      <c r="AS511" s="889" t="s">
        <v>92</v>
      </c>
      <c r="AT511" s="889" t="s">
        <v>92</v>
      </c>
      <c r="AU511" s="889" t="s">
        <v>92</v>
      </c>
      <c r="AV511" s="889" t="s">
        <v>92</v>
      </c>
      <c r="AW511" s="889" t="s">
        <v>92</v>
      </c>
      <c r="AX511" s="1590" t="s">
        <v>81</v>
      </c>
      <c r="AY511" s="889"/>
      <c r="AZ511" s="139"/>
      <c r="BA511" s="139"/>
      <c r="BB511" s="139"/>
      <c r="BC511" s="139"/>
      <c r="BD511" s="139"/>
      <c r="BE511" s="3"/>
    </row>
    <row r="512" spans="1:57" ht="15" customHeight="1" x14ac:dyDescent="0.4">
      <c r="A512" s="3"/>
      <c r="B512" s="7" t="s">
        <v>2170</v>
      </c>
      <c r="C512" s="7"/>
      <c r="D512" s="3"/>
      <c r="E512" s="7"/>
      <c r="F512" s="7"/>
      <c r="G512" s="7"/>
      <c r="H512" s="14"/>
      <c r="I512" s="8"/>
      <c r="J512" s="3"/>
      <c r="K512" s="3"/>
      <c r="L512" s="3"/>
      <c r="M512" s="5"/>
      <c r="N512" s="5"/>
      <c r="O512" s="5"/>
      <c r="P512" s="5"/>
      <c r="Q512" s="5"/>
      <c r="R512" s="3"/>
      <c r="S512" s="56">
        <v>1</v>
      </c>
      <c r="T512" s="3" t="s">
        <v>385</v>
      </c>
      <c r="U512" s="14"/>
      <c r="V512" s="3"/>
      <c r="W512" s="3"/>
      <c r="X512" s="3"/>
      <c r="Y512" s="1443"/>
      <c r="Z512" s="1443"/>
      <c r="AA512" s="1443"/>
      <c r="AB512" s="14"/>
      <c r="AC512" s="3"/>
      <c r="AD512" s="56"/>
      <c r="AE512" s="3"/>
      <c r="AF512" s="3"/>
      <c r="AG512" s="38"/>
      <c r="AH512" s="38"/>
      <c r="AI512" s="353"/>
      <c r="AJ512" s="39"/>
      <c r="AK512" s="39"/>
      <c r="AL512" s="39"/>
      <c r="AM512" s="39"/>
      <c r="AN512" s="3"/>
      <c r="AO512" s="3"/>
      <c r="AP512" s="3"/>
      <c r="AQ512" s="3"/>
      <c r="AR512" s="3"/>
      <c r="AS512" s="3"/>
      <c r="AT512" s="3"/>
      <c r="AU512" s="3"/>
      <c r="AV512" s="3"/>
      <c r="AW512" s="3"/>
      <c r="AX512" s="1414"/>
      <c r="AY512" s="3"/>
      <c r="AZ512" s="139"/>
      <c r="BA512" s="139"/>
      <c r="BB512" s="139"/>
      <c r="BC512" s="139"/>
      <c r="BD512" s="139"/>
      <c r="BE512" s="3"/>
    </row>
    <row r="513" spans="1:57" ht="15" customHeight="1" x14ac:dyDescent="0.4">
      <c r="A513" s="3"/>
      <c r="B513" s="3"/>
      <c r="C513" s="7" t="s">
        <v>2090</v>
      </c>
      <c r="D513" s="3"/>
      <c r="E513" s="7"/>
      <c r="F513" s="7"/>
      <c r="G513" s="7"/>
      <c r="H513" s="14"/>
      <c r="I513" s="8"/>
      <c r="J513" s="3"/>
      <c r="K513" s="3"/>
      <c r="L513" s="3"/>
      <c r="M513" s="5"/>
      <c r="N513" s="5"/>
      <c r="O513" s="5"/>
      <c r="P513" s="5"/>
      <c r="Q513" s="5"/>
      <c r="R513" s="3"/>
      <c r="S513" s="3"/>
      <c r="T513" s="3"/>
      <c r="U513" s="14"/>
      <c r="V513" s="38" t="s">
        <v>369</v>
      </c>
      <c r="W513" s="3" t="s">
        <v>370</v>
      </c>
      <c r="X513" s="38" t="s">
        <v>369</v>
      </c>
      <c r="Y513" s="1443" t="s">
        <v>2370</v>
      </c>
      <c r="Z513" s="1443"/>
      <c r="AA513" s="1443"/>
      <c r="AB513" s="14"/>
      <c r="AC513" s="3">
        <v>45</v>
      </c>
      <c r="AD513" s="56">
        <v>1</v>
      </c>
      <c r="AE513" s="3">
        <v>1</v>
      </c>
      <c r="AF513" s="3" t="s">
        <v>385</v>
      </c>
      <c r="AG513" s="38"/>
      <c r="AH513" s="38"/>
      <c r="AI513" s="353">
        <v>0.70199999999999996</v>
      </c>
      <c r="AJ513" s="39"/>
      <c r="AK513" s="39"/>
      <c r="AL513" s="39"/>
      <c r="AM513" s="39">
        <v>0.70199999999999996</v>
      </c>
      <c r="AN513" s="3" t="s">
        <v>371</v>
      </c>
      <c r="AO513" s="3" t="s">
        <v>371</v>
      </c>
      <c r="AP513" s="3" t="s">
        <v>371</v>
      </c>
      <c r="AQ513" s="3" t="s">
        <v>371</v>
      </c>
      <c r="AR513" s="3" t="s">
        <v>371</v>
      </c>
      <c r="AS513" s="3" t="s">
        <v>371</v>
      </c>
      <c r="AT513" s="3" t="s">
        <v>371</v>
      </c>
      <c r="AU513" s="3" t="s">
        <v>371</v>
      </c>
      <c r="AV513" s="3" t="s">
        <v>371</v>
      </c>
      <c r="AW513" s="3" t="s">
        <v>371</v>
      </c>
      <c r="AX513" s="1414" t="s">
        <v>92</v>
      </c>
      <c r="AY513" s="3"/>
      <c r="AZ513" s="139"/>
      <c r="BA513" s="139"/>
      <c r="BB513" s="139"/>
      <c r="BC513" s="139"/>
      <c r="BD513" s="139"/>
      <c r="BE513" s="3"/>
    </row>
    <row r="514" spans="1:57" ht="15" customHeight="1" x14ac:dyDescent="0.4">
      <c r="A514" s="3"/>
      <c r="B514" s="7"/>
      <c r="C514" s="7" t="s">
        <v>2171</v>
      </c>
      <c r="D514" s="3"/>
      <c r="E514" s="7"/>
      <c r="F514" s="7"/>
      <c r="G514" s="7"/>
      <c r="H514" s="14"/>
      <c r="I514" s="8"/>
      <c r="J514" s="3"/>
      <c r="K514" s="3"/>
      <c r="L514" s="3"/>
      <c r="M514" s="5"/>
      <c r="N514" s="5"/>
      <c r="O514" s="5"/>
      <c r="P514" s="5"/>
      <c r="Q514" s="5"/>
      <c r="R514" s="3"/>
      <c r="S514" s="56"/>
      <c r="T514" s="3"/>
      <c r="U514" s="14"/>
      <c r="V514" s="38" t="s">
        <v>369</v>
      </c>
      <c r="W514" s="3" t="s">
        <v>372</v>
      </c>
      <c r="X514" s="38" t="s">
        <v>369</v>
      </c>
      <c r="Y514" s="1443">
        <v>420717021</v>
      </c>
      <c r="Z514" s="1443"/>
      <c r="AA514" s="1443"/>
      <c r="AB514" s="14"/>
      <c r="AC514" s="3"/>
      <c r="AD514" s="56"/>
      <c r="AE514" s="3"/>
      <c r="AF514" s="3"/>
      <c r="AG514" s="38"/>
      <c r="AH514" s="38"/>
      <c r="AI514" s="353">
        <v>0.70199999999999996</v>
      </c>
      <c r="AJ514" s="39"/>
      <c r="AK514" s="39"/>
      <c r="AL514" s="39"/>
      <c r="AM514" s="39">
        <v>0.70199999999999996</v>
      </c>
      <c r="AN514" s="3" t="s">
        <v>371</v>
      </c>
      <c r="AO514" s="3" t="s">
        <v>371</v>
      </c>
      <c r="AP514" s="3" t="s">
        <v>371</v>
      </c>
      <c r="AQ514" s="3" t="s">
        <v>371</v>
      </c>
      <c r="AR514" s="3" t="s">
        <v>371</v>
      </c>
      <c r="AS514" s="3" t="s">
        <v>371</v>
      </c>
      <c r="AT514" s="3" t="s">
        <v>371</v>
      </c>
      <c r="AU514" s="3" t="s">
        <v>371</v>
      </c>
      <c r="AV514" s="3" t="s">
        <v>371</v>
      </c>
      <c r="AW514" s="3" t="s">
        <v>371</v>
      </c>
      <c r="AX514" s="1414" t="s">
        <v>92</v>
      </c>
      <c r="AY514" s="3"/>
      <c r="AZ514" s="139"/>
      <c r="BA514" s="139"/>
      <c r="BB514" s="139"/>
      <c r="BC514" s="139"/>
      <c r="BD514" s="139"/>
      <c r="BE514" s="3"/>
    </row>
    <row r="515" spans="1:57" ht="15" customHeight="1" x14ac:dyDescent="0.4">
      <c r="A515" s="3"/>
      <c r="B515" s="7"/>
      <c r="C515" s="7"/>
      <c r="D515" s="3"/>
      <c r="E515" s="7"/>
      <c r="F515" s="7"/>
      <c r="G515" s="7"/>
      <c r="H515" s="14"/>
      <c r="I515" s="8"/>
      <c r="J515" s="3"/>
      <c r="K515" s="3"/>
      <c r="L515" s="3"/>
      <c r="M515" s="5"/>
      <c r="N515" s="5"/>
      <c r="O515" s="5"/>
      <c r="P515" s="5"/>
      <c r="Q515" s="5"/>
      <c r="R515" s="3"/>
      <c r="S515" s="56"/>
      <c r="T515" s="3"/>
      <c r="U515" s="14"/>
      <c r="V515" s="38" t="s">
        <v>369</v>
      </c>
      <c r="W515" s="3" t="s">
        <v>373</v>
      </c>
      <c r="X515" s="38" t="s">
        <v>369</v>
      </c>
      <c r="Y515" s="1443" t="s">
        <v>2371</v>
      </c>
      <c r="Z515" s="1443"/>
      <c r="AA515" s="1443"/>
      <c r="AB515" s="14"/>
      <c r="AC515" s="3"/>
      <c r="AD515" s="56"/>
      <c r="AE515" s="3"/>
      <c r="AF515" s="3"/>
      <c r="AG515" s="38"/>
      <c r="AH515" s="38"/>
      <c r="AI515" s="353">
        <v>0.70199999999999996</v>
      </c>
      <c r="AJ515" s="39"/>
      <c r="AK515" s="39"/>
      <c r="AL515" s="39"/>
      <c r="AM515" s="39">
        <v>0.70199999999999996</v>
      </c>
      <c r="AN515" s="3" t="s">
        <v>371</v>
      </c>
      <c r="AO515" s="3" t="s">
        <v>371</v>
      </c>
      <c r="AP515" s="3" t="s">
        <v>371</v>
      </c>
      <c r="AQ515" s="3" t="s">
        <v>371</v>
      </c>
      <c r="AR515" s="3" t="s">
        <v>371</v>
      </c>
      <c r="AS515" s="3" t="s">
        <v>371</v>
      </c>
      <c r="AT515" s="3" t="s">
        <v>371</v>
      </c>
      <c r="AU515" s="3" t="s">
        <v>371</v>
      </c>
      <c r="AV515" s="3" t="s">
        <v>371</v>
      </c>
      <c r="AW515" s="3" t="s">
        <v>371</v>
      </c>
      <c r="AX515" s="1414" t="s">
        <v>92</v>
      </c>
      <c r="AY515" s="3"/>
      <c r="AZ515" s="139"/>
      <c r="BA515" s="139"/>
      <c r="BB515" s="139"/>
      <c r="BC515" s="139"/>
      <c r="BD515" s="139"/>
      <c r="BE515" s="3"/>
    </row>
    <row r="516" spans="1:57" ht="15" customHeight="1" thickBot="1" x14ac:dyDescent="0.45">
      <c r="A516" s="3"/>
      <c r="B516" s="924"/>
      <c r="C516" s="924"/>
      <c r="D516" s="889"/>
      <c r="E516" s="924"/>
      <c r="F516" s="924"/>
      <c r="G516" s="924"/>
      <c r="H516" s="948"/>
      <c r="I516" s="949"/>
      <c r="J516" s="889"/>
      <c r="K516" s="889"/>
      <c r="L516" s="889"/>
      <c r="M516" s="945"/>
      <c r="N516" s="945"/>
      <c r="O516" s="945"/>
      <c r="P516" s="945"/>
      <c r="Q516" s="945"/>
      <c r="R516" s="889"/>
      <c r="S516" s="1156"/>
      <c r="T516" s="889"/>
      <c r="U516" s="948"/>
      <c r="V516" s="888" t="s">
        <v>369</v>
      </c>
      <c r="W516" s="889" t="s">
        <v>375</v>
      </c>
      <c r="X516" s="888" t="s">
        <v>369</v>
      </c>
      <c r="Y516" s="1444">
        <v>420717133</v>
      </c>
      <c r="Z516" s="1444"/>
      <c r="AA516" s="1444"/>
      <c r="AB516" s="948"/>
      <c r="AC516" s="889"/>
      <c r="AD516" s="1156"/>
      <c r="AE516" s="889"/>
      <c r="AF516" s="889"/>
      <c r="AG516" s="888"/>
      <c r="AH516" s="888"/>
      <c r="AI516" s="1424"/>
      <c r="AJ516" s="947"/>
      <c r="AK516" s="947"/>
      <c r="AL516" s="947"/>
      <c r="AM516" s="947"/>
      <c r="AN516" s="889" t="s">
        <v>92</v>
      </c>
      <c r="AO516" s="889" t="s">
        <v>92</v>
      </c>
      <c r="AP516" s="889" t="s">
        <v>92</v>
      </c>
      <c r="AQ516" s="889" t="s">
        <v>92</v>
      </c>
      <c r="AR516" s="889" t="s">
        <v>92</v>
      </c>
      <c r="AS516" s="889" t="s">
        <v>92</v>
      </c>
      <c r="AT516" s="889" t="s">
        <v>92</v>
      </c>
      <c r="AU516" s="889" t="s">
        <v>92</v>
      </c>
      <c r="AV516" s="889" t="s">
        <v>92</v>
      </c>
      <c r="AW516" s="889" t="s">
        <v>92</v>
      </c>
      <c r="AX516" s="1590" t="s">
        <v>371</v>
      </c>
      <c r="AY516" s="889"/>
      <c r="AZ516" s="139"/>
      <c r="BA516" s="139"/>
      <c r="BB516" s="139"/>
      <c r="BC516" s="139"/>
      <c r="BD516" s="139"/>
      <c r="BE516" s="3"/>
    </row>
    <row r="517" spans="1:57" ht="15" customHeight="1" x14ac:dyDescent="0.4">
      <c r="A517" s="3"/>
      <c r="B517" s="7" t="s">
        <v>2170</v>
      </c>
      <c r="C517" s="7"/>
      <c r="D517" s="3"/>
      <c r="E517" s="7"/>
      <c r="F517" s="7"/>
      <c r="G517" s="7"/>
      <c r="H517" s="14"/>
      <c r="I517" s="8"/>
      <c r="J517" s="3"/>
      <c r="K517" s="3"/>
      <c r="L517" s="3"/>
      <c r="M517" s="5"/>
      <c r="N517" s="5"/>
      <c r="O517" s="5"/>
      <c r="P517" s="5"/>
      <c r="Q517" s="5"/>
      <c r="R517" s="3"/>
      <c r="S517" s="56">
        <v>1</v>
      </c>
      <c r="T517" s="3" t="s">
        <v>385</v>
      </c>
      <c r="U517" s="14"/>
      <c r="V517" s="3"/>
      <c r="W517" s="3"/>
      <c r="X517" s="3"/>
      <c r="Y517" s="1443"/>
      <c r="Z517" s="1443"/>
      <c r="AA517" s="1443"/>
      <c r="AB517" s="14"/>
      <c r="AC517" s="3"/>
      <c r="AD517" s="56"/>
      <c r="AE517" s="3"/>
      <c r="AF517" s="3"/>
      <c r="AG517" s="38"/>
      <c r="AH517" s="38"/>
      <c r="AI517" s="353"/>
      <c r="AJ517" s="39"/>
      <c r="AK517" s="39"/>
      <c r="AL517" s="39"/>
      <c r="AM517" s="39"/>
      <c r="AN517" s="3"/>
      <c r="AO517" s="3"/>
      <c r="AP517" s="3"/>
      <c r="AQ517" s="3"/>
      <c r="AR517" s="3"/>
      <c r="AS517" s="3"/>
      <c r="AT517" s="3"/>
      <c r="AU517" s="3"/>
      <c r="AV517" s="3"/>
      <c r="AW517" s="3"/>
      <c r="AX517" s="1414"/>
      <c r="AY517" s="3"/>
      <c r="AZ517" s="139"/>
      <c r="BA517" s="139"/>
      <c r="BB517" s="139"/>
      <c r="BC517" s="139"/>
      <c r="BD517" s="139"/>
      <c r="BE517" s="3"/>
    </row>
    <row r="518" spans="1:57" ht="15" customHeight="1" x14ac:dyDescent="0.4">
      <c r="A518" s="3"/>
      <c r="B518" s="3"/>
      <c r="C518" s="7" t="s">
        <v>2090</v>
      </c>
      <c r="D518" s="3"/>
      <c r="E518" s="7"/>
      <c r="F518" s="7"/>
      <c r="G518" s="7"/>
      <c r="H518" s="14"/>
      <c r="I518" s="8"/>
      <c r="J518" s="3"/>
      <c r="K518" s="3"/>
      <c r="L518" s="3"/>
      <c r="M518" s="5"/>
      <c r="N518" s="5"/>
      <c r="O518" s="5"/>
      <c r="P518" s="5"/>
      <c r="Q518" s="5"/>
      <c r="R518" s="3"/>
      <c r="S518" s="3"/>
      <c r="T518" s="3"/>
      <c r="U518" s="14"/>
      <c r="V518" s="38" t="s">
        <v>369</v>
      </c>
      <c r="W518" s="3" t="s">
        <v>370</v>
      </c>
      <c r="X518" s="38" t="s">
        <v>369</v>
      </c>
      <c r="Y518" s="1443" t="s">
        <v>2017</v>
      </c>
      <c r="Z518" s="1443"/>
      <c r="AA518" s="1443"/>
      <c r="AB518" s="14"/>
      <c r="AC518" s="3">
        <v>45</v>
      </c>
      <c r="AD518" s="56">
        <v>1</v>
      </c>
      <c r="AE518" s="3">
        <v>1</v>
      </c>
      <c r="AF518" s="3" t="s">
        <v>385</v>
      </c>
      <c r="AG518" s="38"/>
      <c r="AH518" s="38"/>
      <c r="AI518" s="353">
        <v>0.70199999999999996</v>
      </c>
      <c r="AJ518" s="39"/>
      <c r="AK518" s="39"/>
      <c r="AL518" s="39"/>
      <c r="AM518" s="39">
        <v>0.70199999999999996</v>
      </c>
      <c r="AN518" s="3" t="s">
        <v>371</v>
      </c>
      <c r="AO518" s="3" t="s">
        <v>371</v>
      </c>
      <c r="AP518" s="3" t="s">
        <v>371</v>
      </c>
      <c r="AQ518" s="3" t="s">
        <v>371</v>
      </c>
      <c r="AR518" s="3" t="s">
        <v>371</v>
      </c>
      <c r="AS518" s="3" t="s">
        <v>371</v>
      </c>
      <c r="AT518" s="3" t="s">
        <v>371</v>
      </c>
      <c r="AU518" s="3" t="s">
        <v>371</v>
      </c>
      <c r="AV518" s="3" t="s">
        <v>371</v>
      </c>
      <c r="AW518" s="3" t="s">
        <v>371</v>
      </c>
      <c r="AX518" s="1414" t="s">
        <v>92</v>
      </c>
      <c r="AY518" s="3"/>
      <c r="AZ518" s="139"/>
      <c r="BA518" s="139"/>
      <c r="BB518" s="139"/>
      <c r="BC518" s="139"/>
      <c r="BD518" s="139"/>
      <c r="BE518" s="3"/>
    </row>
    <row r="519" spans="1:57" ht="15" customHeight="1" x14ac:dyDescent="0.4">
      <c r="A519" s="3"/>
      <c r="B519" s="7"/>
      <c r="C519" s="7" t="s">
        <v>2171</v>
      </c>
      <c r="D519" s="3"/>
      <c r="E519" s="7"/>
      <c r="F519" s="7"/>
      <c r="G519" s="7"/>
      <c r="H519" s="14"/>
      <c r="I519" s="8"/>
      <c r="J519" s="3"/>
      <c r="K519" s="3"/>
      <c r="L519" s="3"/>
      <c r="M519" s="5"/>
      <c r="N519" s="5"/>
      <c r="O519" s="5"/>
      <c r="P519" s="5"/>
      <c r="Q519" s="5"/>
      <c r="R519" s="3"/>
      <c r="S519" s="56"/>
      <c r="T519" s="3"/>
      <c r="U519" s="14"/>
      <c r="V519" s="38" t="s">
        <v>369</v>
      </c>
      <c r="W519" s="3" t="s">
        <v>372</v>
      </c>
      <c r="X519" s="38" t="s">
        <v>369</v>
      </c>
      <c r="Y519" s="1443">
        <v>420553021</v>
      </c>
      <c r="Z519" s="1443"/>
      <c r="AA519" s="1443"/>
      <c r="AB519" s="14"/>
      <c r="AC519" s="3"/>
      <c r="AD519" s="56"/>
      <c r="AE519" s="3"/>
      <c r="AF519" s="3"/>
      <c r="AG519" s="38"/>
      <c r="AH519" s="38"/>
      <c r="AI519" s="353">
        <v>0.70199999999999996</v>
      </c>
      <c r="AJ519" s="39"/>
      <c r="AK519" s="39"/>
      <c r="AL519" s="39"/>
      <c r="AM519" s="39">
        <v>0.70199999999999996</v>
      </c>
      <c r="AN519" s="3" t="s">
        <v>371</v>
      </c>
      <c r="AO519" s="3" t="s">
        <v>371</v>
      </c>
      <c r="AP519" s="3" t="s">
        <v>371</v>
      </c>
      <c r="AQ519" s="3" t="s">
        <v>371</v>
      </c>
      <c r="AR519" s="3" t="s">
        <v>371</v>
      </c>
      <c r="AS519" s="3" t="s">
        <v>371</v>
      </c>
      <c r="AT519" s="3" t="s">
        <v>371</v>
      </c>
      <c r="AU519" s="3" t="s">
        <v>371</v>
      </c>
      <c r="AV519" s="3" t="s">
        <v>371</v>
      </c>
      <c r="AW519" s="3" t="s">
        <v>371</v>
      </c>
      <c r="AX519" s="1414" t="s">
        <v>92</v>
      </c>
      <c r="AY519" s="3"/>
      <c r="AZ519" s="139"/>
      <c r="BA519" s="139"/>
      <c r="BB519" s="139"/>
      <c r="BC519" s="139"/>
      <c r="BD519" s="139"/>
      <c r="BE519" s="3"/>
    </row>
    <row r="520" spans="1:57" ht="15" customHeight="1" x14ac:dyDescent="0.4">
      <c r="A520" s="3"/>
      <c r="B520" s="7"/>
      <c r="C520" s="7"/>
      <c r="D520" s="3"/>
      <c r="E520" s="7"/>
      <c r="F520" s="7"/>
      <c r="G520" s="7"/>
      <c r="H520" s="14"/>
      <c r="I520" s="8"/>
      <c r="J520" s="3"/>
      <c r="K520" s="3"/>
      <c r="L520" s="3"/>
      <c r="M520" s="5"/>
      <c r="N520" s="5"/>
      <c r="O520" s="5"/>
      <c r="P520" s="5"/>
      <c r="Q520" s="5"/>
      <c r="R520" s="3"/>
      <c r="S520" s="56"/>
      <c r="T520" s="3"/>
      <c r="U520" s="14"/>
      <c r="V520" s="38" t="s">
        <v>369</v>
      </c>
      <c r="W520" s="3" t="s">
        <v>373</v>
      </c>
      <c r="X520" s="38" t="s">
        <v>369</v>
      </c>
      <c r="Y520" s="1443" t="s">
        <v>2016</v>
      </c>
      <c r="Z520" s="1443"/>
      <c r="AA520" s="1443"/>
      <c r="AB520" s="14"/>
      <c r="AC520" s="3"/>
      <c r="AD520" s="56"/>
      <c r="AE520" s="3"/>
      <c r="AF520" s="3"/>
      <c r="AG520" s="38"/>
      <c r="AH520" s="38"/>
      <c r="AI520" s="353">
        <v>0.70199999999999996</v>
      </c>
      <c r="AJ520" s="39"/>
      <c r="AK520" s="39"/>
      <c r="AL520" s="39"/>
      <c r="AM520" s="39">
        <v>0.70199999999999996</v>
      </c>
      <c r="AN520" s="3" t="s">
        <v>371</v>
      </c>
      <c r="AO520" s="3" t="s">
        <v>371</v>
      </c>
      <c r="AP520" s="3" t="s">
        <v>371</v>
      </c>
      <c r="AQ520" s="3" t="s">
        <v>371</v>
      </c>
      <c r="AR520" s="3" t="s">
        <v>371</v>
      </c>
      <c r="AS520" s="3" t="s">
        <v>371</v>
      </c>
      <c r="AT520" s="3" t="s">
        <v>371</v>
      </c>
      <c r="AU520" s="3" t="s">
        <v>371</v>
      </c>
      <c r="AV520" s="3" t="s">
        <v>371</v>
      </c>
      <c r="AW520" s="3" t="s">
        <v>371</v>
      </c>
      <c r="AX520" s="1414" t="s">
        <v>92</v>
      </c>
      <c r="AY520" s="3"/>
      <c r="AZ520" s="139"/>
      <c r="BA520" s="139"/>
      <c r="BB520" s="139"/>
      <c r="BC520" s="139"/>
      <c r="BD520" s="139"/>
      <c r="BE520" s="3"/>
    </row>
    <row r="521" spans="1:57" ht="15" customHeight="1" thickBot="1" x14ac:dyDescent="0.45">
      <c r="A521" s="3"/>
      <c r="B521" s="924"/>
      <c r="C521" s="924"/>
      <c r="D521" s="889"/>
      <c r="E521" s="924"/>
      <c r="F521" s="924"/>
      <c r="G521" s="924"/>
      <c r="H521" s="948"/>
      <c r="I521" s="949"/>
      <c r="J521" s="889"/>
      <c r="K521" s="889"/>
      <c r="L521" s="889"/>
      <c r="M521" s="945"/>
      <c r="N521" s="945"/>
      <c r="O521" s="945"/>
      <c r="P521" s="945"/>
      <c r="Q521" s="945"/>
      <c r="R521" s="889"/>
      <c r="S521" s="1156"/>
      <c r="T521" s="889"/>
      <c r="U521" s="948"/>
      <c r="V521" s="888"/>
      <c r="W521" s="889"/>
      <c r="X521" s="888"/>
      <c r="Y521" s="1444"/>
      <c r="Z521" s="1444"/>
      <c r="AA521" s="1444"/>
      <c r="AB521" s="948"/>
      <c r="AC521" s="889"/>
      <c r="AD521" s="1156"/>
      <c r="AE521" s="889"/>
      <c r="AF521" s="889"/>
      <c r="AG521" s="888"/>
      <c r="AH521" s="888"/>
      <c r="AI521" s="1424"/>
      <c r="AJ521" s="947"/>
      <c r="AK521" s="947"/>
      <c r="AL521" s="947"/>
      <c r="AM521" s="947"/>
      <c r="AN521" s="889" t="s">
        <v>371</v>
      </c>
      <c r="AO521" s="889" t="s">
        <v>371</v>
      </c>
      <c r="AP521" s="889" t="s">
        <v>371</v>
      </c>
      <c r="AQ521" s="889" t="s">
        <v>371</v>
      </c>
      <c r="AR521" s="889" t="s">
        <v>371</v>
      </c>
      <c r="AS521" s="889" t="s">
        <v>371</v>
      </c>
      <c r="AT521" s="889" t="s">
        <v>371</v>
      </c>
      <c r="AU521" s="889" t="s">
        <v>371</v>
      </c>
      <c r="AV521" s="889" t="s">
        <v>371</v>
      </c>
      <c r="AW521" s="889" t="s">
        <v>371</v>
      </c>
      <c r="AX521" s="1590" t="s">
        <v>92</v>
      </c>
      <c r="AY521" s="889"/>
      <c r="AZ521" s="139"/>
      <c r="BA521" s="139"/>
      <c r="BB521" s="139"/>
      <c r="BC521" s="139"/>
      <c r="BD521" s="139"/>
      <c r="BE521" s="3"/>
    </row>
    <row r="522" spans="1:57" ht="15" customHeight="1" x14ac:dyDescent="0.4">
      <c r="A522" s="3"/>
      <c r="B522" s="509" t="s">
        <v>2169</v>
      </c>
      <c r="C522" s="3"/>
      <c r="D522" s="155"/>
      <c r="E522" s="155"/>
      <c r="F522" s="155"/>
      <c r="G522" s="7"/>
      <c r="H522" s="20"/>
      <c r="I522" s="500"/>
      <c r="J522" s="500"/>
      <c r="K522" s="500"/>
      <c r="L522" s="500"/>
      <c r="M522" s="24"/>
      <c r="N522" s="24"/>
      <c r="O522" s="24"/>
      <c r="P522" s="24"/>
      <c r="Q522" s="24"/>
      <c r="R522" s="3"/>
      <c r="S522" s="56">
        <v>1</v>
      </c>
      <c r="T522" s="3" t="s">
        <v>385</v>
      </c>
      <c r="U522" s="20"/>
      <c r="V522" s="38"/>
      <c r="W522" s="3"/>
      <c r="X522" s="38"/>
      <c r="Y522" s="1443"/>
      <c r="Z522" s="1443"/>
      <c r="AA522" s="1443"/>
      <c r="AB522" s="20"/>
      <c r="AC522" s="3">
        <v>45</v>
      </c>
      <c r="AD522" s="3">
        <v>1</v>
      </c>
      <c r="AE522" s="56">
        <f>S522*AD522</f>
        <v>1</v>
      </c>
      <c r="AF522" s="3" t="s">
        <v>385</v>
      </c>
      <c r="AG522" s="38" t="s">
        <v>8</v>
      </c>
      <c r="AH522" s="38" t="s">
        <v>8</v>
      </c>
      <c r="AI522" s="51"/>
      <c r="AJ522" s="39"/>
      <c r="AK522" s="39"/>
      <c r="AL522" s="39"/>
      <c r="AM522" s="39"/>
      <c r="AN522" s="3" t="s">
        <v>371</v>
      </c>
      <c r="AO522" s="3" t="s">
        <v>371</v>
      </c>
      <c r="AP522" s="3" t="s">
        <v>371</v>
      </c>
      <c r="AQ522" s="3" t="s">
        <v>371</v>
      </c>
      <c r="AR522" s="3" t="s">
        <v>371</v>
      </c>
      <c r="AS522" s="3" t="s">
        <v>371</v>
      </c>
      <c r="AT522" s="3" t="s">
        <v>371</v>
      </c>
      <c r="AU522" s="3" t="s">
        <v>371</v>
      </c>
      <c r="AV522" s="3" t="s">
        <v>371</v>
      </c>
      <c r="AW522" s="3" t="s">
        <v>371</v>
      </c>
      <c r="AX522" s="1414" t="s">
        <v>92</v>
      </c>
      <c r="AY522" s="3"/>
      <c r="AZ522" s="139"/>
      <c r="BA522" s="139"/>
      <c r="BB522" s="139"/>
      <c r="BC522" s="139"/>
      <c r="BD522" s="139"/>
      <c r="BE522" s="3"/>
    </row>
    <row r="523" spans="1:57" ht="15" customHeight="1" x14ac:dyDescent="0.4">
      <c r="A523" s="3"/>
      <c r="B523" s="155"/>
      <c r="C523" s="155"/>
      <c r="D523" s="155"/>
      <c r="E523" s="155"/>
      <c r="F523" s="155"/>
      <c r="G523" s="7"/>
      <c r="H523" s="20"/>
      <c r="I523" s="500"/>
      <c r="J523" s="500"/>
      <c r="K523" s="500"/>
      <c r="L523" s="500"/>
      <c r="M523" s="24"/>
      <c r="N523" s="24"/>
      <c r="O523" s="24"/>
      <c r="P523" s="24"/>
      <c r="Q523" s="24"/>
      <c r="R523" s="3"/>
      <c r="S523" s="56"/>
      <c r="T523" s="3"/>
      <c r="U523" s="20"/>
      <c r="V523" s="38" t="s">
        <v>369</v>
      </c>
      <c r="W523" s="3" t="s">
        <v>370</v>
      </c>
      <c r="X523" s="38" t="s">
        <v>369</v>
      </c>
      <c r="Y523" s="1443">
        <v>420034006</v>
      </c>
      <c r="Z523" s="1443"/>
      <c r="AA523" s="1443"/>
      <c r="AB523" s="14"/>
      <c r="AC523" s="3"/>
      <c r="AD523" s="3"/>
      <c r="AE523" s="5"/>
      <c r="AF523" s="5"/>
      <c r="AG523" s="3"/>
      <c r="AH523" s="3"/>
      <c r="AI523" s="353">
        <v>0.18010000000000001</v>
      </c>
      <c r="AJ523" s="39"/>
      <c r="AK523" s="39"/>
      <c r="AL523" s="39"/>
      <c r="AM523" s="39">
        <f>AE$522*AI523+SUM(AJ523:AL523)</f>
        <v>0.18010000000000001</v>
      </c>
      <c r="AN523" s="3" t="s">
        <v>371</v>
      </c>
      <c r="AO523" s="3" t="s">
        <v>371</v>
      </c>
      <c r="AP523" s="3" t="s">
        <v>371</v>
      </c>
      <c r="AQ523" s="3" t="s">
        <v>371</v>
      </c>
      <c r="AR523" s="3" t="s">
        <v>371</v>
      </c>
      <c r="AS523" s="3" t="s">
        <v>371</v>
      </c>
      <c r="AT523" s="3" t="s">
        <v>371</v>
      </c>
      <c r="AU523" s="3" t="s">
        <v>371</v>
      </c>
      <c r="AV523" s="3" t="s">
        <v>371</v>
      </c>
      <c r="AW523" s="3" t="s">
        <v>371</v>
      </c>
      <c r="AX523" s="1414" t="s">
        <v>92</v>
      </c>
      <c r="AY523" s="3"/>
      <c r="AZ523" s="139"/>
      <c r="BA523" s="139"/>
      <c r="BB523" s="139"/>
      <c r="BC523" s="139"/>
      <c r="BD523" s="139"/>
      <c r="BE523" s="3"/>
    </row>
    <row r="524" spans="1:57" ht="15" customHeight="1" x14ac:dyDescent="0.4">
      <c r="A524" s="3"/>
      <c r="B524" s="155"/>
      <c r="C524" s="155"/>
      <c r="D524" s="155"/>
      <c r="E524" s="155"/>
      <c r="F524" s="155"/>
      <c r="G524" s="7"/>
      <c r="H524" s="20"/>
      <c r="I524" s="500"/>
      <c r="J524" s="500"/>
      <c r="K524" s="500"/>
      <c r="L524" s="500"/>
      <c r="M524" s="24"/>
      <c r="N524" s="24"/>
      <c r="O524" s="24"/>
      <c r="P524" s="24"/>
      <c r="Q524" s="24"/>
      <c r="R524" s="3"/>
      <c r="S524" s="56"/>
      <c r="T524" s="3"/>
      <c r="U524" s="20"/>
      <c r="V524" s="38" t="s">
        <v>369</v>
      </c>
      <c r="W524" s="3" t="s">
        <v>372</v>
      </c>
      <c r="X524" s="38" t="s">
        <v>369</v>
      </c>
      <c r="Y524" s="1443">
        <v>420034021</v>
      </c>
      <c r="Z524" s="1443"/>
      <c r="AA524" s="1443"/>
      <c r="AB524" s="14"/>
      <c r="AC524" s="3"/>
      <c r="AD524" s="56"/>
      <c r="AE524" s="56"/>
      <c r="AF524" s="3"/>
      <c r="AG524" s="3"/>
      <c r="AH524" s="3"/>
      <c r="AI524" s="353">
        <v>0.17319999999999999</v>
      </c>
      <c r="AJ524" s="39"/>
      <c r="AK524" s="39"/>
      <c r="AL524" s="39"/>
      <c r="AM524" s="39">
        <f t="shared" ref="AM524:AM525" si="71">AE$522*AI524+SUM(AJ524:AL524)</f>
        <v>0.17319999999999999</v>
      </c>
      <c r="AN524" s="3" t="s">
        <v>371</v>
      </c>
      <c r="AO524" s="3" t="s">
        <v>371</v>
      </c>
      <c r="AP524" s="3" t="s">
        <v>371</v>
      </c>
      <c r="AQ524" s="3" t="s">
        <v>371</v>
      </c>
      <c r="AR524" s="3" t="s">
        <v>371</v>
      </c>
      <c r="AS524" s="3" t="s">
        <v>371</v>
      </c>
      <c r="AT524" s="3" t="s">
        <v>371</v>
      </c>
      <c r="AU524" s="3" t="s">
        <v>371</v>
      </c>
      <c r="AV524" s="3" t="s">
        <v>371</v>
      </c>
      <c r="AW524" s="3" t="s">
        <v>371</v>
      </c>
      <c r="AX524" s="1414" t="s">
        <v>92</v>
      </c>
      <c r="AY524" s="3"/>
      <c r="AZ524" s="139"/>
      <c r="BA524" s="139"/>
      <c r="BB524" s="139"/>
      <c r="BC524" s="139"/>
      <c r="BD524" s="139"/>
      <c r="BE524" s="3"/>
    </row>
    <row r="525" spans="1:57" ht="15" customHeight="1" x14ac:dyDescent="0.4">
      <c r="A525" s="3"/>
      <c r="B525" s="155"/>
      <c r="C525" s="155"/>
      <c r="D525" s="155"/>
      <c r="E525" s="155"/>
      <c r="F525" s="155"/>
      <c r="G525" s="7"/>
      <c r="H525" s="20"/>
      <c r="I525" s="500"/>
      <c r="J525" s="500"/>
      <c r="K525" s="500"/>
      <c r="L525" s="500"/>
      <c r="M525" s="24"/>
      <c r="N525" s="24"/>
      <c r="O525" s="24"/>
      <c r="P525" s="24"/>
      <c r="Q525" s="24"/>
      <c r="R525" s="3"/>
      <c r="S525" s="56"/>
      <c r="T525" s="3"/>
      <c r="U525" s="20"/>
      <c r="V525" s="38" t="s">
        <v>369</v>
      </c>
      <c r="W525" s="3" t="s">
        <v>373</v>
      </c>
      <c r="X525" s="38" t="s">
        <v>369</v>
      </c>
      <c r="Y525" s="1443">
        <v>420034034</v>
      </c>
      <c r="Z525" s="1443"/>
      <c r="AA525" s="1443"/>
      <c r="AB525" s="14"/>
      <c r="AC525" s="3"/>
      <c r="AD525" s="56"/>
      <c r="AE525" s="56"/>
      <c r="AF525" s="3"/>
      <c r="AG525" s="3"/>
      <c r="AH525" s="3"/>
      <c r="AI525" s="1890">
        <v>0.89090000000000003</v>
      </c>
      <c r="AJ525" s="39"/>
      <c r="AK525" s="39"/>
      <c r="AL525" s="39"/>
      <c r="AM525" s="39">
        <f t="shared" si="71"/>
        <v>0.89090000000000003</v>
      </c>
      <c r="AN525" s="3" t="s">
        <v>371</v>
      </c>
      <c r="AO525" s="3" t="s">
        <v>371</v>
      </c>
      <c r="AP525" s="3" t="s">
        <v>371</v>
      </c>
      <c r="AQ525" s="3" t="s">
        <v>371</v>
      </c>
      <c r="AR525" s="3" t="s">
        <v>371</v>
      </c>
      <c r="AS525" s="3" t="s">
        <v>371</v>
      </c>
      <c r="AT525" s="3" t="s">
        <v>371</v>
      </c>
      <c r="AU525" s="3" t="s">
        <v>371</v>
      </c>
      <c r="AV525" s="3" t="s">
        <v>371</v>
      </c>
      <c r="AW525" s="3" t="s">
        <v>371</v>
      </c>
      <c r="AX525" s="1414" t="s">
        <v>92</v>
      </c>
      <c r="AY525" s="3"/>
      <c r="AZ525" s="139"/>
      <c r="BA525" s="139"/>
      <c r="BB525" s="139"/>
      <c r="BC525" s="139"/>
      <c r="BD525" s="139"/>
      <c r="BE525" s="3"/>
    </row>
    <row r="526" spans="1:57" ht="15" customHeight="1" thickBot="1" x14ac:dyDescent="0.45">
      <c r="A526" s="3"/>
      <c r="B526" s="925"/>
      <c r="C526" s="925"/>
      <c r="D526" s="925"/>
      <c r="E526" s="925"/>
      <c r="F526" s="925"/>
      <c r="G526" s="924"/>
      <c r="H526" s="887"/>
      <c r="I526" s="1494"/>
      <c r="J526" s="1494"/>
      <c r="K526" s="1494"/>
      <c r="L526" s="1494"/>
      <c r="M526" s="1020"/>
      <c r="N526" s="1020"/>
      <c r="O526" s="1020"/>
      <c r="P526" s="1020"/>
      <c r="Q526" s="1020"/>
      <c r="R526" s="889"/>
      <c r="S526" s="1156"/>
      <c r="T526" s="889"/>
      <c r="U526" s="887"/>
      <c r="V526" s="888"/>
      <c r="W526" s="889"/>
      <c r="X526" s="888"/>
      <c r="Y526" s="1444"/>
      <c r="Z526" s="1444"/>
      <c r="AA526" s="1444"/>
      <c r="AB526" s="948"/>
      <c r="AC526" s="889"/>
      <c r="AD526" s="1156"/>
      <c r="AE526" s="1156"/>
      <c r="AF526" s="889"/>
      <c r="AG526" s="889"/>
      <c r="AH526" s="889"/>
      <c r="AI526" s="1431"/>
      <c r="AJ526" s="947"/>
      <c r="AK526" s="947"/>
      <c r="AL526" s="947"/>
      <c r="AM526" s="947"/>
      <c r="AN526" s="889" t="s">
        <v>371</v>
      </c>
      <c r="AO526" s="889" t="s">
        <v>371</v>
      </c>
      <c r="AP526" s="889" t="s">
        <v>371</v>
      </c>
      <c r="AQ526" s="889" t="s">
        <v>371</v>
      </c>
      <c r="AR526" s="889" t="s">
        <v>371</v>
      </c>
      <c r="AS526" s="889" t="s">
        <v>371</v>
      </c>
      <c r="AT526" s="889" t="s">
        <v>371</v>
      </c>
      <c r="AU526" s="889" t="s">
        <v>371</v>
      </c>
      <c r="AV526" s="889" t="s">
        <v>371</v>
      </c>
      <c r="AW526" s="889" t="s">
        <v>371</v>
      </c>
      <c r="AX526" s="1590" t="s">
        <v>92</v>
      </c>
      <c r="AY526" s="889"/>
      <c r="AZ526" s="139"/>
      <c r="BA526" s="139"/>
      <c r="BB526" s="139"/>
      <c r="BC526" s="139"/>
      <c r="BD526" s="139"/>
      <c r="BE526" s="3"/>
    </row>
    <row r="527" spans="1:57" ht="15" customHeight="1" x14ac:dyDescent="0.4">
      <c r="A527" s="3"/>
      <c r="B527" s="7" t="s">
        <v>1867</v>
      </c>
      <c r="C527" s="8"/>
      <c r="D527" s="155"/>
      <c r="E527" s="155"/>
      <c r="F527" s="155"/>
      <c r="G527" s="7"/>
      <c r="H527" s="20"/>
      <c r="I527" s="500"/>
      <c r="J527" s="500"/>
      <c r="K527" s="500"/>
      <c r="L527" s="500"/>
      <c r="M527" s="24"/>
      <c r="N527" s="24"/>
      <c r="O527" s="24"/>
      <c r="P527" s="24"/>
      <c r="Q527" s="24"/>
      <c r="R527" s="3"/>
      <c r="S527" s="56">
        <v>1</v>
      </c>
      <c r="T527" s="3" t="s">
        <v>385</v>
      </c>
      <c r="U527" s="20"/>
      <c r="V527" s="38"/>
      <c r="W527" s="3"/>
      <c r="X527" s="38"/>
      <c r="Y527" s="1443"/>
      <c r="Z527" s="1443"/>
      <c r="AA527" s="1443"/>
      <c r="AB527" s="20"/>
      <c r="AC527" s="3">
        <v>45</v>
      </c>
      <c r="AD527" s="3">
        <v>1</v>
      </c>
      <c r="AE527" s="56">
        <f>S527*AD527</f>
        <v>1</v>
      </c>
      <c r="AF527" s="3" t="s">
        <v>385</v>
      </c>
      <c r="AG527" s="38" t="s">
        <v>8</v>
      </c>
      <c r="AH527" s="38" t="s">
        <v>8</v>
      </c>
      <c r="AI527" s="51"/>
      <c r="AJ527" s="39"/>
      <c r="AK527" s="39"/>
      <c r="AL527" s="39"/>
      <c r="AM527" s="39"/>
      <c r="AN527" s="3" t="s">
        <v>92</v>
      </c>
      <c r="AO527" s="3" t="s">
        <v>92</v>
      </c>
      <c r="AP527" s="3" t="s">
        <v>92</v>
      </c>
      <c r="AQ527" s="3" t="s">
        <v>92</v>
      </c>
      <c r="AR527" s="3" t="s">
        <v>92</v>
      </c>
      <c r="AS527" s="3" t="s">
        <v>92</v>
      </c>
      <c r="AT527" s="3" t="s">
        <v>92</v>
      </c>
      <c r="AU527" s="3" t="s">
        <v>92</v>
      </c>
      <c r="AV527" s="3" t="s">
        <v>92</v>
      </c>
      <c r="AW527" s="3" t="s">
        <v>92</v>
      </c>
      <c r="AX527" s="1414" t="s">
        <v>92</v>
      </c>
      <c r="AY527" s="3"/>
      <c r="AZ527" s="3"/>
      <c r="BA527" s="139"/>
      <c r="BB527" s="139"/>
      <c r="BC527" s="139"/>
      <c r="BD527" s="139"/>
      <c r="BE527" s="139"/>
    </row>
    <row r="528" spans="1:57" ht="15" customHeight="1" x14ac:dyDescent="0.4">
      <c r="A528" s="3"/>
      <c r="B528" s="155"/>
      <c r="C528" s="155"/>
      <c r="D528" s="155"/>
      <c r="E528" s="155"/>
      <c r="F528" s="155"/>
      <c r="G528" s="7"/>
      <c r="H528" s="20"/>
      <c r="I528" s="500"/>
      <c r="J528" s="500"/>
      <c r="K528" s="500"/>
      <c r="L528" s="500"/>
      <c r="M528" s="24"/>
      <c r="N528" s="24"/>
      <c r="O528" s="24"/>
      <c r="P528" s="24"/>
      <c r="Q528" s="24"/>
      <c r="R528" s="3"/>
      <c r="S528" s="56"/>
      <c r="T528" s="3"/>
      <c r="U528" s="20"/>
      <c r="V528" s="38" t="s">
        <v>369</v>
      </c>
      <c r="W528" s="3" t="s">
        <v>370</v>
      </c>
      <c r="X528" s="38" t="s">
        <v>369</v>
      </c>
      <c r="Y528" s="1443">
        <v>420045003</v>
      </c>
      <c r="Z528" s="1443"/>
      <c r="AA528" s="1443"/>
      <c r="AB528" s="20"/>
      <c r="AC528" s="3"/>
      <c r="AD528" s="3"/>
      <c r="AE528" s="5"/>
      <c r="AF528" s="5"/>
      <c r="AG528" s="3"/>
      <c r="AH528" s="3"/>
      <c r="AI528" s="353">
        <v>0.13500000000000001</v>
      </c>
      <c r="AJ528" s="39"/>
      <c r="AK528" s="39"/>
      <c r="AL528" s="39"/>
      <c r="AM528" s="39">
        <f>AE$490*AI528+SUM(AJ528:AL528)</f>
        <v>1.62</v>
      </c>
      <c r="AN528" s="3" t="s">
        <v>92</v>
      </c>
      <c r="AO528" s="3" t="s">
        <v>92</v>
      </c>
      <c r="AP528" s="3" t="s">
        <v>92</v>
      </c>
      <c r="AQ528" s="3" t="s">
        <v>92</v>
      </c>
      <c r="AR528" s="3" t="s">
        <v>92</v>
      </c>
      <c r="AS528" s="3" t="s">
        <v>92</v>
      </c>
      <c r="AT528" s="3" t="s">
        <v>92</v>
      </c>
      <c r="AU528" s="3" t="s">
        <v>92</v>
      </c>
      <c r="AV528" s="3" t="s">
        <v>92</v>
      </c>
      <c r="AW528" s="3" t="s">
        <v>92</v>
      </c>
      <c r="AX528" s="1414" t="s">
        <v>92</v>
      </c>
      <c r="AY528" s="3"/>
      <c r="AZ528" s="3"/>
      <c r="BA528" s="139"/>
      <c r="BB528" s="139"/>
      <c r="BC528" s="139"/>
      <c r="BD528" s="139"/>
      <c r="BE528" s="139"/>
    </row>
    <row r="529" spans="1:57" ht="15" customHeight="1" x14ac:dyDescent="0.4">
      <c r="A529" s="3"/>
      <c r="B529" s="155"/>
      <c r="C529" s="155"/>
      <c r="D529" s="155"/>
      <c r="E529" s="155"/>
      <c r="F529" s="155"/>
      <c r="G529" s="7"/>
      <c r="H529" s="20"/>
      <c r="I529" s="500"/>
      <c r="J529" s="500"/>
      <c r="K529" s="500"/>
      <c r="L529" s="500"/>
      <c r="M529" s="24"/>
      <c r="N529" s="24"/>
      <c r="O529" s="24"/>
      <c r="P529" s="24"/>
      <c r="Q529" s="24"/>
      <c r="R529" s="3"/>
      <c r="S529" s="56"/>
      <c r="T529" s="3"/>
      <c r="U529" s="20"/>
      <c r="V529" s="38" t="s">
        <v>369</v>
      </c>
      <c r="W529" s="3" t="s">
        <v>372</v>
      </c>
      <c r="X529" s="38" t="s">
        <v>369</v>
      </c>
      <c r="Y529" s="1443">
        <v>420045021</v>
      </c>
      <c r="Z529" s="1443"/>
      <c r="AA529" s="1443"/>
      <c r="AB529" s="20"/>
      <c r="AC529" s="3"/>
      <c r="AD529" s="56"/>
      <c r="AE529" s="56"/>
      <c r="AF529" s="3"/>
      <c r="AG529" s="3"/>
      <c r="AH529" s="3"/>
      <c r="AI529" s="353">
        <v>0.13200000000000001</v>
      </c>
      <c r="AJ529" s="39"/>
      <c r="AK529" s="39"/>
      <c r="AL529" s="39"/>
      <c r="AM529" s="39">
        <f t="shared" ref="AM529:AM530" si="72">AE$490*AI529+SUM(AJ529:AL529)</f>
        <v>1.5840000000000001</v>
      </c>
      <c r="AN529" s="3" t="s">
        <v>92</v>
      </c>
      <c r="AO529" s="3" t="s">
        <v>92</v>
      </c>
      <c r="AP529" s="3" t="s">
        <v>92</v>
      </c>
      <c r="AQ529" s="3" t="s">
        <v>92</v>
      </c>
      <c r="AR529" s="3" t="s">
        <v>92</v>
      </c>
      <c r="AS529" s="3" t="s">
        <v>92</v>
      </c>
      <c r="AT529" s="3" t="s">
        <v>92</v>
      </c>
      <c r="AU529" s="3" t="s">
        <v>92</v>
      </c>
      <c r="AV529" s="3" t="s">
        <v>92</v>
      </c>
      <c r="AW529" s="3" t="s">
        <v>92</v>
      </c>
      <c r="AX529" s="1414" t="s">
        <v>92</v>
      </c>
      <c r="AY529" s="3"/>
      <c r="AZ529" s="3"/>
      <c r="BA529" s="139"/>
      <c r="BB529" s="139"/>
      <c r="BC529" s="139"/>
      <c r="BD529" s="139"/>
      <c r="BE529" s="139"/>
    </row>
    <row r="530" spans="1:57" ht="15" customHeight="1" x14ac:dyDescent="0.4">
      <c r="A530" s="3"/>
      <c r="B530" s="155"/>
      <c r="C530" s="155"/>
      <c r="D530" s="155"/>
      <c r="E530" s="155"/>
      <c r="F530" s="155"/>
      <c r="G530" s="7"/>
      <c r="H530" s="20"/>
      <c r="I530" s="500"/>
      <c r="J530" s="500"/>
      <c r="K530" s="500"/>
      <c r="L530" s="500"/>
      <c r="M530" s="24"/>
      <c r="N530" s="24"/>
      <c r="O530" s="24"/>
      <c r="P530" s="24"/>
      <c r="Q530" s="24"/>
      <c r="R530" s="3"/>
      <c r="S530" s="56"/>
      <c r="T530" s="3"/>
      <c r="U530" s="20"/>
      <c r="V530" s="38" t="s">
        <v>369</v>
      </c>
      <c r="W530" s="3" t="s">
        <v>373</v>
      </c>
      <c r="X530" s="38" t="s">
        <v>369</v>
      </c>
      <c r="Y530" s="1443">
        <v>420045033</v>
      </c>
      <c r="Z530" s="1443"/>
      <c r="AA530" s="1443"/>
      <c r="AB530" s="20"/>
      <c r="AC530" s="3"/>
      <c r="AD530" s="56"/>
      <c r="AE530" s="56"/>
      <c r="AF530" s="3"/>
      <c r="AG530" s="3"/>
      <c r="AH530" s="3"/>
      <c r="AI530" s="353">
        <v>0.1</v>
      </c>
      <c r="AJ530" s="39"/>
      <c r="AK530" s="39"/>
      <c r="AL530" s="39"/>
      <c r="AM530" s="39">
        <f t="shared" si="72"/>
        <v>1.2000000000000002</v>
      </c>
      <c r="AN530" s="3" t="s">
        <v>92</v>
      </c>
      <c r="AO530" s="3" t="s">
        <v>92</v>
      </c>
      <c r="AP530" s="3" t="s">
        <v>92</v>
      </c>
      <c r="AQ530" s="3" t="s">
        <v>92</v>
      </c>
      <c r="AR530" s="3" t="s">
        <v>92</v>
      </c>
      <c r="AS530" s="3" t="s">
        <v>92</v>
      </c>
      <c r="AT530" s="3" t="s">
        <v>92</v>
      </c>
      <c r="AU530" s="3" t="s">
        <v>92</v>
      </c>
      <c r="AV530" s="3" t="s">
        <v>92</v>
      </c>
      <c r="AW530" s="3" t="s">
        <v>92</v>
      </c>
      <c r="AX530" s="1414" t="s">
        <v>92</v>
      </c>
      <c r="AY530" s="3"/>
      <c r="AZ530" s="3"/>
      <c r="BA530" s="139"/>
      <c r="BB530" s="139"/>
      <c r="BC530" s="139"/>
      <c r="BD530" s="139"/>
      <c r="BE530" s="139"/>
    </row>
    <row r="531" spans="1:57" ht="15" customHeight="1" thickBot="1" x14ac:dyDescent="0.45">
      <c r="A531" s="3"/>
      <c r="B531" s="925"/>
      <c r="C531" s="925"/>
      <c r="D531" s="925"/>
      <c r="E531" s="925"/>
      <c r="F531" s="925"/>
      <c r="G531" s="924"/>
      <c r="H531" s="887"/>
      <c r="I531" s="1494"/>
      <c r="J531" s="1494"/>
      <c r="K531" s="1494"/>
      <c r="L531" s="1494"/>
      <c r="M531" s="1020"/>
      <c r="N531" s="1020"/>
      <c r="O531" s="1020"/>
      <c r="P531" s="1020"/>
      <c r="Q531" s="1020"/>
      <c r="R531" s="889"/>
      <c r="S531" s="1156"/>
      <c r="T531" s="889"/>
      <c r="U531" s="887"/>
      <c r="V531" s="888" t="s">
        <v>369</v>
      </c>
      <c r="W531" s="889" t="s">
        <v>375</v>
      </c>
      <c r="X531" s="888" t="s">
        <v>369</v>
      </c>
      <c r="Y531" s="1444">
        <v>420045133</v>
      </c>
      <c r="Z531" s="1444"/>
      <c r="AA531" s="1444"/>
      <c r="AB531" s="887"/>
      <c r="AC531" s="889"/>
      <c r="AD531" s="1156"/>
      <c r="AE531" s="1156"/>
      <c r="AF531" s="889"/>
      <c r="AG531" s="889"/>
      <c r="AH531" s="889"/>
      <c r="AI531" s="1424"/>
      <c r="AJ531" s="947"/>
      <c r="AK531" s="947"/>
      <c r="AL531" s="947"/>
      <c r="AM531" s="947"/>
      <c r="AN531" s="889" t="s">
        <v>92</v>
      </c>
      <c r="AO531" s="889" t="s">
        <v>92</v>
      </c>
      <c r="AP531" s="889" t="s">
        <v>92</v>
      </c>
      <c r="AQ531" s="889" t="s">
        <v>92</v>
      </c>
      <c r="AR531" s="889" t="s">
        <v>92</v>
      </c>
      <c r="AS531" s="889" t="s">
        <v>92</v>
      </c>
      <c r="AT531" s="889" t="s">
        <v>92</v>
      </c>
      <c r="AU531" s="889" t="s">
        <v>92</v>
      </c>
      <c r="AV531" s="889" t="s">
        <v>92</v>
      </c>
      <c r="AW531" s="889" t="s">
        <v>92</v>
      </c>
      <c r="AX531" s="1590" t="s">
        <v>371</v>
      </c>
      <c r="AY531" s="889"/>
      <c r="AZ531" s="3"/>
      <c r="BA531" s="139"/>
      <c r="BB531" s="139"/>
      <c r="BC531" s="139"/>
      <c r="BD531" s="139"/>
      <c r="BE531" s="139"/>
    </row>
    <row r="532" spans="1:57" ht="63.75" customHeight="1" thickBot="1" x14ac:dyDescent="0.45">
      <c r="A532" s="3"/>
      <c r="B532" s="1193" t="s">
        <v>561</v>
      </c>
      <c r="C532" s="924"/>
      <c r="D532" s="924"/>
      <c r="E532" s="924"/>
      <c r="F532" s="924"/>
      <c r="G532" s="924"/>
      <c r="H532" s="948"/>
      <c r="I532" s="949"/>
      <c r="J532" s="889"/>
      <c r="K532" s="889"/>
      <c r="L532" s="889"/>
      <c r="M532" s="945"/>
      <c r="N532" s="945"/>
      <c r="O532" s="945"/>
      <c r="P532" s="945"/>
      <c r="Q532" s="945"/>
      <c r="R532" s="889"/>
      <c r="S532" s="1156">
        <v>1</v>
      </c>
      <c r="T532" s="889" t="s">
        <v>385</v>
      </c>
      <c r="U532" s="948"/>
      <c r="V532" s="888" t="s">
        <v>369</v>
      </c>
      <c r="W532" s="889" t="s">
        <v>562</v>
      </c>
      <c r="X532" s="888" t="s">
        <v>369</v>
      </c>
      <c r="Y532" s="1444">
        <v>430063010</v>
      </c>
      <c r="Z532" s="1444"/>
      <c r="AA532" s="1444"/>
      <c r="AB532" s="948"/>
      <c r="AC532" s="889">
        <v>45</v>
      </c>
      <c r="AD532" s="889">
        <v>1</v>
      </c>
      <c r="AE532" s="1156">
        <f>S532*AD532</f>
        <v>1</v>
      </c>
      <c r="AF532" s="889" t="s">
        <v>385</v>
      </c>
      <c r="AG532" s="888"/>
      <c r="AH532" s="888"/>
      <c r="AI532" s="1428">
        <v>8.9700000000000002E-2</v>
      </c>
      <c r="AJ532" s="1157"/>
      <c r="AK532" s="1157"/>
      <c r="AL532" s="1157"/>
      <c r="AM532" s="947">
        <f>AE$532*AI532+SUM(AJ532:AL532)</f>
        <v>8.9700000000000002E-2</v>
      </c>
      <c r="AN532" s="136" t="s">
        <v>81</v>
      </c>
      <c r="AO532" s="136" t="s">
        <v>81</v>
      </c>
      <c r="AP532" s="136" t="s">
        <v>81</v>
      </c>
      <c r="AQ532" s="136" t="s">
        <v>81</v>
      </c>
      <c r="AR532" s="136" t="s">
        <v>81</v>
      </c>
      <c r="AS532" s="136" t="s">
        <v>81</v>
      </c>
      <c r="AT532" s="136" t="s">
        <v>81</v>
      </c>
      <c r="AU532" s="136" t="s">
        <v>81</v>
      </c>
      <c r="AV532" s="136" t="s">
        <v>81</v>
      </c>
      <c r="AW532" s="136" t="s">
        <v>81</v>
      </c>
      <c r="AX532" s="1882" t="s">
        <v>81</v>
      </c>
      <c r="AY532" s="889"/>
      <c r="AZ532" s="139"/>
      <c r="BA532" s="139"/>
      <c r="BB532" s="139"/>
      <c r="BC532" s="139"/>
      <c r="BD532" s="139"/>
      <c r="BE532" s="3"/>
    </row>
    <row r="533" spans="1:57" ht="63.75" customHeight="1" thickBot="1" x14ac:dyDescent="0.45">
      <c r="A533" s="3"/>
      <c r="B533" s="1193" t="s">
        <v>563</v>
      </c>
      <c r="C533" s="924"/>
      <c r="D533" s="924"/>
      <c r="E533" s="924"/>
      <c r="F533" s="924"/>
      <c r="G533" s="924"/>
      <c r="H533" s="948"/>
      <c r="I533" s="949"/>
      <c r="J533" s="889"/>
      <c r="K533" s="889"/>
      <c r="L533" s="889"/>
      <c r="M533" s="945"/>
      <c r="N533" s="945"/>
      <c r="O533" s="945"/>
      <c r="P533" s="945"/>
      <c r="Q533" s="945"/>
      <c r="R533" s="889"/>
      <c r="S533" s="1156">
        <v>1</v>
      </c>
      <c r="T533" s="889" t="s">
        <v>385</v>
      </c>
      <c r="U533" s="948"/>
      <c r="V533" s="888" t="s">
        <v>369</v>
      </c>
      <c r="W533" s="889" t="s">
        <v>562</v>
      </c>
      <c r="X533" s="888" t="s">
        <v>369</v>
      </c>
      <c r="Y533" s="1444">
        <v>430064010</v>
      </c>
      <c r="Z533" s="1444"/>
      <c r="AA533" s="1444"/>
      <c r="AB533" s="948"/>
      <c r="AC533" s="889">
        <v>45</v>
      </c>
      <c r="AD533" s="889">
        <v>1</v>
      </c>
      <c r="AE533" s="1156">
        <f>S533*AD533</f>
        <v>1</v>
      </c>
      <c r="AF533" s="889" t="s">
        <v>385</v>
      </c>
      <c r="AG533" s="888"/>
      <c r="AH533" s="888"/>
      <c r="AI533" s="1428">
        <v>8.9700000000000002E-2</v>
      </c>
      <c r="AJ533" s="1157"/>
      <c r="AK533" s="1157"/>
      <c r="AL533" s="1157"/>
      <c r="AM533" s="947">
        <f>AE$533*AI533+SUM(AJ533:AL533)</f>
        <v>8.9700000000000002E-2</v>
      </c>
      <c r="AN533" s="136" t="s">
        <v>81</v>
      </c>
      <c r="AO533" s="136" t="s">
        <v>81</v>
      </c>
      <c r="AP533" s="136" t="s">
        <v>81</v>
      </c>
      <c r="AQ533" s="136" t="s">
        <v>81</v>
      </c>
      <c r="AR533" s="136" t="s">
        <v>81</v>
      </c>
      <c r="AS533" s="136" t="s">
        <v>81</v>
      </c>
      <c r="AT533" s="136" t="s">
        <v>81</v>
      </c>
      <c r="AU533" s="136" t="s">
        <v>81</v>
      </c>
      <c r="AV533" s="136" t="s">
        <v>81</v>
      </c>
      <c r="AW533" s="136" t="s">
        <v>81</v>
      </c>
      <c r="AX533" s="1882" t="s">
        <v>81</v>
      </c>
      <c r="AY533" s="889"/>
      <c r="AZ533" s="139"/>
      <c r="BA533" s="139"/>
      <c r="BB533" s="139"/>
      <c r="BC533" s="139"/>
      <c r="BD533" s="139"/>
      <c r="BE533" s="3"/>
    </row>
    <row r="534" spans="1:57" ht="15" customHeight="1" x14ac:dyDescent="0.4">
      <c r="A534" s="3"/>
      <c r="B534" s="494" t="s">
        <v>564</v>
      </c>
      <c r="C534" s="7"/>
      <c r="D534" s="7"/>
      <c r="E534" s="7"/>
      <c r="F534" s="7"/>
      <c r="G534" s="7"/>
      <c r="H534" s="14"/>
      <c r="I534" s="8"/>
      <c r="J534" s="3"/>
      <c r="K534" s="3"/>
      <c r="L534" s="3"/>
      <c r="M534" s="5"/>
      <c r="N534" s="5"/>
      <c r="O534" s="5"/>
      <c r="P534" s="5"/>
      <c r="Q534" s="5"/>
      <c r="R534" s="3"/>
      <c r="S534" s="56">
        <v>2</v>
      </c>
      <c r="T534" s="3" t="s">
        <v>385</v>
      </c>
      <c r="U534" s="20"/>
      <c r="V534" s="38"/>
      <c r="W534" s="3"/>
      <c r="X534" s="38"/>
      <c r="Y534" s="1443"/>
      <c r="Z534" s="1443"/>
      <c r="AA534" s="1443"/>
      <c r="AB534" s="20"/>
      <c r="AC534" s="116">
        <v>45</v>
      </c>
      <c r="AD534" s="116">
        <v>2</v>
      </c>
      <c r="AE534" s="177">
        <v>2</v>
      </c>
      <c r="AF534" s="116" t="s">
        <v>385</v>
      </c>
      <c r="AG534" s="179" t="s">
        <v>8</v>
      </c>
      <c r="AH534" s="179" t="s">
        <v>8</v>
      </c>
      <c r="AI534" s="185"/>
      <c r="AJ534" s="180"/>
      <c r="AK534" s="180"/>
      <c r="AL534" s="180"/>
      <c r="AM534" s="180"/>
      <c r="AN534" s="116"/>
      <c r="AO534" s="116"/>
      <c r="AP534" s="116"/>
      <c r="AQ534" s="116"/>
      <c r="AR534" s="116"/>
      <c r="AS534" s="116"/>
      <c r="AT534" s="116"/>
      <c r="AU534" s="116"/>
      <c r="AV534" s="116"/>
      <c r="AW534" s="116"/>
      <c r="AX534" s="1884"/>
      <c r="AY534" s="116"/>
      <c r="AZ534" s="139"/>
      <c r="BA534" s="139"/>
      <c r="BB534" s="139"/>
      <c r="BC534" s="139"/>
      <c r="BD534" s="139"/>
      <c r="BE534" s="3"/>
    </row>
    <row r="535" spans="1:57" ht="15" customHeight="1" x14ac:dyDescent="0.4">
      <c r="A535" s="3"/>
      <c r="B535" s="494"/>
      <c r="C535" s="7"/>
      <c r="D535" s="7"/>
      <c r="E535" s="7"/>
      <c r="F535" s="7"/>
      <c r="G535" s="7"/>
      <c r="H535" s="14"/>
      <c r="I535" s="8"/>
      <c r="J535" s="3"/>
      <c r="K535" s="3"/>
      <c r="L535" s="3"/>
      <c r="M535" s="5"/>
      <c r="N535" s="5"/>
      <c r="O535" s="5"/>
      <c r="P535" s="5"/>
      <c r="Q535" s="5"/>
      <c r="R535" s="3"/>
      <c r="S535" s="5"/>
      <c r="T535" s="42" t="s">
        <v>565</v>
      </c>
      <c r="U535" s="20"/>
      <c r="V535" s="38" t="s">
        <v>369</v>
      </c>
      <c r="W535" s="3" t="s">
        <v>370</v>
      </c>
      <c r="X535" s="38" t="s">
        <v>369</v>
      </c>
      <c r="Y535" s="1443">
        <v>600146003</v>
      </c>
      <c r="Z535" s="1443"/>
      <c r="AA535" s="1443"/>
      <c r="AB535" s="20"/>
      <c r="AC535" s="3"/>
      <c r="AD535" s="3"/>
      <c r="AE535" s="5"/>
      <c r="AF535" s="3"/>
      <c r="AG535" s="38"/>
      <c r="AH535" s="38"/>
      <c r="AI535" s="353">
        <v>1.7100000000000001E-2</v>
      </c>
      <c r="AJ535" s="39"/>
      <c r="AK535" s="39"/>
      <c r="AL535" s="39"/>
      <c r="AM535" s="39">
        <f>AE$497*AI535+SUM(AJ535:AL535)</f>
        <v>3.4200000000000001E-2</v>
      </c>
      <c r="AN535" s="3" t="s">
        <v>81</v>
      </c>
      <c r="AO535" s="3" t="s">
        <v>81</v>
      </c>
      <c r="AP535" s="3" t="s">
        <v>81</v>
      </c>
      <c r="AQ535" s="3" t="s">
        <v>81</v>
      </c>
      <c r="AR535" s="3" t="s">
        <v>81</v>
      </c>
      <c r="AS535" s="3" t="s">
        <v>81</v>
      </c>
      <c r="AT535" s="3" t="s">
        <v>81</v>
      </c>
      <c r="AU535" s="3" t="s">
        <v>81</v>
      </c>
      <c r="AV535" s="3" t="s">
        <v>92</v>
      </c>
      <c r="AW535" s="3" t="s">
        <v>81</v>
      </c>
      <c r="AX535" s="1414" t="s">
        <v>92</v>
      </c>
      <c r="AY535" s="3"/>
      <c r="AZ535" s="139"/>
      <c r="BA535" s="139"/>
      <c r="BB535" s="139"/>
      <c r="BC535" s="139"/>
      <c r="BD535" s="139"/>
      <c r="BE535" s="3"/>
    </row>
    <row r="536" spans="1:57" ht="15" customHeight="1" x14ac:dyDescent="0.4">
      <c r="A536" s="3"/>
      <c r="B536" s="494"/>
      <c r="C536" s="7"/>
      <c r="D536" s="7"/>
      <c r="E536" s="7"/>
      <c r="F536" s="7"/>
      <c r="G536" s="7"/>
      <c r="H536" s="14"/>
      <c r="I536" s="8"/>
      <c r="J536" s="3"/>
      <c r="K536" s="3"/>
      <c r="L536" s="3"/>
      <c r="M536" s="5"/>
      <c r="N536" s="5"/>
      <c r="O536" s="5"/>
      <c r="P536" s="5"/>
      <c r="Q536" s="5"/>
      <c r="R536" s="3"/>
      <c r="S536" s="5"/>
      <c r="T536" s="42" t="s">
        <v>566</v>
      </c>
      <c r="U536" s="20"/>
      <c r="V536" s="38" t="s">
        <v>369</v>
      </c>
      <c r="W536" s="3" t="s">
        <v>372</v>
      </c>
      <c r="X536" s="38" t="s">
        <v>369</v>
      </c>
      <c r="Y536" s="1443">
        <v>600146021</v>
      </c>
      <c r="Z536" s="1443"/>
      <c r="AA536" s="1443"/>
      <c r="AB536" s="20"/>
      <c r="AC536" s="3"/>
      <c r="AD536" s="3"/>
      <c r="AE536" s="5"/>
      <c r="AF536" s="3"/>
      <c r="AG536" s="38"/>
      <c r="AH536" s="38"/>
      <c r="AI536" s="353">
        <v>1.5100000000000001E-2</v>
      </c>
      <c r="AJ536" s="39"/>
      <c r="AK536" s="39"/>
      <c r="AL536" s="39"/>
      <c r="AM536" s="39">
        <f>AE$497*AI536+SUM(AJ536:AL536)</f>
        <v>3.0200000000000001E-2</v>
      </c>
      <c r="AN536" s="3" t="s">
        <v>92</v>
      </c>
      <c r="AO536" s="3" t="s">
        <v>92</v>
      </c>
      <c r="AP536" s="3" t="s">
        <v>92</v>
      </c>
      <c r="AQ536" s="3" t="s">
        <v>92</v>
      </c>
      <c r="AR536" s="3" t="s">
        <v>92</v>
      </c>
      <c r="AS536" s="3" t="s">
        <v>92</v>
      </c>
      <c r="AT536" s="3" t="s">
        <v>92</v>
      </c>
      <c r="AU536" s="3" t="s">
        <v>92</v>
      </c>
      <c r="AV536" s="3" t="s">
        <v>92</v>
      </c>
      <c r="AW536" s="3" t="s">
        <v>92</v>
      </c>
      <c r="AX536" s="1414" t="s">
        <v>92</v>
      </c>
      <c r="AY536" s="3"/>
      <c r="AZ536" s="139"/>
      <c r="BA536" s="139"/>
      <c r="BB536" s="139"/>
      <c r="BC536" s="139"/>
      <c r="BD536" s="139"/>
      <c r="BE536" s="3"/>
    </row>
    <row r="537" spans="1:57" ht="15" customHeight="1" x14ac:dyDescent="0.4">
      <c r="A537" s="3"/>
      <c r="B537" s="494"/>
      <c r="C537" s="7"/>
      <c r="D537" s="7"/>
      <c r="E537" s="7"/>
      <c r="F537" s="7"/>
      <c r="G537" s="7"/>
      <c r="H537" s="14"/>
      <c r="I537" s="8"/>
      <c r="J537" s="3"/>
      <c r="K537" s="3"/>
      <c r="L537" s="3"/>
      <c r="M537" s="5"/>
      <c r="N537" s="5"/>
      <c r="O537" s="5"/>
      <c r="P537" s="5"/>
      <c r="Q537" s="5"/>
      <c r="R537" s="3"/>
      <c r="S537" s="5"/>
      <c r="T537" s="42" t="s">
        <v>567</v>
      </c>
      <c r="U537" s="20"/>
      <c r="V537" s="38" t="s">
        <v>369</v>
      </c>
      <c r="W537" s="3" t="s">
        <v>373</v>
      </c>
      <c r="X537" s="38" t="s">
        <v>369</v>
      </c>
      <c r="Y537" s="1443">
        <v>600146033</v>
      </c>
      <c r="Z537" s="1443"/>
      <c r="AA537" s="1443"/>
      <c r="AB537" s="20"/>
      <c r="AC537" s="3"/>
      <c r="AD537" s="3"/>
      <c r="AE537" s="5"/>
      <c r="AF537" s="3"/>
      <c r="AG537" s="38"/>
      <c r="AH537" s="38"/>
      <c r="AI537" s="353">
        <v>1.5100000000000001E-2</v>
      </c>
      <c r="AJ537" s="39"/>
      <c r="AK537" s="39"/>
      <c r="AL537" s="39"/>
      <c r="AM537" s="39">
        <f>AE$497*AI537+SUM(AJ537:AL537)</f>
        <v>3.0200000000000001E-2</v>
      </c>
      <c r="AN537" s="3" t="s">
        <v>92</v>
      </c>
      <c r="AO537" s="3" t="s">
        <v>92</v>
      </c>
      <c r="AP537" s="3" t="s">
        <v>92</v>
      </c>
      <c r="AQ537" s="3" t="s">
        <v>92</v>
      </c>
      <c r="AR537" s="3" t="s">
        <v>92</v>
      </c>
      <c r="AS537" s="3" t="s">
        <v>92</v>
      </c>
      <c r="AT537" s="3" t="s">
        <v>92</v>
      </c>
      <c r="AU537" s="3" t="s">
        <v>92</v>
      </c>
      <c r="AV537" s="3" t="s">
        <v>81</v>
      </c>
      <c r="AW537" s="3" t="s">
        <v>92</v>
      </c>
      <c r="AX537" s="1414" t="s">
        <v>92</v>
      </c>
      <c r="AY537" s="3"/>
      <c r="AZ537" s="139"/>
      <c r="BA537" s="139"/>
      <c r="BB537" s="139"/>
      <c r="BC537" s="139"/>
      <c r="BD537" s="139"/>
      <c r="BE537" s="3"/>
    </row>
    <row r="538" spans="1:57" ht="15" customHeight="1" thickBot="1" x14ac:dyDescent="0.45">
      <c r="A538" s="3"/>
      <c r="B538" s="1193"/>
      <c r="C538" s="924"/>
      <c r="D538" s="924"/>
      <c r="E538" s="924"/>
      <c r="F538" s="924"/>
      <c r="G538" s="924"/>
      <c r="H538" s="948"/>
      <c r="I538" s="949"/>
      <c r="J538" s="889"/>
      <c r="K538" s="889"/>
      <c r="L538" s="889"/>
      <c r="M538" s="945"/>
      <c r="N538" s="945"/>
      <c r="O538" s="945"/>
      <c r="P538" s="945"/>
      <c r="Q538" s="945"/>
      <c r="R538" s="889"/>
      <c r="S538" s="945"/>
      <c r="T538" s="1154" t="s">
        <v>2372</v>
      </c>
      <c r="U538" s="887"/>
      <c r="V538" s="888" t="s">
        <v>369</v>
      </c>
      <c r="W538" s="889" t="s">
        <v>375</v>
      </c>
      <c r="X538" s="888" t="s">
        <v>369</v>
      </c>
      <c r="Y538" s="1444">
        <v>600146133</v>
      </c>
      <c r="Z538" s="1444"/>
      <c r="AA538" s="1444"/>
      <c r="AB538" s="887"/>
      <c r="AC538" s="889"/>
      <c r="AD538" s="889"/>
      <c r="AE538" s="945"/>
      <c r="AF538" s="889"/>
      <c r="AG538" s="888"/>
      <c r="AH538" s="888"/>
      <c r="AI538" s="1424"/>
      <c r="AJ538" s="947"/>
      <c r="AK538" s="947"/>
      <c r="AL538" s="947"/>
      <c r="AM538" s="947"/>
      <c r="AN538" s="889" t="s">
        <v>92</v>
      </c>
      <c r="AO538" s="889" t="s">
        <v>92</v>
      </c>
      <c r="AP538" s="889" t="s">
        <v>92</v>
      </c>
      <c r="AQ538" s="889" t="s">
        <v>92</v>
      </c>
      <c r="AR538" s="889" t="s">
        <v>92</v>
      </c>
      <c r="AS538" s="889" t="s">
        <v>92</v>
      </c>
      <c r="AT538" s="889" t="s">
        <v>92</v>
      </c>
      <c r="AU538" s="889" t="s">
        <v>92</v>
      </c>
      <c r="AV538" s="889" t="s">
        <v>92</v>
      </c>
      <c r="AW538" s="889" t="s">
        <v>92</v>
      </c>
      <c r="AX538" s="1590" t="s">
        <v>81</v>
      </c>
      <c r="AY538" s="889"/>
      <c r="AZ538" s="139"/>
      <c r="BA538" s="139"/>
      <c r="BB538" s="139"/>
      <c r="BC538" s="139"/>
      <c r="BD538" s="139"/>
      <c r="BE538" s="3"/>
    </row>
    <row r="539" spans="1:57" ht="51" customHeight="1" thickBot="1" x14ac:dyDescent="0.45">
      <c r="A539" s="3"/>
      <c r="B539" s="1155" t="s">
        <v>568</v>
      </c>
      <c r="C539" s="889"/>
      <c r="D539" s="889"/>
      <c r="E539" s="924"/>
      <c r="F539" s="889"/>
      <c r="G539" s="924"/>
      <c r="H539" s="948"/>
      <c r="I539" s="949"/>
      <c r="J539" s="889"/>
      <c r="K539" s="889"/>
      <c r="L539" s="889"/>
      <c r="M539" s="945"/>
      <c r="N539" s="945"/>
      <c r="O539" s="945"/>
      <c r="P539" s="945"/>
      <c r="Q539" s="945"/>
      <c r="R539" s="889"/>
      <c r="S539" s="1156">
        <v>1</v>
      </c>
      <c r="T539" s="889" t="s">
        <v>385</v>
      </c>
      <c r="U539" s="948"/>
      <c r="V539" s="888" t="s">
        <v>369</v>
      </c>
      <c r="W539" s="888" t="s">
        <v>369</v>
      </c>
      <c r="X539" s="888" t="s">
        <v>369</v>
      </c>
      <c r="Y539" s="1444">
        <v>440151000</v>
      </c>
      <c r="Z539" s="1444"/>
      <c r="AA539" s="1444"/>
      <c r="AB539" s="948"/>
      <c r="AC539" s="889">
        <v>45</v>
      </c>
      <c r="AD539" s="889">
        <v>2</v>
      </c>
      <c r="AE539" s="1156">
        <f>S539*AD539</f>
        <v>2</v>
      </c>
      <c r="AF539" s="889" t="s">
        <v>385</v>
      </c>
      <c r="AG539" s="945"/>
      <c r="AH539" s="888"/>
      <c r="AI539" s="1428">
        <v>2.8899999999999999E-2</v>
      </c>
      <c r="AJ539" s="1157"/>
      <c r="AK539" s="1157"/>
      <c r="AL539" s="1157"/>
      <c r="AM539" s="947">
        <f>AE$533*AI539+SUM(AJ539:AL539)</f>
        <v>2.8899999999999999E-2</v>
      </c>
      <c r="AN539" s="889" t="s">
        <v>81</v>
      </c>
      <c r="AO539" s="889" t="s">
        <v>81</v>
      </c>
      <c r="AP539" s="889" t="s">
        <v>81</v>
      </c>
      <c r="AQ539" s="889" t="s">
        <v>81</v>
      </c>
      <c r="AR539" s="889" t="s">
        <v>81</v>
      </c>
      <c r="AS539" s="889" t="s">
        <v>81</v>
      </c>
      <c r="AT539" s="889" t="s">
        <v>81</v>
      </c>
      <c r="AU539" s="889" t="s">
        <v>81</v>
      </c>
      <c r="AV539" s="889" t="s">
        <v>81</v>
      </c>
      <c r="AW539" s="889" t="s">
        <v>81</v>
      </c>
      <c r="AX539" s="1590" t="s">
        <v>81</v>
      </c>
      <c r="AY539" s="889"/>
      <c r="AZ539" s="139"/>
      <c r="BA539" s="139"/>
      <c r="BB539" s="139"/>
      <c r="BC539" s="139"/>
      <c r="BD539" s="139"/>
      <c r="BE539" s="3"/>
    </row>
    <row r="540" spans="1:57" ht="25.2" customHeight="1" x14ac:dyDescent="0.4">
      <c r="A540" s="3"/>
      <c r="B540" s="1387" t="s">
        <v>2397</v>
      </c>
      <c r="C540" s="7"/>
      <c r="D540" s="7"/>
      <c r="E540" s="7"/>
      <c r="F540" s="7"/>
      <c r="G540" s="7"/>
      <c r="H540" s="14"/>
      <c r="I540" s="3"/>
      <c r="J540" s="3"/>
      <c r="K540" s="3"/>
      <c r="L540" s="3"/>
      <c r="M540" s="5"/>
      <c r="N540" s="5"/>
      <c r="O540" s="5"/>
      <c r="P540" s="5"/>
      <c r="Q540" s="5"/>
      <c r="R540" s="3"/>
      <c r="S540" s="56"/>
      <c r="T540" s="3"/>
      <c r="U540" s="14"/>
      <c r="V540" s="38"/>
      <c r="W540" s="3"/>
      <c r="X540" s="38"/>
      <c r="Y540" s="1443"/>
      <c r="Z540" s="1443"/>
      <c r="AA540" s="1443"/>
      <c r="AB540" s="14"/>
      <c r="AC540" s="3"/>
      <c r="AD540" s="3"/>
      <c r="AE540" s="56"/>
      <c r="AF540" s="3"/>
      <c r="AG540" s="38"/>
      <c r="AH540" s="38"/>
      <c r="AI540" s="353"/>
      <c r="AJ540" s="975"/>
      <c r="AK540" s="975"/>
      <c r="AL540" s="975"/>
      <c r="AM540" s="975"/>
      <c r="AN540" s="3"/>
      <c r="AO540" s="3"/>
      <c r="AP540" s="3"/>
      <c r="AQ540" s="3"/>
      <c r="AR540" s="3"/>
      <c r="AS540" s="3"/>
      <c r="AT540" s="3"/>
      <c r="AU540" s="3"/>
      <c r="AV540" s="3"/>
      <c r="AW540" s="3"/>
      <c r="AX540" s="1414"/>
      <c r="AY540" s="715"/>
      <c r="AZ540" s="139"/>
      <c r="BA540" s="139"/>
      <c r="BB540" s="139"/>
      <c r="BC540" s="139"/>
      <c r="BD540" s="139"/>
      <c r="BE540" s="3"/>
    </row>
    <row r="541" spans="1:57" ht="25.2" customHeight="1" x14ac:dyDescent="0.4">
      <c r="A541" s="3"/>
      <c r="B541" s="1947" t="s">
        <v>2398</v>
      </c>
      <c r="C541" s="7"/>
      <c r="D541" s="7"/>
      <c r="E541" s="7"/>
      <c r="F541" s="7"/>
      <c r="G541" s="7"/>
      <c r="H541" s="14"/>
      <c r="I541" s="3"/>
      <c r="J541" s="3"/>
      <c r="K541" s="3"/>
      <c r="L541" s="3"/>
      <c r="M541" s="5"/>
      <c r="N541" s="5"/>
      <c r="O541" s="5"/>
      <c r="P541" s="5"/>
      <c r="Q541" s="5"/>
      <c r="R541" s="3"/>
      <c r="S541" s="56">
        <v>1</v>
      </c>
      <c r="T541" s="3" t="s">
        <v>385</v>
      </c>
      <c r="U541" s="14"/>
      <c r="V541" s="38" t="s">
        <v>369</v>
      </c>
      <c r="W541" s="3" t="s">
        <v>569</v>
      </c>
      <c r="X541" s="38" t="s">
        <v>369</v>
      </c>
      <c r="Y541" s="1443" t="s">
        <v>2394</v>
      </c>
      <c r="Z541" s="1443"/>
      <c r="AA541" s="1443"/>
      <c r="AB541" s="14"/>
      <c r="AC541" s="3">
        <v>45</v>
      </c>
      <c r="AD541" s="3">
        <v>2</v>
      </c>
      <c r="AE541" s="56">
        <v>2</v>
      </c>
      <c r="AF541" s="3" t="s">
        <v>385</v>
      </c>
      <c r="AG541" s="38"/>
      <c r="AH541" s="38"/>
      <c r="AI541" s="353">
        <v>1.2999999999999999E-2</v>
      </c>
      <c r="AJ541" s="975"/>
      <c r="AK541" s="975"/>
      <c r="AL541" s="975"/>
      <c r="AM541" s="975">
        <f>AI541*AE541</f>
        <v>2.5999999999999999E-2</v>
      </c>
      <c r="AN541" s="3" t="s">
        <v>92</v>
      </c>
      <c r="AO541" s="3" t="s">
        <v>92</v>
      </c>
      <c r="AP541" s="3" t="s">
        <v>92</v>
      </c>
      <c r="AQ541" s="3" t="s">
        <v>92</v>
      </c>
      <c r="AR541" s="3" t="s">
        <v>92</v>
      </c>
      <c r="AS541" s="3" t="s">
        <v>92</v>
      </c>
      <c r="AT541" s="3" t="s">
        <v>92</v>
      </c>
      <c r="AU541" s="3" t="s">
        <v>92</v>
      </c>
      <c r="AV541" s="3" t="s">
        <v>92</v>
      </c>
      <c r="AW541" s="3" t="s">
        <v>92</v>
      </c>
      <c r="AX541" s="1414" t="s">
        <v>81</v>
      </c>
      <c r="AY541" s="715"/>
      <c r="AZ541" s="139"/>
      <c r="BA541" s="139"/>
      <c r="BB541" s="139"/>
      <c r="BC541" s="139"/>
      <c r="BD541" s="139"/>
      <c r="BE541" s="3"/>
    </row>
    <row r="542" spans="1:57" ht="25.2" customHeight="1" thickBot="1" x14ac:dyDescent="0.45">
      <c r="A542" s="3"/>
      <c r="B542" s="972"/>
      <c r="C542" s="924"/>
      <c r="D542" s="924"/>
      <c r="E542" s="924"/>
      <c r="F542" s="924"/>
      <c r="G542" s="924"/>
      <c r="H542" s="948"/>
      <c r="I542" s="889"/>
      <c r="J542" s="889"/>
      <c r="K542" s="889"/>
      <c r="L542" s="889"/>
      <c r="M542" s="945"/>
      <c r="N542" s="945"/>
      <c r="O542" s="945"/>
      <c r="P542" s="945"/>
      <c r="Q542" s="945"/>
      <c r="R542" s="889"/>
      <c r="S542" s="1156"/>
      <c r="T542" s="889"/>
      <c r="U542" s="948"/>
      <c r="V542" s="888"/>
      <c r="W542" s="889"/>
      <c r="X542" s="888"/>
      <c r="Y542" s="1444"/>
      <c r="Z542" s="1444"/>
      <c r="AA542" s="1444"/>
      <c r="AB542" s="948"/>
      <c r="AC542" s="889"/>
      <c r="AD542" s="889"/>
      <c r="AE542" s="1156"/>
      <c r="AF542" s="889"/>
      <c r="AG542" s="888"/>
      <c r="AH542" s="888"/>
      <c r="AI542" s="1424"/>
      <c r="AJ542" s="974"/>
      <c r="AK542" s="974"/>
      <c r="AL542" s="974"/>
      <c r="AM542" s="974"/>
      <c r="AN542" s="889"/>
      <c r="AO542" s="889"/>
      <c r="AP542" s="889"/>
      <c r="AQ542" s="889"/>
      <c r="AR542" s="889"/>
      <c r="AS542" s="889"/>
      <c r="AT542" s="889"/>
      <c r="AU542" s="889"/>
      <c r="AV542" s="889"/>
      <c r="AW542" s="889"/>
      <c r="AX542" s="1590"/>
      <c r="AY542" s="973"/>
      <c r="AZ542" s="139"/>
      <c r="BA542" s="139"/>
      <c r="BB542" s="139"/>
      <c r="BC542" s="139"/>
      <c r="BD542" s="139"/>
      <c r="BE542" s="3"/>
    </row>
    <row r="543" spans="1:57" ht="64.5" customHeight="1" thickBot="1" x14ac:dyDescent="0.45">
      <c r="A543" s="3"/>
      <c r="B543" s="972" t="s">
        <v>2193</v>
      </c>
      <c r="C543" s="924"/>
      <c r="D543" s="924"/>
      <c r="E543" s="924"/>
      <c r="F543" s="924"/>
      <c r="G543" s="924"/>
      <c r="H543" s="948"/>
      <c r="I543" s="889"/>
      <c r="J543" s="889"/>
      <c r="K543" s="889"/>
      <c r="L543" s="889"/>
      <c r="M543" s="945"/>
      <c r="N543" s="945"/>
      <c r="O543" s="945"/>
      <c r="P543" s="945"/>
      <c r="Q543" s="945"/>
      <c r="R543" s="889"/>
      <c r="S543" s="1156">
        <v>1</v>
      </c>
      <c r="T543" s="889" t="s">
        <v>385</v>
      </c>
      <c r="U543" s="948"/>
      <c r="V543" s="888" t="s">
        <v>369</v>
      </c>
      <c r="W543" s="889" t="s">
        <v>569</v>
      </c>
      <c r="X543" s="888" t="s">
        <v>369</v>
      </c>
      <c r="Y543" s="1444">
        <v>600064012</v>
      </c>
      <c r="Z543" s="1444"/>
      <c r="AA543" s="1444"/>
      <c r="AB543" s="948"/>
      <c r="AC543" s="889">
        <v>45</v>
      </c>
      <c r="AD543" s="889">
        <v>2</v>
      </c>
      <c r="AE543" s="1156">
        <v>2</v>
      </c>
      <c r="AF543" s="889" t="s">
        <v>385</v>
      </c>
      <c r="AG543" s="888"/>
      <c r="AH543" s="888"/>
      <c r="AI543" s="1424">
        <v>1.2999999999999999E-2</v>
      </c>
      <c r="AJ543" s="974"/>
      <c r="AK543" s="974"/>
      <c r="AL543" s="975"/>
      <c r="AM543" s="975">
        <f>AI543*AE543</f>
        <v>2.5999999999999999E-2</v>
      </c>
      <c r="AN543" s="889" t="s">
        <v>81</v>
      </c>
      <c r="AO543" s="889" t="s">
        <v>81</v>
      </c>
      <c r="AP543" s="889" t="s">
        <v>81</v>
      </c>
      <c r="AQ543" s="889" t="s">
        <v>81</v>
      </c>
      <c r="AR543" s="889" t="s">
        <v>81</v>
      </c>
      <c r="AS543" s="889" t="s">
        <v>81</v>
      </c>
      <c r="AT543" s="889" t="s">
        <v>81</v>
      </c>
      <c r="AU543" s="889" t="s">
        <v>81</v>
      </c>
      <c r="AV543" s="889" t="s">
        <v>81</v>
      </c>
      <c r="AW543" s="889" t="s">
        <v>81</v>
      </c>
      <c r="AX543" s="1590" t="s">
        <v>81</v>
      </c>
      <c r="AY543" s="973"/>
      <c r="AZ543" s="139"/>
      <c r="BA543" s="139"/>
      <c r="BB543" s="139"/>
      <c r="BC543" s="139"/>
      <c r="BD543" s="139"/>
      <c r="BE543" s="3"/>
    </row>
    <row r="544" spans="1:57" ht="15" customHeight="1" thickBot="1" x14ac:dyDescent="0.45">
      <c r="A544" s="3" t="s">
        <v>570</v>
      </c>
      <c r="B544" s="1194"/>
      <c r="C544" s="1195"/>
      <c r="D544" s="1195"/>
      <c r="E544" s="1195"/>
      <c r="F544" s="1195"/>
      <c r="G544" s="1195"/>
      <c r="H544" s="1196"/>
      <c r="I544" s="1196"/>
      <c r="J544" s="1196"/>
      <c r="K544" s="1196"/>
      <c r="L544" s="1196"/>
      <c r="M544" s="1197"/>
      <c r="N544" s="1197"/>
      <c r="O544" s="1197"/>
      <c r="P544" s="1197"/>
      <c r="Q544" s="1197"/>
      <c r="R544" s="1196"/>
      <c r="S544" s="1197"/>
      <c r="T544" s="1196"/>
      <c r="U544" s="1196"/>
      <c r="V544" s="1195"/>
      <c r="W544" s="1195"/>
      <c r="X544" s="1195"/>
      <c r="Y544" s="1198"/>
      <c r="Z544" s="1198"/>
      <c r="AA544" s="1198"/>
      <c r="AB544" s="1196"/>
      <c r="AC544" s="1198"/>
      <c r="AD544" s="1196"/>
      <c r="AE544" s="1197"/>
      <c r="AF544" s="1196"/>
      <c r="AG544" s="1196"/>
      <c r="AH544" s="1196"/>
      <c r="AI544" s="1199"/>
      <c r="AJ544" s="904"/>
      <c r="AK544" s="904"/>
      <c r="AL544" s="671" t="s">
        <v>571</v>
      </c>
      <c r="AM544" s="672">
        <f>SUBTOTAL(109,AM545:AM778)</f>
        <v>8.9291000000000018</v>
      </c>
      <c r="AN544" s="904"/>
      <c r="AO544" s="904"/>
      <c r="AP544" s="904"/>
      <c r="AQ544" s="904"/>
      <c r="AR544" s="904"/>
      <c r="AS544" s="904"/>
      <c r="AT544" s="904"/>
      <c r="AU544" s="904"/>
      <c r="AV544" s="904"/>
      <c r="AW544" s="904"/>
      <c r="AX544" s="904"/>
      <c r="AY544" s="904"/>
      <c r="AZ544" s="139"/>
      <c r="BA544" s="139"/>
      <c r="BB544" s="139"/>
      <c r="BC544" s="139"/>
      <c r="BD544" s="139"/>
      <c r="BE544" s="3"/>
    </row>
    <row r="545" spans="1:57" ht="15" customHeight="1" x14ac:dyDescent="0.4">
      <c r="A545" s="3"/>
      <c r="B545" s="181"/>
      <c r="C545" s="173"/>
      <c r="D545" s="173"/>
      <c r="E545" s="173"/>
      <c r="F545" s="173"/>
      <c r="G545" s="173"/>
      <c r="H545" s="448"/>
      <c r="I545" s="448"/>
      <c r="J545" s="448"/>
      <c r="K545" s="448"/>
      <c r="L545" s="448"/>
      <c r="M545" s="178"/>
      <c r="N545" s="178"/>
      <c r="O545" s="178"/>
      <c r="P545" s="178"/>
      <c r="Q545" s="178"/>
      <c r="R545" s="448"/>
      <c r="S545" s="178" t="s">
        <v>572</v>
      </c>
      <c r="T545" s="181"/>
      <c r="U545" s="448"/>
      <c r="V545" s="173"/>
      <c r="W545" s="3"/>
      <c r="X545" s="173"/>
      <c r="Y545" s="116"/>
      <c r="Z545" s="116"/>
      <c r="AA545" s="116"/>
      <c r="AB545" s="448"/>
      <c r="AC545" s="116"/>
      <c r="AD545" s="448"/>
      <c r="AE545" s="178"/>
      <c r="AF545" s="448"/>
      <c r="AG545" s="448"/>
      <c r="AH545" s="448"/>
      <c r="AI545" s="676"/>
      <c r="AJ545" s="677"/>
      <c r="AK545" s="677"/>
      <c r="AL545" s="677"/>
      <c r="AM545" s="677"/>
      <c r="AN545" s="3"/>
      <c r="AO545" s="3"/>
      <c r="AP545" s="3"/>
      <c r="AQ545" s="3"/>
      <c r="AR545" s="3"/>
      <c r="AS545" s="3"/>
      <c r="AT545" s="3"/>
      <c r="AU545" s="3"/>
      <c r="AV545" s="3"/>
      <c r="AW545" s="3"/>
      <c r="AX545" s="3"/>
      <c r="AY545" s="3"/>
      <c r="AZ545" s="139"/>
      <c r="BA545" s="139"/>
      <c r="BB545" s="139"/>
      <c r="BC545" s="139"/>
      <c r="BD545" s="139"/>
      <c r="BE545" s="3"/>
    </row>
    <row r="546" spans="1:57" ht="15" customHeight="1" x14ac:dyDescent="0.4">
      <c r="A546" s="3"/>
      <c r="B546" s="36"/>
      <c r="C546" s="7"/>
      <c r="D546" s="7"/>
      <c r="E546" s="7"/>
      <c r="F546" s="7"/>
      <c r="G546" s="7"/>
      <c r="H546" s="500"/>
      <c r="I546" s="500"/>
      <c r="J546" s="500"/>
      <c r="K546" s="500"/>
      <c r="L546" s="500"/>
      <c r="M546" s="24"/>
      <c r="N546" s="24"/>
      <c r="O546" s="24"/>
      <c r="P546" s="461" t="s">
        <v>573</v>
      </c>
      <c r="Q546" s="24"/>
      <c r="R546" s="452" t="s">
        <v>574</v>
      </c>
      <c r="S546" s="530">
        <f>IF(SHSDLbox="yes",2,0)</f>
        <v>0</v>
      </c>
      <c r="T546" s="3"/>
      <c r="U546" s="500"/>
      <c r="V546" s="7"/>
      <c r="W546" s="36"/>
      <c r="X546" s="7"/>
      <c r="Y546" s="3"/>
      <c r="Z546" s="3"/>
      <c r="AA546" s="3"/>
      <c r="AB546" s="500"/>
      <c r="AC546" s="3"/>
      <c r="AD546" s="500"/>
      <c r="AE546" s="24"/>
      <c r="AF546" s="500"/>
      <c r="AG546" s="500"/>
      <c r="AH546" s="500"/>
      <c r="AI546" s="478"/>
      <c r="AJ546" s="9"/>
      <c r="AK546" s="9"/>
      <c r="AL546" s="9"/>
      <c r="AM546" s="9"/>
      <c r="AN546" s="3"/>
      <c r="AO546" s="3"/>
      <c r="AP546" s="3"/>
      <c r="AQ546" s="3"/>
      <c r="AR546" s="3"/>
      <c r="AS546" s="3"/>
      <c r="AT546" s="3"/>
      <c r="AU546" s="3"/>
      <c r="AV546" s="3"/>
      <c r="AW546" s="3"/>
      <c r="AX546" s="3"/>
      <c r="AY546" s="3"/>
      <c r="AZ546" s="139"/>
      <c r="BA546" s="139"/>
      <c r="BB546" s="139"/>
      <c r="BC546" s="139"/>
      <c r="BD546" s="139"/>
      <c r="BE546" s="3"/>
    </row>
    <row r="547" spans="1:57" ht="15" customHeight="1" x14ac:dyDescent="0.4">
      <c r="A547" s="3"/>
      <c r="B547" s="8" t="s">
        <v>575</v>
      </c>
      <c r="C547" s="7"/>
      <c r="D547" s="4"/>
      <c r="E547" s="7"/>
      <c r="F547" s="7"/>
      <c r="G547" s="7"/>
      <c r="H547" s="3"/>
      <c r="I547" s="3"/>
      <c r="J547" s="500"/>
      <c r="K547" s="500"/>
      <c r="L547" s="500"/>
      <c r="M547" s="24"/>
      <c r="N547" s="24"/>
      <c r="O547" s="24"/>
      <c r="P547" s="87"/>
      <c r="Q547" s="24"/>
      <c r="R547" s="452" t="s">
        <v>576</v>
      </c>
      <c r="S547" s="765">
        <f>MAX(W913)+MAX(W926)</f>
        <v>4.1580000000000004</v>
      </c>
      <c r="T547" s="3"/>
      <c r="U547" s="8"/>
      <c r="V547" s="3"/>
      <c r="W547" s="36"/>
      <c r="X547" s="87"/>
      <c r="Y547" s="87"/>
      <c r="Z547" s="87"/>
      <c r="AA547" s="87"/>
      <c r="AB547" s="3"/>
      <c r="AC547" s="3"/>
      <c r="AD547" s="87"/>
      <c r="AE547" s="87"/>
      <c r="AF547" s="5"/>
      <c r="AG547" s="5"/>
      <c r="AH547" s="5"/>
      <c r="AI547" s="478"/>
      <c r="AJ547" s="9"/>
      <c r="AK547" s="9"/>
      <c r="AL547" s="9"/>
      <c r="AM547" s="9"/>
      <c r="AN547" s="3"/>
      <c r="AO547" s="3"/>
      <c r="AP547" s="3"/>
      <c r="AQ547" s="3"/>
      <c r="AR547" s="3"/>
      <c r="AS547" s="3"/>
      <c r="AT547" s="3"/>
      <c r="AU547" s="3"/>
      <c r="AV547" s="3"/>
      <c r="AW547" s="3"/>
      <c r="AX547" s="3"/>
      <c r="AY547" s="3"/>
      <c r="AZ547" s="139"/>
      <c r="BA547" s="139"/>
      <c r="BB547" s="139"/>
      <c r="BC547" s="139"/>
      <c r="BD547" s="139"/>
      <c r="BE547" s="3"/>
    </row>
    <row r="548" spans="1:57" ht="15" customHeight="1" x14ac:dyDescent="0.4">
      <c r="A548" s="3"/>
      <c r="B548" s="678" t="s">
        <v>577</v>
      </c>
      <c r="C548" s="7"/>
      <c r="D548" s="4"/>
      <c r="E548" s="7"/>
      <c r="F548" s="7"/>
      <c r="G548" s="7"/>
      <c r="H548" s="3"/>
      <c r="I548" s="3"/>
      <c r="J548" s="500"/>
      <c r="K548" s="500"/>
      <c r="L548" s="500"/>
      <c r="M548" s="24"/>
      <c r="N548" s="24"/>
      <c r="O548" s="24"/>
      <c r="P548" s="24"/>
      <c r="Q548" s="3"/>
      <c r="R548" s="452" t="s">
        <v>578</v>
      </c>
      <c r="S548" s="530">
        <f>(SHSashGW*SHSashGH*LOOKUP(E6,D1267:D1286,C1267:C1286))+(SHSashW*_SHSashRailDensity)+(SHSashH*_SHSashStileDensity)+S546+S547</f>
        <v>27.153525963333337</v>
      </c>
      <c r="T548" s="3"/>
      <c r="U548" s="3"/>
      <c r="V548" s="3"/>
      <c r="W548" s="3"/>
      <c r="X548" s="3"/>
      <c r="Y548" s="3"/>
      <c r="Z548" s="3"/>
      <c r="AA548" s="3"/>
      <c r="AB548" s="3"/>
      <c r="AC548" s="3"/>
      <c r="AD548" s="87"/>
      <c r="AE548" s="87"/>
      <c r="AF548" s="5"/>
      <c r="AG548" s="5"/>
      <c r="AH548" s="5"/>
      <c r="AI548" s="478"/>
      <c r="AJ548" s="9"/>
      <c r="AK548" s="9"/>
      <c r="AL548" s="9"/>
      <c r="AM548" s="9"/>
      <c r="AN548" s="3"/>
      <c r="AO548" s="3"/>
      <c r="AP548" s="3"/>
      <c r="AQ548" s="3"/>
      <c r="AR548" s="3"/>
      <c r="AS548" s="3"/>
      <c r="AT548" s="3"/>
      <c r="AU548" s="3"/>
      <c r="AV548" s="3"/>
      <c r="AW548" s="3"/>
      <c r="AX548" s="3"/>
      <c r="AY548" s="3"/>
      <c r="AZ548" s="139"/>
      <c r="BA548" s="139"/>
      <c r="BB548" s="139"/>
      <c r="BC548" s="139"/>
      <c r="BD548" s="139"/>
      <c r="BE548" s="3"/>
    </row>
    <row r="549" spans="1:57" ht="15" customHeight="1" x14ac:dyDescent="0.4">
      <c r="A549" s="3"/>
      <c r="B549" s="678"/>
      <c r="C549" s="7"/>
      <c r="D549" s="4"/>
      <c r="E549" s="7"/>
      <c r="F549" s="7"/>
      <c r="G549" s="7"/>
      <c r="H549" s="3"/>
      <c r="I549" s="3"/>
      <c r="J549" s="500"/>
      <c r="K549" s="500"/>
      <c r="L549" s="500"/>
      <c r="M549" s="24"/>
      <c r="N549" s="24"/>
      <c r="O549" s="24"/>
      <c r="P549" s="24"/>
      <c r="Q549" s="3"/>
      <c r="R549" s="452"/>
      <c r="S549" s="5"/>
      <c r="T549" s="1567">
        <f>SHSashWeight*_BT_WtScalar+_BT_WtOffset</f>
        <v>24.938173367000005</v>
      </c>
      <c r="U549" s="8"/>
      <c r="V549" s="36" t="s">
        <v>2204</v>
      </c>
      <c r="W549" s="3"/>
      <c r="X549" s="3"/>
      <c r="Y549" s="3"/>
      <c r="Z549" s="3"/>
      <c r="AA549" s="3"/>
      <c r="AB549" s="3"/>
      <c r="AC549" s="3"/>
      <c r="AD549" s="87"/>
      <c r="AE549" s="87"/>
      <c r="AF549" s="5"/>
      <c r="AG549" s="5"/>
      <c r="AH549" s="5"/>
      <c r="AI549" s="478"/>
      <c r="AJ549" s="9"/>
      <c r="AK549" s="9"/>
      <c r="AL549" s="9"/>
      <c r="AM549" s="9"/>
      <c r="AN549" s="3"/>
      <c r="AO549" s="3"/>
      <c r="AP549" s="3"/>
      <c r="AQ549" s="3"/>
      <c r="AR549" s="3"/>
      <c r="AS549" s="3"/>
      <c r="AT549" s="3"/>
      <c r="AU549" s="3"/>
      <c r="AV549" s="3"/>
      <c r="AW549" s="3"/>
      <c r="AX549" s="3"/>
      <c r="AY549" s="3"/>
      <c r="AZ549" s="139"/>
      <c r="BA549" s="139"/>
      <c r="BB549" s="139"/>
      <c r="BC549" s="139"/>
      <c r="BD549" s="139"/>
      <c r="BE549" s="3"/>
    </row>
    <row r="550" spans="1:57" ht="15" customHeight="1" x14ac:dyDescent="0.4">
      <c r="A550" s="3"/>
      <c r="B550" s="36"/>
      <c r="C550" s="7"/>
      <c r="D550" s="7"/>
      <c r="E550" s="7"/>
      <c r="F550" s="7"/>
      <c r="G550" s="7"/>
      <c r="H550" s="500"/>
      <c r="I550" s="500"/>
      <c r="J550" s="500"/>
      <c r="K550" s="500"/>
      <c r="L550" s="500"/>
      <c r="M550" s="24"/>
      <c r="N550" s="24"/>
      <c r="O550" s="24"/>
      <c r="P550" s="24"/>
      <c r="Q550" s="24"/>
      <c r="R550" s="452" t="s">
        <v>579</v>
      </c>
      <c r="S550" s="528">
        <f>IF(SHSashH&gt;11.189,EVEN(SHSashH+_BT_HtOffset),INT(SHSashH+_Small_Sash_BT_HtOffset))</f>
        <v>34</v>
      </c>
      <c r="T550" s="3"/>
      <c r="U550" s="3"/>
      <c r="V550" s="1552" t="s">
        <v>2142</v>
      </c>
      <c r="W550" s="3"/>
      <c r="X550" s="3"/>
      <c r="Y550" s="3"/>
      <c r="Z550" s="3"/>
      <c r="AA550" s="3"/>
      <c r="AB550" s="3"/>
      <c r="AC550" s="680"/>
      <c r="AD550" s="680"/>
      <c r="AE550" s="680"/>
      <c r="AF550" s="5"/>
      <c r="AG550" s="5"/>
      <c r="AH550" s="5"/>
      <c r="AI550" s="478"/>
      <c r="AJ550" s="9"/>
      <c r="AK550" s="9"/>
      <c r="AL550" s="9"/>
      <c r="AM550" s="9"/>
      <c r="AN550" s="3"/>
      <c r="AO550" s="3"/>
      <c r="AP550" s="3"/>
      <c r="AQ550" s="3"/>
      <c r="AR550" s="3"/>
      <c r="AS550" s="3"/>
      <c r="AT550" s="3"/>
      <c r="AU550" s="3"/>
      <c r="AV550" s="3"/>
      <c r="AW550" s="3"/>
      <c r="AX550" s="3"/>
      <c r="AY550" s="3"/>
      <c r="AZ550" s="139"/>
      <c r="BA550" s="139"/>
      <c r="BB550" s="139"/>
      <c r="BC550" s="139"/>
      <c r="BD550" s="139"/>
      <c r="BE550" s="3"/>
    </row>
    <row r="551" spans="1:57" ht="15" customHeight="1" x14ac:dyDescent="0.4">
      <c r="A551" s="3"/>
      <c r="B551" s="36"/>
      <c r="C551" s="7"/>
      <c r="D551" s="7"/>
      <c r="E551" s="7"/>
      <c r="F551" s="7"/>
      <c r="G551" s="7"/>
      <c r="H551" s="500"/>
      <c r="I551" s="500"/>
      <c r="J551" s="500"/>
      <c r="K551" s="500"/>
      <c r="L551" s="500"/>
      <c r="M551" s="24"/>
      <c r="N551" s="24"/>
      <c r="O551" s="24"/>
      <c r="P551" s="24"/>
      <c r="Q551" s="24"/>
      <c r="R551" s="452"/>
      <c r="S551" s="376"/>
      <c r="T551" s="3"/>
      <c r="U551" s="3"/>
      <c r="V551" s="3"/>
      <c r="W551" s="1555">
        <f>SHSashH</f>
        <v>36</v>
      </c>
      <c r="X551" s="3"/>
      <c r="Y551" s="1556">
        <f>_BT_HtOffset</f>
        <v>-3.1880000000000002</v>
      </c>
      <c r="Z551" s="1557"/>
      <c r="AA551" s="1557"/>
      <c r="AB551" s="3"/>
      <c r="AC551" s="3"/>
      <c r="AD551" s="1554" t="s">
        <v>2143</v>
      </c>
      <c r="AE551" s="1553">
        <f>_Small_Sash_BT_HtOffset</f>
        <v>-1.1879999999999999</v>
      </c>
      <c r="AF551" s="5"/>
      <c r="AG551" s="5"/>
      <c r="AH551" s="5"/>
      <c r="AI551" s="478"/>
      <c r="AJ551" s="9"/>
      <c r="AK551" s="9"/>
      <c r="AL551" s="9"/>
      <c r="AM551" s="9"/>
      <c r="AN551" s="3"/>
      <c r="AO551" s="3"/>
      <c r="AP551" s="3"/>
      <c r="AQ551" s="3"/>
      <c r="AR551" s="3"/>
      <c r="AS551" s="3"/>
      <c r="AT551" s="3"/>
      <c r="AU551" s="3"/>
      <c r="AV551" s="3"/>
      <c r="AW551" s="3"/>
      <c r="AX551" s="3"/>
      <c r="AY551" s="3"/>
      <c r="AZ551" s="139"/>
      <c r="BA551" s="139"/>
      <c r="BB551" s="139"/>
      <c r="BC551" s="139"/>
      <c r="BD551" s="139"/>
      <c r="BE551" s="3"/>
    </row>
    <row r="552" spans="1:57" ht="15" customHeight="1" thickBot="1" x14ac:dyDescent="0.45">
      <c r="A552" s="3"/>
      <c r="B552" s="36"/>
      <c r="C552" s="7"/>
      <c r="D552" s="7"/>
      <c r="E552" s="7"/>
      <c r="F552" s="7"/>
      <c r="G552" s="7"/>
      <c r="H552" s="500"/>
      <c r="I552" s="500"/>
      <c r="J552" s="500"/>
      <c r="K552" s="500"/>
      <c r="L552" s="500"/>
      <c r="M552" s="24"/>
      <c r="N552" s="24"/>
      <c r="O552" s="24"/>
      <c r="P552" s="24"/>
      <c r="Q552" s="24"/>
      <c r="R552" s="452" t="s">
        <v>580</v>
      </c>
      <c r="S552" s="1568">
        <f>SHSashWeight+_Coil_WtAdder</f>
        <v>28.233525963333335</v>
      </c>
      <c r="T552" s="3"/>
      <c r="U552" s="678"/>
      <c r="V552" s="7"/>
      <c r="W552" s="3"/>
      <c r="X552" s="3"/>
      <c r="Y552" s="3"/>
      <c r="Z552" s="3"/>
      <c r="AA552" s="3"/>
      <c r="AB552" s="3"/>
      <c r="AC552" s="3"/>
      <c r="AD552" s="680"/>
      <c r="AE552" s="680"/>
      <c r="AF552" s="5"/>
      <c r="AG552" s="5"/>
      <c r="AH552" s="5"/>
      <c r="AI552" s="478"/>
      <c r="AJ552" s="9"/>
      <c r="AK552" s="9"/>
      <c r="AL552" s="9"/>
      <c r="AM552" s="9"/>
      <c r="AN552" s="889"/>
      <c r="AO552" s="889"/>
      <c r="AP552" s="889"/>
      <c r="AQ552" s="889"/>
      <c r="AR552" s="889"/>
      <c r="AS552" s="889"/>
      <c r="AT552" s="889"/>
      <c r="AU552" s="889"/>
      <c r="AV552" s="889"/>
      <c r="AW552" s="889"/>
      <c r="AX552" s="889"/>
      <c r="AY552" s="889"/>
      <c r="AZ552" s="139"/>
      <c r="BA552" s="139"/>
      <c r="BB552" s="139"/>
      <c r="BC552" s="139"/>
      <c r="BD552" s="139"/>
      <c r="BE552" s="3"/>
    </row>
    <row r="553" spans="1:57" ht="15" customHeight="1" x14ac:dyDescent="0.4">
      <c r="A553" s="3"/>
      <c r="B553" s="181" t="s">
        <v>581</v>
      </c>
      <c r="C553" s="173"/>
      <c r="D553" s="138"/>
      <c r="E553" s="173"/>
      <c r="F553" s="173"/>
      <c r="G553" s="173"/>
      <c r="H553" s="448"/>
      <c r="I553" s="448"/>
      <c r="J553" s="448"/>
      <c r="K553" s="448"/>
      <c r="L553" s="448"/>
      <c r="M553" s="178"/>
      <c r="N553" s="178"/>
      <c r="O553" s="178"/>
      <c r="P553" s="178"/>
      <c r="Q553" s="178"/>
      <c r="R553" s="448"/>
      <c r="S553" s="5"/>
      <c r="T553" s="448"/>
      <c r="U553" s="448"/>
      <c r="V553" s="448" t="s">
        <v>582</v>
      </c>
      <c r="W553" s="173"/>
      <c r="X553" s="173"/>
      <c r="Y553" s="448"/>
      <c r="Z553" s="448"/>
      <c r="AA553" s="448"/>
      <c r="AB553" s="448"/>
      <c r="AC553" s="116"/>
      <c r="AD553" s="448"/>
      <c r="AE553" s="178"/>
      <c r="AF553" s="448"/>
      <c r="AG553" s="448"/>
      <c r="AH553" s="448"/>
      <c r="AI553" s="676"/>
      <c r="AJ553" s="677"/>
      <c r="AK553" s="677"/>
      <c r="AL553" s="677"/>
      <c r="AM553" s="677"/>
      <c r="AN553" s="3" t="s">
        <v>81</v>
      </c>
      <c r="AO553" s="3" t="s">
        <v>81</v>
      </c>
      <c r="AP553" s="3" t="s">
        <v>81</v>
      </c>
      <c r="AQ553" s="3" t="s">
        <v>81</v>
      </c>
      <c r="AR553" s="3" t="s">
        <v>81</v>
      </c>
      <c r="AS553" s="3" t="s">
        <v>81</v>
      </c>
      <c r="AT553" s="3" t="s">
        <v>81</v>
      </c>
      <c r="AU553" s="3" t="s">
        <v>92</v>
      </c>
      <c r="AV553" s="3" t="s">
        <v>92</v>
      </c>
      <c r="AW553" s="3" t="s">
        <v>92</v>
      </c>
      <c r="AX553" s="1414" t="s">
        <v>81</v>
      </c>
      <c r="AY553" s="3"/>
      <c r="AZ553" s="139"/>
      <c r="BA553" s="139"/>
      <c r="BB553" s="139"/>
      <c r="BC553" s="139"/>
      <c r="BD553" s="139"/>
      <c r="BE553" s="3"/>
    </row>
    <row r="554" spans="1:57" ht="16.2" x14ac:dyDescent="0.4">
      <c r="A554" s="3" t="s">
        <v>583</v>
      </c>
      <c r="B554" s="681"/>
      <c r="C554" s="494" t="s">
        <v>584</v>
      </c>
      <c r="D554" s="155"/>
      <c r="E554" s="155"/>
      <c r="F554" s="155"/>
      <c r="G554" s="7"/>
      <c r="H554" s="500"/>
      <c r="I554" s="3"/>
      <c r="J554" s="3"/>
      <c r="K554" s="3"/>
      <c r="L554" s="3"/>
      <c r="M554" s="5"/>
      <c r="N554" s="5"/>
      <c r="O554" s="5"/>
      <c r="P554" s="5"/>
      <c r="Q554" s="5"/>
      <c r="R554" s="3"/>
      <c r="S554" s="452" t="s">
        <v>2202</v>
      </c>
      <c r="T554" s="3" t="s">
        <v>385</v>
      </c>
      <c r="U554" s="3"/>
      <c r="V554" s="1414" t="str">
        <f>INDEX($Q$558:$Q$704,MATCH(TRUE,$V$558:$V$704,0))</f>
        <v>34C</v>
      </c>
      <c r="W554" s="3"/>
      <c r="X554" s="38"/>
      <c r="Y554" s="1413" t="str">
        <f>IF(V554&lt;&gt;"NoBal!",K558&amp;"-"&amp;V554,"No B&amp;T Balance will work!")</f>
        <v>253186-34C</v>
      </c>
      <c r="Z554" s="500"/>
      <c r="AA554" s="500"/>
      <c r="AB554" s="3"/>
      <c r="AC554" s="3">
        <v>45</v>
      </c>
      <c r="AD554" s="3">
        <v>2</v>
      </c>
      <c r="AE554" s="56">
        <f>AD554</f>
        <v>2</v>
      </c>
      <c r="AF554" s="3" t="s">
        <v>385</v>
      </c>
      <c r="AG554" s="38"/>
      <c r="AH554" s="38"/>
      <c r="AI554" s="51">
        <f>LOOKUP(V554,$Q$558:$Q$704,$AI$558:$AI$704)</f>
        <v>1.18</v>
      </c>
      <c r="AJ554" s="39"/>
      <c r="AK554" s="39"/>
      <c r="AL554" s="39"/>
      <c r="AM554" s="39">
        <f>AE$554*AI554+SUM(AJ554:AL554)</f>
        <v>2.36</v>
      </c>
      <c r="AN554" s="3" t="s">
        <v>81</v>
      </c>
      <c r="AO554" s="3" t="s">
        <v>81</v>
      </c>
      <c r="AP554" s="3" t="s">
        <v>81</v>
      </c>
      <c r="AQ554" s="3" t="s">
        <v>81</v>
      </c>
      <c r="AR554" s="3" t="s">
        <v>81</v>
      </c>
      <c r="AS554" s="3" t="s">
        <v>81</v>
      </c>
      <c r="AT554" s="3" t="s">
        <v>81</v>
      </c>
      <c r="AU554" s="3" t="s">
        <v>92</v>
      </c>
      <c r="AV554" s="3" t="s">
        <v>92</v>
      </c>
      <c r="AW554" s="3" t="s">
        <v>92</v>
      </c>
      <c r="AX554" s="1414" t="s">
        <v>81</v>
      </c>
      <c r="AY554" s="3"/>
      <c r="AZ554" s="139"/>
      <c r="BA554" s="139"/>
      <c r="BB554" s="139"/>
      <c r="BC554" s="139"/>
      <c r="BD554" s="139"/>
      <c r="BE554" s="3"/>
    </row>
    <row r="555" spans="1:57" ht="16.2" x14ac:dyDescent="0.4">
      <c r="A555" s="3"/>
      <c r="B555" s="681"/>
      <c r="C555" s="8"/>
      <c r="D555" s="155"/>
      <c r="E555" s="155"/>
      <c r="F555" s="155"/>
      <c r="G555" s="7"/>
      <c r="H555" s="500"/>
      <c r="I555" s="3"/>
      <c r="J555" s="3"/>
      <c r="K555" s="3"/>
      <c r="L555" s="3"/>
      <c r="M555" s="5"/>
      <c r="N555" s="5"/>
      <c r="O555" s="5"/>
      <c r="P555" s="5"/>
      <c r="Q555" s="5"/>
      <c r="R555" s="3"/>
      <c r="S555" s="56"/>
      <c r="T555" s="3"/>
      <c r="U555" s="3"/>
      <c r="V555" s="8"/>
      <c r="W555" s="3"/>
      <c r="X555" s="38"/>
      <c r="Y555" s="3" t="s">
        <v>2203</v>
      </c>
      <c r="Z555" s="3"/>
      <c r="AA555" s="3"/>
      <c r="AB555" s="3"/>
      <c r="AC555" s="3"/>
      <c r="AD555" s="3"/>
      <c r="AE555" s="5"/>
      <c r="AF555" s="3"/>
      <c r="AG555" s="38"/>
      <c r="AH555" s="38"/>
      <c r="AI555" s="51"/>
      <c r="AJ555" s="39"/>
      <c r="AK555" s="39"/>
      <c r="AL555" s="39"/>
      <c r="AM555" s="39"/>
      <c r="AN555" s="3" t="s">
        <v>81</v>
      </c>
      <c r="AO555" s="3" t="s">
        <v>81</v>
      </c>
      <c r="AP555" s="3" t="s">
        <v>81</v>
      </c>
      <c r="AQ555" s="3" t="s">
        <v>81</v>
      </c>
      <c r="AR555" s="3" t="s">
        <v>81</v>
      </c>
      <c r="AS555" s="3" t="s">
        <v>81</v>
      </c>
      <c r="AT555" s="3" t="s">
        <v>81</v>
      </c>
      <c r="AU555" s="3" t="s">
        <v>92</v>
      </c>
      <c r="AV555" s="3" t="s">
        <v>92</v>
      </c>
      <c r="AW555" s="3" t="s">
        <v>92</v>
      </c>
      <c r="AX555" s="1414" t="s">
        <v>81</v>
      </c>
      <c r="AY555" s="3"/>
      <c r="AZ555" s="139"/>
      <c r="BA555" s="139"/>
      <c r="BB555" s="139"/>
      <c r="BC555" s="139"/>
      <c r="BD555" s="139"/>
      <c r="BE555" s="3"/>
    </row>
    <row r="556" spans="1:57" ht="15.75" customHeight="1" x14ac:dyDescent="0.4">
      <c r="A556" s="290"/>
      <c r="B556" s="1200"/>
      <c r="C556" s="290"/>
      <c r="D556" s="290"/>
      <c r="E556" s="290"/>
      <c r="F556" s="290"/>
      <c r="G556" s="290"/>
      <c r="H556" s="290"/>
      <c r="I556" s="290"/>
      <c r="J556" s="290"/>
      <c r="K556" s="290"/>
      <c r="L556" s="290"/>
      <c r="M556" s="290"/>
      <c r="N556" s="290"/>
      <c r="O556" s="290"/>
      <c r="P556" s="290"/>
      <c r="Q556" s="682"/>
      <c r="R556" s="203" t="s">
        <v>585</v>
      </c>
      <c r="S556" s="396" t="s">
        <v>586</v>
      </c>
      <c r="T556" s="396" t="s">
        <v>587</v>
      </c>
      <c r="U556" s="682"/>
      <c r="V556" s="87" t="s">
        <v>2199</v>
      </c>
      <c r="W556" s="87"/>
      <c r="X556" s="396" t="s">
        <v>2201</v>
      </c>
      <c r="Y556" s="290"/>
      <c r="Z556" s="290"/>
      <c r="AA556" s="290"/>
      <c r="AB556" s="87"/>
      <c r="AC556" s="290"/>
      <c r="AD556" s="290"/>
      <c r="AE556" s="290"/>
      <c r="AF556" s="290"/>
      <c r="AG556" s="290"/>
      <c r="AH556" s="290"/>
      <c r="AI556" s="1173"/>
      <c r="AJ556" s="290"/>
      <c r="AK556" s="290"/>
      <c r="AL556" s="290"/>
      <c r="AM556" s="290"/>
      <c r="AN556" s="3" t="s">
        <v>81</v>
      </c>
      <c r="AO556" s="3" t="s">
        <v>81</v>
      </c>
      <c r="AP556" s="3" t="s">
        <v>81</v>
      </c>
      <c r="AQ556" s="3" t="s">
        <v>81</v>
      </c>
      <c r="AR556" s="3" t="s">
        <v>81</v>
      </c>
      <c r="AS556" s="3" t="s">
        <v>81</v>
      </c>
      <c r="AT556" s="3" t="s">
        <v>81</v>
      </c>
      <c r="AU556" s="3" t="s">
        <v>92</v>
      </c>
      <c r="AV556" s="3" t="s">
        <v>92</v>
      </c>
      <c r="AW556" s="3" t="s">
        <v>92</v>
      </c>
      <c r="AX556" s="1414" t="s">
        <v>81</v>
      </c>
      <c r="AY556" s="3"/>
      <c r="AZ556" s="290"/>
      <c r="BA556" s="290"/>
      <c r="BB556" s="290"/>
      <c r="BC556" s="290"/>
      <c r="BD556" s="290"/>
      <c r="BE556" s="86"/>
    </row>
    <row r="557" spans="1:57" ht="16.2" x14ac:dyDescent="0.4">
      <c r="A557" s="86"/>
      <c r="B557" s="1200"/>
      <c r="C557" s="4"/>
      <c r="D557" s="290"/>
      <c r="E557" s="290"/>
      <c r="F557" s="290"/>
      <c r="G557" s="290"/>
      <c r="H557" s="290"/>
      <c r="I557" s="290"/>
      <c r="J557" s="290"/>
      <c r="K557" s="290"/>
      <c r="L557" s="1495" t="s">
        <v>588</v>
      </c>
      <c r="M557" s="683"/>
      <c r="N557" s="290"/>
      <c r="O557" s="290"/>
      <c r="P557" s="290"/>
      <c r="Q557" s="979" t="s">
        <v>589</v>
      </c>
      <c r="R557" s="979" t="s">
        <v>590</v>
      </c>
      <c r="S557" s="980" t="s">
        <v>591</v>
      </c>
      <c r="T557" s="980" t="s">
        <v>591</v>
      </c>
      <c r="U557" s="1201"/>
      <c r="V557" s="981" t="s">
        <v>2200</v>
      </c>
      <c r="W557" s="978"/>
      <c r="X557" s="980" t="s">
        <v>591</v>
      </c>
      <c r="Y557" s="1201"/>
      <c r="Z557" s="1201"/>
      <c r="AA557" s="1201"/>
      <c r="AB557" s="981"/>
      <c r="AC557" s="1201"/>
      <c r="AD557" s="1201"/>
      <c r="AE557" s="1201"/>
      <c r="AF557" s="1201"/>
      <c r="AG557" s="1201"/>
      <c r="AH557" s="1201"/>
      <c r="AI557" s="977"/>
      <c r="AJ557" s="978"/>
      <c r="AK557" s="978"/>
      <c r="AL557" s="978"/>
      <c r="AM557" s="1201"/>
      <c r="AN557" s="577" t="s">
        <v>81</v>
      </c>
      <c r="AO557" s="577" t="s">
        <v>81</v>
      </c>
      <c r="AP557" s="577" t="s">
        <v>81</v>
      </c>
      <c r="AQ557" s="577" t="s">
        <v>81</v>
      </c>
      <c r="AR557" s="577" t="s">
        <v>81</v>
      </c>
      <c r="AS557" s="577" t="s">
        <v>81</v>
      </c>
      <c r="AT557" s="577" t="s">
        <v>81</v>
      </c>
      <c r="AU557" s="577" t="s">
        <v>92</v>
      </c>
      <c r="AV557" s="577" t="s">
        <v>92</v>
      </c>
      <c r="AW557" s="577" t="s">
        <v>92</v>
      </c>
      <c r="AX557" s="1881" t="s">
        <v>81</v>
      </c>
      <c r="AY557" s="577"/>
      <c r="AZ557" s="86"/>
      <c r="BA557" s="86"/>
      <c r="BB557" s="86"/>
      <c r="BC557" s="86"/>
      <c r="BD557" s="86"/>
      <c r="BE557" s="86"/>
    </row>
    <row r="558" spans="1:57" ht="15" customHeight="1" x14ac:dyDescent="0.4">
      <c r="A558" s="86"/>
      <c r="B558" s="1200"/>
      <c r="C558" s="290"/>
      <c r="D558" s="290"/>
      <c r="E558" s="290"/>
      <c r="F558" s="290"/>
      <c r="G558" s="290"/>
      <c r="H558" s="290"/>
      <c r="I558" s="290"/>
      <c r="J558" s="290"/>
      <c r="K558" s="2005">
        <v>253186</v>
      </c>
      <c r="L558" s="2005"/>
      <c r="M558" s="684" t="s">
        <v>592</v>
      </c>
      <c r="N558" s="290"/>
      <c r="O558" s="290"/>
      <c r="P558" s="290"/>
      <c r="Q558" s="865" t="s">
        <v>593</v>
      </c>
      <c r="R558" s="866">
        <v>8</v>
      </c>
      <c r="S558" s="866">
        <v>0</v>
      </c>
      <c r="T558" s="866">
        <v>6</v>
      </c>
      <c r="U558" s="290"/>
      <c r="V558" s="685" t="b">
        <f t="shared" ref="V558:V593" si="73">IF(AND(SHBTAdjSashWeight&gt;=$S558,SHBTAdjSashWeight&lt;=$T558,$S$550=$R558),TRUE,FALSE)</f>
        <v>0</v>
      </c>
      <c r="W558" s="685"/>
      <c r="X558" s="686">
        <f t="shared" ref="X558:X597" si="74">AVERAGE(S558:T558)</f>
        <v>3</v>
      </c>
      <c r="Y558" s="290">
        <f>IF(X558&gt;X559,"",X559-X558)</f>
        <v>5</v>
      </c>
      <c r="Z558" s="290"/>
      <c r="AA558" s="290"/>
      <c r="AB558" s="354"/>
      <c r="AC558" s="290"/>
      <c r="AD558" s="290"/>
      <c r="AE558" s="290"/>
      <c r="AF558" s="290"/>
      <c r="AG558" s="290"/>
      <c r="AH558" s="290"/>
      <c r="AI558" s="353">
        <v>0.81100000000000005</v>
      </c>
      <c r="AJ558" s="39"/>
      <c r="AK558" s="39"/>
      <c r="AL558" s="39"/>
      <c r="AM558" s="289" t="s">
        <v>92</v>
      </c>
      <c r="AN558" s="289" t="s">
        <v>92</v>
      </c>
      <c r="AO558" s="289" t="s">
        <v>92</v>
      </c>
      <c r="AP558" s="289" t="s">
        <v>92</v>
      </c>
      <c r="AQ558" s="289" t="s">
        <v>92</v>
      </c>
      <c r="AR558" s="289" t="s">
        <v>92</v>
      </c>
      <c r="AS558" s="289" t="s">
        <v>92</v>
      </c>
      <c r="AT558" s="289" t="s">
        <v>92</v>
      </c>
      <c r="AU558" s="289" t="s">
        <v>92</v>
      </c>
      <c r="AV558" s="289" t="s">
        <v>92</v>
      </c>
      <c r="AW558" s="289" t="s">
        <v>92</v>
      </c>
      <c r="AX558" s="1885" t="s">
        <v>92</v>
      </c>
      <c r="AY558" s="289"/>
      <c r="AZ558" s="86"/>
      <c r="BA558" s="86"/>
      <c r="BB558" s="86"/>
      <c r="BC558" s="86"/>
      <c r="BD558" s="86"/>
      <c r="BE558" s="86"/>
    </row>
    <row r="559" spans="1:57" ht="15" customHeight="1" x14ac:dyDescent="0.4">
      <c r="A559" s="86"/>
      <c r="B559" s="1200"/>
      <c r="C559" s="290"/>
      <c r="D559" s="290"/>
      <c r="E559" s="290"/>
      <c r="F559" s="290"/>
      <c r="G559" s="290"/>
      <c r="H559" s="290"/>
      <c r="I559" s="290"/>
      <c r="J559" s="290"/>
      <c r="K559" s="290"/>
      <c r="L559" s="290"/>
      <c r="M559" s="290"/>
      <c r="N559" s="290"/>
      <c r="O559" s="290"/>
      <c r="P559" s="290"/>
      <c r="Q559" s="865" t="s">
        <v>594</v>
      </c>
      <c r="R559" s="866">
        <v>8</v>
      </c>
      <c r="S559" s="866">
        <v>6</v>
      </c>
      <c r="T559" s="866">
        <v>10</v>
      </c>
      <c r="U559" s="290"/>
      <c r="V559" s="685" t="b">
        <f t="shared" si="73"/>
        <v>0</v>
      </c>
      <c r="W559" s="685"/>
      <c r="X559" s="686">
        <f t="shared" si="74"/>
        <v>8</v>
      </c>
      <c r="Y559" s="290">
        <f t="shared" ref="Y559:Y597" si="75">IF(X559&gt;X560,"",X560-X559)</f>
        <v>3.5</v>
      </c>
      <c r="Z559" s="290"/>
      <c r="AA559" s="290"/>
      <c r="AB559" s="354"/>
      <c r="AC559" s="290"/>
      <c r="AD559" s="290"/>
      <c r="AE559" s="290"/>
      <c r="AF559" s="290"/>
      <c r="AG559" s="290"/>
      <c r="AH559" s="290"/>
      <c r="AI559" s="353">
        <v>0.83</v>
      </c>
      <c r="AJ559" s="39"/>
      <c r="AK559" s="39"/>
      <c r="AL559" s="39"/>
      <c r="AM559" s="289" t="s">
        <v>92</v>
      </c>
      <c r="AN559" s="289" t="s">
        <v>92</v>
      </c>
      <c r="AO559" s="289" t="s">
        <v>92</v>
      </c>
      <c r="AP559" s="289" t="s">
        <v>92</v>
      </c>
      <c r="AQ559" s="289" t="s">
        <v>92</v>
      </c>
      <c r="AR559" s="289" t="s">
        <v>92</v>
      </c>
      <c r="AS559" s="289" t="s">
        <v>92</v>
      </c>
      <c r="AT559" s="289" t="s">
        <v>92</v>
      </c>
      <c r="AU559" s="289" t="s">
        <v>92</v>
      </c>
      <c r="AV559" s="289" t="s">
        <v>92</v>
      </c>
      <c r="AW559" s="289" t="s">
        <v>92</v>
      </c>
      <c r="AX559" s="1885" t="s">
        <v>92</v>
      </c>
      <c r="AY559" s="289"/>
      <c r="AZ559" s="86"/>
      <c r="BA559" s="86"/>
      <c r="BB559" s="86"/>
      <c r="BC559" s="86"/>
      <c r="BD559" s="86"/>
      <c r="BE559" s="86"/>
    </row>
    <row r="560" spans="1:57" ht="15" customHeight="1" x14ac:dyDescent="0.4">
      <c r="A560" s="86"/>
      <c r="B560" s="1200"/>
      <c r="C560" s="290"/>
      <c r="D560" s="290"/>
      <c r="E560" s="290"/>
      <c r="F560" s="290"/>
      <c r="G560" s="290"/>
      <c r="H560" s="290"/>
      <c r="I560" s="290"/>
      <c r="J560" s="290"/>
      <c r="K560" s="290"/>
      <c r="L560" s="290"/>
      <c r="M560" s="290"/>
      <c r="N560" s="290"/>
      <c r="O560" s="290"/>
      <c r="P560" s="290"/>
      <c r="Q560" s="865" t="s">
        <v>595</v>
      </c>
      <c r="R560" s="866">
        <v>8</v>
      </c>
      <c r="S560" s="866">
        <v>10</v>
      </c>
      <c r="T560" s="866">
        <v>13</v>
      </c>
      <c r="U560" s="290"/>
      <c r="V560" s="685" t="b">
        <f t="shared" si="73"/>
        <v>0</v>
      </c>
      <c r="W560" s="685"/>
      <c r="X560" s="686">
        <f t="shared" si="74"/>
        <v>11.5</v>
      </c>
      <c r="Y560" s="290" t="str">
        <f t="shared" si="75"/>
        <v/>
      </c>
      <c r="Z560" s="290"/>
      <c r="AA560" s="290"/>
      <c r="AB560" s="354"/>
      <c r="AC560" s="290"/>
      <c r="AD560" s="290"/>
      <c r="AE560" s="290"/>
      <c r="AF560" s="290"/>
      <c r="AG560" s="290"/>
      <c r="AH560" s="290"/>
      <c r="AI560" s="353">
        <v>1.3</v>
      </c>
      <c r="AJ560" s="39"/>
      <c r="AK560" s="39"/>
      <c r="AL560" s="39"/>
      <c r="AM560" s="289" t="s">
        <v>92</v>
      </c>
      <c r="AN560" s="289" t="s">
        <v>92</v>
      </c>
      <c r="AO560" s="289" t="s">
        <v>92</v>
      </c>
      <c r="AP560" s="289" t="s">
        <v>92</v>
      </c>
      <c r="AQ560" s="289" t="s">
        <v>92</v>
      </c>
      <c r="AR560" s="289" t="s">
        <v>92</v>
      </c>
      <c r="AS560" s="289" t="s">
        <v>92</v>
      </c>
      <c r="AT560" s="289" t="s">
        <v>92</v>
      </c>
      <c r="AU560" s="289" t="s">
        <v>92</v>
      </c>
      <c r="AV560" s="289" t="s">
        <v>92</v>
      </c>
      <c r="AW560" s="289" t="s">
        <v>92</v>
      </c>
      <c r="AX560" s="1885" t="s">
        <v>92</v>
      </c>
      <c r="AY560" s="289"/>
      <c r="AZ560" s="86"/>
      <c r="BA560" s="86"/>
      <c r="BB560" s="86"/>
      <c r="BC560" s="86"/>
      <c r="BD560" s="86"/>
      <c r="BE560" s="86"/>
    </row>
    <row r="561" spans="1:57" ht="15" customHeight="1" x14ac:dyDescent="0.4">
      <c r="A561" s="86"/>
      <c r="B561" s="1200"/>
      <c r="C561" s="290"/>
      <c r="D561" s="290"/>
      <c r="E561" s="290"/>
      <c r="F561" s="290"/>
      <c r="G561" s="290"/>
      <c r="H561" s="290"/>
      <c r="I561" s="290"/>
      <c r="J561" s="290"/>
      <c r="K561" s="290"/>
      <c r="L561" s="290"/>
      <c r="M561" s="290"/>
      <c r="N561" s="290"/>
      <c r="O561" s="290"/>
      <c r="P561" s="290"/>
      <c r="Q561" s="865" t="s">
        <v>596</v>
      </c>
      <c r="R561" s="866">
        <v>9</v>
      </c>
      <c r="S561" s="866">
        <v>0</v>
      </c>
      <c r="T561" s="866">
        <v>6</v>
      </c>
      <c r="U561" s="290"/>
      <c r="V561" s="685" t="b">
        <f t="shared" si="73"/>
        <v>0</v>
      </c>
      <c r="W561" s="685"/>
      <c r="X561" s="686">
        <f t="shared" si="74"/>
        <v>3</v>
      </c>
      <c r="Y561" s="290">
        <f t="shared" si="75"/>
        <v>5</v>
      </c>
      <c r="Z561" s="290"/>
      <c r="AA561" s="290"/>
      <c r="AB561" s="354"/>
      <c r="AC561" s="290"/>
      <c r="AD561" s="290"/>
      <c r="AE561" s="290"/>
      <c r="AF561" s="290"/>
      <c r="AG561" s="290"/>
      <c r="AH561" s="290"/>
      <c r="AI561" s="353">
        <v>0.81100000000000005</v>
      </c>
      <c r="AJ561" s="39"/>
      <c r="AK561" s="39"/>
      <c r="AL561" s="39"/>
      <c r="AM561" s="289" t="s">
        <v>92</v>
      </c>
      <c r="AN561" s="289" t="s">
        <v>92</v>
      </c>
      <c r="AO561" s="289" t="s">
        <v>92</v>
      </c>
      <c r="AP561" s="289" t="s">
        <v>92</v>
      </c>
      <c r="AQ561" s="289" t="s">
        <v>92</v>
      </c>
      <c r="AR561" s="289" t="s">
        <v>92</v>
      </c>
      <c r="AS561" s="289" t="s">
        <v>92</v>
      </c>
      <c r="AT561" s="289" t="s">
        <v>92</v>
      </c>
      <c r="AU561" s="289" t="s">
        <v>92</v>
      </c>
      <c r="AV561" s="289" t="s">
        <v>92</v>
      </c>
      <c r="AW561" s="289" t="s">
        <v>92</v>
      </c>
      <c r="AX561" s="1885" t="s">
        <v>92</v>
      </c>
      <c r="AY561" s="289"/>
      <c r="AZ561" s="86"/>
      <c r="BA561" s="86"/>
      <c r="BB561" s="86"/>
      <c r="BC561" s="86"/>
      <c r="BD561" s="86"/>
      <c r="BE561" s="86"/>
    </row>
    <row r="562" spans="1:57" ht="15" customHeight="1" x14ac:dyDescent="0.4">
      <c r="A562" s="86"/>
      <c r="B562" s="1200"/>
      <c r="C562" s="290"/>
      <c r="D562" s="290"/>
      <c r="E562" s="290"/>
      <c r="F562" s="290"/>
      <c r="G562" s="290"/>
      <c r="H562" s="290"/>
      <c r="I562" s="290"/>
      <c r="J562" s="290"/>
      <c r="K562" s="290"/>
      <c r="L562" s="290"/>
      <c r="M562" s="290"/>
      <c r="N562" s="290"/>
      <c r="O562" s="290"/>
      <c r="P562" s="290"/>
      <c r="Q562" s="865" t="s">
        <v>597</v>
      </c>
      <c r="R562" s="866">
        <v>9</v>
      </c>
      <c r="S562" s="866">
        <v>6</v>
      </c>
      <c r="T562" s="866">
        <v>10</v>
      </c>
      <c r="U562" s="290"/>
      <c r="V562" s="685" t="b">
        <f t="shared" si="73"/>
        <v>0</v>
      </c>
      <c r="W562" s="685"/>
      <c r="X562" s="686">
        <f t="shared" si="74"/>
        <v>8</v>
      </c>
      <c r="Y562" s="290">
        <f t="shared" si="75"/>
        <v>3.5</v>
      </c>
      <c r="Z562" s="290"/>
      <c r="AA562" s="290"/>
      <c r="AB562" s="354"/>
      <c r="AC562" s="290"/>
      <c r="AD562" s="290"/>
      <c r="AE562" s="290"/>
      <c r="AF562" s="290"/>
      <c r="AG562" s="290"/>
      <c r="AH562" s="290"/>
      <c r="AI562" s="353">
        <v>0.81100000000000005</v>
      </c>
      <c r="AJ562" s="39"/>
      <c r="AK562" s="39"/>
      <c r="AL562" s="39"/>
      <c r="AM562" s="289" t="s">
        <v>92</v>
      </c>
      <c r="AN562" s="289" t="s">
        <v>92</v>
      </c>
      <c r="AO562" s="289" t="s">
        <v>92</v>
      </c>
      <c r="AP562" s="289" t="s">
        <v>92</v>
      </c>
      <c r="AQ562" s="289" t="s">
        <v>92</v>
      </c>
      <c r="AR562" s="289" t="s">
        <v>92</v>
      </c>
      <c r="AS562" s="289" t="s">
        <v>92</v>
      </c>
      <c r="AT562" s="289" t="s">
        <v>92</v>
      </c>
      <c r="AU562" s="289" t="s">
        <v>92</v>
      </c>
      <c r="AV562" s="289" t="s">
        <v>92</v>
      </c>
      <c r="AW562" s="289" t="s">
        <v>92</v>
      </c>
      <c r="AX562" s="1885" t="s">
        <v>92</v>
      </c>
      <c r="AY562" s="289"/>
      <c r="AZ562" s="86"/>
      <c r="BA562" s="86"/>
      <c r="BB562" s="86"/>
      <c r="BC562" s="86"/>
      <c r="BD562" s="86"/>
      <c r="BE562" s="86"/>
    </row>
    <row r="563" spans="1:57" ht="15" customHeight="1" x14ac:dyDescent="0.4">
      <c r="A563" s="86"/>
      <c r="B563" s="1200"/>
      <c r="C563" s="290"/>
      <c r="D563" s="290"/>
      <c r="E563" s="290"/>
      <c r="F563" s="290"/>
      <c r="G563" s="290"/>
      <c r="H563" s="290"/>
      <c r="I563" s="290"/>
      <c r="J563" s="290"/>
      <c r="K563" s="290"/>
      <c r="L563" s="290"/>
      <c r="M563" s="290"/>
      <c r="N563" s="290"/>
      <c r="O563" s="290"/>
      <c r="P563" s="290"/>
      <c r="Q563" s="865" t="s">
        <v>598</v>
      </c>
      <c r="R563" s="866">
        <v>9</v>
      </c>
      <c r="S563" s="866">
        <v>10</v>
      </c>
      <c r="T563" s="866">
        <v>13</v>
      </c>
      <c r="U563" s="290"/>
      <c r="V563" s="685" t="b">
        <f t="shared" si="73"/>
        <v>0</v>
      </c>
      <c r="W563" s="685"/>
      <c r="X563" s="686">
        <f t="shared" si="74"/>
        <v>11.5</v>
      </c>
      <c r="Y563" s="290">
        <f t="shared" si="75"/>
        <v>2.5</v>
      </c>
      <c r="Z563" s="290"/>
      <c r="AA563" s="290"/>
      <c r="AB563" s="354"/>
      <c r="AC563" s="290"/>
      <c r="AD563" s="290"/>
      <c r="AE563" s="290"/>
      <c r="AF563" s="290"/>
      <c r="AG563" s="290"/>
      <c r="AH563" s="290"/>
      <c r="AI563" s="353">
        <v>0.81100000000000005</v>
      </c>
      <c r="AJ563" s="39"/>
      <c r="AK563" s="39"/>
      <c r="AL563" s="39"/>
      <c r="AM563" s="289" t="s">
        <v>92</v>
      </c>
      <c r="AN563" s="289" t="s">
        <v>92</v>
      </c>
      <c r="AO563" s="289" t="s">
        <v>92</v>
      </c>
      <c r="AP563" s="289" t="s">
        <v>92</v>
      </c>
      <c r="AQ563" s="289" t="s">
        <v>92</v>
      </c>
      <c r="AR563" s="289" t="s">
        <v>92</v>
      </c>
      <c r="AS563" s="289" t="s">
        <v>92</v>
      </c>
      <c r="AT563" s="289" t="s">
        <v>92</v>
      </c>
      <c r="AU563" s="289" t="s">
        <v>92</v>
      </c>
      <c r="AV563" s="289" t="s">
        <v>92</v>
      </c>
      <c r="AW563" s="289" t="s">
        <v>92</v>
      </c>
      <c r="AX563" s="1885" t="s">
        <v>92</v>
      </c>
      <c r="AY563" s="289"/>
      <c r="AZ563" s="86"/>
      <c r="BA563" s="86"/>
      <c r="BB563" s="86"/>
      <c r="BC563" s="86"/>
      <c r="BD563" s="86"/>
      <c r="BE563" s="86"/>
    </row>
    <row r="564" spans="1:57" ht="15" customHeight="1" x14ac:dyDescent="0.4">
      <c r="A564" s="86"/>
      <c r="B564" s="1200"/>
      <c r="C564" s="290"/>
      <c r="D564" s="290"/>
      <c r="E564" s="290"/>
      <c r="F564" s="290"/>
      <c r="G564" s="290"/>
      <c r="H564" s="290"/>
      <c r="I564" s="290"/>
      <c r="J564" s="290"/>
      <c r="K564" s="290"/>
      <c r="L564" s="290"/>
      <c r="M564" s="290"/>
      <c r="N564" s="290"/>
      <c r="O564" s="290"/>
      <c r="P564" s="290"/>
      <c r="Q564" s="865" t="s">
        <v>599</v>
      </c>
      <c r="R564" s="866">
        <v>9</v>
      </c>
      <c r="S564" s="866">
        <v>13</v>
      </c>
      <c r="T564" s="866">
        <v>15</v>
      </c>
      <c r="U564" s="290"/>
      <c r="V564" s="685" t="b">
        <f t="shared" si="73"/>
        <v>0</v>
      </c>
      <c r="W564" s="685"/>
      <c r="X564" s="686">
        <f t="shared" si="74"/>
        <v>14</v>
      </c>
      <c r="Y564" s="290" t="str">
        <f t="shared" si="75"/>
        <v/>
      </c>
      <c r="Z564" s="290"/>
      <c r="AA564" s="290"/>
      <c r="AB564" s="354"/>
      <c r="AC564" s="290"/>
      <c r="AD564" s="290"/>
      <c r="AE564" s="290"/>
      <c r="AF564" s="290"/>
      <c r="AG564" s="290"/>
      <c r="AH564" s="290"/>
      <c r="AI564" s="353">
        <v>0.81100000000000005</v>
      </c>
      <c r="AJ564" s="39"/>
      <c r="AK564" s="39"/>
      <c r="AL564" s="39"/>
      <c r="AM564" s="289" t="s">
        <v>92</v>
      </c>
      <c r="AN564" s="289" t="s">
        <v>92</v>
      </c>
      <c r="AO564" s="289" t="s">
        <v>92</v>
      </c>
      <c r="AP564" s="289" t="s">
        <v>92</v>
      </c>
      <c r="AQ564" s="289" t="s">
        <v>92</v>
      </c>
      <c r="AR564" s="289" t="s">
        <v>92</v>
      </c>
      <c r="AS564" s="289" t="s">
        <v>92</v>
      </c>
      <c r="AT564" s="289" t="s">
        <v>92</v>
      </c>
      <c r="AU564" s="289" t="s">
        <v>92</v>
      </c>
      <c r="AV564" s="289" t="s">
        <v>92</v>
      </c>
      <c r="AW564" s="289" t="s">
        <v>92</v>
      </c>
      <c r="AX564" s="1885" t="s">
        <v>92</v>
      </c>
      <c r="AY564" s="289"/>
      <c r="AZ564" s="86"/>
      <c r="BA564" s="86"/>
      <c r="BB564" s="86"/>
      <c r="BC564" s="86"/>
      <c r="BD564" s="86"/>
      <c r="BE564" s="86"/>
    </row>
    <row r="565" spans="1:57" ht="15" customHeight="1" x14ac:dyDescent="0.4">
      <c r="A565" s="86"/>
      <c r="B565" s="1200"/>
      <c r="C565" s="290"/>
      <c r="D565" s="290"/>
      <c r="E565" s="290"/>
      <c r="F565" s="290"/>
      <c r="G565" s="290"/>
      <c r="H565" s="290"/>
      <c r="I565" s="290"/>
      <c r="J565" s="290"/>
      <c r="K565" s="290"/>
      <c r="L565" s="290"/>
      <c r="M565" s="290"/>
      <c r="N565" s="290"/>
      <c r="O565" s="290"/>
      <c r="P565" s="290"/>
      <c r="Q565" s="865" t="s">
        <v>600</v>
      </c>
      <c r="R565" s="866">
        <v>10</v>
      </c>
      <c r="S565" s="866">
        <v>0</v>
      </c>
      <c r="T565" s="866">
        <v>6</v>
      </c>
      <c r="U565" s="290"/>
      <c r="V565" s="685" t="b">
        <f t="shared" si="73"/>
        <v>0</v>
      </c>
      <c r="W565" s="685"/>
      <c r="X565" s="686">
        <f t="shared" si="74"/>
        <v>3</v>
      </c>
      <c r="Y565" s="290">
        <f t="shared" si="75"/>
        <v>5</v>
      </c>
      <c r="Z565" s="290"/>
      <c r="AA565" s="290"/>
      <c r="AB565" s="354"/>
      <c r="AC565" s="290"/>
      <c r="AD565" s="290"/>
      <c r="AE565" s="290"/>
      <c r="AF565" s="290"/>
      <c r="AG565" s="290"/>
      <c r="AH565" s="290"/>
      <c r="AI565" s="353">
        <v>0.81100000000000005</v>
      </c>
      <c r="AJ565" s="39"/>
      <c r="AK565" s="39"/>
      <c r="AL565" s="39"/>
      <c r="AM565" s="289" t="s">
        <v>92</v>
      </c>
      <c r="AN565" s="289" t="s">
        <v>92</v>
      </c>
      <c r="AO565" s="289" t="s">
        <v>92</v>
      </c>
      <c r="AP565" s="289" t="s">
        <v>92</v>
      </c>
      <c r="AQ565" s="289" t="s">
        <v>92</v>
      </c>
      <c r="AR565" s="289" t="s">
        <v>92</v>
      </c>
      <c r="AS565" s="289" t="s">
        <v>92</v>
      </c>
      <c r="AT565" s="289" t="s">
        <v>92</v>
      </c>
      <c r="AU565" s="289" t="s">
        <v>92</v>
      </c>
      <c r="AV565" s="289" t="s">
        <v>92</v>
      </c>
      <c r="AW565" s="289" t="s">
        <v>92</v>
      </c>
      <c r="AX565" s="1885" t="s">
        <v>92</v>
      </c>
      <c r="AY565" s="289"/>
      <c r="AZ565" s="86"/>
      <c r="BA565" s="86"/>
      <c r="BB565" s="86"/>
      <c r="BC565" s="86"/>
      <c r="BD565" s="86"/>
      <c r="BE565" s="86"/>
    </row>
    <row r="566" spans="1:57" ht="15" customHeight="1" x14ac:dyDescent="0.4">
      <c r="A566" s="86"/>
      <c r="B566" s="1200"/>
      <c r="C566" s="290"/>
      <c r="D566" s="290"/>
      <c r="E566" s="290"/>
      <c r="F566" s="290"/>
      <c r="G566" s="290"/>
      <c r="H566" s="290"/>
      <c r="I566" s="290"/>
      <c r="J566" s="290"/>
      <c r="K566" s="290"/>
      <c r="L566" s="290"/>
      <c r="M566" s="290"/>
      <c r="N566" s="290"/>
      <c r="O566" s="290"/>
      <c r="P566" s="290"/>
      <c r="Q566" s="865" t="s">
        <v>601</v>
      </c>
      <c r="R566" s="866">
        <v>10</v>
      </c>
      <c r="S566" s="866">
        <v>6</v>
      </c>
      <c r="T566" s="866">
        <v>10</v>
      </c>
      <c r="U566" s="290"/>
      <c r="V566" s="685" t="b">
        <f t="shared" si="73"/>
        <v>0</v>
      </c>
      <c r="W566" s="685"/>
      <c r="X566" s="686">
        <f t="shared" si="74"/>
        <v>8</v>
      </c>
      <c r="Y566" s="290">
        <f t="shared" si="75"/>
        <v>3.5</v>
      </c>
      <c r="Z566" s="290"/>
      <c r="AA566" s="290"/>
      <c r="AB566" s="354"/>
      <c r="AC566" s="290"/>
      <c r="AD566" s="290"/>
      <c r="AE566" s="290"/>
      <c r="AF566" s="290"/>
      <c r="AG566" s="290"/>
      <c r="AH566" s="290"/>
      <c r="AI566" s="353">
        <v>0.81100000000000005</v>
      </c>
      <c r="AJ566" s="39"/>
      <c r="AK566" s="39"/>
      <c r="AL566" s="39"/>
      <c r="AM566" s="289" t="s">
        <v>92</v>
      </c>
      <c r="AN566" s="289" t="s">
        <v>92</v>
      </c>
      <c r="AO566" s="289" t="s">
        <v>92</v>
      </c>
      <c r="AP566" s="289" t="s">
        <v>92</v>
      </c>
      <c r="AQ566" s="289" t="s">
        <v>92</v>
      </c>
      <c r="AR566" s="289" t="s">
        <v>92</v>
      </c>
      <c r="AS566" s="289" t="s">
        <v>92</v>
      </c>
      <c r="AT566" s="289" t="s">
        <v>92</v>
      </c>
      <c r="AU566" s="289" t="s">
        <v>92</v>
      </c>
      <c r="AV566" s="289" t="s">
        <v>92</v>
      </c>
      <c r="AW566" s="289" t="s">
        <v>92</v>
      </c>
      <c r="AX566" s="1885" t="s">
        <v>92</v>
      </c>
      <c r="AY566" s="289"/>
      <c r="AZ566" s="86"/>
      <c r="BA566" s="86"/>
      <c r="BB566" s="86"/>
      <c r="BC566" s="86"/>
      <c r="BD566" s="86"/>
      <c r="BE566" s="86"/>
    </row>
    <row r="567" spans="1:57" ht="15" customHeight="1" x14ac:dyDescent="0.4">
      <c r="A567" s="86"/>
      <c r="B567" s="1200"/>
      <c r="C567" s="290"/>
      <c r="D567" s="290"/>
      <c r="E567" s="290"/>
      <c r="F567" s="290"/>
      <c r="G567" s="290"/>
      <c r="H567" s="290"/>
      <c r="I567" s="290"/>
      <c r="J567" s="290"/>
      <c r="K567" s="290"/>
      <c r="L567" s="290"/>
      <c r="M567" s="290"/>
      <c r="N567" s="290"/>
      <c r="O567" s="290"/>
      <c r="P567" s="290"/>
      <c r="Q567" s="865" t="s">
        <v>602</v>
      </c>
      <c r="R567" s="866">
        <v>10</v>
      </c>
      <c r="S567" s="866">
        <v>10</v>
      </c>
      <c r="T567" s="866">
        <v>13</v>
      </c>
      <c r="U567" s="290"/>
      <c r="V567" s="685" t="b">
        <f t="shared" si="73"/>
        <v>0</v>
      </c>
      <c r="W567" s="685"/>
      <c r="X567" s="686">
        <f t="shared" si="74"/>
        <v>11.5</v>
      </c>
      <c r="Y567" s="290">
        <f t="shared" si="75"/>
        <v>3</v>
      </c>
      <c r="Z567" s="290"/>
      <c r="AA567" s="290"/>
      <c r="AB567" s="354"/>
      <c r="AC567" s="290"/>
      <c r="AD567" s="290"/>
      <c r="AE567" s="290"/>
      <c r="AF567" s="290"/>
      <c r="AG567" s="290"/>
      <c r="AH567" s="290"/>
      <c r="AI567" s="353">
        <v>0.79</v>
      </c>
      <c r="AJ567" s="39"/>
      <c r="AK567" s="39"/>
      <c r="AL567" s="39"/>
      <c r="AM567" s="289" t="s">
        <v>92</v>
      </c>
      <c r="AN567" s="289" t="s">
        <v>92</v>
      </c>
      <c r="AO567" s="289" t="s">
        <v>92</v>
      </c>
      <c r="AP567" s="289" t="s">
        <v>92</v>
      </c>
      <c r="AQ567" s="289" t="s">
        <v>92</v>
      </c>
      <c r="AR567" s="289" t="s">
        <v>92</v>
      </c>
      <c r="AS567" s="289" t="s">
        <v>92</v>
      </c>
      <c r="AT567" s="289" t="s">
        <v>92</v>
      </c>
      <c r="AU567" s="289" t="s">
        <v>92</v>
      </c>
      <c r="AV567" s="289" t="s">
        <v>92</v>
      </c>
      <c r="AW567" s="289" t="s">
        <v>92</v>
      </c>
      <c r="AX567" s="1885" t="s">
        <v>92</v>
      </c>
      <c r="AY567" s="289"/>
      <c r="AZ567" s="86"/>
      <c r="BA567" s="86"/>
      <c r="BB567" s="86"/>
      <c r="BC567" s="86"/>
      <c r="BD567" s="86"/>
      <c r="BE567" s="86"/>
    </row>
    <row r="568" spans="1:57" ht="15" customHeight="1" x14ac:dyDescent="0.4">
      <c r="A568" s="86"/>
      <c r="B568" s="1200"/>
      <c r="C568" s="290"/>
      <c r="D568" s="290"/>
      <c r="E568" s="290"/>
      <c r="F568" s="290"/>
      <c r="G568" s="290"/>
      <c r="H568" s="290"/>
      <c r="I568" s="290"/>
      <c r="J568" s="290"/>
      <c r="K568" s="290"/>
      <c r="L568" s="290"/>
      <c r="M568" s="290"/>
      <c r="N568" s="290"/>
      <c r="O568" s="290"/>
      <c r="P568" s="290"/>
      <c r="Q568" s="865" t="s">
        <v>603</v>
      </c>
      <c r="R568" s="866">
        <v>10</v>
      </c>
      <c r="S568" s="866">
        <v>13</v>
      </c>
      <c r="T568" s="866">
        <v>16</v>
      </c>
      <c r="U568" s="290"/>
      <c r="V568" s="685" t="b">
        <f t="shared" si="73"/>
        <v>0</v>
      </c>
      <c r="W568" s="685"/>
      <c r="X568" s="686">
        <f t="shared" si="74"/>
        <v>14.5</v>
      </c>
      <c r="Y568" s="290" t="str">
        <f t="shared" si="75"/>
        <v/>
      </c>
      <c r="Z568" s="290"/>
      <c r="AA568" s="290"/>
      <c r="AB568" s="354"/>
      <c r="AC568" s="290"/>
      <c r="AD568" s="290"/>
      <c r="AE568" s="290"/>
      <c r="AF568" s="290"/>
      <c r="AG568" s="290"/>
      <c r="AH568" s="290"/>
      <c r="AI568" s="353">
        <v>1.34</v>
      </c>
      <c r="AJ568" s="39"/>
      <c r="AK568" s="39"/>
      <c r="AL568" s="39"/>
      <c r="AM568" s="289" t="s">
        <v>92</v>
      </c>
      <c r="AN568" s="289" t="s">
        <v>92</v>
      </c>
      <c r="AO568" s="289" t="s">
        <v>92</v>
      </c>
      <c r="AP568" s="289" t="s">
        <v>92</v>
      </c>
      <c r="AQ568" s="289" t="s">
        <v>92</v>
      </c>
      <c r="AR568" s="289" t="s">
        <v>92</v>
      </c>
      <c r="AS568" s="289" t="s">
        <v>92</v>
      </c>
      <c r="AT568" s="289" t="s">
        <v>92</v>
      </c>
      <c r="AU568" s="289" t="s">
        <v>92</v>
      </c>
      <c r="AV568" s="289" t="s">
        <v>92</v>
      </c>
      <c r="AW568" s="289" t="s">
        <v>92</v>
      </c>
      <c r="AX568" s="1885" t="s">
        <v>92</v>
      </c>
      <c r="AY568" s="289"/>
      <c r="AZ568" s="86"/>
      <c r="BA568" s="86"/>
      <c r="BB568" s="86"/>
      <c r="BC568" s="86"/>
      <c r="BD568" s="86"/>
      <c r="BE568" s="86"/>
    </row>
    <row r="569" spans="1:57" ht="15" customHeight="1" x14ac:dyDescent="0.4">
      <c r="A569" s="86"/>
      <c r="B569" s="1200"/>
      <c r="C569" s="290"/>
      <c r="D569" s="290"/>
      <c r="E569" s="290"/>
      <c r="F569" s="290"/>
      <c r="G569" s="290"/>
      <c r="H569" s="290"/>
      <c r="I569" s="290"/>
      <c r="J569" s="290"/>
      <c r="K569" s="290"/>
      <c r="L569" s="290"/>
      <c r="M569" s="290"/>
      <c r="N569" s="290"/>
      <c r="O569" s="290"/>
      <c r="P569" s="290"/>
      <c r="Q569" s="865" t="s">
        <v>604</v>
      </c>
      <c r="R569" s="866">
        <v>12</v>
      </c>
      <c r="S569" s="866">
        <v>0</v>
      </c>
      <c r="T569" s="866">
        <v>7</v>
      </c>
      <c r="U569" s="290"/>
      <c r="V569" s="685" t="b">
        <f t="shared" si="73"/>
        <v>0</v>
      </c>
      <c r="W569" s="685"/>
      <c r="X569" s="686">
        <f t="shared" si="74"/>
        <v>3.5</v>
      </c>
      <c r="Y569" s="290">
        <f t="shared" si="75"/>
        <v>5</v>
      </c>
      <c r="Z569" s="290"/>
      <c r="AA569" s="290"/>
      <c r="AB569" s="354"/>
      <c r="AC569" s="290"/>
      <c r="AD569" s="290"/>
      <c r="AE569" s="290"/>
      <c r="AF569" s="290"/>
      <c r="AG569" s="290"/>
      <c r="AH569" s="290"/>
      <c r="AI569" s="353">
        <v>0.63300000000000001</v>
      </c>
      <c r="AJ569" s="39"/>
      <c r="AK569" s="39"/>
      <c r="AL569" s="39"/>
      <c r="AM569" s="289" t="s">
        <v>92</v>
      </c>
      <c r="AN569" s="289" t="s">
        <v>92</v>
      </c>
      <c r="AO569" s="289" t="s">
        <v>92</v>
      </c>
      <c r="AP569" s="289" t="s">
        <v>92</v>
      </c>
      <c r="AQ569" s="289" t="s">
        <v>92</v>
      </c>
      <c r="AR569" s="289" t="s">
        <v>92</v>
      </c>
      <c r="AS569" s="289" t="s">
        <v>92</v>
      </c>
      <c r="AT569" s="289" t="s">
        <v>92</v>
      </c>
      <c r="AU569" s="289" t="s">
        <v>92</v>
      </c>
      <c r="AV569" s="289" t="s">
        <v>92</v>
      </c>
      <c r="AW569" s="289" t="s">
        <v>92</v>
      </c>
      <c r="AX569" s="1885" t="s">
        <v>92</v>
      </c>
      <c r="AY569" s="289"/>
      <c r="AZ569" s="86"/>
      <c r="BA569" s="86"/>
      <c r="BB569" s="86"/>
      <c r="BC569" s="86"/>
      <c r="BD569" s="86"/>
      <c r="BE569" s="86"/>
    </row>
    <row r="570" spans="1:57" ht="15" customHeight="1" x14ac:dyDescent="0.4">
      <c r="A570" s="86"/>
      <c r="B570" s="1200"/>
      <c r="C570" s="290"/>
      <c r="D570" s="290"/>
      <c r="E570" s="290"/>
      <c r="F570" s="290"/>
      <c r="G570" s="290"/>
      <c r="H570" s="290"/>
      <c r="I570" s="290"/>
      <c r="J570" s="290"/>
      <c r="K570" s="290"/>
      <c r="L570" s="290"/>
      <c r="M570" s="290"/>
      <c r="N570" s="290"/>
      <c r="O570" s="290"/>
      <c r="P570" s="290"/>
      <c r="Q570" s="865" t="s">
        <v>605</v>
      </c>
      <c r="R570" s="866">
        <v>12</v>
      </c>
      <c r="S570" s="866">
        <v>7</v>
      </c>
      <c r="T570" s="866">
        <v>10</v>
      </c>
      <c r="U570" s="290"/>
      <c r="V570" s="685" t="b">
        <f t="shared" si="73"/>
        <v>0</v>
      </c>
      <c r="W570" s="685"/>
      <c r="X570" s="686">
        <f t="shared" si="74"/>
        <v>8.5</v>
      </c>
      <c r="Y570" s="290">
        <f t="shared" si="75"/>
        <v>4.5</v>
      </c>
      <c r="Z570" s="290"/>
      <c r="AA570" s="290"/>
      <c r="AB570" s="354"/>
      <c r="AC570" s="290"/>
      <c r="AD570" s="290"/>
      <c r="AE570" s="290"/>
      <c r="AF570" s="290"/>
      <c r="AG570" s="290"/>
      <c r="AH570" s="290"/>
      <c r="AI570" s="353">
        <v>0.63300000000000001</v>
      </c>
      <c r="AJ570" s="39"/>
      <c r="AK570" s="39"/>
      <c r="AL570" s="39"/>
      <c r="AM570" s="289" t="s">
        <v>92</v>
      </c>
      <c r="AN570" s="289" t="s">
        <v>92</v>
      </c>
      <c r="AO570" s="289" t="s">
        <v>92</v>
      </c>
      <c r="AP570" s="289" t="s">
        <v>92</v>
      </c>
      <c r="AQ570" s="289" t="s">
        <v>92</v>
      </c>
      <c r="AR570" s="289" t="s">
        <v>92</v>
      </c>
      <c r="AS570" s="289" t="s">
        <v>92</v>
      </c>
      <c r="AT570" s="289" t="s">
        <v>92</v>
      </c>
      <c r="AU570" s="289" t="s">
        <v>92</v>
      </c>
      <c r="AV570" s="289" t="s">
        <v>92</v>
      </c>
      <c r="AW570" s="289" t="s">
        <v>92</v>
      </c>
      <c r="AX570" s="1885" t="s">
        <v>92</v>
      </c>
      <c r="AY570" s="289"/>
      <c r="AZ570" s="86"/>
      <c r="BA570" s="86"/>
      <c r="BB570" s="86"/>
      <c r="BC570" s="86"/>
      <c r="BD570" s="86"/>
      <c r="BE570" s="86"/>
    </row>
    <row r="571" spans="1:57" ht="15" customHeight="1" x14ac:dyDescent="0.4">
      <c r="A571" s="86"/>
      <c r="B571" s="1200"/>
      <c r="C571" s="290"/>
      <c r="D571" s="290"/>
      <c r="E571" s="290"/>
      <c r="F571" s="290"/>
      <c r="G571" s="290"/>
      <c r="H571" s="290"/>
      <c r="I571" s="290"/>
      <c r="J571" s="290"/>
      <c r="K571" s="290"/>
      <c r="L571" s="290"/>
      <c r="M571" s="290"/>
      <c r="N571" s="290"/>
      <c r="O571" s="290"/>
      <c r="P571" s="290"/>
      <c r="Q571" s="865" t="s">
        <v>606</v>
      </c>
      <c r="R571" s="866">
        <v>12</v>
      </c>
      <c r="S571" s="866">
        <v>10</v>
      </c>
      <c r="T571" s="866">
        <v>16</v>
      </c>
      <c r="U571" s="290"/>
      <c r="V571" s="685" t="b">
        <f t="shared" si="73"/>
        <v>0</v>
      </c>
      <c r="W571" s="685"/>
      <c r="X571" s="686">
        <f t="shared" si="74"/>
        <v>13</v>
      </c>
      <c r="Y571" s="290">
        <f t="shared" si="75"/>
        <v>4</v>
      </c>
      <c r="Z571" s="290"/>
      <c r="AA571" s="290"/>
      <c r="AB571" s="354"/>
      <c r="AC571" s="290"/>
      <c r="AD571" s="290"/>
      <c r="AE571" s="290"/>
      <c r="AF571" s="290"/>
      <c r="AG571" s="290"/>
      <c r="AH571" s="290"/>
      <c r="AI571" s="353">
        <v>0.66259999999999997</v>
      </c>
      <c r="AJ571" s="39"/>
      <c r="AK571" s="39"/>
      <c r="AL571" s="39"/>
      <c r="AM571" s="289" t="s">
        <v>92</v>
      </c>
      <c r="AN571" s="289" t="s">
        <v>92</v>
      </c>
      <c r="AO571" s="289" t="s">
        <v>92</v>
      </c>
      <c r="AP571" s="289" t="s">
        <v>92</v>
      </c>
      <c r="AQ571" s="289" t="s">
        <v>92</v>
      </c>
      <c r="AR571" s="289" t="s">
        <v>92</v>
      </c>
      <c r="AS571" s="289" t="s">
        <v>92</v>
      </c>
      <c r="AT571" s="289" t="s">
        <v>92</v>
      </c>
      <c r="AU571" s="289" t="s">
        <v>92</v>
      </c>
      <c r="AV571" s="289" t="s">
        <v>92</v>
      </c>
      <c r="AW571" s="289" t="s">
        <v>92</v>
      </c>
      <c r="AX571" s="1885" t="s">
        <v>92</v>
      </c>
      <c r="AY571" s="289"/>
      <c r="AZ571" s="86"/>
      <c r="BA571" s="86"/>
      <c r="BB571" s="86"/>
      <c r="BC571" s="86"/>
      <c r="BD571" s="86"/>
      <c r="BE571" s="86"/>
    </row>
    <row r="572" spans="1:57" ht="15" customHeight="1" x14ac:dyDescent="0.4">
      <c r="A572" s="86"/>
      <c r="B572" s="1200"/>
      <c r="C572" s="290"/>
      <c r="D572" s="290"/>
      <c r="E572" s="290"/>
      <c r="F572" s="290"/>
      <c r="G572" s="290"/>
      <c r="H572" s="290"/>
      <c r="I572" s="290"/>
      <c r="J572" s="290"/>
      <c r="K572" s="290"/>
      <c r="L572" s="290"/>
      <c r="M572" s="290"/>
      <c r="N572" s="290"/>
      <c r="O572" s="290"/>
      <c r="P572" s="290"/>
      <c r="Q572" s="865" t="s">
        <v>607</v>
      </c>
      <c r="R572" s="866">
        <v>12</v>
      </c>
      <c r="S572" s="866">
        <v>16</v>
      </c>
      <c r="T572" s="866">
        <v>18</v>
      </c>
      <c r="U572" s="290"/>
      <c r="V572" s="685" t="b">
        <f t="shared" si="73"/>
        <v>0</v>
      </c>
      <c r="W572" s="685"/>
      <c r="X572" s="686">
        <f t="shared" si="74"/>
        <v>17</v>
      </c>
      <c r="Y572" s="290">
        <f t="shared" si="75"/>
        <v>2.5</v>
      </c>
      <c r="Z572" s="290"/>
      <c r="AA572" s="290"/>
      <c r="AB572" s="354"/>
      <c r="AC572" s="290"/>
      <c r="AD572" s="290"/>
      <c r="AE572" s="290"/>
      <c r="AF572" s="290"/>
      <c r="AG572" s="290"/>
      <c r="AH572" s="290"/>
      <c r="AI572" s="353">
        <v>0.76</v>
      </c>
      <c r="AJ572" s="39"/>
      <c r="AK572" s="39"/>
      <c r="AL572" s="39"/>
      <c r="AM572" s="289" t="s">
        <v>92</v>
      </c>
      <c r="AN572" s="289" t="s">
        <v>92</v>
      </c>
      <c r="AO572" s="289" t="s">
        <v>92</v>
      </c>
      <c r="AP572" s="289" t="s">
        <v>92</v>
      </c>
      <c r="AQ572" s="289" t="s">
        <v>92</v>
      </c>
      <c r="AR572" s="289" t="s">
        <v>92</v>
      </c>
      <c r="AS572" s="289" t="s">
        <v>92</v>
      </c>
      <c r="AT572" s="289" t="s">
        <v>92</v>
      </c>
      <c r="AU572" s="289" t="s">
        <v>92</v>
      </c>
      <c r="AV572" s="289" t="s">
        <v>92</v>
      </c>
      <c r="AW572" s="289" t="s">
        <v>92</v>
      </c>
      <c r="AX572" s="1885" t="s">
        <v>92</v>
      </c>
      <c r="AY572" s="289"/>
      <c r="AZ572" s="86"/>
      <c r="BA572" s="86"/>
      <c r="BB572" s="86"/>
      <c r="BC572" s="86"/>
      <c r="BD572" s="86"/>
      <c r="BE572" s="86"/>
    </row>
    <row r="573" spans="1:57" ht="15" customHeight="1" x14ac:dyDescent="0.4">
      <c r="A573" s="86"/>
      <c r="B573" s="1200"/>
      <c r="C573" s="290"/>
      <c r="D573" s="290"/>
      <c r="E573" s="290"/>
      <c r="F573" s="290"/>
      <c r="G573" s="290"/>
      <c r="H573" s="290"/>
      <c r="I573" s="290"/>
      <c r="J573" s="290"/>
      <c r="K573" s="290"/>
      <c r="L573" s="290"/>
      <c r="M573" s="290"/>
      <c r="N573" s="290"/>
      <c r="O573" s="290"/>
      <c r="P573" s="290"/>
      <c r="Q573" s="865" t="s">
        <v>608</v>
      </c>
      <c r="R573" s="866">
        <v>12</v>
      </c>
      <c r="S573" s="866">
        <v>18</v>
      </c>
      <c r="T573" s="866">
        <v>21</v>
      </c>
      <c r="U573" s="290"/>
      <c r="V573" s="685" t="b">
        <f t="shared" si="73"/>
        <v>0</v>
      </c>
      <c r="W573" s="685"/>
      <c r="X573" s="686">
        <f t="shared" si="74"/>
        <v>19.5</v>
      </c>
      <c r="Y573" s="290" t="str">
        <f t="shared" si="75"/>
        <v/>
      </c>
      <c r="Z573" s="290"/>
      <c r="AA573" s="290"/>
      <c r="AB573" s="354"/>
      <c r="AC573" s="290"/>
      <c r="AD573" s="290"/>
      <c r="AE573" s="290"/>
      <c r="AF573" s="290"/>
      <c r="AG573" s="290"/>
      <c r="AH573" s="290"/>
      <c r="AI573" s="353">
        <v>0.81</v>
      </c>
      <c r="AJ573" s="39"/>
      <c r="AK573" s="39"/>
      <c r="AL573" s="39"/>
      <c r="AM573" s="289" t="s">
        <v>92</v>
      </c>
      <c r="AN573" s="289" t="s">
        <v>92</v>
      </c>
      <c r="AO573" s="289" t="s">
        <v>92</v>
      </c>
      <c r="AP573" s="289" t="s">
        <v>92</v>
      </c>
      <c r="AQ573" s="289" t="s">
        <v>92</v>
      </c>
      <c r="AR573" s="289" t="s">
        <v>92</v>
      </c>
      <c r="AS573" s="289" t="s">
        <v>92</v>
      </c>
      <c r="AT573" s="289" t="s">
        <v>92</v>
      </c>
      <c r="AU573" s="289" t="s">
        <v>92</v>
      </c>
      <c r="AV573" s="289" t="s">
        <v>92</v>
      </c>
      <c r="AW573" s="289" t="s">
        <v>92</v>
      </c>
      <c r="AX573" s="1885" t="s">
        <v>92</v>
      </c>
      <c r="AY573" s="289"/>
      <c r="AZ573" s="86"/>
      <c r="BA573" s="86"/>
      <c r="BB573" s="86"/>
      <c r="BC573" s="86"/>
      <c r="BD573" s="86"/>
      <c r="BE573" s="86"/>
    </row>
    <row r="574" spans="1:57" ht="15" customHeight="1" x14ac:dyDescent="0.4">
      <c r="A574" s="86"/>
      <c r="B574" s="1200"/>
      <c r="C574" s="290"/>
      <c r="D574" s="290"/>
      <c r="E574" s="290"/>
      <c r="F574" s="290"/>
      <c r="G574" s="290"/>
      <c r="H574" s="290"/>
      <c r="I574" s="290"/>
      <c r="J574" s="290"/>
      <c r="K574" s="290"/>
      <c r="L574" s="290"/>
      <c r="M574" s="290"/>
      <c r="N574" s="290"/>
      <c r="O574" s="290"/>
      <c r="P574" s="290"/>
      <c r="Q574" s="865" t="s">
        <v>609</v>
      </c>
      <c r="R574" s="866">
        <v>14</v>
      </c>
      <c r="S574" s="866">
        <v>0</v>
      </c>
      <c r="T574" s="866">
        <v>7</v>
      </c>
      <c r="U574" s="290"/>
      <c r="V574" s="685" t="b">
        <f t="shared" si="73"/>
        <v>0</v>
      </c>
      <c r="W574" s="685"/>
      <c r="X574" s="686">
        <f t="shared" si="74"/>
        <v>3.5</v>
      </c>
      <c r="Y574" s="290">
        <f t="shared" si="75"/>
        <v>5</v>
      </c>
      <c r="Z574" s="290"/>
      <c r="AA574" s="290"/>
      <c r="AB574" s="354"/>
      <c r="AC574" s="290"/>
      <c r="AD574" s="290"/>
      <c r="AE574" s="290"/>
      <c r="AF574" s="290"/>
      <c r="AG574" s="290"/>
      <c r="AH574" s="290"/>
      <c r="AI574" s="353">
        <v>0.64</v>
      </c>
      <c r="AJ574" s="39"/>
      <c r="AK574" s="39"/>
      <c r="AL574" s="39"/>
      <c r="AM574" s="289" t="s">
        <v>92</v>
      </c>
      <c r="AN574" s="289" t="s">
        <v>92</v>
      </c>
      <c r="AO574" s="289" t="s">
        <v>92</v>
      </c>
      <c r="AP574" s="289" t="s">
        <v>92</v>
      </c>
      <c r="AQ574" s="289" t="s">
        <v>92</v>
      </c>
      <c r="AR574" s="289" t="s">
        <v>92</v>
      </c>
      <c r="AS574" s="289" t="s">
        <v>92</v>
      </c>
      <c r="AT574" s="289" t="s">
        <v>92</v>
      </c>
      <c r="AU574" s="289" t="s">
        <v>92</v>
      </c>
      <c r="AV574" s="289" t="s">
        <v>92</v>
      </c>
      <c r="AW574" s="289" t="s">
        <v>92</v>
      </c>
      <c r="AX574" s="1885" t="s">
        <v>92</v>
      </c>
      <c r="AY574" s="289"/>
      <c r="AZ574" s="86"/>
      <c r="BA574" s="86"/>
      <c r="BB574" s="86"/>
      <c r="BC574" s="86"/>
      <c r="BD574" s="86"/>
      <c r="BE574" s="86"/>
    </row>
    <row r="575" spans="1:57" ht="15" customHeight="1" x14ac:dyDescent="0.4">
      <c r="A575" s="86"/>
      <c r="B575" s="1200"/>
      <c r="C575" s="290"/>
      <c r="D575" s="290"/>
      <c r="E575" s="290"/>
      <c r="F575" s="290"/>
      <c r="G575" s="290"/>
      <c r="H575" s="290"/>
      <c r="I575" s="290"/>
      <c r="J575" s="290"/>
      <c r="K575" s="290"/>
      <c r="L575" s="290"/>
      <c r="M575" s="290"/>
      <c r="N575" s="290"/>
      <c r="O575" s="290"/>
      <c r="P575" s="290"/>
      <c r="Q575" s="865" t="s">
        <v>610</v>
      </c>
      <c r="R575" s="866">
        <v>14</v>
      </c>
      <c r="S575" s="866">
        <v>7</v>
      </c>
      <c r="T575" s="866">
        <v>10</v>
      </c>
      <c r="U575" s="290"/>
      <c r="V575" s="685" t="b">
        <f t="shared" si="73"/>
        <v>0</v>
      </c>
      <c r="W575" s="685"/>
      <c r="X575" s="686">
        <f t="shared" si="74"/>
        <v>8.5</v>
      </c>
      <c r="Y575" s="290">
        <f t="shared" si="75"/>
        <v>4.5</v>
      </c>
      <c r="Z575" s="290"/>
      <c r="AA575" s="290"/>
      <c r="AB575" s="354"/>
      <c r="AC575" s="290"/>
      <c r="AD575" s="290"/>
      <c r="AE575" s="290"/>
      <c r="AF575" s="290"/>
      <c r="AG575" s="290"/>
      <c r="AH575" s="290"/>
      <c r="AI575" s="353">
        <v>0.64</v>
      </c>
      <c r="AJ575" s="39"/>
      <c r="AK575" s="39"/>
      <c r="AL575" s="39"/>
      <c r="AM575" s="289" t="s">
        <v>92</v>
      </c>
      <c r="AN575" s="289" t="s">
        <v>92</v>
      </c>
      <c r="AO575" s="289" t="s">
        <v>92</v>
      </c>
      <c r="AP575" s="289" t="s">
        <v>92</v>
      </c>
      <c r="AQ575" s="289" t="s">
        <v>92</v>
      </c>
      <c r="AR575" s="289" t="s">
        <v>92</v>
      </c>
      <c r="AS575" s="289" t="s">
        <v>92</v>
      </c>
      <c r="AT575" s="289" t="s">
        <v>92</v>
      </c>
      <c r="AU575" s="289" t="s">
        <v>92</v>
      </c>
      <c r="AV575" s="289" t="s">
        <v>92</v>
      </c>
      <c r="AW575" s="289" t="s">
        <v>92</v>
      </c>
      <c r="AX575" s="1885" t="s">
        <v>92</v>
      </c>
      <c r="AY575" s="289"/>
      <c r="AZ575" s="86"/>
      <c r="BA575" s="86"/>
      <c r="BB575" s="86"/>
      <c r="BC575" s="86"/>
      <c r="BD575" s="86"/>
      <c r="BE575" s="86"/>
    </row>
    <row r="576" spans="1:57" ht="15" customHeight="1" x14ac:dyDescent="0.4">
      <c r="A576" s="86"/>
      <c r="B576" s="1200"/>
      <c r="C576" s="290"/>
      <c r="D576" s="290"/>
      <c r="E576" s="290"/>
      <c r="F576" s="290"/>
      <c r="G576" s="290"/>
      <c r="H576" s="290"/>
      <c r="I576" s="290"/>
      <c r="J576" s="290"/>
      <c r="K576" s="290"/>
      <c r="L576" s="290"/>
      <c r="M576" s="290"/>
      <c r="N576" s="290"/>
      <c r="O576" s="290"/>
      <c r="P576" s="290"/>
      <c r="Q576" s="865" t="s">
        <v>611</v>
      </c>
      <c r="R576" s="866">
        <v>14</v>
      </c>
      <c r="S576" s="866">
        <v>10</v>
      </c>
      <c r="T576" s="866">
        <v>16</v>
      </c>
      <c r="U576" s="290"/>
      <c r="V576" s="685" t="b">
        <f t="shared" si="73"/>
        <v>0</v>
      </c>
      <c r="W576" s="685"/>
      <c r="X576" s="686">
        <f t="shared" si="74"/>
        <v>13</v>
      </c>
      <c r="Y576" s="290">
        <f t="shared" si="75"/>
        <v>4.5</v>
      </c>
      <c r="Z576" s="290"/>
      <c r="AA576" s="290"/>
      <c r="AB576" s="354"/>
      <c r="AC576" s="290"/>
      <c r="AD576" s="290"/>
      <c r="AE576" s="290"/>
      <c r="AF576" s="290"/>
      <c r="AG576" s="290"/>
      <c r="AH576" s="290"/>
      <c r="AI576" s="353">
        <v>0.67249999999999999</v>
      </c>
      <c r="AJ576" s="39"/>
      <c r="AK576" s="39"/>
      <c r="AL576" s="39"/>
      <c r="AM576" s="289" t="s">
        <v>92</v>
      </c>
      <c r="AN576" s="289" t="s">
        <v>92</v>
      </c>
      <c r="AO576" s="289" t="s">
        <v>92</v>
      </c>
      <c r="AP576" s="289" t="s">
        <v>92</v>
      </c>
      <c r="AQ576" s="289" t="s">
        <v>92</v>
      </c>
      <c r="AR576" s="289" t="s">
        <v>92</v>
      </c>
      <c r="AS576" s="289" t="s">
        <v>92</v>
      </c>
      <c r="AT576" s="289" t="s">
        <v>92</v>
      </c>
      <c r="AU576" s="289" t="s">
        <v>92</v>
      </c>
      <c r="AV576" s="289" t="s">
        <v>92</v>
      </c>
      <c r="AW576" s="289" t="s">
        <v>92</v>
      </c>
      <c r="AX576" s="1885" t="s">
        <v>92</v>
      </c>
      <c r="AY576" s="289"/>
      <c r="AZ576" s="86"/>
      <c r="BA576" s="86"/>
      <c r="BB576" s="86"/>
      <c r="BC576" s="86"/>
      <c r="BD576" s="86"/>
      <c r="BE576" s="86"/>
    </row>
    <row r="577" spans="1:57" ht="15" customHeight="1" x14ac:dyDescent="0.4">
      <c r="A577" s="86"/>
      <c r="B577" s="1200"/>
      <c r="C577" s="290"/>
      <c r="D577" s="290"/>
      <c r="E577" s="290"/>
      <c r="F577" s="290"/>
      <c r="G577" s="290"/>
      <c r="H577" s="290"/>
      <c r="I577" s="290"/>
      <c r="J577" s="290"/>
      <c r="K577" s="290"/>
      <c r="L577" s="290"/>
      <c r="M577" s="290"/>
      <c r="N577" s="290"/>
      <c r="O577" s="290"/>
      <c r="P577" s="290"/>
      <c r="Q577" s="865" t="s">
        <v>612</v>
      </c>
      <c r="R577" s="866">
        <v>14</v>
      </c>
      <c r="S577" s="866">
        <v>16</v>
      </c>
      <c r="T577" s="866">
        <v>19</v>
      </c>
      <c r="U577" s="290"/>
      <c r="V577" s="685" t="b">
        <f t="shared" si="73"/>
        <v>0</v>
      </c>
      <c r="W577" s="685"/>
      <c r="X577" s="686">
        <f t="shared" si="74"/>
        <v>17.5</v>
      </c>
      <c r="Y577" s="290">
        <f t="shared" si="75"/>
        <v>3</v>
      </c>
      <c r="Z577" s="290"/>
      <c r="AA577" s="290"/>
      <c r="AB577" s="354"/>
      <c r="AC577" s="290"/>
      <c r="AD577" s="290"/>
      <c r="AE577" s="290"/>
      <c r="AF577" s="290"/>
      <c r="AG577" s="290"/>
      <c r="AH577" s="290"/>
      <c r="AI577" s="353">
        <v>0.77</v>
      </c>
      <c r="AJ577" s="39"/>
      <c r="AK577" s="39"/>
      <c r="AL577" s="39"/>
      <c r="AM577" s="289" t="s">
        <v>92</v>
      </c>
      <c r="AN577" s="289" t="s">
        <v>92</v>
      </c>
      <c r="AO577" s="289" t="s">
        <v>92</v>
      </c>
      <c r="AP577" s="289" t="s">
        <v>92</v>
      </c>
      <c r="AQ577" s="289" t="s">
        <v>92</v>
      </c>
      <c r="AR577" s="289" t="s">
        <v>92</v>
      </c>
      <c r="AS577" s="289" t="s">
        <v>92</v>
      </c>
      <c r="AT577" s="289" t="s">
        <v>92</v>
      </c>
      <c r="AU577" s="289" t="s">
        <v>92</v>
      </c>
      <c r="AV577" s="289" t="s">
        <v>92</v>
      </c>
      <c r="AW577" s="289" t="s">
        <v>92</v>
      </c>
      <c r="AX577" s="1885" t="s">
        <v>92</v>
      </c>
      <c r="AY577" s="289"/>
      <c r="AZ577" s="86"/>
      <c r="BA577" s="86"/>
      <c r="BB577" s="86"/>
      <c r="BC577" s="86"/>
      <c r="BD577" s="86"/>
      <c r="BE577" s="86"/>
    </row>
    <row r="578" spans="1:57" ht="15" customHeight="1" x14ac:dyDescent="0.4">
      <c r="A578" s="86"/>
      <c r="B578" s="1200"/>
      <c r="C578" s="290"/>
      <c r="D578" s="290"/>
      <c r="E578" s="290"/>
      <c r="F578" s="290"/>
      <c r="G578" s="290"/>
      <c r="H578" s="290"/>
      <c r="I578" s="290"/>
      <c r="J578" s="290"/>
      <c r="K578" s="290"/>
      <c r="L578" s="290"/>
      <c r="M578" s="290"/>
      <c r="N578" s="290"/>
      <c r="O578" s="290"/>
      <c r="P578" s="290"/>
      <c r="Q578" s="865" t="s">
        <v>613</v>
      </c>
      <c r="R578" s="866">
        <v>14</v>
      </c>
      <c r="S578" s="866">
        <v>19</v>
      </c>
      <c r="T578" s="866">
        <v>22</v>
      </c>
      <c r="U578" s="290"/>
      <c r="V578" s="685" t="b">
        <f t="shared" si="73"/>
        <v>0</v>
      </c>
      <c r="W578" s="685"/>
      <c r="X578" s="686">
        <f t="shared" si="74"/>
        <v>20.5</v>
      </c>
      <c r="Y578" s="290">
        <f t="shared" si="75"/>
        <v>3</v>
      </c>
      <c r="Z578" s="290"/>
      <c r="AA578" s="290"/>
      <c r="AB578" s="354"/>
      <c r="AC578" s="290"/>
      <c r="AD578" s="290"/>
      <c r="AE578" s="290"/>
      <c r="AF578" s="290"/>
      <c r="AG578" s="290"/>
      <c r="AH578" s="290"/>
      <c r="AI578" s="353">
        <v>0.86</v>
      </c>
      <c r="AJ578" s="39"/>
      <c r="AK578" s="39"/>
      <c r="AL578" s="39"/>
      <c r="AM578" s="289" t="s">
        <v>92</v>
      </c>
      <c r="AN578" s="289" t="s">
        <v>92</v>
      </c>
      <c r="AO578" s="289" t="s">
        <v>92</v>
      </c>
      <c r="AP578" s="289" t="s">
        <v>92</v>
      </c>
      <c r="AQ578" s="289" t="s">
        <v>92</v>
      </c>
      <c r="AR578" s="289" t="s">
        <v>92</v>
      </c>
      <c r="AS578" s="289" t="s">
        <v>92</v>
      </c>
      <c r="AT578" s="289" t="s">
        <v>92</v>
      </c>
      <c r="AU578" s="289" t="s">
        <v>92</v>
      </c>
      <c r="AV578" s="289" t="s">
        <v>92</v>
      </c>
      <c r="AW578" s="289" t="s">
        <v>92</v>
      </c>
      <c r="AX578" s="1885" t="s">
        <v>92</v>
      </c>
      <c r="AY578" s="289"/>
      <c r="AZ578" s="86"/>
      <c r="BA578" s="86"/>
      <c r="BB578" s="86"/>
      <c r="BC578" s="86"/>
      <c r="BD578" s="86"/>
      <c r="BE578" s="86"/>
    </row>
    <row r="579" spans="1:57" ht="15" customHeight="1" x14ac:dyDescent="0.4">
      <c r="A579" s="86"/>
      <c r="B579" s="1200"/>
      <c r="C579" s="290"/>
      <c r="D579" s="290"/>
      <c r="E579" s="290"/>
      <c r="F579" s="290"/>
      <c r="G579" s="290"/>
      <c r="H579" s="290"/>
      <c r="I579" s="290"/>
      <c r="J579" s="290"/>
      <c r="K579" s="290"/>
      <c r="L579" s="290"/>
      <c r="M579" s="290"/>
      <c r="N579" s="290"/>
      <c r="O579" s="290"/>
      <c r="P579" s="290"/>
      <c r="Q579" s="865" t="s">
        <v>614</v>
      </c>
      <c r="R579" s="866">
        <v>14</v>
      </c>
      <c r="S579" s="866">
        <v>22</v>
      </c>
      <c r="T579" s="866">
        <v>25</v>
      </c>
      <c r="U579" s="290"/>
      <c r="V579" s="685" t="b">
        <f t="shared" si="73"/>
        <v>0</v>
      </c>
      <c r="W579" s="685"/>
      <c r="X579" s="686">
        <f t="shared" si="74"/>
        <v>23.5</v>
      </c>
      <c r="Y579" s="290" t="str">
        <f t="shared" si="75"/>
        <v/>
      </c>
      <c r="Z579" s="290"/>
      <c r="AA579" s="290"/>
      <c r="AB579" s="354"/>
      <c r="AC579" s="290"/>
      <c r="AD579" s="290"/>
      <c r="AE579" s="290"/>
      <c r="AF579" s="290"/>
      <c r="AG579" s="290"/>
      <c r="AH579" s="290"/>
      <c r="AI579" s="353">
        <v>1.37</v>
      </c>
      <c r="AJ579" s="39"/>
      <c r="AK579" s="39"/>
      <c r="AL579" s="39"/>
      <c r="AM579" s="289" t="s">
        <v>92</v>
      </c>
      <c r="AN579" s="289" t="s">
        <v>92</v>
      </c>
      <c r="AO579" s="289" t="s">
        <v>92</v>
      </c>
      <c r="AP579" s="289" t="s">
        <v>92</v>
      </c>
      <c r="AQ579" s="289" t="s">
        <v>92</v>
      </c>
      <c r="AR579" s="289" t="s">
        <v>92</v>
      </c>
      <c r="AS579" s="289" t="s">
        <v>92</v>
      </c>
      <c r="AT579" s="289" t="s">
        <v>92</v>
      </c>
      <c r="AU579" s="289" t="s">
        <v>92</v>
      </c>
      <c r="AV579" s="289" t="s">
        <v>92</v>
      </c>
      <c r="AW579" s="289" t="s">
        <v>92</v>
      </c>
      <c r="AX579" s="1885" t="s">
        <v>92</v>
      </c>
      <c r="AY579" s="289"/>
      <c r="AZ579" s="86"/>
      <c r="BA579" s="86"/>
      <c r="BB579" s="86"/>
      <c r="BC579" s="86"/>
      <c r="BD579" s="86"/>
      <c r="BE579" s="86"/>
    </row>
    <row r="580" spans="1:57" ht="15" customHeight="1" x14ac:dyDescent="0.4">
      <c r="A580" s="86"/>
      <c r="B580" s="1200"/>
      <c r="C580" s="290"/>
      <c r="D580" s="290"/>
      <c r="E580" s="290"/>
      <c r="F580" s="290"/>
      <c r="G580" s="290"/>
      <c r="H580" s="290"/>
      <c r="I580" s="290"/>
      <c r="J580" s="290"/>
      <c r="K580" s="290"/>
      <c r="L580" s="290"/>
      <c r="M580" s="290"/>
      <c r="N580" s="290"/>
      <c r="O580" s="290"/>
      <c r="P580" s="290"/>
      <c r="Q580" s="865" t="s">
        <v>615</v>
      </c>
      <c r="R580" s="866">
        <v>16</v>
      </c>
      <c r="S580" s="866">
        <v>0</v>
      </c>
      <c r="T580" s="866">
        <v>7</v>
      </c>
      <c r="U580" s="290"/>
      <c r="V580" s="685" t="b">
        <f t="shared" si="73"/>
        <v>0</v>
      </c>
      <c r="W580" s="685"/>
      <c r="X580" s="686">
        <f t="shared" si="74"/>
        <v>3.5</v>
      </c>
      <c r="Y580" s="290">
        <f t="shared" si="75"/>
        <v>5</v>
      </c>
      <c r="Z580" s="290"/>
      <c r="AA580" s="290"/>
      <c r="AB580" s="354"/>
      <c r="AC580" s="290"/>
      <c r="AD580" s="290"/>
      <c r="AE580" s="290"/>
      <c r="AF580" s="290"/>
      <c r="AG580" s="290"/>
      <c r="AH580" s="290"/>
      <c r="AI580" s="353">
        <v>0.65280000000000005</v>
      </c>
      <c r="AJ580" s="39"/>
      <c r="AK580" s="39"/>
      <c r="AL580" s="39"/>
      <c r="AM580" s="289" t="s">
        <v>92</v>
      </c>
      <c r="AN580" s="289" t="s">
        <v>92</v>
      </c>
      <c r="AO580" s="289" t="s">
        <v>92</v>
      </c>
      <c r="AP580" s="289" t="s">
        <v>92</v>
      </c>
      <c r="AQ580" s="289" t="s">
        <v>92</v>
      </c>
      <c r="AR580" s="289" t="s">
        <v>92</v>
      </c>
      <c r="AS580" s="289" t="s">
        <v>92</v>
      </c>
      <c r="AT580" s="289" t="s">
        <v>92</v>
      </c>
      <c r="AU580" s="289" t="s">
        <v>92</v>
      </c>
      <c r="AV580" s="289" t="s">
        <v>92</v>
      </c>
      <c r="AW580" s="289" t="s">
        <v>92</v>
      </c>
      <c r="AX580" s="1885" t="s">
        <v>92</v>
      </c>
      <c r="AY580" s="289"/>
      <c r="AZ580" s="86"/>
      <c r="BA580" s="86"/>
      <c r="BB580" s="86"/>
      <c r="BC580" s="86"/>
      <c r="BD580" s="86"/>
      <c r="BE580" s="86"/>
    </row>
    <row r="581" spans="1:57" ht="15" customHeight="1" x14ac:dyDescent="0.4">
      <c r="A581" s="86"/>
      <c r="B581" s="1200"/>
      <c r="C581" s="4" t="s">
        <v>616</v>
      </c>
      <c r="D581" s="290"/>
      <c r="E581" s="290"/>
      <c r="F581" s="290"/>
      <c r="G581" s="290"/>
      <c r="H581" s="290"/>
      <c r="I581" s="290"/>
      <c r="J581" s="290"/>
      <c r="K581" s="290"/>
      <c r="L581" s="290"/>
      <c r="M581" s="290"/>
      <c r="N581" s="290"/>
      <c r="O581" s="290"/>
      <c r="P581" s="290"/>
      <c r="Q581" s="865" t="s">
        <v>617</v>
      </c>
      <c r="R581" s="866">
        <v>16</v>
      </c>
      <c r="S581" s="866">
        <v>7</v>
      </c>
      <c r="T581" s="866">
        <v>10</v>
      </c>
      <c r="U581" s="290"/>
      <c r="V581" s="685" t="b">
        <f t="shared" si="73"/>
        <v>0</v>
      </c>
      <c r="W581" s="685"/>
      <c r="X581" s="686">
        <f t="shared" si="74"/>
        <v>8.5</v>
      </c>
      <c r="Y581" s="290">
        <f t="shared" si="75"/>
        <v>4.5</v>
      </c>
      <c r="Z581" s="290"/>
      <c r="AA581" s="290"/>
      <c r="AB581" s="354"/>
      <c r="AC581" s="290"/>
      <c r="AD581" s="290"/>
      <c r="AE581" s="290"/>
      <c r="AF581" s="290"/>
      <c r="AG581" s="290"/>
      <c r="AH581" s="290"/>
      <c r="AI581" s="353">
        <v>0.65269999999999995</v>
      </c>
      <c r="AJ581" s="39"/>
      <c r="AK581" s="39"/>
      <c r="AL581" s="39"/>
      <c r="AM581" s="289" t="s">
        <v>92</v>
      </c>
      <c r="AN581" s="289" t="s">
        <v>92</v>
      </c>
      <c r="AO581" s="289" t="s">
        <v>92</v>
      </c>
      <c r="AP581" s="289" t="s">
        <v>92</v>
      </c>
      <c r="AQ581" s="289" t="s">
        <v>92</v>
      </c>
      <c r="AR581" s="289" t="s">
        <v>92</v>
      </c>
      <c r="AS581" s="289" t="s">
        <v>92</v>
      </c>
      <c r="AT581" s="289" t="s">
        <v>92</v>
      </c>
      <c r="AU581" s="289" t="s">
        <v>92</v>
      </c>
      <c r="AV581" s="289" t="s">
        <v>92</v>
      </c>
      <c r="AW581" s="289" t="s">
        <v>92</v>
      </c>
      <c r="AX581" s="1885" t="s">
        <v>92</v>
      </c>
      <c r="AY581" s="289"/>
      <c r="AZ581" s="86"/>
      <c r="BA581" s="86"/>
      <c r="BB581" s="86"/>
      <c r="BC581" s="86"/>
      <c r="BD581" s="86"/>
      <c r="BE581" s="86"/>
    </row>
    <row r="582" spans="1:57" ht="15" customHeight="1" x14ac:dyDescent="0.4">
      <c r="A582" s="86"/>
      <c r="B582" s="1200"/>
      <c r="C582" s="290"/>
      <c r="D582" s="290"/>
      <c r="E582" s="290"/>
      <c r="F582" s="290"/>
      <c r="G582" s="290"/>
      <c r="H582" s="290"/>
      <c r="I582" s="290"/>
      <c r="J582" s="290"/>
      <c r="K582" s="290"/>
      <c r="L582" s="290"/>
      <c r="M582" s="290"/>
      <c r="N582" s="290"/>
      <c r="O582" s="290"/>
      <c r="P582" s="290"/>
      <c r="Q582" s="865" t="s">
        <v>618</v>
      </c>
      <c r="R582" s="866">
        <v>16</v>
      </c>
      <c r="S582" s="866">
        <v>10</v>
      </c>
      <c r="T582" s="866">
        <v>16</v>
      </c>
      <c r="U582" s="290"/>
      <c r="V582" s="685" t="b">
        <f t="shared" si="73"/>
        <v>0</v>
      </c>
      <c r="W582" s="685"/>
      <c r="X582" s="686">
        <f t="shared" si="74"/>
        <v>13</v>
      </c>
      <c r="Y582" s="290">
        <f t="shared" si="75"/>
        <v>4.5</v>
      </c>
      <c r="Z582" s="290"/>
      <c r="AA582" s="290"/>
      <c r="AB582" s="354"/>
      <c r="AC582" s="290"/>
      <c r="AD582" s="290"/>
      <c r="AE582" s="290"/>
      <c r="AF582" s="290"/>
      <c r="AG582" s="290"/>
      <c r="AH582" s="290"/>
      <c r="AI582" s="353">
        <v>0.69230000000000003</v>
      </c>
      <c r="AJ582" s="39"/>
      <c r="AK582" s="39"/>
      <c r="AL582" s="39"/>
      <c r="AM582" s="289" t="s">
        <v>92</v>
      </c>
      <c r="AN582" s="289" t="s">
        <v>92</v>
      </c>
      <c r="AO582" s="289" t="s">
        <v>92</v>
      </c>
      <c r="AP582" s="289" t="s">
        <v>92</v>
      </c>
      <c r="AQ582" s="289" t="s">
        <v>92</v>
      </c>
      <c r="AR582" s="289" t="s">
        <v>92</v>
      </c>
      <c r="AS582" s="289" t="s">
        <v>92</v>
      </c>
      <c r="AT582" s="289" t="s">
        <v>92</v>
      </c>
      <c r="AU582" s="289" t="s">
        <v>92</v>
      </c>
      <c r="AV582" s="289" t="s">
        <v>92</v>
      </c>
      <c r="AW582" s="289" t="s">
        <v>92</v>
      </c>
      <c r="AX582" s="1885" t="s">
        <v>92</v>
      </c>
      <c r="AY582" s="289"/>
      <c r="AZ582" s="86"/>
      <c r="BA582" s="86"/>
      <c r="BB582" s="86"/>
      <c r="BC582" s="86"/>
      <c r="BD582" s="86"/>
      <c r="BE582" s="86"/>
    </row>
    <row r="583" spans="1:57" ht="15" customHeight="1" x14ac:dyDescent="0.4">
      <c r="A583" s="86"/>
      <c r="B583" s="1200"/>
      <c r="C583" s="290"/>
      <c r="D583" s="290"/>
      <c r="E583" s="290"/>
      <c r="F583" s="290"/>
      <c r="G583" s="290"/>
      <c r="H583" s="290"/>
      <c r="I583" s="290"/>
      <c r="J583" s="290"/>
      <c r="K583" s="290"/>
      <c r="L583" s="290"/>
      <c r="M583" s="290"/>
      <c r="N583" s="290"/>
      <c r="O583" s="290"/>
      <c r="P583" s="290"/>
      <c r="Q583" s="865" t="s">
        <v>619</v>
      </c>
      <c r="R583" s="866">
        <v>16</v>
      </c>
      <c r="S583" s="866">
        <v>16</v>
      </c>
      <c r="T583" s="866">
        <v>19</v>
      </c>
      <c r="U583" s="290"/>
      <c r="V583" s="685" t="b">
        <f t="shared" si="73"/>
        <v>0</v>
      </c>
      <c r="W583" s="685"/>
      <c r="X583" s="686">
        <f t="shared" si="74"/>
        <v>17.5</v>
      </c>
      <c r="Y583" s="290">
        <f t="shared" si="75"/>
        <v>3</v>
      </c>
      <c r="Z583" s="290"/>
      <c r="AA583" s="290"/>
      <c r="AB583" s="354"/>
      <c r="AC583" s="290"/>
      <c r="AD583" s="290"/>
      <c r="AE583" s="290"/>
      <c r="AF583" s="290"/>
      <c r="AG583" s="290"/>
      <c r="AH583" s="290"/>
      <c r="AI583" s="353">
        <v>0.80110000000000003</v>
      </c>
      <c r="AJ583" s="39"/>
      <c r="AK583" s="39"/>
      <c r="AL583" s="39"/>
      <c r="AM583" s="289" t="s">
        <v>92</v>
      </c>
      <c r="AN583" s="289" t="s">
        <v>92</v>
      </c>
      <c r="AO583" s="289" t="s">
        <v>92</v>
      </c>
      <c r="AP583" s="289" t="s">
        <v>92</v>
      </c>
      <c r="AQ583" s="289" t="s">
        <v>92</v>
      </c>
      <c r="AR583" s="289" t="s">
        <v>92</v>
      </c>
      <c r="AS583" s="289" t="s">
        <v>92</v>
      </c>
      <c r="AT583" s="289" t="s">
        <v>92</v>
      </c>
      <c r="AU583" s="289" t="s">
        <v>92</v>
      </c>
      <c r="AV583" s="289" t="s">
        <v>92</v>
      </c>
      <c r="AW583" s="289" t="s">
        <v>92</v>
      </c>
      <c r="AX583" s="1885" t="s">
        <v>92</v>
      </c>
      <c r="AY583" s="289"/>
      <c r="AZ583" s="86"/>
      <c r="BA583" s="86"/>
      <c r="BB583" s="86"/>
      <c r="BC583" s="86"/>
      <c r="BD583" s="86"/>
      <c r="BE583" s="86"/>
    </row>
    <row r="584" spans="1:57" ht="15" customHeight="1" x14ac:dyDescent="0.4">
      <c r="A584" s="86"/>
      <c r="B584" s="1200"/>
      <c r="C584" s="290"/>
      <c r="D584" s="290"/>
      <c r="E584" s="290"/>
      <c r="F584" s="290"/>
      <c r="G584" s="290"/>
      <c r="H584" s="290"/>
      <c r="I584" s="290"/>
      <c r="J584" s="290"/>
      <c r="K584" s="290"/>
      <c r="L584" s="290"/>
      <c r="M584" s="290"/>
      <c r="N584" s="290"/>
      <c r="O584" s="290"/>
      <c r="P584" s="290"/>
      <c r="Q584" s="865" t="s">
        <v>620</v>
      </c>
      <c r="R584" s="866">
        <v>16</v>
      </c>
      <c r="S584" s="866">
        <v>19</v>
      </c>
      <c r="T584" s="866">
        <v>22</v>
      </c>
      <c r="U584" s="290"/>
      <c r="V584" s="685" t="b">
        <f t="shared" si="73"/>
        <v>0</v>
      </c>
      <c r="W584" s="685"/>
      <c r="X584" s="686">
        <f t="shared" si="74"/>
        <v>20.5</v>
      </c>
      <c r="Y584" s="290">
        <f t="shared" si="75"/>
        <v>3</v>
      </c>
      <c r="Z584" s="290"/>
      <c r="AA584" s="290"/>
      <c r="AB584" s="354"/>
      <c r="AC584" s="290"/>
      <c r="AD584" s="290"/>
      <c r="AE584" s="290"/>
      <c r="AF584" s="290"/>
      <c r="AG584" s="290"/>
      <c r="AH584" s="290"/>
      <c r="AI584" s="353">
        <v>0.84</v>
      </c>
      <c r="AJ584" s="39"/>
      <c r="AK584" s="39"/>
      <c r="AL584" s="39"/>
      <c r="AM584" s="289" t="s">
        <v>92</v>
      </c>
      <c r="AN584" s="289" t="s">
        <v>92</v>
      </c>
      <c r="AO584" s="289" t="s">
        <v>92</v>
      </c>
      <c r="AP584" s="289" t="s">
        <v>92</v>
      </c>
      <c r="AQ584" s="289" t="s">
        <v>92</v>
      </c>
      <c r="AR584" s="289" t="s">
        <v>92</v>
      </c>
      <c r="AS584" s="289" t="s">
        <v>92</v>
      </c>
      <c r="AT584" s="289" t="s">
        <v>92</v>
      </c>
      <c r="AU584" s="289" t="s">
        <v>92</v>
      </c>
      <c r="AV584" s="289" t="s">
        <v>92</v>
      </c>
      <c r="AW584" s="289" t="s">
        <v>92</v>
      </c>
      <c r="AX584" s="1885" t="s">
        <v>92</v>
      </c>
      <c r="AY584" s="289"/>
      <c r="AZ584" s="86"/>
      <c r="BA584" s="86"/>
      <c r="BB584" s="86"/>
      <c r="BC584" s="86"/>
      <c r="BD584" s="86"/>
      <c r="BE584" s="86"/>
    </row>
    <row r="585" spans="1:57" ht="15" customHeight="1" x14ac:dyDescent="0.4">
      <c r="A585" s="86"/>
      <c r="B585" s="1200"/>
      <c r="C585" s="290"/>
      <c r="D585" s="290"/>
      <c r="E585" s="290"/>
      <c r="F585" s="290"/>
      <c r="G585" s="290"/>
      <c r="H585" s="290"/>
      <c r="I585" s="290"/>
      <c r="J585" s="290"/>
      <c r="K585" s="290"/>
      <c r="L585" s="290"/>
      <c r="M585" s="290"/>
      <c r="N585" s="290"/>
      <c r="O585" s="290"/>
      <c r="P585" s="290"/>
      <c r="Q585" s="865" t="s">
        <v>621</v>
      </c>
      <c r="R585" s="866">
        <v>16</v>
      </c>
      <c r="S585" s="866">
        <v>22</v>
      </c>
      <c r="T585" s="866">
        <v>25</v>
      </c>
      <c r="U585" s="290"/>
      <c r="V585" s="685" t="b">
        <f t="shared" si="73"/>
        <v>0</v>
      </c>
      <c r="W585" s="685"/>
      <c r="X585" s="686">
        <f t="shared" si="74"/>
        <v>23.5</v>
      </c>
      <c r="Y585" s="290">
        <f t="shared" si="75"/>
        <v>2.5</v>
      </c>
      <c r="Z585" s="290"/>
      <c r="AA585" s="290"/>
      <c r="AB585" s="354"/>
      <c r="AC585" s="290"/>
      <c r="AD585" s="290"/>
      <c r="AE585" s="290"/>
      <c r="AF585" s="290"/>
      <c r="AG585" s="290"/>
      <c r="AH585" s="290"/>
      <c r="AI585" s="353">
        <v>1.34</v>
      </c>
      <c r="AJ585" s="39"/>
      <c r="AK585" s="39"/>
      <c r="AL585" s="39"/>
      <c r="AM585" s="289" t="s">
        <v>92</v>
      </c>
      <c r="AN585" s="289" t="s">
        <v>92</v>
      </c>
      <c r="AO585" s="289" t="s">
        <v>92</v>
      </c>
      <c r="AP585" s="289" t="s">
        <v>92</v>
      </c>
      <c r="AQ585" s="289" t="s">
        <v>92</v>
      </c>
      <c r="AR585" s="289" t="s">
        <v>92</v>
      </c>
      <c r="AS585" s="289" t="s">
        <v>92</v>
      </c>
      <c r="AT585" s="289" t="s">
        <v>92</v>
      </c>
      <c r="AU585" s="289" t="s">
        <v>92</v>
      </c>
      <c r="AV585" s="289" t="s">
        <v>92</v>
      </c>
      <c r="AW585" s="289" t="s">
        <v>92</v>
      </c>
      <c r="AX585" s="1885" t="s">
        <v>92</v>
      </c>
      <c r="AY585" s="289"/>
      <c r="AZ585" s="86"/>
      <c r="BA585" s="86"/>
      <c r="BB585" s="86"/>
      <c r="BC585" s="86"/>
      <c r="BD585" s="86"/>
      <c r="BE585" s="86"/>
    </row>
    <row r="586" spans="1:57" ht="15" customHeight="1" x14ac:dyDescent="0.4">
      <c r="A586" s="86"/>
      <c r="B586" s="1200"/>
      <c r="C586" s="290"/>
      <c r="D586" s="290"/>
      <c r="E586" s="290"/>
      <c r="F586" s="290"/>
      <c r="G586" s="290"/>
      <c r="H586" s="290"/>
      <c r="I586" s="290"/>
      <c r="J586" s="290"/>
      <c r="K586" s="290"/>
      <c r="L586" s="290"/>
      <c r="M586" s="290"/>
      <c r="N586" s="290"/>
      <c r="O586" s="290"/>
      <c r="P586" s="290"/>
      <c r="Q586" s="865" t="s">
        <v>622</v>
      </c>
      <c r="R586" s="866">
        <v>16</v>
      </c>
      <c r="S586" s="866">
        <v>25</v>
      </c>
      <c r="T586" s="866">
        <v>27</v>
      </c>
      <c r="U586" s="290"/>
      <c r="V586" s="685" t="b">
        <f t="shared" si="73"/>
        <v>0</v>
      </c>
      <c r="W586" s="685"/>
      <c r="X586" s="686">
        <f t="shared" si="74"/>
        <v>26</v>
      </c>
      <c r="Y586" s="290" t="str">
        <f t="shared" si="75"/>
        <v/>
      </c>
      <c r="Z586" s="290"/>
      <c r="AA586" s="290"/>
      <c r="AB586" s="354"/>
      <c r="AC586" s="290"/>
      <c r="AD586" s="290"/>
      <c r="AE586" s="290"/>
      <c r="AF586" s="290"/>
      <c r="AG586" s="290"/>
      <c r="AH586" s="290"/>
      <c r="AI586" s="353">
        <v>1.2857000000000001</v>
      </c>
      <c r="AJ586" s="39"/>
      <c r="AK586" s="39"/>
      <c r="AL586" s="39"/>
      <c r="AM586" s="289" t="s">
        <v>92</v>
      </c>
      <c r="AN586" s="289" t="s">
        <v>92</v>
      </c>
      <c r="AO586" s="289" t="s">
        <v>92</v>
      </c>
      <c r="AP586" s="289" t="s">
        <v>92</v>
      </c>
      <c r="AQ586" s="289" t="s">
        <v>92</v>
      </c>
      <c r="AR586" s="289" t="s">
        <v>92</v>
      </c>
      <c r="AS586" s="289" t="s">
        <v>92</v>
      </c>
      <c r="AT586" s="289" t="s">
        <v>92</v>
      </c>
      <c r="AU586" s="289" t="s">
        <v>92</v>
      </c>
      <c r="AV586" s="289" t="s">
        <v>92</v>
      </c>
      <c r="AW586" s="289" t="s">
        <v>92</v>
      </c>
      <c r="AX586" s="1885" t="s">
        <v>92</v>
      </c>
      <c r="AY586" s="289"/>
      <c r="AZ586" s="86"/>
      <c r="BA586" s="86"/>
      <c r="BB586" s="86"/>
      <c r="BC586" s="86"/>
      <c r="BD586" s="86"/>
      <c r="BE586" s="86"/>
    </row>
    <row r="587" spans="1:57" ht="15" customHeight="1" x14ac:dyDescent="0.4">
      <c r="A587" s="86"/>
      <c r="B587" s="1200"/>
      <c r="C587" s="290"/>
      <c r="D587" s="290"/>
      <c r="E587" s="290"/>
      <c r="F587" s="290"/>
      <c r="G587" s="290"/>
      <c r="H587" s="290"/>
      <c r="I587" s="290"/>
      <c r="J587" s="290"/>
      <c r="K587" s="290"/>
      <c r="L587" s="290"/>
      <c r="M587" s="290"/>
      <c r="N587" s="290"/>
      <c r="O587" s="290"/>
      <c r="P587" s="290"/>
      <c r="Q587" s="865" t="s">
        <v>623</v>
      </c>
      <c r="R587" s="866">
        <v>18</v>
      </c>
      <c r="S587" s="866">
        <v>0</v>
      </c>
      <c r="T587" s="866">
        <v>9</v>
      </c>
      <c r="U587" s="290"/>
      <c r="V587" s="685" t="b">
        <f t="shared" si="73"/>
        <v>0</v>
      </c>
      <c r="W587" s="685"/>
      <c r="X587" s="686">
        <f t="shared" si="74"/>
        <v>4.5</v>
      </c>
      <c r="Y587" s="290">
        <f t="shared" si="75"/>
        <v>6.5</v>
      </c>
      <c r="Z587" s="290"/>
      <c r="AA587" s="290"/>
      <c r="AB587" s="354"/>
      <c r="AC587" s="290"/>
      <c r="AD587" s="290"/>
      <c r="AE587" s="290"/>
      <c r="AF587" s="290"/>
      <c r="AG587" s="290"/>
      <c r="AH587" s="290"/>
      <c r="AI587" s="353">
        <v>0.69230000000000003</v>
      </c>
      <c r="AJ587" s="39"/>
      <c r="AK587" s="39"/>
      <c r="AL587" s="39"/>
      <c r="AM587" s="289" t="s">
        <v>92</v>
      </c>
      <c r="AN587" s="289" t="s">
        <v>92</v>
      </c>
      <c r="AO587" s="289" t="s">
        <v>92</v>
      </c>
      <c r="AP587" s="289" t="s">
        <v>92</v>
      </c>
      <c r="AQ587" s="289" t="s">
        <v>92</v>
      </c>
      <c r="AR587" s="289" t="s">
        <v>92</v>
      </c>
      <c r="AS587" s="289" t="s">
        <v>92</v>
      </c>
      <c r="AT587" s="289" t="s">
        <v>92</v>
      </c>
      <c r="AU587" s="289" t="s">
        <v>92</v>
      </c>
      <c r="AV587" s="289" t="s">
        <v>92</v>
      </c>
      <c r="AW587" s="289" t="s">
        <v>92</v>
      </c>
      <c r="AX587" s="1885" t="s">
        <v>92</v>
      </c>
      <c r="AY587" s="289"/>
      <c r="AZ587" s="86"/>
      <c r="BA587" s="86"/>
      <c r="BB587" s="86"/>
      <c r="BC587" s="86"/>
      <c r="BD587" s="86"/>
      <c r="BE587" s="86"/>
    </row>
    <row r="588" spans="1:57" ht="15" customHeight="1" x14ac:dyDescent="0.4">
      <c r="A588" s="86"/>
      <c r="B588" s="1200"/>
      <c r="C588" s="290"/>
      <c r="D588" s="290"/>
      <c r="E588" s="290"/>
      <c r="F588" s="290"/>
      <c r="G588" s="290"/>
      <c r="H588" s="290"/>
      <c r="I588" s="290"/>
      <c r="J588" s="290"/>
      <c r="K588" s="290"/>
      <c r="L588" s="290"/>
      <c r="M588" s="290"/>
      <c r="N588" s="290"/>
      <c r="O588" s="290"/>
      <c r="P588" s="290"/>
      <c r="Q588" s="865" t="s">
        <v>624</v>
      </c>
      <c r="R588" s="866">
        <v>18</v>
      </c>
      <c r="S588" s="866">
        <v>9</v>
      </c>
      <c r="T588" s="866">
        <v>13</v>
      </c>
      <c r="U588" s="290"/>
      <c r="V588" s="685" t="b">
        <f t="shared" si="73"/>
        <v>0</v>
      </c>
      <c r="W588" s="685"/>
      <c r="X588" s="686">
        <f t="shared" si="74"/>
        <v>11</v>
      </c>
      <c r="Y588" s="290">
        <f t="shared" si="75"/>
        <v>4.5</v>
      </c>
      <c r="Z588" s="290"/>
      <c r="AA588" s="290"/>
      <c r="AB588" s="354"/>
      <c r="AC588" s="290"/>
      <c r="AD588" s="290"/>
      <c r="AE588" s="290"/>
      <c r="AF588" s="290"/>
      <c r="AG588" s="290"/>
      <c r="AH588" s="290"/>
      <c r="AI588" s="353">
        <v>0.75160000000000005</v>
      </c>
      <c r="AJ588" s="39"/>
      <c r="AK588" s="39"/>
      <c r="AL588" s="39"/>
      <c r="AM588" s="289" t="s">
        <v>92</v>
      </c>
      <c r="AN588" s="289" t="s">
        <v>92</v>
      </c>
      <c r="AO588" s="289" t="s">
        <v>92</v>
      </c>
      <c r="AP588" s="289" t="s">
        <v>92</v>
      </c>
      <c r="AQ588" s="289" t="s">
        <v>92</v>
      </c>
      <c r="AR588" s="289" t="s">
        <v>92</v>
      </c>
      <c r="AS588" s="289" t="s">
        <v>92</v>
      </c>
      <c r="AT588" s="289" t="s">
        <v>92</v>
      </c>
      <c r="AU588" s="289" t="s">
        <v>92</v>
      </c>
      <c r="AV588" s="289" t="s">
        <v>92</v>
      </c>
      <c r="AW588" s="289" t="s">
        <v>92</v>
      </c>
      <c r="AX588" s="1885" t="s">
        <v>92</v>
      </c>
      <c r="AY588" s="289"/>
      <c r="AZ588" s="86"/>
      <c r="BA588" s="86"/>
      <c r="BB588" s="86"/>
      <c r="BC588" s="86"/>
      <c r="BD588" s="86"/>
      <c r="BE588" s="86"/>
    </row>
    <row r="589" spans="1:57" ht="15" customHeight="1" x14ac:dyDescent="0.4">
      <c r="A589" s="86"/>
      <c r="B589" s="1200"/>
      <c r="C589" s="290"/>
      <c r="D589" s="290"/>
      <c r="E589" s="290"/>
      <c r="F589" s="290"/>
      <c r="G589" s="290"/>
      <c r="H589" s="290"/>
      <c r="I589" s="290"/>
      <c r="J589" s="290"/>
      <c r="K589" s="290"/>
      <c r="L589" s="290"/>
      <c r="M589" s="290"/>
      <c r="N589" s="290"/>
      <c r="O589" s="290"/>
      <c r="P589" s="290"/>
      <c r="Q589" s="865" t="s">
        <v>625</v>
      </c>
      <c r="R589" s="866">
        <v>18</v>
      </c>
      <c r="S589" s="866">
        <v>13</v>
      </c>
      <c r="T589" s="866">
        <v>18</v>
      </c>
      <c r="U589" s="290"/>
      <c r="V589" s="685" t="b">
        <f t="shared" si="73"/>
        <v>0</v>
      </c>
      <c r="W589" s="685"/>
      <c r="X589" s="686">
        <f t="shared" si="74"/>
        <v>15.5</v>
      </c>
      <c r="Y589" s="290">
        <f t="shared" si="75"/>
        <v>4</v>
      </c>
      <c r="Z589" s="290"/>
      <c r="AA589" s="290"/>
      <c r="AB589" s="354"/>
      <c r="AC589" s="290"/>
      <c r="AD589" s="290"/>
      <c r="AE589" s="290"/>
      <c r="AF589" s="290"/>
      <c r="AG589" s="290"/>
      <c r="AH589" s="290"/>
      <c r="AI589" s="353">
        <v>0.77139999999999997</v>
      </c>
      <c r="AJ589" s="39"/>
      <c r="AK589" s="39"/>
      <c r="AL589" s="39"/>
      <c r="AM589" s="289" t="s">
        <v>92</v>
      </c>
      <c r="AN589" s="289" t="s">
        <v>92</v>
      </c>
      <c r="AO589" s="289" t="s">
        <v>92</v>
      </c>
      <c r="AP589" s="289" t="s">
        <v>92</v>
      </c>
      <c r="AQ589" s="289" t="s">
        <v>92</v>
      </c>
      <c r="AR589" s="289" t="s">
        <v>92</v>
      </c>
      <c r="AS589" s="289" t="s">
        <v>92</v>
      </c>
      <c r="AT589" s="289" t="s">
        <v>92</v>
      </c>
      <c r="AU589" s="289" t="s">
        <v>92</v>
      </c>
      <c r="AV589" s="289" t="s">
        <v>92</v>
      </c>
      <c r="AW589" s="289" t="s">
        <v>92</v>
      </c>
      <c r="AX589" s="1885" t="s">
        <v>92</v>
      </c>
      <c r="AY589" s="289"/>
      <c r="AZ589" s="86"/>
      <c r="BA589" s="86"/>
      <c r="BB589" s="86"/>
      <c r="BC589" s="86"/>
      <c r="BD589" s="86"/>
      <c r="BE589" s="86"/>
    </row>
    <row r="590" spans="1:57" ht="15" customHeight="1" x14ac:dyDescent="0.4">
      <c r="A590" s="86"/>
      <c r="B590" s="1200"/>
      <c r="C590" s="290"/>
      <c r="D590" s="290"/>
      <c r="E590" s="290"/>
      <c r="F590" s="290"/>
      <c r="G590" s="290"/>
      <c r="H590" s="290"/>
      <c r="I590" s="290"/>
      <c r="J590" s="290"/>
      <c r="K590" s="290"/>
      <c r="L590" s="290"/>
      <c r="M590" s="290"/>
      <c r="N590" s="290"/>
      <c r="O590" s="290"/>
      <c r="P590" s="290"/>
      <c r="Q590" s="865" t="s">
        <v>626</v>
      </c>
      <c r="R590" s="866">
        <v>18</v>
      </c>
      <c r="S590" s="866">
        <v>18</v>
      </c>
      <c r="T590" s="866">
        <v>21</v>
      </c>
      <c r="U590" s="290"/>
      <c r="V590" s="685" t="b">
        <f t="shared" si="73"/>
        <v>0</v>
      </c>
      <c r="W590" s="685"/>
      <c r="X590" s="686">
        <f t="shared" si="74"/>
        <v>19.5</v>
      </c>
      <c r="Y590" s="290">
        <f t="shared" si="75"/>
        <v>3</v>
      </c>
      <c r="Z590" s="290"/>
      <c r="AA590" s="290"/>
      <c r="AB590" s="354"/>
      <c r="AC590" s="290"/>
      <c r="AD590" s="290"/>
      <c r="AE590" s="290"/>
      <c r="AF590" s="290"/>
      <c r="AG590" s="290"/>
      <c r="AH590" s="290"/>
      <c r="AI590" s="353">
        <v>0.84079999999999999</v>
      </c>
      <c r="AJ590" s="39"/>
      <c r="AK590" s="39"/>
      <c r="AL590" s="39"/>
      <c r="AM590" s="289" t="s">
        <v>92</v>
      </c>
      <c r="AN590" s="289" t="s">
        <v>92</v>
      </c>
      <c r="AO590" s="289" t="s">
        <v>92</v>
      </c>
      <c r="AP590" s="289" t="s">
        <v>92</v>
      </c>
      <c r="AQ590" s="289" t="s">
        <v>92</v>
      </c>
      <c r="AR590" s="289" t="s">
        <v>92</v>
      </c>
      <c r="AS590" s="289" t="s">
        <v>92</v>
      </c>
      <c r="AT590" s="289" t="s">
        <v>92</v>
      </c>
      <c r="AU590" s="289" t="s">
        <v>92</v>
      </c>
      <c r="AV590" s="289" t="s">
        <v>92</v>
      </c>
      <c r="AW590" s="289" t="s">
        <v>92</v>
      </c>
      <c r="AX590" s="1885" t="s">
        <v>92</v>
      </c>
      <c r="AY590" s="289"/>
      <c r="AZ590" s="86"/>
      <c r="BA590" s="86"/>
      <c r="BB590" s="86"/>
      <c r="BC590" s="86"/>
      <c r="BD590" s="86"/>
      <c r="BE590" s="86"/>
    </row>
    <row r="591" spans="1:57" ht="15" customHeight="1" x14ac:dyDescent="0.4">
      <c r="A591" s="86"/>
      <c r="B591" s="1200"/>
      <c r="C591" s="290"/>
      <c r="D591" s="290"/>
      <c r="E591" s="290"/>
      <c r="F591" s="290"/>
      <c r="G591" s="290"/>
      <c r="H591" s="290"/>
      <c r="I591" s="290"/>
      <c r="J591" s="290"/>
      <c r="K591" s="290"/>
      <c r="L591" s="290"/>
      <c r="M591" s="290"/>
      <c r="N591" s="290"/>
      <c r="O591" s="290"/>
      <c r="P591" s="290"/>
      <c r="Q591" s="865" t="s">
        <v>627</v>
      </c>
      <c r="R591" s="866">
        <v>18</v>
      </c>
      <c r="S591" s="866">
        <v>21</v>
      </c>
      <c r="T591" s="866">
        <v>24</v>
      </c>
      <c r="U591" s="290"/>
      <c r="V591" s="685" t="b">
        <f t="shared" si="73"/>
        <v>0</v>
      </c>
      <c r="W591" s="685"/>
      <c r="X591" s="686">
        <f t="shared" si="74"/>
        <v>22.5</v>
      </c>
      <c r="Y591" s="290">
        <f t="shared" si="75"/>
        <v>2.5</v>
      </c>
      <c r="Z591" s="290"/>
      <c r="AA591" s="290"/>
      <c r="AB591" s="354"/>
      <c r="AC591" s="290"/>
      <c r="AD591" s="290"/>
      <c r="AE591" s="290"/>
      <c r="AF591" s="290"/>
      <c r="AG591" s="290"/>
      <c r="AH591" s="290"/>
      <c r="AI591" s="353">
        <v>0.83079999999999998</v>
      </c>
      <c r="AJ591" s="39"/>
      <c r="AK591" s="39"/>
      <c r="AL591" s="39"/>
      <c r="AM591" s="289" t="s">
        <v>92</v>
      </c>
      <c r="AN591" s="289" t="s">
        <v>92</v>
      </c>
      <c r="AO591" s="289" t="s">
        <v>92</v>
      </c>
      <c r="AP591" s="289" t="s">
        <v>92</v>
      </c>
      <c r="AQ591" s="289" t="s">
        <v>92</v>
      </c>
      <c r="AR591" s="289" t="s">
        <v>92</v>
      </c>
      <c r="AS591" s="289" t="s">
        <v>92</v>
      </c>
      <c r="AT591" s="289" t="s">
        <v>92</v>
      </c>
      <c r="AU591" s="289" t="s">
        <v>92</v>
      </c>
      <c r="AV591" s="289" t="s">
        <v>92</v>
      </c>
      <c r="AW591" s="289" t="s">
        <v>92</v>
      </c>
      <c r="AX591" s="1885" t="s">
        <v>92</v>
      </c>
      <c r="AY591" s="289"/>
      <c r="AZ591" s="86"/>
      <c r="BA591" s="86"/>
      <c r="BB591" s="86"/>
      <c r="BC591" s="86"/>
      <c r="BD591" s="86"/>
      <c r="BE591" s="86"/>
    </row>
    <row r="592" spans="1:57" ht="15" customHeight="1" x14ac:dyDescent="0.4">
      <c r="A592" s="86"/>
      <c r="B592" s="1200"/>
      <c r="C592" s="290"/>
      <c r="D592" s="290"/>
      <c r="E592" s="290"/>
      <c r="F592" s="290"/>
      <c r="G592" s="290"/>
      <c r="H592" s="290"/>
      <c r="I592" s="290"/>
      <c r="J592" s="290"/>
      <c r="K592" s="290"/>
      <c r="L592" s="290"/>
      <c r="M592" s="290"/>
      <c r="N592" s="290"/>
      <c r="O592" s="290"/>
      <c r="P592" s="290"/>
      <c r="Q592" s="865" t="s">
        <v>628</v>
      </c>
      <c r="R592" s="866">
        <v>18</v>
      </c>
      <c r="S592" s="866">
        <v>24</v>
      </c>
      <c r="T592" s="866">
        <v>26</v>
      </c>
      <c r="U592" s="290"/>
      <c r="V592" s="685" t="b">
        <f t="shared" si="73"/>
        <v>0</v>
      </c>
      <c r="W592" s="685"/>
      <c r="X592" s="686">
        <f t="shared" si="74"/>
        <v>25</v>
      </c>
      <c r="Y592" s="290">
        <f t="shared" si="75"/>
        <v>2.5</v>
      </c>
      <c r="Z592" s="290"/>
      <c r="AA592" s="290"/>
      <c r="AB592" s="354"/>
      <c r="AC592" s="290"/>
      <c r="AD592" s="290"/>
      <c r="AE592" s="290"/>
      <c r="AF592" s="290"/>
      <c r="AG592" s="290"/>
      <c r="AH592" s="290"/>
      <c r="AI592" s="353">
        <v>0.91</v>
      </c>
      <c r="AJ592" s="39"/>
      <c r="AK592" s="39"/>
      <c r="AL592" s="39"/>
      <c r="AM592" s="289" t="s">
        <v>92</v>
      </c>
      <c r="AN592" s="289" t="s">
        <v>92</v>
      </c>
      <c r="AO592" s="289" t="s">
        <v>92</v>
      </c>
      <c r="AP592" s="289" t="s">
        <v>92</v>
      </c>
      <c r="AQ592" s="289" t="s">
        <v>92</v>
      </c>
      <c r="AR592" s="289" t="s">
        <v>92</v>
      </c>
      <c r="AS592" s="289" t="s">
        <v>92</v>
      </c>
      <c r="AT592" s="289" t="s">
        <v>92</v>
      </c>
      <c r="AU592" s="289" t="s">
        <v>92</v>
      </c>
      <c r="AV592" s="289" t="s">
        <v>92</v>
      </c>
      <c r="AW592" s="289" t="s">
        <v>92</v>
      </c>
      <c r="AX592" s="1885" t="s">
        <v>92</v>
      </c>
      <c r="AY592" s="289"/>
      <c r="AZ592" s="86"/>
      <c r="BA592" s="86"/>
      <c r="BB592" s="86"/>
      <c r="BC592" s="86"/>
      <c r="BD592" s="86"/>
      <c r="BE592" s="86"/>
    </row>
    <row r="593" spans="1:57" ht="15" customHeight="1" x14ac:dyDescent="0.4">
      <c r="A593" s="86"/>
      <c r="B593" s="1200"/>
      <c r="C593" s="290"/>
      <c r="D593" s="290"/>
      <c r="E593" s="290"/>
      <c r="F593" s="290"/>
      <c r="G593" s="290"/>
      <c r="H593" s="290"/>
      <c r="I593" s="290"/>
      <c r="J593" s="290"/>
      <c r="K593" s="290"/>
      <c r="L593" s="290"/>
      <c r="M593" s="290"/>
      <c r="N593" s="290"/>
      <c r="O593" s="290"/>
      <c r="P593" s="290"/>
      <c r="Q593" s="865" t="s">
        <v>629</v>
      </c>
      <c r="R593" s="866">
        <v>18</v>
      </c>
      <c r="S593" s="866">
        <v>26</v>
      </c>
      <c r="T593" s="866">
        <v>29</v>
      </c>
      <c r="U593" s="290"/>
      <c r="V593" s="685" t="b">
        <f t="shared" si="73"/>
        <v>0</v>
      </c>
      <c r="W593" s="685"/>
      <c r="X593" s="686">
        <f t="shared" si="74"/>
        <v>27.5</v>
      </c>
      <c r="Y593" s="290" t="str">
        <f t="shared" si="75"/>
        <v/>
      </c>
      <c r="Z593" s="290"/>
      <c r="AA593" s="290"/>
      <c r="AB593" s="354"/>
      <c r="AC593" s="290"/>
      <c r="AD593" s="290"/>
      <c r="AE593" s="290"/>
      <c r="AF593" s="290"/>
      <c r="AG593" s="290"/>
      <c r="AH593" s="290"/>
      <c r="AI593" s="353">
        <v>1.3648</v>
      </c>
      <c r="AJ593" s="39"/>
      <c r="AK593" s="39"/>
      <c r="AL593" s="39"/>
      <c r="AM593" s="289" t="s">
        <v>92</v>
      </c>
      <c r="AN593" s="289" t="s">
        <v>92</v>
      </c>
      <c r="AO593" s="289" t="s">
        <v>92</v>
      </c>
      <c r="AP593" s="289" t="s">
        <v>92</v>
      </c>
      <c r="AQ593" s="289" t="s">
        <v>92</v>
      </c>
      <c r="AR593" s="289" t="s">
        <v>92</v>
      </c>
      <c r="AS593" s="289" t="s">
        <v>92</v>
      </c>
      <c r="AT593" s="289" t="s">
        <v>92</v>
      </c>
      <c r="AU593" s="289" t="s">
        <v>92</v>
      </c>
      <c r="AV593" s="289" t="s">
        <v>92</v>
      </c>
      <c r="AW593" s="289" t="s">
        <v>92</v>
      </c>
      <c r="AX593" s="1885" t="s">
        <v>92</v>
      </c>
      <c r="AY593" s="289"/>
      <c r="AZ593" s="86"/>
      <c r="BA593" s="86"/>
      <c r="BB593" s="86"/>
      <c r="BC593" s="86"/>
      <c r="BD593" s="86"/>
      <c r="BE593" s="86"/>
    </row>
    <row r="594" spans="1:57" ht="15" customHeight="1" x14ac:dyDescent="0.4">
      <c r="A594" s="86"/>
      <c r="B594" s="1200"/>
      <c r="C594" s="290"/>
      <c r="D594" s="290"/>
      <c r="E594" s="290"/>
      <c r="F594" s="290"/>
      <c r="G594" s="290"/>
      <c r="H594" s="290"/>
      <c r="I594" s="290"/>
      <c r="J594" s="290"/>
      <c r="K594" s="290"/>
      <c r="L594" s="290"/>
      <c r="M594" s="290"/>
      <c r="N594" s="290"/>
      <c r="O594" s="290"/>
      <c r="P594" s="290"/>
      <c r="Q594" s="865" t="s">
        <v>630</v>
      </c>
      <c r="R594" s="866">
        <v>20</v>
      </c>
      <c r="S594" s="866">
        <v>0</v>
      </c>
      <c r="T594" s="866">
        <v>10</v>
      </c>
      <c r="U594" s="290"/>
      <c r="V594" s="685" t="b">
        <f t="shared" ref="V594:V625" si="76">IF(AND(SHBTAdjSashWeight&gt;=$S594,SHBTAdjSashWeight&lt;=$T594,$S$550=$R594),TRUE,FALSE)</f>
        <v>0</v>
      </c>
      <c r="W594" s="685"/>
      <c r="X594" s="686">
        <f t="shared" si="74"/>
        <v>5</v>
      </c>
      <c r="Y594" s="290">
        <f t="shared" si="75"/>
        <v>7</v>
      </c>
      <c r="Z594" s="290"/>
      <c r="AA594" s="290"/>
      <c r="AB594" s="354"/>
      <c r="AC594" s="290"/>
      <c r="AD594" s="290"/>
      <c r="AE594" s="290"/>
      <c r="AF594" s="290"/>
      <c r="AG594" s="290"/>
      <c r="AH594" s="290"/>
      <c r="AI594" s="353">
        <v>0.74180000000000001</v>
      </c>
      <c r="AJ594" s="39"/>
      <c r="AK594" s="39"/>
      <c r="AL594" s="39"/>
      <c r="AM594" s="289" t="s">
        <v>92</v>
      </c>
      <c r="AN594" s="289" t="s">
        <v>92</v>
      </c>
      <c r="AO594" s="289" t="s">
        <v>92</v>
      </c>
      <c r="AP594" s="289" t="s">
        <v>92</v>
      </c>
      <c r="AQ594" s="289" t="s">
        <v>92</v>
      </c>
      <c r="AR594" s="289" t="s">
        <v>92</v>
      </c>
      <c r="AS594" s="289" t="s">
        <v>92</v>
      </c>
      <c r="AT594" s="289" t="s">
        <v>92</v>
      </c>
      <c r="AU594" s="289" t="s">
        <v>92</v>
      </c>
      <c r="AV594" s="289" t="s">
        <v>92</v>
      </c>
      <c r="AW594" s="289" t="s">
        <v>92</v>
      </c>
      <c r="AX594" s="1885" t="s">
        <v>92</v>
      </c>
      <c r="AY594" s="289"/>
      <c r="AZ594" s="86"/>
      <c r="BA594" s="86"/>
      <c r="BB594" s="86"/>
      <c r="BC594" s="86"/>
      <c r="BD594" s="86"/>
      <c r="BE594" s="86"/>
    </row>
    <row r="595" spans="1:57" ht="15" customHeight="1" x14ac:dyDescent="0.4">
      <c r="A595" s="86"/>
      <c r="B595" s="1200"/>
      <c r="C595" s="290"/>
      <c r="D595" s="290"/>
      <c r="E595" s="290"/>
      <c r="F595" s="290"/>
      <c r="G595" s="290"/>
      <c r="H595" s="290"/>
      <c r="I595" s="290"/>
      <c r="J595" s="290"/>
      <c r="K595" s="290"/>
      <c r="L595" s="290"/>
      <c r="M595" s="290"/>
      <c r="N595" s="290"/>
      <c r="O595" s="290"/>
      <c r="P595" s="290"/>
      <c r="Q595" s="865" t="s">
        <v>631</v>
      </c>
      <c r="R595" s="866">
        <v>20</v>
      </c>
      <c r="S595" s="866">
        <v>10</v>
      </c>
      <c r="T595" s="866">
        <v>14</v>
      </c>
      <c r="U595" s="290"/>
      <c r="V595" s="685" t="b">
        <f t="shared" si="76"/>
        <v>0</v>
      </c>
      <c r="W595" s="685"/>
      <c r="X595" s="686">
        <f t="shared" si="74"/>
        <v>12</v>
      </c>
      <c r="Y595" s="290">
        <f t="shared" si="75"/>
        <v>4</v>
      </c>
      <c r="Z595" s="290"/>
      <c r="AA595" s="290"/>
      <c r="AB595" s="354"/>
      <c r="AC595" s="290"/>
      <c r="AD595" s="290"/>
      <c r="AE595" s="290"/>
      <c r="AF595" s="290"/>
      <c r="AG595" s="290"/>
      <c r="AH595" s="290"/>
      <c r="AI595" s="353">
        <v>0.69230000000000003</v>
      </c>
      <c r="AJ595" s="39"/>
      <c r="AK595" s="39"/>
      <c r="AL595" s="39"/>
      <c r="AM595" s="289" t="s">
        <v>92</v>
      </c>
      <c r="AN595" s="289" t="s">
        <v>92</v>
      </c>
      <c r="AO595" s="289" t="s">
        <v>92</v>
      </c>
      <c r="AP595" s="289" t="s">
        <v>92</v>
      </c>
      <c r="AQ595" s="289" t="s">
        <v>92</v>
      </c>
      <c r="AR595" s="289" t="s">
        <v>92</v>
      </c>
      <c r="AS595" s="289" t="s">
        <v>92</v>
      </c>
      <c r="AT595" s="289" t="s">
        <v>92</v>
      </c>
      <c r="AU595" s="289" t="s">
        <v>92</v>
      </c>
      <c r="AV595" s="289" t="s">
        <v>92</v>
      </c>
      <c r="AW595" s="289" t="s">
        <v>92</v>
      </c>
      <c r="AX595" s="1885" t="s">
        <v>92</v>
      </c>
      <c r="AY595" s="289"/>
      <c r="AZ595" s="86"/>
      <c r="BA595" s="86"/>
      <c r="BB595" s="86"/>
      <c r="BC595" s="86"/>
      <c r="BD595" s="86"/>
      <c r="BE595" s="86"/>
    </row>
    <row r="596" spans="1:57" ht="15" customHeight="1" x14ac:dyDescent="0.4">
      <c r="A596" s="86"/>
      <c r="B596" s="1200"/>
      <c r="C596" s="290"/>
      <c r="D596" s="290"/>
      <c r="E596" s="290"/>
      <c r="F596" s="290"/>
      <c r="G596" s="290"/>
      <c r="H596" s="290"/>
      <c r="I596" s="290"/>
      <c r="J596" s="290"/>
      <c r="K596" s="290"/>
      <c r="L596" s="290"/>
      <c r="M596" s="290"/>
      <c r="N596" s="290"/>
      <c r="O596" s="290"/>
      <c r="P596" s="290"/>
      <c r="Q596" s="865" t="s">
        <v>632</v>
      </c>
      <c r="R596" s="866">
        <v>20</v>
      </c>
      <c r="S596" s="866">
        <v>14</v>
      </c>
      <c r="T596" s="866">
        <v>18</v>
      </c>
      <c r="U596" s="290"/>
      <c r="V596" s="685" t="b">
        <f t="shared" si="76"/>
        <v>0</v>
      </c>
      <c r="W596" s="685"/>
      <c r="X596" s="686">
        <f t="shared" si="74"/>
        <v>16</v>
      </c>
      <c r="Y596" s="290">
        <f t="shared" si="75"/>
        <v>4</v>
      </c>
      <c r="Z596" s="290"/>
      <c r="AA596" s="290"/>
      <c r="AB596" s="354"/>
      <c r="AC596" s="290"/>
      <c r="AD596" s="290"/>
      <c r="AE596" s="290"/>
      <c r="AF596" s="290"/>
      <c r="AG596" s="290"/>
      <c r="AH596" s="290"/>
      <c r="AI596" s="353">
        <v>0.79120000000000001</v>
      </c>
      <c r="AJ596" s="39"/>
      <c r="AK596" s="39"/>
      <c r="AL596" s="39"/>
      <c r="AM596" s="289" t="s">
        <v>92</v>
      </c>
      <c r="AN596" s="289" t="s">
        <v>92</v>
      </c>
      <c r="AO596" s="289" t="s">
        <v>92</v>
      </c>
      <c r="AP596" s="289" t="s">
        <v>92</v>
      </c>
      <c r="AQ596" s="289" t="s">
        <v>92</v>
      </c>
      <c r="AR596" s="289" t="s">
        <v>92</v>
      </c>
      <c r="AS596" s="289" t="s">
        <v>92</v>
      </c>
      <c r="AT596" s="289" t="s">
        <v>92</v>
      </c>
      <c r="AU596" s="289" t="s">
        <v>92</v>
      </c>
      <c r="AV596" s="289" t="s">
        <v>92</v>
      </c>
      <c r="AW596" s="289" t="s">
        <v>92</v>
      </c>
      <c r="AX596" s="1885" t="s">
        <v>92</v>
      </c>
      <c r="AY596" s="289"/>
      <c r="AZ596" s="86"/>
      <c r="BA596" s="86"/>
      <c r="BB596" s="86"/>
      <c r="BC596" s="86"/>
      <c r="BD596" s="86"/>
      <c r="BE596" s="86"/>
    </row>
    <row r="597" spans="1:57" ht="15" customHeight="1" x14ac:dyDescent="0.4">
      <c r="A597" s="86"/>
      <c r="B597" s="1200"/>
      <c r="C597" s="290"/>
      <c r="D597" s="290"/>
      <c r="E597" s="290"/>
      <c r="F597" s="290"/>
      <c r="G597" s="290"/>
      <c r="H597" s="290"/>
      <c r="I597" s="290"/>
      <c r="J597" s="290"/>
      <c r="K597" s="290"/>
      <c r="L597" s="290"/>
      <c r="M597" s="290"/>
      <c r="N597" s="290"/>
      <c r="O597" s="290"/>
      <c r="P597" s="290"/>
      <c r="Q597" s="865" t="s">
        <v>633</v>
      </c>
      <c r="R597" s="866">
        <v>20</v>
      </c>
      <c r="S597" s="866">
        <v>18</v>
      </c>
      <c r="T597" s="866">
        <v>22</v>
      </c>
      <c r="U597" s="290"/>
      <c r="V597" s="685" t="b">
        <f t="shared" si="76"/>
        <v>0</v>
      </c>
      <c r="W597" s="685"/>
      <c r="X597" s="686">
        <f t="shared" si="74"/>
        <v>20</v>
      </c>
      <c r="Y597" s="290">
        <f t="shared" si="75"/>
        <v>4</v>
      </c>
      <c r="Z597" s="290"/>
      <c r="AA597" s="290"/>
      <c r="AB597" s="354"/>
      <c r="AC597" s="290"/>
      <c r="AD597" s="290"/>
      <c r="AE597" s="290"/>
      <c r="AF597" s="290"/>
      <c r="AG597" s="290"/>
      <c r="AH597" s="290"/>
      <c r="AI597" s="353">
        <v>0.86040000000000005</v>
      </c>
      <c r="AJ597" s="39"/>
      <c r="AK597" s="39"/>
      <c r="AL597" s="39"/>
      <c r="AM597" s="289" t="s">
        <v>92</v>
      </c>
      <c r="AN597" s="289" t="s">
        <v>92</v>
      </c>
      <c r="AO597" s="289" t="s">
        <v>92</v>
      </c>
      <c r="AP597" s="289" t="s">
        <v>92</v>
      </c>
      <c r="AQ597" s="289" t="s">
        <v>92</v>
      </c>
      <c r="AR597" s="289" t="s">
        <v>92</v>
      </c>
      <c r="AS597" s="289" t="s">
        <v>92</v>
      </c>
      <c r="AT597" s="289" t="s">
        <v>92</v>
      </c>
      <c r="AU597" s="289" t="s">
        <v>92</v>
      </c>
      <c r="AV597" s="289" t="s">
        <v>92</v>
      </c>
      <c r="AW597" s="289" t="s">
        <v>92</v>
      </c>
      <c r="AX597" s="1885" t="s">
        <v>92</v>
      </c>
      <c r="AY597" s="289"/>
      <c r="AZ597" s="86"/>
      <c r="BA597" s="86"/>
      <c r="BB597" s="86"/>
      <c r="BC597" s="86"/>
      <c r="BD597" s="86"/>
      <c r="BE597" s="86"/>
    </row>
    <row r="598" spans="1:57" ht="15" customHeight="1" x14ac:dyDescent="0.4">
      <c r="A598" s="86"/>
      <c r="B598" s="1200"/>
      <c r="C598" s="290"/>
      <c r="D598" s="290"/>
      <c r="E598" s="290"/>
      <c r="F598" s="290"/>
      <c r="G598" s="290"/>
      <c r="H598" s="290"/>
      <c r="I598" s="290"/>
      <c r="J598" s="290"/>
      <c r="K598" s="290"/>
      <c r="L598" s="290"/>
      <c r="M598" s="290"/>
      <c r="N598" s="290"/>
      <c r="O598" s="290"/>
      <c r="P598" s="290"/>
      <c r="Q598" s="865" t="s">
        <v>634</v>
      </c>
      <c r="R598" s="866">
        <v>20</v>
      </c>
      <c r="S598" s="866">
        <v>22</v>
      </c>
      <c r="T598" s="866">
        <v>26</v>
      </c>
      <c r="U598" s="290"/>
      <c r="V598" s="685" t="b">
        <f t="shared" si="76"/>
        <v>0</v>
      </c>
      <c r="W598" s="685"/>
      <c r="X598" s="686">
        <f t="shared" ref="X598:X604" si="77">AVERAGE(S598:T598)</f>
        <v>24</v>
      </c>
      <c r="Y598" s="290">
        <f>IF(X598&gt;X599,"",X599-X598)</f>
        <v>4</v>
      </c>
      <c r="Z598" s="290"/>
      <c r="AA598" s="290"/>
      <c r="AB598" s="354"/>
      <c r="AC598" s="290"/>
      <c r="AD598" s="290"/>
      <c r="AE598" s="290"/>
      <c r="AF598" s="290"/>
      <c r="AG598" s="290"/>
      <c r="AH598" s="290"/>
      <c r="AI598" s="353">
        <v>0.88019999999999998</v>
      </c>
      <c r="AJ598" s="39"/>
      <c r="AK598" s="39"/>
      <c r="AL598" s="39"/>
      <c r="AM598" s="289" t="s">
        <v>92</v>
      </c>
      <c r="AN598" s="289" t="s">
        <v>92</v>
      </c>
      <c r="AO598" s="289" t="s">
        <v>92</v>
      </c>
      <c r="AP598" s="289" t="s">
        <v>92</v>
      </c>
      <c r="AQ598" s="289" t="s">
        <v>92</v>
      </c>
      <c r="AR598" s="289" t="s">
        <v>92</v>
      </c>
      <c r="AS598" s="289" t="s">
        <v>92</v>
      </c>
      <c r="AT598" s="289" t="s">
        <v>92</v>
      </c>
      <c r="AU598" s="289" t="s">
        <v>92</v>
      </c>
      <c r="AV598" s="289" t="s">
        <v>92</v>
      </c>
      <c r="AW598" s="289" t="s">
        <v>92</v>
      </c>
      <c r="AX598" s="1885" t="s">
        <v>92</v>
      </c>
      <c r="AY598" s="289"/>
      <c r="AZ598" s="86"/>
      <c r="BA598" s="86"/>
      <c r="BB598" s="86"/>
      <c r="BC598" s="86"/>
      <c r="BD598" s="86"/>
      <c r="BE598" s="86"/>
    </row>
    <row r="599" spans="1:57" ht="15" customHeight="1" x14ac:dyDescent="0.4">
      <c r="A599" s="86"/>
      <c r="B599" s="1200"/>
      <c r="C599" s="290"/>
      <c r="D599" s="290"/>
      <c r="E599" s="290"/>
      <c r="F599" s="290"/>
      <c r="G599" s="290"/>
      <c r="H599" s="290"/>
      <c r="I599" s="290"/>
      <c r="J599" s="290"/>
      <c r="K599" s="290"/>
      <c r="L599" s="290"/>
      <c r="M599" s="290"/>
      <c r="N599" s="290"/>
      <c r="O599" s="290"/>
      <c r="P599" s="290"/>
      <c r="Q599" s="865" t="s">
        <v>635</v>
      </c>
      <c r="R599" s="866">
        <v>20</v>
      </c>
      <c r="S599" s="866">
        <v>26</v>
      </c>
      <c r="T599" s="866">
        <v>30</v>
      </c>
      <c r="U599" s="290"/>
      <c r="V599" s="685" t="b">
        <f t="shared" si="76"/>
        <v>0</v>
      </c>
      <c r="W599" s="685"/>
      <c r="X599" s="686">
        <f t="shared" si="77"/>
        <v>28</v>
      </c>
      <c r="Y599" s="290">
        <f t="shared" ref="Y599:Y662" si="78">IF(X599&gt;X600,"",X600-X599)</f>
        <v>4</v>
      </c>
      <c r="Z599" s="290"/>
      <c r="AA599" s="290"/>
      <c r="AB599" s="354"/>
      <c r="AC599" s="290"/>
      <c r="AD599" s="290"/>
      <c r="AE599" s="290"/>
      <c r="AF599" s="290"/>
      <c r="AG599" s="290"/>
      <c r="AH599" s="290"/>
      <c r="AI599" s="353">
        <v>0.98899999999999999</v>
      </c>
      <c r="AJ599" s="39"/>
      <c r="AK599" s="39"/>
      <c r="AL599" s="39"/>
      <c r="AM599" s="289" t="s">
        <v>92</v>
      </c>
      <c r="AN599" s="289" t="s">
        <v>92</v>
      </c>
      <c r="AO599" s="289" t="s">
        <v>92</v>
      </c>
      <c r="AP599" s="289" t="s">
        <v>92</v>
      </c>
      <c r="AQ599" s="289" t="s">
        <v>92</v>
      </c>
      <c r="AR599" s="289" t="s">
        <v>92</v>
      </c>
      <c r="AS599" s="289" t="s">
        <v>92</v>
      </c>
      <c r="AT599" s="289" t="s">
        <v>92</v>
      </c>
      <c r="AU599" s="289" t="s">
        <v>92</v>
      </c>
      <c r="AV599" s="289" t="s">
        <v>92</v>
      </c>
      <c r="AW599" s="289" t="s">
        <v>92</v>
      </c>
      <c r="AX599" s="1885" t="s">
        <v>92</v>
      </c>
      <c r="AY599" s="289"/>
      <c r="AZ599" s="86"/>
      <c r="BA599" s="86"/>
      <c r="BB599" s="86"/>
      <c r="BC599" s="86"/>
      <c r="BD599" s="86"/>
      <c r="BE599" s="86"/>
    </row>
    <row r="600" spans="1:57" ht="15" customHeight="1" x14ac:dyDescent="0.4">
      <c r="A600" s="86"/>
      <c r="B600" s="1200"/>
      <c r="C600" s="290"/>
      <c r="D600" s="290"/>
      <c r="E600" s="290"/>
      <c r="F600" s="290"/>
      <c r="G600" s="290"/>
      <c r="H600" s="290"/>
      <c r="I600" s="290"/>
      <c r="J600" s="290"/>
      <c r="K600" s="290"/>
      <c r="L600" s="290"/>
      <c r="M600" s="290"/>
      <c r="N600" s="290"/>
      <c r="O600" s="290"/>
      <c r="P600" s="290"/>
      <c r="Q600" s="865" t="s">
        <v>636</v>
      </c>
      <c r="R600" s="866">
        <v>20</v>
      </c>
      <c r="S600" s="866">
        <v>30</v>
      </c>
      <c r="T600" s="866">
        <v>34</v>
      </c>
      <c r="U600" s="290"/>
      <c r="V600" s="685" t="b">
        <f t="shared" si="76"/>
        <v>0</v>
      </c>
      <c r="W600" s="685"/>
      <c r="X600" s="686">
        <f t="shared" si="77"/>
        <v>32</v>
      </c>
      <c r="Y600" s="290" t="str">
        <f t="shared" si="78"/>
        <v/>
      </c>
      <c r="Z600" s="290"/>
      <c r="AA600" s="290"/>
      <c r="AB600" s="354"/>
      <c r="AC600" s="290"/>
      <c r="AD600" s="290"/>
      <c r="AE600" s="290"/>
      <c r="AF600" s="290"/>
      <c r="AG600" s="290"/>
      <c r="AH600" s="290"/>
      <c r="AI600" s="353">
        <v>2.0099999999999998</v>
      </c>
      <c r="AJ600" s="39"/>
      <c r="AK600" s="39"/>
      <c r="AL600" s="39"/>
      <c r="AM600" s="289" t="s">
        <v>92</v>
      </c>
      <c r="AN600" s="289" t="s">
        <v>92</v>
      </c>
      <c r="AO600" s="289" t="s">
        <v>92</v>
      </c>
      <c r="AP600" s="289" t="s">
        <v>92</v>
      </c>
      <c r="AQ600" s="289" t="s">
        <v>92</v>
      </c>
      <c r="AR600" s="289" t="s">
        <v>92</v>
      </c>
      <c r="AS600" s="289" t="s">
        <v>92</v>
      </c>
      <c r="AT600" s="289" t="s">
        <v>92</v>
      </c>
      <c r="AU600" s="289" t="s">
        <v>92</v>
      </c>
      <c r="AV600" s="289" t="s">
        <v>92</v>
      </c>
      <c r="AW600" s="289" t="s">
        <v>92</v>
      </c>
      <c r="AX600" s="1885" t="s">
        <v>92</v>
      </c>
      <c r="AY600" s="289"/>
      <c r="AZ600" s="86"/>
      <c r="BA600" s="86"/>
      <c r="BB600" s="86"/>
      <c r="BC600" s="86"/>
      <c r="BD600" s="86"/>
      <c r="BE600" s="86"/>
    </row>
    <row r="601" spans="1:57" ht="15" customHeight="1" x14ac:dyDescent="0.4">
      <c r="A601" s="86"/>
      <c r="B601" s="1200"/>
      <c r="C601" s="290"/>
      <c r="D601" s="290"/>
      <c r="E601" s="290"/>
      <c r="F601" s="290"/>
      <c r="G601" s="290"/>
      <c r="H601" s="290"/>
      <c r="I601" s="290"/>
      <c r="J601" s="290"/>
      <c r="K601" s="290"/>
      <c r="L601" s="290"/>
      <c r="M601" s="290"/>
      <c r="N601" s="290"/>
      <c r="O601" s="290"/>
      <c r="P601" s="290"/>
      <c r="Q601" s="865" t="s">
        <v>637</v>
      </c>
      <c r="R601" s="866">
        <v>22</v>
      </c>
      <c r="S601" s="866">
        <v>0</v>
      </c>
      <c r="T601" s="866">
        <v>10</v>
      </c>
      <c r="U601" s="290"/>
      <c r="V601" s="685" t="b">
        <f t="shared" si="76"/>
        <v>0</v>
      </c>
      <c r="W601" s="685"/>
      <c r="X601" s="686">
        <f t="shared" si="77"/>
        <v>5</v>
      </c>
      <c r="Y601" s="290">
        <f t="shared" si="78"/>
        <v>8</v>
      </c>
      <c r="Z601" s="290"/>
      <c r="AA601" s="290"/>
      <c r="AB601" s="354"/>
      <c r="AC601" s="290"/>
      <c r="AD601" s="290"/>
      <c r="AE601" s="290"/>
      <c r="AF601" s="290"/>
      <c r="AG601" s="290"/>
      <c r="AH601" s="290"/>
      <c r="AI601" s="353">
        <v>0.79120000000000001</v>
      </c>
      <c r="AJ601" s="39"/>
      <c r="AK601" s="39"/>
      <c r="AL601" s="39"/>
      <c r="AM601" s="289" t="s">
        <v>92</v>
      </c>
      <c r="AN601" s="289" t="s">
        <v>92</v>
      </c>
      <c r="AO601" s="289" t="s">
        <v>92</v>
      </c>
      <c r="AP601" s="289" t="s">
        <v>92</v>
      </c>
      <c r="AQ601" s="289" t="s">
        <v>92</v>
      </c>
      <c r="AR601" s="289" t="s">
        <v>92</v>
      </c>
      <c r="AS601" s="289" t="s">
        <v>92</v>
      </c>
      <c r="AT601" s="289" t="s">
        <v>92</v>
      </c>
      <c r="AU601" s="289" t="s">
        <v>92</v>
      </c>
      <c r="AV601" s="289" t="s">
        <v>92</v>
      </c>
      <c r="AW601" s="289" t="s">
        <v>92</v>
      </c>
      <c r="AX601" s="1885" t="s">
        <v>92</v>
      </c>
      <c r="AY601" s="289"/>
      <c r="AZ601" s="86"/>
      <c r="BA601" s="86"/>
      <c r="BB601" s="86"/>
      <c r="BC601" s="86"/>
      <c r="BD601" s="86"/>
      <c r="BE601" s="86"/>
    </row>
    <row r="602" spans="1:57" ht="15" customHeight="1" x14ac:dyDescent="0.4">
      <c r="A602" s="86"/>
      <c r="B602" s="1200"/>
      <c r="C602" s="290"/>
      <c r="D602" s="290"/>
      <c r="E602" s="290"/>
      <c r="F602" s="290"/>
      <c r="G602" s="290"/>
      <c r="H602" s="290"/>
      <c r="I602" s="290"/>
      <c r="J602" s="290"/>
      <c r="K602" s="290"/>
      <c r="L602" s="290"/>
      <c r="M602" s="290"/>
      <c r="N602" s="290"/>
      <c r="O602" s="290"/>
      <c r="P602" s="290"/>
      <c r="Q602" s="865" t="s">
        <v>638</v>
      </c>
      <c r="R602" s="866">
        <v>22</v>
      </c>
      <c r="S602" s="866">
        <v>10</v>
      </c>
      <c r="T602" s="866">
        <v>16</v>
      </c>
      <c r="U602" s="290"/>
      <c r="V602" s="685" t="b">
        <f t="shared" si="76"/>
        <v>0</v>
      </c>
      <c r="W602" s="685"/>
      <c r="X602" s="686">
        <f t="shared" si="77"/>
        <v>13</v>
      </c>
      <c r="Y602" s="290">
        <f t="shared" si="78"/>
        <v>5.5</v>
      </c>
      <c r="Z602" s="290"/>
      <c r="AA602" s="290"/>
      <c r="AB602" s="354"/>
      <c r="AC602" s="290"/>
      <c r="AD602" s="290"/>
      <c r="AE602" s="290"/>
      <c r="AF602" s="290"/>
      <c r="AG602" s="290"/>
      <c r="AH602" s="290"/>
      <c r="AI602" s="353">
        <v>0.79120000000000001</v>
      </c>
      <c r="AJ602" s="39"/>
      <c r="AK602" s="39"/>
      <c r="AL602" s="39"/>
      <c r="AM602" s="289" t="s">
        <v>92</v>
      </c>
      <c r="AN602" s="289" t="s">
        <v>92</v>
      </c>
      <c r="AO602" s="289" t="s">
        <v>92</v>
      </c>
      <c r="AP602" s="289" t="s">
        <v>92</v>
      </c>
      <c r="AQ602" s="289" t="s">
        <v>92</v>
      </c>
      <c r="AR602" s="289" t="s">
        <v>92</v>
      </c>
      <c r="AS602" s="289" t="s">
        <v>92</v>
      </c>
      <c r="AT602" s="289" t="s">
        <v>92</v>
      </c>
      <c r="AU602" s="289" t="s">
        <v>92</v>
      </c>
      <c r="AV602" s="289" t="s">
        <v>92</v>
      </c>
      <c r="AW602" s="289" t="s">
        <v>92</v>
      </c>
      <c r="AX602" s="1885" t="s">
        <v>92</v>
      </c>
      <c r="AY602" s="289"/>
      <c r="AZ602" s="86"/>
      <c r="BA602" s="86"/>
      <c r="BB602" s="86"/>
      <c r="BC602" s="86"/>
      <c r="BD602" s="86"/>
      <c r="BE602" s="86"/>
    </row>
    <row r="603" spans="1:57" ht="15" customHeight="1" x14ac:dyDescent="0.4">
      <c r="A603" s="86"/>
      <c r="B603" s="1200"/>
      <c r="C603" s="290"/>
      <c r="D603" s="290"/>
      <c r="E603" s="290"/>
      <c r="F603" s="290"/>
      <c r="G603" s="290"/>
      <c r="H603" s="290"/>
      <c r="I603" s="290"/>
      <c r="J603" s="290"/>
      <c r="K603" s="290"/>
      <c r="L603" s="290"/>
      <c r="M603" s="290"/>
      <c r="N603" s="290"/>
      <c r="O603" s="290"/>
      <c r="P603" s="290"/>
      <c r="Q603" s="865" t="s">
        <v>639</v>
      </c>
      <c r="R603" s="866">
        <v>22</v>
      </c>
      <c r="S603" s="866">
        <v>16</v>
      </c>
      <c r="T603" s="866">
        <v>21</v>
      </c>
      <c r="U603" s="290"/>
      <c r="V603" s="685" t="b">
        <f t="shared" si="76"/>
        <v>0</v>
      </c>
      <c r="W603" s="685"/>
      <c r="X603" s="686">
        <f t="shared" si="77"/>
        <v>18.5</v>
      </c>
      <c r="Y603" s="290">
        <f t="shared" si="78"/>
        <v>4</v>
      </c>
      <c r="Z603" s="290"/>
      <c r="AA603" s="290"/>
      <c r="AB603" s="354"/>
      <c r="AC603" s="290"/>
      <c r="AD603" s="290"/>
      <c r="AE603" s="290"/>
      <c r="AF603" s="290"/>
      <c r="AG603" s="290"/>
      <c r="AH603" s="290"/>
      <c r="AI603" s="353">
        <v>0.8407</v>
      </c>
      <c r="AJ603" s="39"/>
      <c r="AK603" s="39"/>
      <c r="AL603" s="39"/>
      <c r="AM603" s="289" t="s">
        <v>92</v>
      </c>
      <c r="AN603" s="289" t="s">
        <v>92</v>
      </c>
      <c r="AO603" s="289" t="s">
        <v>92</v>
      </c>
      <c r="AP603" s="289" t="s">
        <v>92</v>
      </c>
      <c r="AQ603" s="289" t="s">
        <v>92</v>
      </c>
      <c r="AR603" s="289" t="s">
        <v>92</v>
      </c>
      <c r="AS603" s="289" t="s">
        <v>92</v>
      </c>
      <c r="AT603" s="289" t="s">
        <v>92</v>
      </c>
      <c r="AU603" s="289" t="s">
        <v>92</v>
      </c>
      <c r="AV603" s="289" t="s">
        <v>92</v>
      </c>
      <c r="AW603" s="289" t="s">
        <v>92</v>
      </c>
      <c r="AX603" s="1885" t="s">
        <v>92</v>
      </c>
      <c r="AY603" s="289"/>
      <c r="AZ603" s="86"/>
      <c r="BA603" s="86"/>
      <c r="BB603" s="86"/>
      <c r="BC603" s="86"/>
      <c r="BD603" s="86"/>
      <c r="BE603" s="86"/>
    </row>
    <row r="604" spans="1:57" ht="15" customHeight="1" x14ac:dyDescent="0.4">
      <c r="A604" s="86"/>
      <c r="B604" s="1200"/>
      <c r="C604" s="290"/>
      <c r="D604" s="290"/>
      <c r="E604" s="290"/>
      <c r="F604" s="290"/>
      <c r="G604" s="290"/>
      <c r="H604" s="290"/>
      <c r="I604" s="290"/>
      <c r="J604" s="290"/>
      <c r="K604" s="290"/>
      <c r="L604" s="290"/>
      <c r="M604" s="290"/>
      <c r="N604" s="290"/>
      <c r="O604" s="290"/>
      <c r="P604" s="290"/>
      <c r="Q604" s="865" t="s">
        <v>640</v>
      </c>
      <c r="R604" s="866">
        <v>22</v>
      </c>
      <c r="S604" s="866">
        <v>21</v>
      </c>
      <c r="T604" s="866">
        <v>24</v>
      </c>
      <c r="U604" s="290"/>
      <c r="V604" s="685" t="b">
        <f t="shared" si="76"/>
        <v>0</v>
      </c>
      <c r="W604" s="685"/>
      <c r="X604" s="686">
        <f t="shared" si="77"/>
        <v>22.5</v>
      </c>
      <c r="Y604" s="290">
        <f t="shared" si="78"/>
        <v>3</v>
      </c>
      <c r="Z604" s="290"/>
      <c r="AA604" s="290"/>
      <c r="AB604" s="354"/>
      <c r="AC604" s="290"/>
      <c r="AD604" s="290"/>
      <c r="AE604" s="290"/>
      <c r="AF604" s="290"/>
      <c r="AG604" s="290"/>
      <c r="AH604" s="290"/>
      <c r="AI604" s="353">
        <v>0.92969999999999997</v>
      </c>
      <c r="AJ604" s="39"/>
      <c r="AK604" s="39"/>
      <c r="AL604" s="39"/>
      <c r="AM604" s="289" t="s">
        <v>92</v>
      </c>
      <c r="AN604" s="289" t="s">
        <v>92</v>
      </c>
      <c r="AO604" s="289" t="s">
        <v>92</v>
      </c>
      <c r="AP604" s="289" t="s">
        <v>92</v>
      </c>
      <c r="AQ604" s="289" t="s">
        <v>92</v>
      </c>
      <c r="AR604" s="289" t="s">
        <v>92</v>
      </c>
      <c r="AS604" s="289" t="s">
        <v>92</v>
      </c>
      <c r="AT604" s="289" t="s">
        <v>92</v>
      </c>
      <c r="AU604" s="289" t="s">
        <v>92</v>
      </c>
      <c r="AV604" s="289" t="s">
        <v>92</v>
      </c>
      <c r="AW604" s="289" t="s">
        <v>92</v>
      </c>
      <c r="AX604" s="1885" t="s">
        <v>92</v>
      </c>
      <c r="AY604" s="289"/>
      <c r="AZ604" s="86"/>
      <c r="BA604" s="86"/>
      <c r="BB604" s="86"/>
      <c r="BC604" s="86"/>
      <c r="BD604" s="86"/>
      <c r="BE604" s="86"/>
    </row>
    <row r="605" spans="1:57" ht="15" customHeight="1" x14ac:dyDescent="0.4">
      <c r="A605" s="86"/>
      <c r="B605" s="1200"/>
      <c r="C605" s="290"/>
      <c r="D605" s="290"/>
      <c r="E605" s="290"/>
      <c r="F605" s="290"/>
      <c r="G605" s="290"/>
      <c r="H605" s="290"/>
      <c r="I605" s="290"/>
      <c r="J605" s="290"/>
      <c r="K605" s="290"/>
      <c r="L605" s="290"/>
      <c r="M605" s="290"/>
      <c r="N605" s="290"/>
      <c r="O605" s="290"/>
      <c r="P605" s="290"/>
      <c r="Q605" s="865" t="s">
        <v>641</v>
      </c>
      <c r="R605" s="866">
        <v>22</v>
      </c>
      <c r="S605" s="866">
        <v>24</v>
      </c>
      <c r="T605" s="866">
        <v>27</v>
      </c>
      <c r="U605" s="290"/>
      <c r="V605" s="685" t="b">
        <f t="shared" si="76"/>
        <v>0</v>
      </c>
      <c r="W605" s="685"/>
      <c r="X605" s="686">
        <f t="shared" ref="X605:X610" si="79">AVERAGE(S605:T605)</f>
        <v>25.5</v>
      </c>
      <c r="Y605" s="290">
        <f t="shared" si="78"/>
        <v>3</v>
      </c>
      <c r="Z605" s="290"/>
      <c r="AA605" s="290"/>
      <c r="AB605" s="354"/>
      <c r="AC605" s="290"/>
      <c r="AD605" s="290"/>
      <c r="AE605" s="290"/>
      <c r="AF605" s="290"/>
      <c r="AG605" s="290"/>
      <c r="AH605" s="290"/>
      <c r="AI605" s="353">
        <v>1.04</v>
      </c>
      <c r="AJ605" s="39"/>
      <c r="AK605" s="39"/>
      <c r="AL605" s="39"/>
      <c r="AM605" s="289" t="s">
        <v>92</v>
      </c>
      <c r="AN605" s="289" t="s">
        <v>92</v>
      </c>
      <c r="AO605" s="289" t="s">
        <v>92</v>
      </c>
      <c r="AP605" s="289" t="s">
        <v>92</v>
      </c>
      <c r="AQ605" s="289" t="s">
        <v>92</v>
      </c>
      <c r="AR605" s="289" t="s">
        <v>92</v>
      </c>
      <c r="AS605" s="289" t="s">
        <v>92</v>
      </c>
      <c r="AT605" s="289" t="s">
        <v>92</v>
      </c>
      <c r="AU605" s="289" t="s">
        <v>92</v>
      </c>
      <c r="AV605" s="289" t="s">
        <v>92</v>
      </c>
      <c r="AW605" s="289" t="s">
        <v>92</v>
      </c>
      <c r="AX605" s="1885" t="s">
        <v>92</v>
      </c>
      <c r="AY605" s="289"/>
      <c r="AZ605" s="86"/>
      <c r="BA605" s="86"/>
      <c r="BB605" s="86"/>
      <c r="BC605" s="86"/>
      <c r="BD605" s="86"/>
      <c r="BE605" s="86"/>
    </row>
    <row r="606" spans="1:57" ht="15" customHeight="1" x14ac:dyDescent="0.4">
      <c r="A606" s="86"/>
      <c r="B606" s="1200"/>
      <c r="C606" s="290"/>
      <c r="D606" s="290"/>
      <c r="E606" s="290"/>
      <c r="F606" s="290"/>
      <c r="G606" s="290"/>
      <c r="H606" s="290"/>
      <c r="I606" s="290"/>
      <c r="J606" s="290"/>
      <c r="K606" s="290"/>
      <c r="L606" s="290"/>
      <c r="M606" s="290"/>
      <c r="N606" s="290"/>
      <c r="O606" s="290"/>
      <c r="P606" s="290"/>
      <c r="Q606" s="865" t="s">
        <v>642</v>
      </c>
      <c r="R606" s="866">
        <v>22</v>
      </c>
      <c r="S606" s="866">
        <v>27</v>
      </c>
      <c r="T606" s="866">
        <v>30</v>
      </c>
      <c r="U606" s="290"/>
      <c r="V606" s="685" t="b">
        <f t="shared" si="76"/>
        <v>0</v>
      </c>
      <c r="W606" s="685"/>
      <c r="X606" s="686">
        <f t="shared" si="79"/>
        <v>28.5</v>
      </c>
      <c r="Y606" s="290">
        <f t="shared" si="78"/>
        <v>3.5</v>
      </c>
      <c r="Z606" s="290"/>
      <c r="AA606" s="290"/>
      <c r="AB606" s="354"/>
      <c r="AC606" s="290"/>
      <c r="AD606" s="290"/>
      <c r="AE606" s="290"/>
      <c r="AF606" s="290"/>
      <c r="AG606" s="290"/>
      <c r="AH606" s="290"/>
      <c r="AI606" s="353">
        <v>1.53</v>
      </c>
      <c r="AJ606" s="39"/>
      <c r="AK606" s="39"/>
      <c r="AL606" s="39"/>
      <c r="AM606" s="289" t="s">
        <v>92</v>
      </c>
      <c r="AN606" s="289" t="s">
        <v>92</v>
      </c>
      <c r="AO606" s="289" t="s">
        <v>92</v>
      </c>
      <c r="AP606" s="289" t="s">
        <v>92</v>
      </c>
      <c r="AQ606" s="289" t="s">
        <v>92</v>
      </c>
      <c r="AR606" s="289" t="s">
        <v>92</v>
      </c>
      <c r="AS606" s="289" t="s">
        <v>92</v>
      </c>
      <c r="AT606" s="289" t="s">
        <v>92</v>
      </c>
      <c r="AU606" s="289" t="s">
        <v>92</v>
      </c>
      <c r="AV606" s="289" t="s">
        <v>92</v>
      </c>
      <c r="AW606" s="289" t="s">
        <v>92</v>
      </c>
      <c r="AX606" s="1885" t="s">
        <v>92</v>
      </c>
      <c r="AY606" s="289"/>
      <c r="AZ606" s="86"/>
      <c r="BA606" s="86"/>
      <c r="BB606" s="86"/>
      <c r="BC606" s="86"/>
      <c r="BD606" s="86"/>
      <c r="BE606" s="86"/>
    </row>
    <row r="607" spans="1:57" ht="15" customHeight="1" x14ac:dyDescent="0.4">
      <c r="A607" s="86"/>
      <c r="B607" s="1200"/>
      <c r="C607" s="290"/>
      <c r="D607" s="290"/>
      <c r="E607" s="290"/>
      <c r="F607" s="290"/>
      <c r="G607" s="290"/>
      <c r="H607" s="290"/>
      <c r="I607" s="290"/>
      <c r="J607" s="290"/>
      <c r="K607" s="290"/>
      <c r="L607" s="290"/>
      <c r="M607" s="290"/>
      <c r="N607" s="290"/>
      <c r="O607" s="290"/>
      <c r="P607" s="290"/>
      <c r="Q607" s="865" t="s">
        <v>643</v>
      </c>
      <c r="R607" s="866">
        <v>22</v>
      </c>
      <c r="S607" s="866">
        <v>30</v>
      </c>
      <c r="T607" s="866">
        <v>34</v>
      </c>
      <c r="U607" s="290"/>
      <c r="V607" s="685" t="b">
        <f t="shared" si="76"/>
        <v>0</v>
      </c>
      <c r="W607" s="685"/>
      <c r="X607" s="686">
        <f t="shared" si="79"/>
        <v>32</v>
      </c>
      <c r="Y607" s="290">
        <f t="shared" si="78"/>
        <v>3.5</v>
      </c>
      <c r="Z607" s="290"/>
      <c r="AA607" s="290"/>
      <c r="AB607" s="354"/>
      <c r="AC607" s="290"/>
      <c r="AD607" s="290"/>
      <c r="AE607" s="290"/>
      <c r="AF607" s="290"/>
      <c r="AG607" s="290"/>
      <c r="AH607" s="290"/>
      <c r="AI607" s="353">
        <v>1.68</v>
      </c>
      <c r="AJ607" s="39"/>
      <c r="AK607" s="39"/>
      <c r="AL607" s="39"/>
      <c r="AM607" s="289" t="s">
        <v>92</v>
      </c>
      <c r="AN607" s="289" t="s">
        <v>92</v>
      </c>
      <c r="AO607" s="289" t="s">
        <v>92</v>
      </c>
      <c r="AP607" s="289" t="s">
        <v>92</v>
      </c>
      <c r="AQ607" s="289" t="s">
        <v>92</v>
      </c>
      <c r="AR607" s="289" t="s">
        <v>92</v>
      </c>
      <c r="AS607" s="289" t="s">
        <v>92</v>
      </c>
      <c r="AT607" s="289" t="s">
        <v>92</v>
      </c>
      <c r="AU607" s="289" t="s">
        <v>92</v>
      </c>
      <c r="AV607" s="289" t="s">
        <v>92</v>
      </c>
      <c r="AW607" s="289" t="s">
        <v>92</v>
      </c>
      <c r="AX607" s="1885" t="s">
        <v>92</v>
      </c>
      <c r="AY607" s="289"/>
      <c r="AZ607" s="86"/>
      <c r="BA607" s="86"/>
      <c r="BB607" s="86"/>
      <c r="BC607" s="86"/>
      <c r="BD607" s="86"/>
      <c r="BE607" s="86"/>
    </row>
    <row r="608" spans="1:57" ht="15" customHeight="1" x14ac:dyDescent="0.4">
      <c r="A608" s="86"/>
      <c r="B608" s="1200"/>
      <c r="C608" s="290"/>
      <c r="D608" s="290"/>
      <c r="E608" s="290"/>
      <c r="F608" s="290"/>
      <c r="G608" s="290"/>
      <c r="H608" s="290"/>
      <c r="I608" s="290"/>
      <c r="J608" s="290"/>
      <c r="K608" s="290"/>
      <c r="L608" s="290"/>
      <c r="M608" s="290"/>
      <c r="N608" s="290"/>
      <c r="O608" s="290"/>
      <c r="P608" s="290"/>
      <c r="Q608" s="865" t="s">
        <v>644</v>
      </c>
      <c r="R608" s="866">
        <v>22</v>
      </c>
      <c r="S608" s="866">
        <v>34</v>
      </c>
      <c r="T608" s="866">
        <v>37</v>
      </c>
      <c r="U608" s="290"/>
      <c r="V608" s="685" t="b">
        <f t="shared" si="76"/>
        <v>0</v>
      </c>
      <c r="W608" s="685"/>
      <c r="X608" s="686">
        <f t="shared" si="79"/>
        <v>35.5</v>
      </c>
      <c r="Y608" s="290" t="str">
        <f>IF(X608&gt;X609,"",X609-X608)</f>
        <v/>
      </c>
      <c r="Z608" s="290"/>
      <c r="AA608" s="290"/>
      <c r="AB608" s="354"/>
      <c r="AC608" s="290"/>
      <c r="AD608" s="290"/>
      <c r="AE608" s="290"/>
      <c r="AF608" s="290"/>
      <c r="AG608" s="290"/>
      <c r="AH608" s="290"/>
      <c r="AI608" s="353">
        <v>1.8</v>
      </c>
      <c r="AJ608" s="39"/>
      <c r="AK608" s="39"/>
      <c r="AL608" s="39"/>
      <c r="AM608" s="289" t="s">
        <v>92</v>
      </c>
      <c r="AN608" s="289" t="s">
        <v>92</v>
      </c>
      <c r="AO608" s="289" t="s">
        <v>92</v>
      </c>
      <c r="AP608" s="289" t="s">
        <v>92</v>
      </c>
      <c r="AQ608" s="289" t="s">
        <v>92</v>
      </c>
      <c r="AR608" s="289" t="s">
        <v>92</v>
      </c>
      <c r="AS608" s="289" t="s">
        <v>92</v>
      </c>
      <c r="AT608" s="289" t="s">
        <v>92</v>
      </c>
      <c r="AU608" s="289" t="s">
        <v>92</v>
      </c>
      <c r="AV608" s="289" t="s">
        <v>92</v>
      </c>
      <c r="AW608" s="289" t="s">
        <v>92</v>
      </c>
      <c r="AX608" s="1885" t="s">
        <v>92</v>
      </c>
      <c r="AY608" s="289"/>
      <c r="AZ608" s="86"/>
      <c r="BA608" s="86"/>
      <c r="BB608" s="86"/>
      <c r="BC608" s="86"/>
      <c r="BD608" s="86"/>
      <c r="BE608" s="86"/>
    </row>
    <row r="609" spans="1:57" ht="15" customHeight="1" x14ac:dyDescent="0.4">
      <c r="A609" s="86"/>
      <c r="B609" s="1200"/>
      <c r="C609" s="290"/>
      <c r="D609" s="290"/>
      <c r="E609" s="290"/>
      <c r="F609" s="290"/>
      <c r="G609" s="290"/>
      <c r="H609" s="290"/>
      <c r="I609" s="290"/>
      <c r="J609" s="290"/>
      <c r="K609" s="290"/>
      <c r="L609" s="290"/>
      <c r="M609" s="290"/>
      <c r="N609" s="290"/>
      <c r="O609" s="290"/>
      <c r="P609" s="290"/>
      <c r="Q609" s="865" t="s">
        <v>645</v>
      </c>
      <c r="R609" s="866">
        <v>24</v>
      </c>
      <c r="S609" s="866">
        <v>0</v>
      </c>
      <c r="T609" s="866">
        <v>11</v>
      </c>
      <c r="U609" s="290"/>
      <c r="V609" s="685" t="b">
        <f t="shared" si="76"/>
        <v>0</v>
      </c>
      <c r="W609" s="685"/>
      <c r="X609" s="686">
        <f t="shared" si="79"/>
        <v>5.5</v>
      </c>
      <c r="Y609" s="290">
        <f t="shared" si="78"/>
        <v>8.5</v>
      </c>
      <c r="Z609" s="290"/>
      <c r="AA609" s="290"/>
      <c r="AB609" s="354"/>
      <c r="AC609" s="290"/>
      <c r="AD609" s="290"/>
      <c r="AE609" s="290"/>
      <c r="AF609" s="290"/>
      <c r="AG609" s="290"/>
      <c r="AH609" s="290"/>
      <c r="AI609" s="353">
        <v>0.80110000000000003</v>
      </c>
      <c r="AJ609" s="39"/>
      <c r="AK609" s="39"/>
      <c r="AL609" s="39"/>
      <c r="AM609" s="289" t="s">
        <v>92</v>
      </c>
      <c r="AN609" s="289" t="s">
        <v>92</v>
      </c>
      <c r="AO609" s="289" t="s">
        <v>92</v>
      </c>
      <c r="AP609" s="289" t="s">
        <v>92</v>
      </c>
      <c r="AQ609" s="289" t="s">
        <v>92</v>
      </c>
      <c r="AR609" s="289" t="s">
        <v>92</v>
      </c>
      <c r="AS609" s="289" t="s">
        <v>92</v>
      </c>
      <c r="AT609" s="289" t="s">
        <v>92</v>
      </c>
      <c r="AU609" s="289" t="s">
        <v>92</v>
      </c>
      <c r="AV609" s="289" t="s">
        <v>92</v>
      </c>
      <c r="AW609" s="289" t="s">
        <v>92</v>
      </c>
      <c r="AX609" s="1885" t="s">
        <v>92</v>
      </c>
      <c r="AY609" s="289"/>
      <c r="AZ609" s="86"/>
      <c r="BA609" s="86"/>
      <c r="BB609" s="86"/>
      <c r="BC609" s="86"/>
      <c r="BD609" s="86"/>
      <c r="BE609" s="86"/>
    </row>
    <row r="610" spans="1:57" ht="15" customHeight="1" x14ac:dyDescent="0.4">
      <c r="A610" s="86"/>
      <c r="B610" s="1200"/>
      <c r="C610" s="290"/>
      <c r="D610" s="290"/>
      <c r="E610" s="290"/>
      <c r="F610" s="290"/>
      <c r="G610" s="290"/>
      <c r="H610" s="290"/>
      <c r="I610" s="290"/>
      <c r="J610" s="290"/>
      <c r="K610" s="290"/>
      <c r="L610" s="290"/>
      <c r="M610" s="290"/>
      <c r="N610" s="290"/>
      <c r="O610" s="290"/>
      <c r="P610" s="290"/>
      <c r="Q610" s="865" t="s">
        <v>646</v>
      </c>
      <c r="R610" s="866">
        <v>24</v>
      </c>
      <c r="S610" s="866">
        <v>11</v>
      </c>
      <c r="T610" s="866">
        <v>17</v>
      </c>
      <c r="U610" s="290"/>
      <c r="V610" s="685" t="b">
        <f t="shared" si="76"/>
        <v>0</v>
      </c>
      <c r="W610" s="685"/>
      <c r="X610" s="686">
        <f t="shared" si="79"/>
        <v>14</v>
      </c>
      <c r="Y610" s="290">
        <f t="shared" si="78"/>
        <v>5.5</v>
      </c>
      <c r="Z610" s="290"/>
      <c r="AA610" s="290"/>
      <c r="AB610" s="354"/>
      <c r="AC610" s="290"/>
      <c r="AD610" s="290"/>
      <c r="AE610" s="290"/>
      <c r="AF610" s="290"/>
      <c r="AG610" s="290"/>
      <c r="AH610" s="290"/>
      <c r="AI610" s="353">
        <v>0.79120000000000001</v>
      </c>
      <c r="AJ610" s="39"/>
      <c r="AK610" s="39"/>
      <c r="AL610" s="39"/>
      <c r="AM610" s="289" t="s">
        <v>92</v>
      </c>
      <c r="AN610" s="289" t="s">
        <v>92</v>
      </c>
      <c r="AO610" s="289" t="s">
        <v>92</v>
      </c>
      <c r="AP610" s="289" t="s">
        <v>92</v>
      </c>
      <c r="AQ610" s="289" t="s">
        <v>92</v>
      </c>
      <c r="AR610" s="289" t="s">
        <v>92</v>
      </c>
      <c r="AS610" s="289" t="s">
        <v>92</v>
      </c>
      <c r="AT610" s="289" t="s">
        <v>92</v>
      </c>
      <c r="AU610" s="289" t="s">
        <v>92</v>
      </c>
      <c r="AV610" s="289" t="s">
        <v>92</v>
      </c>
      <c r="AW610" s="289" t="s">
        <v>92</v>
      </c>
      <c r="AX610" s="1885" t="s">
        <v>92</v>
      </c>
      <c r="AY610" s="289"/>
      <c r="AZ610" s="86"/>
      <c r="BA610" s="86"/>
      <c r="BB610" s="86"/>
      <c r="BC610" s="86"/>
      <c r="BD610" s="86"/>
      <c r="BE610" s="86"/>
    </row>
    <row r="611" spans="1:57" ht="15" customHeight="1" x14ac:dyDescent="0.4">
      <c r="A611" s="86"/>
      <c r="B611" s="1200"/>
      <c r="C611" s="290"/>
      <c r="D611" s="290"/>
      <c r="E611" s="290"/>
      <c r="F611" s="290"/>
      <c r="G611" s="290"/>
      <c r="H611" s="290"/>
      <c r="I611" s="290"/>
      <c r="J611" s="290"/>
      <c r="K611" s="290"/>
      <c r="L611" s="290"/>
      <c r="M611" s="290"/>
      <c r="N611" s="290"/>
      <c r="O611" s="290"/>
      <c r="P611" s="290"/>
      <c r="Q611" s="865" t="s">
        <v>647</v>
      </c>
      <c r="R611" s="866">
        <v>24</v>
      </c>
      <c r="S611" s="866">
        <v>17</v>
      </c>
      <c r="T611" s="866">
        <v>22</v>
      </c>
      <c r="U611" s="290"/>
      <c r="V611" s="685" t="b">
        <f t="shared" si="76"/>
        <v>0</v>
      </c>
      <c r="W611" s="685"/>
      <c r="X611" s="686">
        <f>AVERAGE(S611:T611)</f>
        <v>19.5</v>
      </c>
      <c r="Y611" s="290">
        <f t="shared" si="78"/>
        <v>4</v>
      </c>
      <c r="Z611" s="290"/>
      <c r="AA611" s="290"/>
      <c r="AB611" s="354"/>
      <c r="AC611" s="290"/>
      <c r="AD611" s="290"/>
      <c r="AE611" s="290"/>
      <c r="AF611" s="290"/>
      <c r="AG611" s="290"/>
      <c r="AH611" s="290"/>
      <c r="AI611" s="353">
        <v>0.87029999999999996</v>
      </c>
      <c r="AJ611" s="39"/>
      <c r="AK611" s="39"/>
      <c r="AL611" s="39"/>
      <c r="AM611" s="289" t="s">
        <v>92</v>
      </c>
      <c r="AN611" s="289" t="s">
        <v>92</v>
      </c>
      <c r="AO611" s="289" t="s">
        <v>92</v>
      </c>
      <c r="AP611" s="289" t="s">
        <v>92</v>
      </c>
      <c r="AQ611" s="289" t="s">
        <v>92</v>
      </c>
      <c r="AR611" s="289" t="s">
        <v>92</v>
      </c>
      <c r="AS611" s="289" t="s">
        <v>92</v>
      </c>
      <c r="AT611" s="289" t="s">
        <v>92</v>
      </c>
      <c r="AU611" s="289" t="s">
        <v>92</v>
      </c>
      <c r="AV611" s="289" t="s">
        <v>92</v>
      </c>
      <c r="AW611" s="289" t="s">
        <v>92</v>
      </c>
      <c r="AX611" s="1885" t="s">
        <v>92</v>
      </c>
      <c r="AY611" s="289"/>
      <c r="AZ611" s="86"/>
      <c r="BA611" s="86"/>
      <c r="BB611" s="86"/>
      <c r="BC611" s="86"/>
      <c r="BD611" s="86"/>
      <c r="BE611" s="86"/>
    </row>
    <row r="612" spans="1:57" ht="15" customHeight="1" x14ac:dyDescent="0.4">
      <c r="A612" s="86"/>
      <c r="B612" s="1200"/>
      <c r="C612" s="290"/>
      <c r="D612" s="290"/>
      <c r="E612" s="290"/>
      <c r="F612" s="290"/>
      <c r="G612" s="290"/>
      <c r="H612" s="290"/>
      <c r="I612" s="290"/>
      <c r="J612" s="290"/>
      <c r="K612" s="290"/>
      <c r="L612" s="290"/>
      <c r="M612" s="290"/>
      <c r="N612" s="290"/>
      <c r="O612" s="290"/>
      <c r="P612" s="290"/>
      <c r="Q612" s="865" t="s">
        <v>648</v>
      </c>
      <c r="R612" s="866">
        <v>24</v>
      </c>
      <c r="S612" s="866">
        <v>22</v>
      </c>
      <c r="T612" s="866">
        <v>25</v>
      </c>
      <c r="U612" s="290"/>
      <c r="V612" s="685" t="b">
        <f t="shared" si="76"/>
        <v>0</v>
      </c>
      <c r="W612" s="685"/>
      <c r="X612" s="686">
        <f>AVERAGE(S612:T612)</f>
        <v>23.5</v>
      </c>
      <c r="Y612" s="290">
        <f t="shared" si="78"/>
        <v>3</v>
      </c>
      <c r="Z612" s="290"/>
      <c r="AA612" s="290"/>
      <c r="AB612" s="354"/>
      <c r="AC612" s="290"/>
      <c r="AD612" s="290"/>
      <c r="AE612" s="290"/>
      <c r="AF612" s="290"/>
      <c r="AG612" s="290"/>
      <c r="AH612" s="290"/>
      <c r="AI612" s="353">
        <v>0.98899999999999999</v>
      </c>
      <c r="AJ612" s="39"/>
      <c r="AK612" s="39"/>
      <c r="AL612" s="39"/>
      <c r="AM612" s="289" t="s">
        <v>92</v>
      </c>
      <c r="AN612" s="289" t="s">
        <v>92</v>
      </c>
      <c r="AO612" s="289" t="s">
        <v>92</v>
      </c>
      <c r="AP612" s="289" t="s">
        <v>92</v>
      </c>
      <c r="AQ612" s="289" t="s">
        <v>92</v>
      </c>
      <c r="AR612" s="289" t="s">
        <v>92</v>
      </c>
      <c r="AS612" s="289" t="s">
        <v>92</v>
      </c>
      <c r="AT612" s="289" t="s">
        <v>92</v>
      </c>
      <c r="AU612" s="289" t="s">
        <v>92</v>
      </c>
      <c r="AV612" s="289" t="s">
        <v>92</v>
      </c>
      <c r="AW612" s="289" t="s">
        <v>92</v>
      </c>
      <c r="AX612" s="1885" t="s">
        <v>92</v>
      </c>
      <c r="AY612" s="289"/>
      <c r="AZ612" s="86"/>
      <c r="BA612" s="86"/>
      <c r="BB612" s="86"/>
      <c r="BC612" s="86"/>
      <c r="BD612" s="86"/>
      <c r="BE612" s="86"/>
    </row>
    <row r="613" spans="1:57" ht="15" customHeight="1" x14ac:dyDescent="0.4">
      <c r="A613" s="86"/>
      <c r="B613" s="1200"/>
      <c r="C613" s="290"/>
      <c r="D613" s="290"/>
      <c r="E613" s="290"/>
      <c r="F613" s="290"/>
      <c r="G613" s="290"/>
      <c r="H613" s="290"/>
      <c r="I613" s="290"/>
      <c r="J613" s="290"/>
      <c r="K613" s="290"/>
      <c r="L613" s="290"/>
      <c r="M613" s="290"/>
      <c r="N613" s="290"/>
      <c r="O613" s="290"/>
      <c r="P613" s="290"/>
      <c r="Q613" s="865" t="s">
        <v>649</v>
      </c>
      <c r="R613" s="866">
        <v>24</v>
      </c>
      <c r="S613" s="866">
        <v>25</v>
      </c>
      <c r="T613" s="866">
        <v>28</v>
      </c>
      <c r="U613" s="290"/>
      <c r="V613" s="685" t="b">
        <f t="shared" si="76"/>
        <v>0</v>
      </c>
      <c r="W613" s="685"/>
      <c r="X613" s="686">
        <f>AVERAGE(S613:T613)</f>
        <v>26.5</v>
      </c>
      <c r="Y613" s="290">
        <f t="shared" si="78"/>
        <v>2.5</v>
      </c>
      <c r="Z613" s="290"/>
      <c r="AA613" s="290"/>
      <c r="AB613" s="354"/>
      <c r="AC613" s="290"/>
      <c r="AD613" s="290"/>
      <c r="AE613" s="290"/>
      <c r="AF613" s="290"/>
      <c r="AG613" s="290"/>
      <c r="AH613" s="290"/>
      <c r="AI613" s="353">
        <v>1.0900000000000001</v>
      </c>
      <c r="AJ613" s="39"/>
      <c r="AK613" s="39"/>
      <c r="AL613" s="39"/>
      <c r="AM613" s="289" t="s">
        <v>92</v>
      </c>
      <c r="AN613" s="289" t="s">
        <v>92</v>
      </c>
      <c r="AO613" s="289" t="s">
        <v>92</v>
      </c>
      <c r="AP613" s="289" t="s">
        <v>92</v>
      </c>
      <c r="AQ613" s="289" t="s">
        <v>92</v>
      </c>
      <c r="AR613" s="289" t="s">
        <v>92</v>
      </c>
      <c r="AS613" s="289" t="s">
        <v>92</v>
      </c>
      <c r="AT613" s="289" t="s">
        <v>92</v>
      </c>
      <c r="AU613" s="289" t="s">
        <v>92</v>
      </c>
      <c r="AV613" s="289" t="s">
        <v>92</v>
      </c>
      <c r="AW613" s="289" t="s">
        <v>92</v>
      </c>
      <c r="AX613" s="1885" t="s">
        <v>92</v>
      </c>
      <c r="AY613" s="289"/>
      <c r="AZ613" s="86"/>
      <c r="BA613" s="86"/>
      <c r="BB613" s="86"/>
      <c r="BC613" s="86"/>
      <c r="BD613" s="86"/>
      <c r="BE613" s="86"/>
    </row>
    <row r="614" spans="1:57" ht="15" customHeight="1" x14ac:dyDescent="0.4">
      <c r="A614" s="86"/>
      <c r="B614" s="1200"/>
      <c r="C614" s="290"/>
      <c r="D614" s="290"/>
      <c r="E614" s="290"/>
      <c r="F614" s="290"/>
      <c r="G614" s="290"/>
      <c r="H614" s="290"/>
      <c r="I614" s="290"/>
      <c r="J614" s="290"/>
      <c r="K614" s="290"/>
      <c r="L614" s="290"/>
      <c r="M614" s="290"/>
      <c r="N614" s="290"/>
      <c r="O614" s="290"/>
      <c r="P614" s="290"/>
      <c r="Q614" s="865" t="s">
        <v>650</v>
      </c>
      <c r="R614" s="866">
        <v>24</v>
      </c>
      <c r="S614" s="866">
        <v>28</v>
      </c>
      <c r="T614" s="866">
        <v>30</v>
      </c>
      <c r="U614" s="290"/>
      <c r="V614" s="685" t="b">
        <f t="shared" si="76"/>
        <v>0</v>
      </c>
      <c r="W614" s="685"/>
      <c r="X614" s="686">
        <f>AVERAGE(S614:T614)</f>
        <v>29</v>
      </c>
      <c r="Y614" s="290">
        <f t="shared" si="78"/>
        <v>3</v>
      </c>
      <c r="Z614" s="290"/>
      <c r="AA614" s="290"/>
      <c r="AB614" s="354"/>
      <c r="AC614" s="290"/>
      <c r="AD614" s="290"/>
      <c r="AE614" s="290"/>
      <c r="AF614" s="290"/>
      <c r="AG614" s="290"/>
      <c r="AH614" s="290"/>
      <c r="AI614" s="353">
        <v>1.5626</v>
      </c>
      <c r="AJ614" s="39"/>
      <c r="AK614" s="39"/>
      <c r="AL614" s="39"/>
      <c r="AM614" s="289" t="s">
        <v>92</v>
      </c>
      <c r="AN614" s="289" t="s">
        <v>92</v>
      </c>
      <c r="AO614" s="289" t="s">
        <v>92</v>
      </c>
      <c r="AP614" s="289" t="s">
        <v>92</v>
      </c>
      <c r="AQ614" s="289" t="s">
        <v>92</v>
      </c>
      <c r="AR614" s="289" t="s">
        <v>92</v>
      </c>
      <c r="AS614" s="289" t="s">
        <v>92</v>
      </c>
      <c r="AT614" s="289" t="s">
        <v>92</v>
      </c>
      <c r="AU614" s="289" t="s">
        <v>92</v>
      </c>
      <c r="AV614" s="289" t="s">
        <v>92</v>
      </c>
      <c r="AW614" s="289" t="s">
        <v>92</v>
      </c>
      <c r="AX614" s="1885" t="s">
        <v>92</v>
      </c>
      <c r="AY614" s="289"/>
      <c r="AZ614" s="86"/>
      <c r="BA614" s="86"/>
      <c r="BB614" s="86"/>
      <c r="BC614" s="86"/>
      <c r="BD614" s="86"/>
      <c r="BE614" s="86"/>
    </row>
    <row r="615" spans="1:57" ht="15" customHeight="1" x14ac:dyDescent="0.4">
      <c r="A615" s="86"/>
      <c r="B615" s="1200"/>
      <c r="C615" s="290"/>
      <c r="D615" s="290"/>
      <c r="E615" s="290"/>
      <c r="F615" s="290"/>
      <c r="G615" s="290"/>
      <c r="H615" s="290"/>
      <c r="I615" s="290"/>
      <c r="J615" s="290"/>
      <c r="K615" s="290"/>
      <c r="L615" s="290"/>
      <c r="M615" s="290"/>
      <c r="N615" s="290"/>
      <c r="O615" s="290"/>
      <c r="P615" s="290"/>
      <c r="Q615" s="865" t="s">
        <v>651</v>
      </c>
      <c r="R615" s="866">
        <v>24</v>
      </c>
      <c r="S615" s="866">
        <v>30</v>
      </c>
      <c r="T615" s="866">
        <v>34</v>
      </c>
      <c r="U615" s="290"/>
      <c r="V615" s="685" t="b">
        <f t="shared" si="76"/>
        <v>0</v>
      </c>
      <c r="W615" s="685"/>
      <c r="X615" s="686">
        <f>AVERAGE(S615:T615)</f>
        <v>32</v>
      </c>
      <c r="Y615" s="290">
        <f t="shared" si="78"/>
        <v>3.5</v>
      </c>
      <c r="Z615" s="290"/>
      <c r="AA615" s="290"/>
      <c r="AB615" s="354"/>
      <c r="AC615" s="290"/>
      <c r="AD615" s="290"/>
      <c r="AE615" s="290"/>
      <c r="AF615" s="290"/>
      <c r="AG615" s="290"/>
      <c r="AH615" s="290"/>
      <c r="AI615" s="353">
        <v>1.66</v>
      </c>
      <c r="AJ615" s="39"/>
      <c r="AK615" s="39"/>
      <c r="AL615" s="39"/>
      <c r="AM615" s="289" t="s">
        <v>92</v>
      </c>
      <c r="AN615" s="289" t="s">
        <v>92</v>
      </c>
      <c r="AO615" s="289" t="s">
        <v>92</v>
      </c>
      <c r="AP615" s="289" t="s">
        <v>92</v>
      </c>
      <c r="AQ615" s="289" t="s">
        <v>92</v>
      </c>
      <c r="AR615" s="289" t="s">
        <v>92</v>
      </c>
      <c r="AS615" s="289" t="s">
        <v>92</v>
      </c>
      <c r="AT615" s="289" t="s">
        <v>92</v>
      </c>
      <c r="AU615" s="289" t="s">
        <v>92</v>
      </c>
      <c r="AV615" s="289" t="s">
        <v>92</v>
      </c>
      <c r="AW615" s="289" t="s">
        <v>92</v>
      </c>
      <c r="AX615" s="1885" t="s">
        <v>92</v>
      </c>
      <c r="AY615" s="289"/>
      <c r="AZ615" s="86"/>
      <c r="BA615" s="86"/>
      <c r="BB615" s="86"/>
      <c r="BC615" s="86"/>
      <c r="BD615" s="86"/>
      <c r="BE615" s="86"/>
    </row>
    <row r="616" spans="1:57" ht="15" customHeight="1" x14ac:dyDescent="0.4">
      <c r="A616" s="86"/>
      <c r="B616" s="1200"/>
      <c r="C616" s="290"/>
      <c r="D616" s="290"/>
      <c r="E616" s="290"/>
      <c r="F616" s="290"/>
      <c r="G616" s="290"/>
      <c r="H616" s="290"/>
      <c r="I616" s="290"/>
      <c r="J616" s="290"/>
      <c r="K616" s="290"/>
      <c r="L616" s="290"/>
      <c r="M616" s="290"/>
      <c r="N616" s="290"/>
      <c r="O616" s="290"/>
      <c r="P616" s="290"/>
      <c r="Q616" s="865" t="s">
        <v>652</v>
      </c>
      <c r="R616" s="866">
        <v>24</v>
      </c>
      <c r="S616" s="866">
        <v>34</v>
      </c>
      <c r="T616" s="866">
        <v>37</v>
      </c>
      <c r="U616" s="290"/>
      <c r="V616" s="685" t="b">
        <f t="shared" si="76"/>
        <v>0</v>
      </c>
      <c r="W616" s="685"/>
      <c r="X616" s="686">
        <f t="shared" ref="X616:X679" si="80">AVERAGE(S616:T616)</f>
        <v>35.5</v>
      </c>
      <c r="Y616" s="290" t="str">
        <f t="shared" si="78"/>
        <v/>
      </c>
      <c r="Z616" s="290"/>
      <c r="AA616" s="290"/>
      <c r="AB616" s="354"/>
      <c r="AC616" s="290"/>
      <c r="AD616" s="290"/>
      <c r="AE616" s="290"/>
      <c r="AF616" s="290"/>
      <c r="AG616" s="290"/>
      <c r="AH616" s="290"/>
      <c r="AI616" s="353">
        <v>1.8</v>
      </c>
      <c r="AJ616" s="39"/>
      <c r="AK616" s="39"/>
      <c r="AL616" s="39"/>
      <c r="AM616" s="289" t="s">
        <v>92</v>
      </c>
      <c r="AN616" s="289" t="s">
        <v>92</v>
      </c>
      <c r="AO616" s="289" t="s">
        <v>92</v>
      </c>
      <c r="AP616" s="289" t="s">
        <v>92</v>
      </c>
      <c r="AQ616" s="289" t="s">
        <v>92</v>
      </c>
      <c r="AR616" s="289" t="s">
        <v>92</v>
      </c>
      <c r="AS616" s="289" t="s">
        <v>92</v>
      </c>
      <c r="AT616" s="289" t="s">
        <v>92</v>
      </c>
      <c r="AU616" s="289" t="s">
        <v>92</v>
      </c>
      <c r="AV616" s="289" t="s">
        <v>92</v>
      </c>
      <c r="AW616" s="289" t="s">
        <v>92</v>
      </c>
      <c r="AX616" s="1885" t="s">
        <v>92</v>
      </c>
      <c r="AY616" s="289"/>
      <c r="AZ616" s="86"/>
      <c r="BA616" s="86"/>
      <c r="BB616" s="86"/>
      <c r="BC616" s="86"/>
      <c r="BD616" s="86"/>
      <c r="BE616" s="86"/>
    </row>
    <row r="617" spans="1:57" ht="15" customHeight="1" x14ac:dyDescent="0.4">
      <c r="A617" s="86"/>
      <c r="B617" s="1200"/>
      <c r="C617" s="290"/>
      <c r="D617" s="290"/>
      <c r="E617" s="290"/>
      <c r="F617" s="290"/>
      <c r="G617" s="290"/>
      <c r="H617" s="290"/>
      <c r="I617" s="290"/>
      <c r="J617" s="290"/>
      <c r="K617" s="290"/>
      <c r="L617" s="290"/>
      <c r="M617" s="290"/>
      <c r="N617" s="290"/>
      <c r="O617" s="290"/>
      <c r="P617" s="290"/>
      <c r="Q617" s="865" t="s">
        <v>653</v>
      </c>
      <c r="R617" s="866">
        <v>26</v>
      </c>
      <c r="S617" s="866">
        <v>0</v>
      </c>
      <c r="T617" s="866">
        <v>11</v>
      </c>
      <c r="U617" s="290"/>
      <c r="V617" s="685" t="b">
        <f t="shared" si="76"/>
        <v>0</v>
      </c>
      <c r="W617" s="685"/>
      <c r="X617" s="686">
        <f>AVERAGE(S617:T617)</f>
        <v>5.5</v>
      </c>
      <c r="Y617" s="290">
        <f t="shared" si="78"/>
        <v>8.5</v>
      </c>
      <c r="Z617" s="290"/>
      <c r="AA617" s="290"/>
      <c r="AB617" s="290"/>
      <c r="AC617" s="290"/>
      <c r="AD617" s="290"/>
      <c r="AE617" s="290"/>
      <c r="AF617" s="290"/>
      <c r="AG617" s="290"/>
      <c r="AH617" s="290"/>
      <c r="AI617" s="353">
        <v>0.85050000000000003</v>
      </c>
      <c r="AJ617" s="39"/>
      <c r="AK617" s="39"/>
      <c r="AL617" s="39"/>
      <c r="AM617" s="289" t="s">
        <v>92</v>
      </c>
      <c r="AN617" s="289" t="s">
        <v>92</v>
      </c>
      <c r="AO617" s="289" t="s">
        <v>92</v>
      </c>
      <c r="AP617" s="289" t="s">
        <v>92</v>
      </c>
      <c r="AQ617" s="289" t="s">
        <v>92</v>
      </c>
      <c r="AR617" s="289" t="s">
        <v>92</v>
      </c>
      <c r="AS617" s="289" t="s">
        <v>92</v>
      </c>
      <c r="AT617" s="289" t="s">
        <v>92</v>
      </c>
      <c r="AU617" s="289" t="s">
        <v>92</v>
      </c>
      <c r="AV617" s="289" t="s">
        <v>92</v>
      </c>
      <c r="AW617" s="289" t="s">
        <v>92</v>
      </c>
      <c r="AX617" s="1885" t="s">
        <v>92</v>
      </c>
      <c r="AY617" s="289"/>
      <c r="AZ617" s="86"/>
      <c r="BA617" s="86"/>
      <c r="BB617" s="86"/>
      <c r="BC617" s="86"/>
      <c r="BD617" s="86"/>
      <c r="BE617" s="86"/>
    </row>
    <row r="618" spans="1:57" ht="15" customHeight="1" x14ac:dyDescent="0.4">
      <c r="A618" s="86"/>
      <c r="B618" s="1200"/>
      <c r="C618" s="290"/>
      <c r="D618" s="290"/>
      <c r="E618" s="290"/>
      <c r="F618" s="290"/>
      <c r="G618" s="290"/>
      <c r="H618" s="290"/>
      <c r="I618" s="290"/>
      <c r="J618" s="290"/>
      <c r="K618" s="290"/>
      <c r="L618" s="290"/>
      <c r="M618" s="290"/>
      <c r="N618" s="290"/>
      <c r="O618" s="290"/>
      <c r="P618" s="290"/>
      <c r="Q618" s="865" t="s">
        <v>654</v>
      </c>
      <c r="R618" s="866">
        <v>26</v>
      </c>
      <c r="S618" s="866">
        <v>11</v>
      </c>
      <c r="T618" s="866">
        <v>17</v>
      </c>
      <c r="U618" s="290"/>
      <c r="V618" s="685" t="b">
        <f t="shared" si="76"/>
        <v>0</v>
      </c>
      <c r="W618" s="685"/>
      <c r="X618" s="686">
        <f t="shared" si="80"/>
        <v>14</v>
      </c>
      <c r="Y618" s="290">
        <f t="shared" si="78"/>
        <v>5.5</v>
      </c>
      <c r="Z618" s="290"/>
      <c r="AA618" s="290"/>
      <c r="AB618" s="290"/>
      <c r="AC618" s="290"/>
      <c r="AD618" s="290"/>
      <c r="AE618" s="290"/>
      <c r="AF618" s="290"/>
      <c r="AG618" s="290"/>
      <c r="AH618" s="290"/>
      <c r="AI618" s="353">
        <v>0.8407</v>
      </c>
      <c r="AJ618" s="39"/>
      <c r="AK618" s="39"/>
      <c r="AL618" s="39"/>
      <c r="AM618" s="289" t="s">
        <v>92</v>
      </c>
      <c r="AN618" s="289" t="s">
        <v>92</v>
      </c>
      <c r="AO618" s="289" t="s">
        <v>92</v>
      </c>
      <c r="AP618" s="289" t="s">
        <v>92</v>
      </c>
      <c r="AQ618" s="289" t="s">
        <v>92</v>
      </c>
      <c r="AR618" s="289" t="s">
        <v>92</v>
      </c>
      <c r="AS618" s="289" t="s">
        <v>92</v>
      </c>
      <c r="AT618" s="289" t="s">
        <v>92</v>
      </c>
      <c r="AU618" s="289" t="s">
        <v>92</v>
      </c>
      <c r="AV618" s="289" t="s">
        <v>92</v>
      </c>
      <c r="AW618" s="289" t="s">
        <v>92</v>
      </c>
      <c r="AX618" s="1885" t="s">
        <v>92</v>
      </c>
      <c r="AY618" s="289"/>
      <c r="AZ618" s="86"/>
      <c r="BA618" s="86"/>
      <c r="BB618" s="86"/>
      <c r="BC618" s="86"/>
      <c r="BD618" s="86"/>
      <c r="BE618" s="86"/>
    </row>
    <row r="619" spans="1:57" ht="15" customHeight="1" x14ac:dyDescent="0.4">
      <c r="A619" s="86"/>
      <c r="B619" s="1200"/>
      <c r="C619" s="290"/>
      <c r="D619" s="290"/>
      <c r="E619" s="290"/>
      <c r="F619" s="290"/>
      <c r="G619" s="290"/>
      <c r="H619" s="290"/>
      <c r="I619" s="290"/>
      <c r="J619" s="290"/>
      <c r="K619" s="290"/>
      <c r="L619" s="290"/>
      <c r="M619" s="290"/>
      <c r="N619" s="290"/>
      <c r="O619" s="290"/>
      <c r="P619" s="290"/>
      <c r="Q619" s="865" t="s">
        <v>655</v>
      </c>
      <c r="R619" s="866">
        <v>26</v>
      </c>
      <c r="S619" s="866">
        <v>17</v>
      </c>
      <c r="T619" s="866">
        <v>22</v>
      </c>
      <c r="U619" s="290"/>
      <c r="V619" s="685" t="b">
        <f t="shared" si="76"/>
        <v>0</v>
      </c>
      <c r="W619" s="685"/>
      <c r="X619" s="686">
        <f t="shared" si="80"/>
        <v>19.5</v>
      </c>
      <c r="Y619" s="290">
        <f t="shared" si="78"/>
        <v>4.5</v>
      </c>
      <c r="Z619" s="290"/>
      <c r="AA619" s="290"/>
      <c r="AB619" s="290"/>
      <c r="AC619" s="290"/>
      <c r="AD619" s="290"/>
      <c r="AE619" s="290"/>
      <c r="AF619" s="290"/>
      <c r="AG619" s="290"/>
      <c r="AH619" s="290"/>
      <c r="AI619" s="353">
        <v>0.9</v>
      </c>
      <c r="AJ619" s="39"/>
      <c r="AK619" s="39"/>
      <c r="AL619" s="39"/>
      <c r="AM619" s="289" t="s">
        <v>92</v>
      </c>
      <c r="AN619" s="289" t="s">
        <v>92</v>
      </c>
      <c r="AO619" s="289" t="s">
        <v>92</v>
      </c>
      <c r="AP619" s="289" t="s">
        <v>92</v>
      </c>
      <c r="AQ619" s="289" t="s">
        <v>92</v>
      </c>
      <c r="AR619" s="289" t="s">
        <v>92</v>
      </c>
      <c r="AS619" s="289" t="s">
        <v>92</v>
      </c>
      <c r="AT619" s="289" t="s">
        <v>92</v>
      </c>
      <c r="AU619" s="289" t="s">
        <v>92</v>
      </c>
      <c r="AV619" s="289" t="s">
        <v>92</v>
      </c>
      <c r="AW619" s="289" t="s">
        <v>92</v>
      </c>
      <c r="AX619" s="1885" t="s">
        <v>92</v>
      </c>
      <c r="AY619" s="289"/>
      <c r="AZ619" s="86"/>
      <c r="BA619" s="86"/>
      <c r="BB619" s="86"/>
      <c r="BC619" s="86"/>
      <c r="BD619" s="86"/>
      <c r="BE619" s="86"/>
    </row>
    <row r="620" spans="1:57" ht="15" customHeight="1" x14ac:dyDescent="0.4">
      <c r="A620" s="86"/>
      <c r="B620" s="1200"/>
      <c r="C620" s="290"/>
      <c r="D620" s="290"/>
      <c r="E620" s="290"/>
      <c r="F620" s="290"/>
      <c r="G620" s="290"/>
      <c r="H620" s="290"/>
      <c r="I620" s="290"/>
      <c r="J620" s="290"/>
      <c r="K620" s="290"/>
      <c r="L620" s="290"/>
      <c r="M620" s="290"/>
      <c r="N620" s="290"/>
      <c r="O620" s="290"/>
      <c r="P620" s="290"/>
      <c r="Q620" s="865" t="s">
        <v>656</v>
      </c>
      <c r="R620" s="866">
        <v>26</v>
      </c>
      <c r="S620" s="866">
        <v>22</v>
      </c>
      <c r="T620" s="866">
        <v>26</v>
      </c>
      <c r="U620" s="290"/>
      <c r="V620" s="685" t="b">
        <f t="shared" si="76"/>
        <v>0</v>
      </c>
      <c r="W620" s="685"/>
      <c r="X620" s="686">
        <f t="shared" si="80"/>
        <v>24</v>
      </c>
      <c r="Y620" s="290">
        <f t="shared" si="78"/>
        <v>4</v>
      </c>
      <c r="Z620" s="290"/>
      <c r="AA620" s="290"/>
      <c r="AB620" s="290"/>
      <c r="AC620" s="290"/>
      <c r="AD620" s="290"/>
      <c r="AE620" s="290"/>
      <c r="AF620" s="290"/>
      <c r="AG620" s="290"/>
      <c r="AH620" s="290"/>
      <c r="AI620" s="353">
        <v>1.0582</v>
      </c>
      <c r="AJ620" s="39"/>
      <c r="AK620" s="39"/>
      <c r="AL620" s="39"/>
      <c r="AM620" s="289" t="s">
        <v>92</v>
      </c>
      <c r="AN620" s="289" t="s">
        <v>92</v>
      </c>
      <c r="AO620" s="289" t="s">
        <v>92</v>
      </c>
      <c r="AP620" s="289" t="s">
        <v>92</v>
      </c>
      <c r="AQ620" s="289" t="s">
        <v>92</v>
      </c>
      <c r="AR620" s="289" t="s">
        <v>92</v>
      </c>
      <c r="AS620" s="289" t="s">
        <v>92</v>
      </c>
      <c r="AT620" s="289" t="s">
        <v>92</v>
      </c>
      <c r="AU620" s="289" t="s">
        <v>92</v>
      </c>
      <c r="AV620" s="289" t="s">
        <v>92</v>
      </c>
      <c r="AW620" s="289" t="s">
        <v>92</v>
      </c>
      <c r="AX620" s="1885" t="s">
        <v>92</v>
      </c>
      <c r="AY620" s="289"/>
      <c r="AZ620" s="86"/>
      <c r="BA620" s="86"/>
      <c r="BB620" s="86"/>
      <c r="BC620" s="86"/>
      <c r="BD620" s="86"/>
      <c r="BE620" s="86"/>
    </row>
    <row r="621" spans="1:57" ht="15" customHeight="1" x14ac:dyDescent="0.4">
      <c r="A621" s="86"/>
      <c r="B621" s="1200"/>
      <c r="C621" s="290"/>
      <c r="D621" s="290"/>
      <c r="E621" s="290"/>
      <c r="F621" s="290"/>
      <c r="G621" s="290"/>
      <c r="H621" s="290"/>
      <c r="I621" s="290"/>
      <c r="J621" s="290"/>
      <c r="K621" s="290"/>
      <c r="L621" s="290"/>
      <c r="M621" s="290"/>
      <c r="N621" s="290"/>
      <c r="O621" s="290"/>
      <c r="P621" s="290"/>
      <c r="Q621" s="865" t="s">
        <v>657</v>
      </c>
      <c r="R621" s="866">
        <v>26</v>
      </c>
      <c r="S621" s="866">
        <v>26</v>
      </c>
      <c r="T621" s="866">
        <v>30</v>
      </c>
      <c r="U621" s="290"/>
      <c r="V621" s="685" t="b">
        <f t="shared" si="76"/>
        <v>0</v>
      </c>
      <c r="W621" s="685"/>
      <c r="X621" s="686">
        <f t="shared" si="80"/>
        <v>28</v>
      </c>
      <c r="Y621" s="290">
        <f t="shared" si="78"/>
        <v>4</v>
      </c>
      <c r="Z621" s="290"/>
      <c r="AA621" s="290"/>
      <c r="AB621" s="290"/>
      <c r="AC621" s="290"/>
      <c r="AD621" s="290"/>
      <c r="AE621" s="290"/>
      <c r="AF621" s="290"/>
      <c r="AG621" s="290"/>
      <c r="AH621" s="290"/>
      <c r="AI621" s="353">
        <v>1.1374</v>
      </c>
      <c r="AJ621" s="39"/>
      <c r="AK621" s="39"/>
      <c r="AL621" s="39"/>
      <c r="AM621" s="289" t="s">
        <v>92</v>
      </c>
      <c r="AN621" s="289" t="s">
        <v>92</v>
      </c>
      <c r="AO621" s="289" t="s">
        <v>92</v>
      </c>
      <c r="AP621" s="289" t="s">
        <v>92</v>
      </c>
      <c r="AQ621" s="289" t="s">
        <v>92</v>
      </c>
      <c r="AR621" s="289" t="s">
        <v>92</v>
      </c>
      <c r="AS621" s="289" t="s">
        <v>92</v>
      </c>
      <c r="AT621" s="289" t="s">
        <v>92</v>
      </c>
      <c r="AU621" s="289" t="s">
        <v>92</v>
      </c>
      <c r="AV621" s="289" t="s">
        <v>92</v>
      </c>
      <c r="AW621" s="289" t="s">
        <v>92</v>
      </c>
      <c r="AX621" s="1885" t="s">
        <v>92</v>
      </c>
      <c r="AY621" s="289"/>
      <c r="AZ621" s="86"/>
      <c r="BA621" s="86"/>
      <c r="BB621" s="86"/>
      <c r="BC621" s="86"/>
      <c r="BD621" s="86"/>
      <c r="BE621" s="86"/>
    </row>
    <row r="622" spans="1:57" ht="15" customHeight="1" x14ac:dyDescent="0.4">
      <c r="A622" s="86"/>
      <c r="B622" s="1200"/>
      <c r="C622" s="290"/>
      <c r="D622" s="290"/>
      <c r="E622" s="290"/>
      <c r="F622" s="290"/>
      <c r="G622" s="290"/>
      <c r="H622" s="290"/>
      <c r="I622" s="290"/>
      <c r="J622" s="290"/>
      <c r="K622" s="290"/>
      <c r="L622" s="290"/>
      <c r="M622" s="290"/>
      <c r="N622" s="290"/>
      <c r="O622" s="290"/>
      <c r="P622" s="290"/>
      <c r="Q622" s="865" t="s">
        <v>658</v>
      </c>
      <c r="R622" s="866">
        <v>26</v>
      </c>
      <c r="S622" s="866">
        <v>30</v>
      </c>
      <c r="T622" s="866">
        <v>34</v>
      </c>
      <c r="U622" s="290"/>
      <c r="V622" s="685" t="b">
        <f t="shared" si="76"/>
        <v>0</v>
      </c>
      <c r="W622" s="685"/>
      <c r="X622" s="686">
        <f t="shared" si="80"/>
        <v>32</v>
      </c>
      <c r="Y622" s="290">
        <f t="shared" si="78"/>
        <v>4</v>
      </c>
      <c r="Z622" s="290"/>
      <c r="AA622" s="290"/>
      <c r="AB622" s="290"/>
      <c r="AC622" s="290"/>
      <c r="AD622" s="290"/>
      <c r="AE622" s="290"/>
      <c r="AF622" s="290"/>
      <c r="AG622" s="290"/>
      <c r="AH622" s="290"/>
      <c r="AI622" s="353">
        <v>1.66</v>
      </c>
      <c r="AJ622" s="39"/>
      <c r="AK622" s="39"/>
      <c r="AL622" s="39"/>
      <c r="AM622" s="289" t="s">
        <v>92</v>
      </c>
      <c r="AN622" s="289" t="s">
        <v>92</v>
      </c>
      <c r="AO622" s="289" t="s">
        <v>92</v>
      </c>
      <c r="AP622" s="289" t="s">
        <v>92</v>
      </c>
      <c r="AQ622" s="289" t="s">
        <v>92</v>
      </c>
      <c r="AR622" s="289" t="s">
        <v>92</v>
      </c>
      <c r="AS622" s="289" t="s">
        <v>92</v>
      </c>
      <c r="AT622" s="289" t="s">
        <v>92</v>
      </c>
      <c r="AU622" s="289" t="s">
        <v>92</v>
      </c>
      <c r="AV622" s="289" t="s">
        <v>92</v>
      </c>
      <c r="AW622" s="289" t="s">
        <v>92</v>
      </c>
      <c r="AX622" s="1885" t="s">
        <v>92</v>
      </c>
      <c r="AY622" s="289"/>
      <c r="AZ622" s="86"/>
      <c r="BA622" s="86"/>
      <c r="BB622" s="86"/>
      <c r="BC622" s="86"/>
      <c r="BD622" s="86"/>
      <c r="BE622" s="86"/>
    </row>
    <row r="623" spans="1:57" ht="15" customHeight="1" x14ac:dyDescent="0.4">
      <c r="A623" s="86"/>
      <c r="B623" s="1200"/>
      <c r="C623" s="290"/>
      <c r="D623" s="290"/>
      <c r="E623" s="290"/>
      <c r="F623" s="290"/>
      <c r="G623" s="290"/>
      <c r="H623" s="290"/>
      <c r="I623" s="290"/>
      <c r="J623" s="290"/>
      <c r="K623" s="290"/>
      <c r="L623" s="290"/>
      <c r="M623" s="290"/>
      <c r="N623" s="290"/>
      <c r="O623" s="290"/>
      <c r="P623" s="290"/>
      <c r="Q623" s="865" t="s">
        <v>659</v>
      </c>
      <c r="R623" s="866">
        <v>26</v>
      </c>
      <c r="S623" s="866">
        <v>34</v>
      </c>
      <c r="T623" s="866">
        <v>38</v>
      </c>
      <c r="U623" s="290"/>
      <c r="V623" s="685" t="b">
        <f t="shared" si="76"/>
        <v>0</v>
      </c>
      <c r="W623" s="685"/>
      <c r="X623" s="686">
        <f t="shared" si="80"/>
        <v>36</v>
      </c>
      <c r="Y623" s="290">
        <f t="shared" si="78"/>
        <v>4</v>
      </c>
      <c r="Z623" s="290"/>
      <c r="AA623" s="290"/>
      <c r="AB623" s="290"/>
      <c r="AC623" s="290"/>
      <c r="AD623" s="290"/>
      <c r="AE623" s="290"/>
      <c r="AF623" s="290"/>
      <c r="AG623" s="290"/>
      <c r="AH623" s="290"/>
      <c r="AI623" s="353">
        <v>1.7604</v>
      </c>
      <c r="AJ623" s="39"/>
      <c r="AK623" s="39"/>
      <c r="AL623" s="39"/>
      <c r="AM623" s="289" t="s">
        <v>92</v>
      </c>
      <c r="AN623" s="289" t="s">
        <v>92</v>
      </c>
      <c r="AO623" s="289" t="s">
        <v>92</v>
      </c>
      <c r="AP623" s="289" t="s">
        <v>92</v>
      </c>
      <c r="AQ623" s="289" t="s">
        <v>92</v>
      </c>
      <c r="AR623" s="289" t="s">
        <v>92</v>
      </c>
      <c r="AS623" s="289" t="s">
        <v>92</v>
      </c>
      <c r="AT623" s="289" t="s">
        <v>92</v>
      </c>
      <c r="AU623" s="289" t="s">
        <v>92</v>
      </c>
      <c r="AV623" s="289" t="s">
        <v>92</v>
      </c>
      <c r="AW623" s="289" t="s">
        <v>92</v>
      </c>
      <c r="AX623" s="1885" t="s">
        <v>92</v>
      </c>
      <c r="AY623" s="289"/>
      <c r="AZ623" s="86"/>
      <c r="BA623" s="86"/>
      <c r="BB623" s="86"/>
      <c r="BC623" s="86"/>
      <c r="BD623" s="86"/>
      <c r="BE623" s="86"/>
    </row>
    <row r="624" spans="1:57" ht="15" customHeight="1" x14ac:dyDescent="0.4">
      <c r="A624" s="86"/>
      <c r="B624" s="1200"/>
      <c r="C624" s="290"/>
      <c r="D624" s="290"/>
      <c r="E624" s="290"/>
      <c r="F624" s="290"/>
      <c r="G624" s="290"/>
      <c r="H624" s="290"/>
      <c r="I624" s="290"/>
      <c r="J624" s="290"/>
      <c r="K624" s="290"/>
      <c r="L624" s="290"/>
      <c r="M624" s="290"/>
      <c r="N624" s="290"/>
      <c r="O624" s="290"/>
      <c r="P624" s="290"/>
      <c r="Q624" s="865" t="s">
        <v>660</v>
      </c>
      <c r="R624" s="866">
        <v>26</v>
      </c>
      <c r="S624" s="866">
        <v>38</v>
      </c>
      <c r="T624" s="866">
        <v>42</v>
      </c>
      <c r="U624" s="290"/>
      <c r="V624" s="685" t="b">
        <f t="shared" si="76"/>
        <v>0</v>
      </c>
      <c r="W624" s="685"/>
      <c r="X624" s="686">
        <f t="shared" si="80"/>
        <v>40</v>
      </c>
      <c r="Y624" s="290" t="str">
        <f t="shared" si="78"/>
        <v/>
      </c>
      <c r="Z624" s="290"/>
      <c r="AA624" s="290"/>
      <c r="AB624" s="290"/>
      <c r="AC624" s="290"/>
      <c r="AD624" s="290"/>
      <c r="AE624" s="290"/>
      <c r="AF624" s="290"/>
      <c r="AG624" s="290"/>
      <c r="AH624" s="290"/>
      <c r="AI624" s="353">
        <v>1.8099000000000001</v>
      </c>
      <c r="AJ624" s="39"/>
      <c r="AK624" s="39"/>
      <c r="AL624" s="39"/>
      <c r="AM624" s="289" t="s">
        <v>92</v>
      </c>
      <c r="AN624" s="289" t="s">
        <v>92</v>
      </c>
      <c r="AO624" s="289" t="s">
        <v>92</v>
      </c>
      <c r="AP624" s="289" t="s">
        <v>92</v>
      </c>
      <c r="AQ624" s="289" t="s">
        <v>92</v>
      </c>
      <c r="AR624" s="289" t="s">
        <v>92</v>
      </c>
      <c r="AS624" s="289" t="s">
        <v>92</v>
      </c>
      <c r="AT624" s="289" t="s">
        <v>92</v>
      </c>
      <c r="AU624" s="289" t="s">
        <v>92</v>
      </c>
      <c r="AV624" s="289" t="s">
        <v>92</v>
      </c>
      <c r="AW624" s="289" t="s">
        <v>92</v>
      </c>
      <c r="AX624" s="1885" t="s">
        <v>92</v>
      </c>
      <c r="AY624" s="289"/>
      <c r="AZ624" s="86"/>
      <c r="BA624" s="86"/>
      <c r="BB624" s="86"/>
      <c r="BC624" s="86"/>
      <c r="BD624" s="86"/>
      <c r="BE624" s="86"/>
    </row>
    <row r="625" spans="1:57" ht="15" customHeight="1" x14ac:dyDescent="0.4">
      <c r="A625" s="86"/>
      <c r="B625" s="1200"/>
      <c r="C625" s="290"/>
      <c r="D625" s="290"/>
      <c r="E625" s="290"/>
      <c r="F625" s="290"/>
      <c r="G625" s="290"/>
      <c r="H625" s="290"/>
      <c r="I625" s="290"/>
      <c r="J625" s="290"/>
      <c r="K625" s="290"/>
      <c r="L625" s="290"/>
      <c r="M625" s="290"/>
      <c r="N625" s="290"/>
      <c r="O625" s="290"/>
      <c r="P625" s="290"/>
      <c r="Q625" s="865" t="s">
        <v>661</v>
      </c>
      <c r="R625" s="866">
        <v>28</v>
      </c>
      <c r="S625" s="866">
        <v>0</v>
      </c>
      <c r="T625" s="866">
        <v>12</v>
      </c>
      <c r="U625" s="290"/>
      <c r="V625" s="685" t="b">
        <f t="shared" si="76"/>
        <v>0</v>
      </c>
      <c r="W625" s="685"/>
      <c r="X625" s="686">
        <f t="shared" si="80"/>
        <v>6</v>
      </c>
      <c r="Y625" s="290">
        <f t="shared" si="78"/>
        <v>9</v>
      </c>
      <c r="Z625" s="290"/>
      <c r="AA625" s="290"/>
      <c r="AB625" s="290"/>
      <c r="AC625" s="290"/>
      <c r="AD625" s="290"/>
      <c r="AE625" s="290"/>
      <c r="AF625" s="290"/>
      <c r="AG625" s="290"/>
      <c r="AH625" s="290"/>
      <c r="AI625" s="353">
        <v>0.87029999999999996</v>
      </c>
      <c r="AJ625" s="39"/>
      <c r="AK625" s="39"/>
      <c r="AL625" s="39"/>
      <c r="AM625" s="289" t="s">
        <v>92</v>
      </c>
      <c r="AN625" s="289" t="s">
        <v>92</v>
      </c>
      <c r="AO625" s="289" t="s">
        <v>92</v>
      </c>
      <c r="AP625" s="289" t="s">
        <v>92</v>
      </c>
      <c r="AQ625" s="289" t="s">
        <v>92</v>
      </c>
      <c r="AR625" s="289" t="s">
        <v>92</v>
      </c>
      <c r="AS625" s="289" t="s">
        <v>92</v>
      </c>
      <c r="AT625" s="289" t="s">
        <v>92</v>
      </c>
      <c r="AU625" s="289" t="s">
        <v>92</v>
      </c>
      <c r="AV625" s="289" t="s">
        <v>92</v>
      </c>
      <c r="AW625" s="289" t="s">
        <v>92</v>
      </c>
      <c r="AX625" s="1885" t="s">
        <v>92</v>
      </c>
      <c r="AY625" s="289"/>
      <c r="AZ625" s="86"/>
      <c r="BA625" s="86"/>
      <c r="BB625" s="86"/>
      <c r="BC625" s="86"/>
      <c r="BD625" s="86"/>
      <c r="BE625" s="86"/>
    </row>
    <row r="626" spans="1:57" ht="15" customHeight="1" x14ac:dyDescent="0.4">
      <c r="A626" s="86"/>
      <c r="B626" s="1200"/>
      <c r="C626" s="290"/>
      <c r="D626" s="290"/>
      <c r="E626" s="290"/>
      <c r="F626" s="290"/>
      <c r="G626" s="290"/>
      <c r="H626" s="290"/>
      <c r="I626" s="290"/>
      <c r="J626" s="290"/>
      <c r="K626" s="290"/>
      <c r="L626" s="290"/>
      <c r="M626" s="290"/>
      <c r="N626" s="290"/>
      <c r="O626" s="290"/>
      <c r="P626" s="290"/>
      <c r="Q626" s="865" t="s">
        <v>662</v>
      </c>
      <c r="R626" s="866">
        <v>28</v>
      </c>
      <c r="S626" s="866">
        <v>12</v>
      </c>
      <c r="T626" s="866">
        <v>18</v>
      </c>
      <c r="U626" s="290"/>
      <c r="V626" s="685" t="b">
        <f t="shared" ref="V626:V657" si="81">IF(AND(SHBTAdjSashWeight&gt;=$S626,SHBTAdjSashWeight&lt;=$T626,$S$550=$R626),TRUE,FALSE)</f>
        <v>0</v>
      </c>
      <c r="W626" s="685"/>
      <c r="X626" s="686">
        <f t="shared" si="80"/>
        <v>15</v>
      </c>
      <c r="Y626" s="290">
        <f t="shared" si="78"/>
        <v>5.5</v>
      </c>
      <c r="Z626" s="290"/>
      <c r="AA626" s="290"/>
      <c r="AB626" s="290"/>
      <c r="AC626" s="290"/>
      <c r="AD626" s="290"/>
      <c r="AE626" s="290"/>
      <c r="AF626" s="290"/>
      <c r="AG626" s="290"/>
      <c r="AH626" s="290"/>
      <c r="AI626" s="353">
        <v>0.89</v>
      </c>
      <c r="AJ626" s="39"/>
      <c r="AK626" s="39"/>
      <c r="AL626" s="39"/>
      <c r="AM626" s="289" t="s">
        <v>92</v>
      </c>
      <c r="AN626" s="289" t="s">
        <v>92</v>
      </c>
      <c r="AO626" s="289" t="s">
        <v>92</v>
      </c>
      <c r="AP626" s="289" t="s">
        <v>92</v>
      </c>
      <c r="AQ626" s="289" t="s">
        <v>92</v>
      </c>
      <c r="AR626" s="289" t="s">
        <v>92</v>
      </c>
      <c r="AS626" s="289" t="s">
        <v>92</v>
      </c>
      <c r="AT626" s="289" t="s">
        <v>92</v>
      </c>
      <c r="AU626" s="289" t="s">
        <v>92</v>
      </c>
      <c r="AV626" s="289" t="s">
        <v>92</v>
      </c>
      <c r="AW626" s="289" t="s">
        <v>92</v>
      </c>
      <c r="AX626" s="1885" t="s">
        <v>92</v>
      </c>
      <c r="AY626" s="289"/>
      <c r="AZ626" s="86"/>
      <c r="BA626" s="86"/>
      <c r="BB626" s="86"/>
      <c r="BC626" s="86"/>
      <c r="BD626" s="86"/>
      <c r="BE626" s="86"/>
    </row>
    <row r="627" spans="1:57" ht="15" customHeight="1" x14ac:dyDescent="0.4">
      <c r="A627" s="86"/>
      <c r="B627" s="1200"/>
      <c r="C627" s="290"/>
      <c r="D627" s="290"/>
      <c r="E627" s="290"/>
      <c r="F627" s="290"/>
      <c r="G627" s="290"/>
      <c r="H627" s="290"/>
      <c r="I627" s="290"/>
      <c r="J627" s="290"/>
      <c r="K627" s="290"/>
      <c r="L627" s="290"/>
      <c r="M627" s="290"/>
      <c r="N627" s="290"/>
      <c r="O627" s="290"/>
      <c r="P627" s="290"/>
      <c r="Q627" s="865" t="s">
        <v>663</v>
      </c>
      <c r="R627" s="866">
        <v>28</v>
      </c>
      <c r="S627" s="866">
        <v>18</v>
      </c>
      <c r="T627" s="866">
        <v>23</v>
      </c>
      <c r="U627" s="290"/>
      <c r="V627" s="685" t="b">
        <f t="shared" si="81"/>
        <v>0</v>
      </c>
      <c r="W627" s="685"/>
      <c r="X627" s="686">
        <f t="shared" si="80"/>
        <v>20.5</v>
      </c>
      <c r="Y627" s="290">
        <f t="shared" si="78"/>
        <v>5</v>
      </c>
      <c r="Z627" s="290"/>
      <c r="AA627" s="290"/>
      <c r="AB627" s="290"/>
      <c r="AC627" s="290"/>
      <c r="AD627" s="290"/>
      <c r="AE627" s="290"/>
      <c r="AF627" s="290"/>
      <c r="AG627" s="290"/>
      <c r="AH627" s="290"/>
      <c r="AI627" s="353">
        <v>0.94940000000000002</v>
      </c>
      <c r="AJ627" s="39"/>
      <c r="AK627" s="39"/>
      <c r="AL627" s="39"/>
      <c r="AM627" s="289" t="s">
        <v>92</v>
      </c>
      <c r="AN627" s="289" t="s">
        <v>92</v>
      </c>
      <c r="AO627" s="289" t="s">
        <v>92</v>
      </c>
      <c r="AP627" s="289" t="s">
        <v>92</v>
      </c>
      <c r="AQ627" s="289" t="s">
        <v>92</v>
      </c>
      <c r="AR627" s="289" t="s">
        <v>92</v>
      </c>
      <c r="AS627" s="289" t="s">
        <v>92</v>
      </c>
      <c r="AT627" s="289" t="s">
        <v>92</v>
      </c>
      <c r="AU627" s="289" t="s">
        <v>92</v>
      </c>
      <c r="AV627" s="289" t="s">
        <v>92</v>
      </c>
      <c r="AW627" s="289" t="s">
        <v>92</v>
      </c>
      <c r="AX627" s="1885" t="s">
        <v>92</v>
      </c>
      <c r="AY627" s="289"/>
      <c r="AZ627" s="86"/>
      <c r="BA627" s="86"/>
      <c r="BB627" s="86"/>
      <c r="BC627" s="86"/>
      <c r="BD627" s="86"/>
      <c r="BE627" s="86"/>
    </row>
    <row r="628" spans="1:57" ht="15" customHeight="1" x14ac:dyDescent="0.4">
      <c r="A628" s="86"/>
      <c r="B628" s="1200"/>
      <c r="C628" s="290"/>
      <c r="D628" s="290"/>
      <c r="E628" s="290"/>
      <c r="F628" s="290"/>
      <c r="G628" s="290"/>
      <c r="H628" s="290"/>
      <c r="I628" s="290"/>
      <c r="J628" s="290"/>
      <c r="K628" s="290"/>
      <c r="L628" s="290"/>
      <c r="M628" s="290"/>
      <c r="N628" s="290"/>
      <c r="O628" s="290"/>
      <c r="P628" s="290"/>
      <c r="Q628" s="865" t="s">
        <v>664</v>
      </c>
      <c r="R628" s="866">
        <v>28</v>
      </c>
      <c r="S628" s="866">
        <v>23</v>
      </c>
      <c r="T628" s="866">
        <v>28</v>
      </c>
      <c r="U628" s="290"/>
      <c r="V628" s="685" t="b">
        <f t="shared" si="81"/>
        <v>0</v>
      </c>
      <c r="W628" s="685"/>
      <c r="X628" s="686">
        <f t="shared" si="80"/>
        <v>25.5</v>
      </c>
      <c r="Y628" s="290">
        <f t="shared" si="78"/>
        <v>4.5</v>
      </c>
      <c r="Z628" s="290"/>
      <c r="AA628" s="290"/>
      <c r="AB628" s="290"/>
      <c r="AC628" s="290"/>
      <c r="AD628" s="290"/>
      <c r="AE628" s="290"/>
      <c r="AF628" s="290"/>
      <c r="AG628" s="290"/>
      <c r="AH628" s="290"/>
      <c r="AI628" s="353">
        <v>1.1200000000000001</v>
      </c>
      <c r="AJ628" s="39"/>
      <c r="AK628" s="39"/>
      <c r="AL628" s="39"/>
      <c r="AM628" s="289" t="s">
        <v>92</v>
      </c>
      <c r="AN628" s="289" t="s">
        <v>92</v>
      </c>
      <c r="AO628" s="289" t="s">
        <v>92</v>
      </c>
      <c r="AP628" s="289" t="s">
        <v>92</v>
      </c>
      <c r="AQ628" s="289" t="s">
        <v>92</v>
      </c>
      <c r="AR628" s="289" t="s">
        <v>92</v>
      </c>
      <c r="AS628" s="289" t="s">
        <v>92</v>
      </c>
      <c r="AT628" s="289" t="s">
        <v>92</v>
      </c>
      <c r="AU628" s="289" t="s">
        <v>92</v>
      </c>
      <c r="AV628" s="289" t="s">
        <v>92</v>
      </c>
      <c r="AW628" s="289" t="s">
        <v>92</v>
      </c>
      <c r="AX628" s="1885" t="s">
        <v>92</v>
      </c>
      <c r="AY628" s="289"/>
      <c r="AZ628" s="86"/>
      <c r="BA628" s="86"/>
      <c r="BB628" s="86"/>
      <c r="BC628" s="86"/>
      <c r="BD628" s="86"/>
      <c r="BE628" s="86"/>
    </row>
    <row r="629" spans="1:57" ht="15" customHeight="1" x14ac:dyDescent="0.4">
      <c r="A629" s="86"/>
      <c r="B629" s="1200"/>
      <c r="C629" s="290"/>
      <c r="D629" s="290"/>
      <c r="E629" s="290"/>
      <c r="F629" s="290"/>
      <c r="G629" s="290"/>
      <c r="H629" s="290"/>
      <c r="I629" s="290"/>
      <c r="J629" s="290"/>
      <c r="K629" s="290"/>
      <c r="L629" s="290"/>
      <c r="M629" s="290"/>
      <c r="N629" s="290"/>
      <c r="O629" s="290"/>
      <c r="P629" s="290"/>
      <c r="Q629" s="865" t="s">
        <v>665</v>
      </c>
      <c r="R629" s="866">
        <v>28</v>
      </c>
      <c r="S629" s="866">
        <v>28</v>
      </c>
      <c r="T629" s="866">
        <v>32</v>
      </c>
      <c r="U629" s="290"/>
      <c r="V629" s="685" t="b">
        <f t="shared" si="81"/>
        <v>0</v>
      </c>
      <c r="W629" s="685"/>
      <c r="X629" s="686">
        <f t="shared" si="80"/>
        <v>30</v>
      </c>
      <c r="Y629" s="290">
        <f t="shared" si="78"/>
        <v>4</v>
      </c>
      <c r="Z629" s="290"/>
      <c r="AA629" s="290"/>
      <c r="AB629" s="290"/>
      <c r="AC629" s="290"/>
      <c r="AD629" s="290"/>
      <c r="AE629" s="290"/>
      <c r="AF629" s="290"/>
      <c r="AG629" s="290"/>
      <c r="AH629" s="290"/>
      <c r="AI629" s="353">
        <v>1.21</v>
      </c>
      <c r="AJ629" s="39"/>
      <c r="AK629" s="39"/>
      <c r="AL629" s="39"/>
      <c r="AM629" s="289" t="s">
        <v>92</v>
      </c>
      <c r="AN629" s="289" t="s">
        <v>92</v>
      </c>
      <c r="AO629" s="289" t="s">
        <v>92</v>
      </c>
      <c r="AP629" s="289" t="s">
        <v>92</v>
      </c>
      <c r="AQ629" s="289" t="s">
        <v>92</v>
      </c>
      <c r="AR629" s="289" t="s">
        <v>92</v>
      </c>
      <c r="AS629" s="289" t="s">
        <v>92</v>
      </c>
      <c r="AT629" s="289" t="s">
        <v>92</v>
      </c>
      <c r="AU629" s="289" t="s">
        <v>92</v>
      </c>
      <c r="AV629" s="289" t="s">
        <v>92</v>
      </c>
      <c r="AW629" s="289" t="s">
        <v>92</v>
      </c>
      <c r="AX629" s="1885" t="s">
        <v>92</v>
      </c>
      <c r="AY629" s="289"/>
      <c r="AZ629" s="86"/>
      <c r="BA629" s="86"/>
      <c r="BB629" s="86"/>
      <c r="BC629" s="86"/>
      <c r="BD629" s="86"/>
      <c r="BE629" s="86"/>
    </row>
    <row r="630" spans="1:57" ht="15" customHeight="1" x14ac:dyDescent="0.4">
      <c r="A630" s="86"/>
      <c r="B630" s="1200"/>
      <c r="C630" s="290"/>
      <c r="D630" s="290"/>
      <c r="E630" s="290"/>
      <c r="F630" s="290"/>
      <c r="G630" s="290"/>
      <c r="H630" s="290"/>
      <c r="I630" s="290"/>
      <c r="J630" s="290"/>
      <c r="K630" s="290"/>
      <c r="L630" s="290"/>
      <c r="M630" s="290"/>
      <c r="N630" s="290"/>
      <c r="O630" s="290"/>
      <c r="P630" s="290"/>
      <c r="Q630" s="865" t="s">
        <v>666</v>
      </c>
      <c r="R630" s="866">
        <v>28</v>
      </c>
      <c r="S630" s="866">
        <v>32</v>
      </c>
      <c r="T630" s="866">
        <v>36</v>
      </c>
      <c r="U630" s="290"/>
      <c r="V630" s="685" t="b">
        <f t="shared" si="81"/>
        <v>0</v>
      </c>
      <c r="W630" s="685"/>
      <c r="X630" s="686">
        <f t="shared" si="80"/>
        <v>34</v>
      </c>
      <c r="Y630" s="290">
        <f t="shared" si="78"/>
        <v>4</v>
      </c>
      <c r="Z630" s="290"/>
      <c r="AA630" s="290"/>
      <c r="AB630" s="290"/>
      <c r="AC630" s="290"/>
      <c r="AD630" s="290"/>
      <c r="AE630" s="290"/>
      <c r="AF630" s="290"/>
      <c r="AG630" s="290"/>
      <c r="AH630" s="290"/>
      <c r="AI630" s="353">
        <v>1.7604</v>
      </c>
      <c r="AJ630" s="39"/>
      <c r="AK630" s="39"/>
      <c r="AL630" s="39"/>
      <c r="AM630" s="289" t="s">
        <v>92</v>
      </c>
      <c r="AN630" s="289" t="s">
        <v>92</v>
      </c>
      <c r="AO630" s="289" t="s">
        <v>92</v>
      </c>
      <c r="AP630" s="289" t="s">
        <v>92</v>
      </c>
      <c r="AQ630" s="289" t="s">
        <v>92</v>
      </c>
      <c r="AR630" s="289" t="s">
        <v>92</v>
      </c>
      <c r="AS630" s="289" t="s">
        <v>92</v>
      </c>
      <c r="AT630" s="289" t="s">
        <v>92</v>
      </c>
      <c r="AU630" s="289" t="s">
        <v>92</v>
      </c>
      <c r="AV630" s="289" t="s">
        <v>92</v>
      </c>
      <c r="AW630" s="289" t="s">
        <v>92</v>
      </c>
      <c r="AX630" s="1885" t="s">
        <v>92</v>
      </c>
      <c r="AY630" s="289"/>
      <c r="AZ630" s="86"/>
      <c r="BA630" s="86"/>
      <c r="BB630" s="86"/>
      <c r="BC630" s="86"/>
      <c r="BD630" s="86"/>
      <c r="BE630" s="86"/>
    </row>
    <row r="631" spans="1:57" ht="15" customHeight="1" x14ac:dyDescent="0.4">
      <c r="A631" s="86"/>
      <c r="B631" s="1200"/>
      <c r="C631" s="290"/>
      <c r="D631" s="290"/>
      <c r="E631" s="290"/>
      <c r="F631" s="290"/>
      <c r="G631" s="290"/>
      <c r="H631" s="290"/>
      <c r="I631" s="290"/>
      <c r="J631" s="290"/>
      <c r="K631" s="290"/>
      <c r="L631" s="290"/>
      <c r="M631" s="290"/>
      <c r="N631" s="290"/>
      <c r="O631" s="290"/>
      <c r="P631" s="290"/>
      <c r="Q631" s="865" t="s">
        <v>667</v>
      </c>
      <c r="R631" s="866">
        <v>28</v>
      </c>
      <c r="S631" s="866">
        <v>36</v>
      </c>
      <c r="T631" s="866">
        <v>40</v>
      </c>
      <c r="U631" s="290"/>
      <c r="V631" s="685" t="b">
        <f t="shared" si="81"/>
        <v>0</v>
      </c>
      <c r="W631" s="685"/>
      <c r="X631" s="686">
        <f t="shared" si="80"/>
        <v>38</v>
      </c>
      <c r="Y631" s="290">
        <f t="shared" si="78"/>
        <v>3.5</v>
      </c>
      <c r="Z631" s="290"/>
      <c r="AA631" s="290"/>
      <c r="AB631" s="290"/>
      <c r="AC631" s="290"/>
      <c r="AD631" s="290"/>
      <c r="AE631" s="290"/>
      <c r="AF631" s="290"/>
      <c r="AG631" s="290"/>
      <c r="AH631" s="290"/>
      <c r="AI631" s="353">
        <v>2.11</v>
      </c>
      <c r="AJ631" s="39"/>
      <c r="AK631" s="39"/>
      <c r="AL631" s="39"/>
      <c r="AM631" s="289" t="s">
        <v>92</v>
      </c>
      <c r="AN631" s="289" t="s">
        <v>92</v>
      </c>
      <c r="AO631" s="289" t="s">
        <v>92</v>
      </c>
      <c r="AP631" s="289" t="s">
        <v>92</v>
      </c>
      <c r="AQ631" s="289" t="s">
        <v>92</v>
      </c>
      <c r="AR631" s="289" t="s">
        <v>92</v>
      </c>
      <c r="AS631" s="289" t="s">
        <v>92</v>
      </c>
      <c r="AT631" s="289" t="s">
        <v>92</v>
      </c>
      <c r="AU631" s="289" t="s">
        <v>92</v>
      </c>
      <c r="AV631" s="289" t="s">
        <v>92</v>
      </c>
      <c r="AW631" s="289" t="s">
        <v>92</v>
      </c>
      <c r="AX631" s="1885" t="s">
        <v>92</v>
      </c>
      <c r="AY631" s="289"/>
      <c r="AZ631" s="86"/>
      <c r="BA631" s="86"/>
      <c r="BB631" s="86"/>
      <c r="BC631" s="86"/>
      <c r="BD631" s="86"/>
      <c r="BE631" s="86"/>
    </row>
    <row r="632" spans="1:57" ht="15" customHeight="1" x14ac:dyDescent="0.4">
      <c r="A632" s="86"/>
      <c r="B632" s="1200"/>
      <c r="C632" s="290"/>
      <c r="D632" s="290"/>
      <c r="E632" s="290"/>
      <c r="F632" s="290"/>
      <c r="G632" s="290"/>
      <c r="H632" s="290"/>
      <c r="I632" s="290"/>
      <c r="J632" s="290"/>
      <c r="K632" s="290"/>
      <c r="L632" s="290"/>
      <c r="M632" s="290"/>
      <c r="N632" s="290"/>
      <c r="O632" s="290"/>
      <c r="P632" s="290"/>
      <c r="Q632" s="865" t="s">
        <v>668</v>
      </c>
      <c r="R632" s="866">
        <v>28</v>
      </c>
      <c r="S632" s="866">
        <v>40</v>
      </c>
      <c r="T632" s="866">
        <v>43</v>
      </c>
      <c r="U632" s="290"/>
      <c r="V632" s="685" t="b">
        <f t="shared" si="81"/>
        <v>0</v>
      </c>
      <c r="W632" s="685"/>
      <c r="X632" s="686">
        <f t="shared" si="80"/>
        <v>41.5</v>
      </c>
      <c r="Y632" s="290">
        <f t="shared" si="78"/>
        <v>2.5</v>
      </c>
      <c r="Z632" s="290"/>
      <c r="AA632" s="290"/>
      <c r="AB632" s="290"/>
      <c r="AC632" s="290"/>
      <c r="AD632" s="290"/>
      <c r="AE632" s="290"/>
      <c r="AF632" s="290"/>
      <c r="AG632" s="290"/>
      <c r="AH632" s="290"/>
      <c r="AI632" s="353">
        <v>2.36</v>
      </c>
      <c r="AJ632" s="39"/>
      <c r="AK632" s="39"/>
      <c r="AL632" s="39"/>
      <c r="AM632" s="289" t="s">
        <v>92</v>
      </c>
      <c r="AN632" s="289" t="s">
        <v>92</v>
      </c>
      <c r="AO632" s="289" t="s">
        <v>92</v>
      </c>
      <c r="AP632" s="289" t="s">
        <v>92</v>
      </c>
      <c r="AQ632" s="289" t="s">
        <v>92</v>
      </c>
      <c r="AR632" s="289" t="s">
        <v>92</v>
      </c>
      <c r="AS632" s="289" t="s">
        <v>92</v>
      </c>
      <c r="AT632" s="289" t="s">
        <v>92</v>
      </c>
      <c r="AU632" s="289" t="s">
        <v>92</v>
      </c>
      <c r="AV632" s="289" t="s">
        <v>92</v>
      </c>
      <c r="AW632" s="289" t="s">
        <v>92</v>
      </c>
      <c r="AX632" s="1885" t="s">
        <v>92</v>
      </c>
      <c r="AY632" s="289"/>
      <c r="AZ632" s="86"/>
      <c r="BA632" s="86"/>
      <c r="BB632" s="86"/>
      <c r="BC632" s="86"/>
      <c r="BD632" s="86"/>
      <c r="BE632" s="86"/>
    </row>
    <row r="633" spans="1:57" ht="15" customHeight="1" x14ac:dyDescent="0.4">
      <c r="A633" s="86"/>
      <c r="B633" s="1200"/>
      <c r="C633" s="290"/>
      <c r="D633" s="290"/>
      <c r="E633" s="290"/>
      <c r="F633" s="290"/>
      <c r="G633" s="290"/>
      <c r="H633" s="290"/>
      <c r="I633" s="290"/>
      <c r="J633" s="290"/>
      <c r="K633" s="290"/>
      <c r="L633" s="290"/>
      <c r="M633" s="290"/>
      <c r="N633" s="290"/>
      <c r="O633" s="290"/>
      <c r="P633" s="290"/>
      <c r="Q633" s="865" t="s">
        <v>669</v>
      </c>
      <c r="R633" s="866">
        <v>28</v>
      </c>
      <c r="S633" s="866">
        <v>43</v>
      </c>
      <c r="T633" s="866">
        <v>45</v>
      </c>
      <c r="U633" s="290"/>
      <c r="V633" s="685" t="b">
        <f t="shared" si="81"/>
        <v>0</v>
      </c>
      <c r="W633" s="685"/>
      <c r="X633" s="686">
        <f t="shared" si="80"/>
        <v>44</v>
      </c>
      <c r="Y633" s="290" t="str">
        <f t="shared" si="78"/>
        <v/>
      </c>
      <c r="Z633" s="290"/>
      <c r="AA633" s="290"/>
      <c r="AB633" s="290"/>
      <c r="AC633" s="290"/>
      <c r="AD633" s="290"/>
      <c r="AE633" s="290"/>
      <c r="AF633" s="290"/>
      <c r="AG633" s="290"/>
      <c r="AH633" s="290"/>
      <c r="AI633" s="353">
        <v>3.27</v>
      </c>
      <c r="AJ633" s="39"/>
      <c r="AK633" s="39"/>
      <c r="AL633" s="39"/>
      <c r="AM633" s="289" t="s">
        <v>92</v>
      </c>
      <c r="AN633" s="289" t="s">
        <v>92</v>
      </c>
      <c r="AO633" s="289" t="s">
        <v>92</v>
      </c>
      <c r="AP633" s="289" t="s">
        <v>92</v>
      </c>
      <c r="AQ633" s="289" t="s">
        <v>92</v>
      </c>
      <c r="AR633" s="289" t="s">
        <v>92</v>
      </c>
      <c r="AS633" s="289" t="s">
        <v>92</v>
      </c>
      <c r="AT633" s="289" t="s">
        <v>92</v>
      </c>
      <c r="AU633" s="289" t="s">
        <v>92</v>
      </c>
      <c r="AV633" s="289" t="s">
        <v>92</v>
      </c>
      <c r="AW633" s="289" t="s">
        <v>92</v>
      </c>
      <c r="AX633" s="1885" t="s">
        <v>92</v>
      </c>
      <c r="AY633" s="289"/>
      <c r="AZ633" s="86"/>
      <c r="BA633" s="86"/>
      <c r="BB633" s="86"/>
      <c r="BC633" s="86"/>
      <c r="BD633" s="86"/>
      <c r="BE633" s="86"/>
    </row>
    <row r="634" spans="1:57" ht="15" customHeight="1" x14ac:dyDescent="0.4">
      <c r="A634" s="86"/>
      <c r="B634" s="1200"/>
      <c r="C634" s="290"/>
      <c r="D634" s="290"/>
      <c r="E634" s="290"/>
      <c r="F634" s="290"/>
      <c r="G634" s="290"/>
      <c r="H634" s="290"/>
      <c r="I634" s="290"/>
      <c r="J634" s="290"/>
      <c r="K634" s="290"/>
      <c r="L634" s="290"/>
      <c r="M634" s="290"/>
      <c r="N634" s="290"/>
      <c r="O634" s="290"/>
      <c r="P634" s="290"/>
      <c r="Q634" s="865" t="s">
        <v>670</v>
      </c>
      <c r="R634" s="866">
        <v>30</v>
      </c>
      <c r="S634" s="866">
        <v>0</v>
      </c>
      <c r="T634" s="866">
        <v>13</v>
      </c>
      <c r="U634" s="290"/>
      <c r="V634" s="685" t="b">
        <f t="shared" si="81"/>
        <v>0</v>
      </c>
      <c r="W634" s="685"/>
      <c r="X634" s="686">
        <f t="shared" si="80"/>
        <v>6.5</v>
      </c>
      <c r="Y634" s="290">
        <f t="shared" si="78"/>
        <v>9.5</v>
      </c>
      <c r="Z634" s="290"/>
      <c r="AA634" s="290"/>
      <c r="AB634" s="290"/>
      <c r="AC634" s="290"/>
      <c r="AD634" s="290"/>
      <c r="AE634" s="290"/>
      <c r="AF634" s="290"/>
      <c r="AG634" s="290"/>
      <c r="AH634" s="290"/>
      <c r="AI634" s="353">
        <v>0.88019999999999998</v>
      </c>
      <c r="AJ634" s="39"/>
      <c r="AK634" s="39"/>
      <c r="AL634" s="39"/>
      <c r="AM634" s="289" t="s">
        <v>92</v>
      </c>
      <c r="AN634" s="289" t="s">
        <v>92</v>
      </c>
      <c r="AO634" s="289" t="s">
        <v>92</v>
      </c>
      <c r="AP634" s="289" t="s">
        <v>92</v>
      </c>
      <c r="AQ634" s="289" t="s">
        <v>92</v>
      </c>
      <c r="AR634" s="289" t="s">
        <v>92</v>
      </c>
      <c r="AS634" s="289" t="s">
        <v>92</v>
      </c>
      <c r="AT634" s="289" t="s">
        <v>92</v>
      </c>
      <c r="AU634" s="289" t="s">
        <v>92</v>
      </c>
      <c r="AV634" s="289" t="s">
        <v>92</v>
      </c>
      <c r="AW634" s="289" t="s">
        <v>92</v>
      </c>
      <c r="AX634" s="1885" t="s">
        <v>92</v>
      </c>
      <c r="AY634" s="289"/>
      <c r="AZ634" s="86"/>
      <c r="BA634" s="86"/>
      <c r="BB634" s="86"/>
      <c r="BC634" s="86"/>
      <c r="BD634" s="86"/>
      <c r="BE634" s="86"/>
    </row>
    <row r="635" spans="1:57" ht="15" customHeight="1" x14ac:dyDescent="0.4">
      <c r="A635" s="86"/>
      <c r="B635" s="1200"/>
      <c r="C635" s="290"/>
      <c r="D635" s="290"/>
      <c r="E635" s="290"/>
      <c r="F635" s="290"/>
      <c r="G635" s="290"/>
      <c r="H635" s="290"/>
      <c r="I635" s="290"/>
      <c r="J635" s="290"/>
      <c r="K635" s="290"/>
      <c r="L635" s="290"/>
      <c r="M635" s="290"/>
      <c r="N635" s="290"/>
      <c r="O635" s="290"/>
      <c r="P635" s="290"/>
      <c r="Q635" s="865" t="s">
        <v>671</v>
      </c>
      <c r="R635" s="866">
        <v>30</v>
      </c>
      <c r="S635" s="866">
        <v>13</v>
      </c>
      <c r="T635" s="866">
        <v>19</v>
      </c>
      <c r="U635" s="290"/>
      <c r="V635" s="685" t="b">
        <f t="shared" si="81"/>
        <v>0</v>
      </c>
      <c r="W635" s="685"/>
      <c r="X635" s="686">
        <f t="shared" si="80"/>
        <v>16</v>
      </c>
      <c r="Y635" s="290">
        <f t="shared" si="78"/>
        <v>5.5</v>
      </c>
      <c r="Z635" s="290"/>
      <c r="AA635" s="290"/>
      <c r="AB635" s="290"/>
      <c r="AC635" s="290"/>
      <c r="AD635" s="290"/>
      <c r="AE635" s="290"/>
      <c r="AF635" s="290"/>
      <c r="AG635" s="290"/>
      <c r="AH635" s="290"/>
      <c r="AI635" s="353">
        <v>0.95</v>
      </c>
      <c r="AJ635" s="39"/>
      <c r="AK635" s="39"/>
      <c r="AL635" s="39"/>
      <c r="AM635" s="289" t="s">
        <v>92</v>
      </c>
      <c r="AN635" s="289" t="s">
        <v>92</v>
      </c>
      <c r="AO635" s="289" t="s">
        <v>92</v>
      </c>
      <c r="AP635" s="289" t="s">
        <v>92</v>
      </c>
      <c r="AQ635" s="289" t="s">
        <v>92</v>
      </c>
      <c r="AR635" s="289" t="s">
        <v>92</v>
      </c>
      <c r="AS635" s="289" t="s">
        <v>92</v>
      </c>
      <c r="AT635" s="289" t="s">
        <v>92</v>
      </c>
      <c r="AU635" s="289" t="s">
        <v>92</v>
      </c>
      <c r="AV635" s="289" t="s">
        <v>92</v>
      </c>
      <c r="AW635" s="289" t="s">
        <v>92</v>
      </c>
      <c r="AX635" s="1885" t="s">
        <v>92</v>
      </c>
      <c r="AY635" s="289"/>
      <c r="AZ635" s="86"/>
      <c r="BA635" s="86"/>
      <c r="BB635" s="86"/>
      <c r="BC635" s="86"/>
      <c r="BD635" s="86"/>
      <c r="BE635" s="86"/>
    </row>
    <row r="636" spans="1:57" ht="15" customHeight="1" x14ac:dyDescent="0.4">
      <c r="A636" s="86"/>
      <c r="B636" s="1200"/>
      <c r="C636" s="290"/>
      <c r="D636" s="290"/>
      <c r="E636" s="290"/>
      <c r="F636" s="290"/>
      <c r="G636" s="290"/>
      <c r="H636" s="290"/>
      <c r="I636" s="290"/>
      <c r="J636" s="290"/>
      <c r="K636" s="290"/>
      <c r="L636" s="290"/>
      <c r="M636" s="290"/>
      <c r="N636" s="290"/>
      <c r="O636" s="290"/>
      <c r="P636" s="290"/>
      <c r="Q636" s="865" t="s">
        <v>672</v>
      </c>
      <c r="R636" s="866">
        <v>30</v>
      </c>
      <c r="S636" s="866">
        <v>19</v>
      </c>
      <c r="T636" s="866">
        <v>24</v>
      </c>
      <c r="U636" s="290"/>
      <c r="V636" s="685" t="b">
        <f t="shared" si="81"/>
        <v>0</v>
      </c>
      <c r="W636" s="685"/>
      <c r="X636" s="686">
        <f t="shared" si="80"/>
        <v>21.5</v>
      </c>
      <c r="Y636" s="290">
        <f t="shared" si="78"/>
        <v>5</v>
      </c>
      <c r="Z636" s="290"/>
      <c r="AA636" s="290"/>
      <c r="AB636" s="290"/>
      <c r="AC636" s="290"/>
      <c r="AD636" s="290"/>
      <c r="AE636" s="290"/>
      <c r="AF636" s="290"/>
      <c r="AG636" s="290"/>
      <c r="AH636" s="290"/>
      <c r="AI636" s="353">
        <v>0.96</v>
      </c>
      <c r="AJ636" s="39"/>
      <c r="AK636" s="39"/>
      <c r="AL636" s="39"/>
      <c r="AM636" s="289" t="s">
        <v>92</v>
      </c>
      <c r="AN636" s="289" t="s">
        <v>92</v>
      </c>
      <c r="AO636" s="289" t="s">
        <v>92</v>
      </c>
      <c r="AP636" s="289" t="s">
        <v>92</v>
      </c>
      <c r="AQ636" s="289" t="s">
        <v>92</v>
      </c>
      <c r="AR636" s="289" t="s">
        <v>92</v>
      </c>
      <c r="AS636" s="289" t="s">
        <v>92</v>
      </c>
      <c r="AT636" s="289" t="s">
        <v>92</v>
      </c>
      <c r="AU636" s="289" t="s">
        <v>92</v>
      </c>
      <c r="AV636" s="289" t="s">
        <v>92</v>
      </c>
      <c r="AW636" s="289" t="s">
        <v>92</v>
      </c>
      <c r="AX636" s="1885" t="s">
        <v>92</v>
      </c>
      <c r="AY636" s="289"/>
      <c r="AZ636" s="86"/>
      <c r="BA636" s="86"/>
      <c r="BB636" s="86"/>
      <c r="BC636" s="86"/>
      <c r="BD636" s="86"/>
      <c r="BE636" s="86"/>
    </row>
    <row r="637" spans="1:57" ht="15" customHeight="1" x14ac:dyDescent="0.4">
      <c r="A637" s="86"/>
      <c r="B637" s="1200"/>
      <c r="C637" s="290"/>
      <c r="D637" s="290"/>
      <c r="E637" s="290"/>
      <c r="F637" s="290"/>
      <c r="G637" s="290"/>
      <c r="H637" s="290"/>
      <c r="I637" s="290"/>
      <c r="J637" s="290"/>
      <c r="K637" s="290"/>
      <c r="L637" s="290"/>
      <c r="M637" s="290"/>
      <c r="N637" s="290"/>
      <c r="O637" s="290"/>
      <c r="P637" s="290"/>
      <c r="Q637" s="865" t="s">
        <v>673</v>
      </c>
      <c r="R637" s="866">
        <v>30</v>
      </c>
      <c r="S637" s="866">
        <v>24</v>
      </c>
      <c r="T637" s="866">
        <v>29</v>
      </c>
      <c r="U637" s="290"/>
      <c r="V637" s="685" t="b">
        <f t="shared" si="81"/>
        <v>0</v>
      </c>
      <c r="W637" s="685"/>
      <c r="X637" s="686">
        <f t="shared" si="80"/>
        <v>26.5</v>
      </c>
      <c r="Y637" s="290">
        <f t="shared" si="78"/>
        <v>4.5</v>
      </c>
      <c r="Z637" s="290"/>
      <c r="AA637" s="290"/>
      <c r="AB637" s="290"/>
      <c r="AC637" s="290"/>
      <c r="AD637" s="290"/>
      <c r="AE637" s="290"/>
      <c r="AF637" s="290"/>
      <c r="AG637" s="290"/>
      <c r="AH637" s="290"/>
      <c r="AI637" s="353">
        <v>1.0879000000000001</v>
      </c>
      <c r="AJ637" s="39"/>
      <c r="AK637" s="39"/>
      <c r="AL637" s="39"/>
      <c r="AM637" s="289" t="s">
        <v>92</v>
      </c>
      <c r="AN637" s="289" t="s">
        <v>92</v>
      </c>
      <c r="AO637" s="289" t="s">
        <v>92</v>
      </c>
      <c r="AP637" s="289" t="s">
        <v>92</v>
      </c>
      <c r="AQ637" s="289" t="s">
        <v>92</v>
      </c>
      <c r="AR637" s="289" t="s">
        <v>92</v>
      </c>
      <c r="AS637" s="289" t="s">
        <v>92</v>
      </c>
      <c r="AT637" s="289" t="s">
        <v>92</v>
      </c>
      <c r="AU637" s="289" t="s">
        <v>92</v>
      </c>
      <c r="AV637" s="289" t="s">
        <v>92</v>
      </c>
      <c r="AW637" s="289" t="s">
        <v>92</v>
      </c>
      <c r="AX637" s="1885" t="s">
        <v>92</v>
      </c>
      <c r="AY637" s="289"/>
      <c r="AZ637" s="86"/>
      <c r="BA637" s="86"/>
      <c r="BB637" s="86"/>
      <c r="BC637" s="86"/>
      <c r="BD637" s="86"/>
      <c r="BE637" s="86"/>
    </row>
    <row r="638" spans="1:57" ht="15" customHeight="1" x14ac:dyDescent="0.4">
      <c r="A638" s="86"/>
      <c r="B638" s="1200"/>
      <c r="C638" s="290"/>
      <c r="D638" s="290"/>
      <c r="E638" s="290"/>
      <c r="F638" s="290"/>
      <c r="G638" s="290"/>
      <c r="H638" s="290"/>
      <c r="I638" s="290"/>
      <c r="J638" s="290"/>
      <c r="K638" s="290"/>
      <c r="L638" s="290"/>
      <c r="M638" s="290"/>
      <c r="N638" s="290"/>
      <c r="O638" s="290"/>
      <c r="P638" s="290"/>
      <c r="Q638" s="865" t="s">
        <v>674</v>
      </c>
      <c r="R638" s="866">
        <v>30</v>
      </c>
      <c r="S638" s="866">
        <v>29</v>
      </c>
      <c r="T638" s="866">
        <v>33</v>
      </c>
      <c r="U638" s="290"/>
      <c r="V638" s="685" t="b">
        <f t="shared" si="81"/>
        <v>0</v>
      </c>
      <c r="W638" s="685"/>
      <c r="X638" s="686">
        <f t="shared" si="80"/>
        <v>31</v>
      </c>
      <c r="Y638" s="290">
        <f t="shared" si="78"/>
        <v>4</v>
      </c>
      <c r="Z638" s="290"/>
      <c r="AA638" s="290"/>
      <c r="AB638" s="290"/>
      <c r="AC638" s="290"/>
      <c r="AD638" s="290"/>
      <c r="AE638" s="290"/>
      <c r="AF638" s="290"/>
      <c r="AG638" s="290"/>
      <c r="AH638" s="290"/>
      <c r="AI638" s="353">
        <v>1.28</v>
      </c>
      <c r="AJ638" s="39"/>
      <c r="AK638" s="39"/>
      <c r="AL638" s="39"/>
      <c r="AM638" s="289" t="s">
        <v>92</v>
      </c>
      <c r="AN638" s="289" t="s">
        <v>92</v>
      </c>
      <c r="AO638" s="289" t="s">
        <v>92</v>
      </c>
      <c r="AP638" s="289" t="s">
        <v>92</v>
      </c>
      <c r="AQ638" s="289" t="s">
        <v>92</v>
      </c>
      <c r="AR638" s="289" t="s">
        <v>92</v>
      </c>
      <c r="AS638" s="289" t="s">
        <v>92</v>
      </c>
      <c r="AT638" s="289" t="s">
        <v>92</v>
      </c>
      <c r="AU638" s="289" t="s">
        <v>92</v>
      </c>
      <c r="AV638" s="289" t="s">
        <v>92</v>
      </c>
      <c r="AW638" s="289" t="s">
        <v>92</v>
      </c>
      <c r="AX638" s="1885" t="s">
        <v>92</v>
      </c>
      <c r="AY638" s="289"/>
      <c r="AZ638" s="86"/>
      <c r="BA638" s="86"/>
      <c r="BB638" s="86"/>
      <c r="BC638" s="86"/>
      <c r="BD638" s="86"/>
      <c r="BE638" s="86"/>
    </row>
    <row r="639" spans="1:57" ht="15" customHeight="1" x14ac:dyDescent="0.4">
      <c r="A639" s="86"/>
      <c r="B639" s="1200"/>
      <c r="C639" s="290"/>
      <c r="D639" s="290"/>
      <c r="E639" s="290"/>
      <c r="F639" s="290"/>
      <c r="G639" s="290"/>
      <c r="H639" s="290"/>
      <c r="I639" s="290"/>
      <c r="J639" s="290"/>
      <c r="K639" s="290"/>
      <c r="L639" s="290"/>
      <c r="M639" s="290"/>
      <c r="N639" s="290"/>
      <c r="O639" s="290"/>
      <c r="P639" s="290"/>
      <c r="Q639" s="865" t="s">
        <v>675</v>
      </c>
      <c r="R639" s="866">
        <v>30</v>
      </c>
      <c r="S639" s="866">
        <v>33</v>
      </c>
      <c r="T639" s="866">
        <v>37</v>
      </c>
      <c r="U639" s="290"/>
      <c r="V639" s="685" t="b">
        <f t="shared" si="81"/>
        <v>0</v>
      </c>
      <c r="W639" s="685"/>
      <c r="X639" s="686">
        <f t="shared" si="80"/>
        <v>35</v>
      </c>
      <c r="Y639" s="290">
        <f t="shared" si="78"/>
        <v>3.5</v>
      </c>
      <c r="Z639" s="290"/>
      <c r="AA639" s="290"/>
      <c r="AB639" s="290"/>
      <c r="AC639" s="290"/>
      <c r="AD639" s="290"/>
      <c r="AE639" s="290"/>
      <c r="AF639" s="290"/>
      <c r="AG639" s="290"/>
      <c r="AH639" s="290"/>
      <c r="AI639" s="353">
        <v>1.84</v>
      </c>
      <c r="AJ639" s="39"/>
      <c r="AK639" s="39"/>
      <c r="AL639" s="39"/>
      <c r="AM639" s="289" t="s">
        <v>92</v>
      </c>
      <c r="AN639" s="289" t="s">
        <v>92</v>
      </c>
      <c r="AO639" s="289" t="s">
        <v>92</v>
      </c>
      <c r="AP639" s="289" t="s">
        <v>92</v>
      </c>
      <c r="AQ639" s="289" t="s">
        <v>92</v>
      </c>
      <c r="AR639" s="289" t="s">
        <v>92</v>
      </c>
      <c r="AS639" s="289" t="s">
        <v>92</v>
      </c>
      <c r="AT639" s="289" t="s">
        <v>92</v>
      </c>
      <c r="AU639" s="289" t="s">
        <v>92</v>
      </c>
      <c r="AV639" s="289" t="s">
        <v>92</v>
      </c>
      <c r="AW639" s="289" t="s">
        <v>92</v>
      </c>
      <c r="AX639" s="1885" t="s">
        <v>92</v>
      </c>
      <c r="AY639" s="289"/>
      <c r="AZ639" s="86"/>
      <c r="BA639" s="86"/>
      <c r="BB639" s="86"/>
      <c r="BC639" s="86"/>
      <c r="BD639" s="86"/>
      <c r="BE639" s="86"/>
    </row>
    <row r="640" spans="1:57" ht="15" customHeight="1" x14ac:dyDescent="0.4">
      <c r="A640" s="86"/>
      <c r="B640" s="1200"/>
      <c r="C640" s="290"/>
      <c r="D640" s="290"/>
      <c r="E640" s="290"/>
      <c r="F640" s="290"/>
      <c r="G640" s="290"/>
      <c r="H640" s="290"/>
      <c r="I640" s="290"/>
      <c r="J640" s="290"/>
      <c r="K640" s="290"/>
      <c r="L640" s="290"/>
      <c r="M640" s="290"/>
      <c r="N640" s="290"/>
      <c r="O640" s="290"/>
      <c r="P640" s="290"/>
      <c r="Q640" s="865" t="s">
        <v>676</v>
      </c>
      <c r="R640" s="866">
        <v>30</v>
      </c>
      <c r="S640" s="866">
        <v>37</v>
      </c>
      <c r="T640" s="866">
        <v>40</v>
      </c>
      <c r="U640" s="290"/>
      <c r="V640" s="685" t="b">
        <f t="shared" si="81"/>
        <v>0</v>
      </c>
      <c r="W640" s="685"/>
      <c r="X640" s="686">
        <f t="shared" si="80"/>
        <v>38.5</v>
      </c>
      <c r="Y640" s="290">
        <f t="shared" si="78"/>
        <v>3</v>
      </c>
      <c r="Z640" s="290"/>
      <c r="AA640" s="290"/>
      <c r="AB640" s="290"/>
      <c r="AC640" s="290"/>
      <c r="AD640" s="290"/>
      <c r="AE640" s="290"/>
      <c r="AF640" s="290"/>
      <c r="AG640" s="290"/>
      <c r="AH640" s="290"/>
      <c r="AI640" s="353">
        <v>2.17</v>
      </c>
      <c r="AJ640" s="39"/>
      <c r="AK640" s="39"/>
      <c r="AL640" s="39"/>
      <c r="AM640" s="289" t="s">
        <v>92</v>
      </c>
      <c r="AN640" s="289" t="s">
        <v>92</v>
      </c>
      <c r="AO640" s="289" t="s">
        <v>92</v>
      </c>
      <c r="AP640" s="289" t="s">
        <v>92</v>
      </c>
      <c r="AQ640" s="289" t="s">
        <v>92</v>
      </c>
      <c r="AR640" s="289" t="s">
        <v>92</v>
      </c>
      <c r="AS640" s="289" t="s">
        <v>92</v>
      </c>
      <c r="AT640" s="289" t="s">
        <v>92</v>
      </c>
      <c r="AU640" s="289" t="s">
        <v>92</v>
      </c>
      <c r="AV640" s="289" t="s">
        <v>92</v>
      </c>
      <c r="AW640" s="289" t="s">
        <v>92</v>
      </c>
      <c r="AX640" s="1885" t="s">
        <v>92</v>
      </c>
      <c r="AY640" s="289"/>
      <c r="AZ640" s="86"/>
      <c r="BA640" s="86"/>
      <c r="BB640" s="86"/>
      <c r="BC640" s="86"/>
      <c r="BD640" s="86"/>
      <c r="BE640" s="86"/>
    </row>
    <row r="641" spans="1:57" ht="15" customHeight="1" x14ac:dyDescent="0.4">
      <c r="A641" s="86"/>
      <c r="B641" s="1200"/>
      <c r="C641" s="290"/>
      <c r="D641" s="290"/>
      <c r="E641" s="290"/>
      <c r="F641" s="290"/>
      <c r="G641" s="290"/>
      <c r="H641" s="290"/>
      <c r="I641" s="290"/>
      <c r="J641" s="290"/>
      <c r="K641" s="290"/>
      <c r="L641" s="290"/>
      <c r="M641" s="290"/>
      <c r="N641" s="290"/>
      <c r="O641" s="290"/>
      <c r="P641" s="290"/>
      <c r="Q641" s="865" t="s">
        <v>677</v>
      </c>
      <c r="R641" s="866">
        <v>30</v>
      </c>
      <c r="S641" s="866">
        <v>40</v>
      </c>
      <c r="T641" s="866">
        <v>43</v>
      </c>
      <c r="U641" s="290"/>
      <c r="V641" s="685" t="b">
        <f t="shared" si="81"/>
        <v>0</v>
      </c>
      <c r="W641" s="685"/>
      <c r="X641" s="686">
        <f t="shared" si="80"/>
        <v>41.5</v>
      </c>
      <c r="Y641" s="290" t="str">
        <f t="shared" si="78"/>
        <v/>
      </c>
      <c r="Z641" s="290"/>
      <c r="AA641" s="290"/>
      <c r="AB641" s="290"/>
      <c r="AC641" s="290"/>
      <c r="AD641" s="290"/>
      <c r="AE641" s="290"/>
      <c r="AF641" s="290"/>
      <c r="AG641" s="290"/>
      <c r="AH641" s="290"/>
      <c r="AI641" s="353">
        <v>2.42</v>
      </c>
      <c r="AJ641" s="39"/>
      <c r="AK641" s="39"/>
      <c r="AL641" s="39"/>
      <c r="AM641" s="289" t="s">
        <v>92</v>
      </c>
      <c r="AN641" s="289" t="s">
        <v>92</v>
      </c>
      <c r="AO641" s="289" t="s">
        <v>92</v>
      </c>
      <c r="AP641" s="289" t="s">
        <v>92</v>
      </c>
      <c r="AQ641" s="289" t="s">
        <v>92</v>
      </c>
      <c r="AR641" s="289" t="s">
        <v>92</v>
      </c>
      <c r="AS641" s="289" t="s">
        <v>92</v>
      </c>
      <c r="AT641" s="289" t="s">
        <v>92</v>
      </c>
      <c r="AU641" s="289" t="s">
        <v>92</v>
      </c>
      <c r="AV641" s="289" t="s">
        <v>92</v>
      </c>
      <c r="AW641" s="289" t="s">
        <v>92</v>
      </c>
      <c r="AX641" s="1885" t="s">
        <v>92</v>
      </c>
      <c r="AY641" s="289"/>
      <c r="AZ641" s="86"/>
      <c r="BA641" s="86"/>
      <c r="BB641" s="86"/>
      <c r="BC641" s="86"/>
      <c r="BD641" s="86"/>
      <c r="BE641" s="86"/>
    </row>
    <row r="642" spans="1:57" ht="15" customHeight="1" x14ac:dyDescent="0.4">
      <c r="A642" s="86"/>
      <c r="B642" s="1200"/>
      <c r="C642" s="290"/>
      <c r="D642" s="290"/>
      <c r="E642" s="290"/>
      <c r="F642" s="290"/>
      <c r="G642" s="290"/>
      <c r="H642" s="290"/>
      <c r="I642" s="290"/>
      <c r="J642" s="290"/>
      <c r="K642" s="290"/>
      <c r="L642" s="290"/>
      <c r="M642" s="290"/>
      <c r="N642" s="290"/>
      <c r="O642" s="290"/>
      <c r="P642" s="290"/>
      <c r="Q642" s="865" t="s">
        <v>678</v>
      </c>
      <c r="R642" s="866">
        <v>32</v>
      </c>
      <c r="S642" s="866">
        <v>0</v>
      </c>
      <c r="T642" s="866">
        <v>14</v>
      </c>
      <c r="U642" s="290"/>
      <c r="V642" s="685" t="b">
        <f t="shared" si="81"/>
        <v>0</v>
      </c>
      <c r="W642" s="685"/>
      <c r="X642" s="686">
        <f t="shared" si="80"/>
        <v>7</v>
      </c>
      <c r="Y642" s="290">
        <f t="shared" si="78"/>
        <v>10</v>
      </c>
      <c r="Z642" s="290"/>
      <c r="AA642" s="290"/>
      <c r="AB642" s="290"/>
      <c r="AC642" s="290"/>
      <c r="AD642" s="290"/>
      <c r="AE642" s="290"/>
      <c r="AF642" s="290"/>
      <c r="AG642" s="290"/>
      <c r="AH642" s="290"/>
      <c r="AI642" s="353">
        <v>0.90990000000000004</v>
      </c>
      <c r="AJ642" s="39"/>
      <c r="AK642" s="39"/>
      <c r="AL642" s="39"/>
      <c r="AM642" s="289" t="s">
        <v>92</v>
      </c>
      <c r="AN642" s="289" t="s">
        <v>92</v>
      </c>
      <c r="AO642" s="289" t="s">
        <v>92</v>
      </c>
      <c r="AP642" s="289" t="s">
        <v>92</v>
      </c>
      <c r="AQ642" s="289" t="s">
        <v>92</v>
      </c>
      <c r="AR642" s="289" t="s">
        <v>92</v>
      </c>
      <c r="AS642" s="289" t="s">
        <v>92</v>
      </c>
      <c r="AT642" s="289" t="s">
        <v>92</v>
      </c>
      <c r="AU642" s="289" t="s">
        <v>92</v>
      </c>
      <c r="AV642" s="289" t="s">
        <v>92</v>
      </c>
      <c r="AW642" s="289" t="s">
        <v>92</v>
      </c>
      <c r="AX642" s="1885" t="s">
        <v>92</v>
      </c>
      <c r="AY642" s="289"/>
      <c r="AZ642" s="86"/>
      <c r="BA642" s="86"/>
      <c r="BB642" s="86"/>
      <c r="BC642" s="86"/>
      <c r="BD642" s="86"/>
      <c r="BE642" s="86"/>
    </row>
    <row r="643" spans="1:57" ht="15" customHeight="1" x14ac:dyDescent="0.4">
      <c r="A643" s="86"/>
      <c r="B643" s="1200"/>
      <c r="C643" s="290"/>
      <c r="D643" s="290"/>
      <c r="E643" s="290"/>
      <c r="F643" s="290"/>
      <c r="G643" s="290"/>
      <c r="H643" s="290"/>
      <c r="I643" s="290"/>
      <c r="J643" s="290"/>
      <c r="K643" s="290"/>
      <c r="L643" s="290"/>
      <c r="M643" s="290"/>
      <c r="N643" s="290"/>
      <c r="O643" s="290"/>
      <c r="P643" s="290"/>
      <c r="Q643" s="865" t="s">
        <v>679</v>
      </c>
      <c r="R643" s="866">
        <v>32</v>
      </c>
      <c r="S643" s="866">
        <v>14</v>
      </c>
      <c r="T643" s="866">
        <v>20</v>
      </c>
      <c r="U643" s="290"/>
      <c r="V643" s="685" t="b">
        <f t="shared" si="81"/>
        <v>0</v>
      </c>
      <c r="W643" s="685"/>
      <c r="X643" s="686">
        <f t="shared" si="80"/>
        <v>17</v>
      </c>
      <c r="Y643" s="290">
        <f t="shared" si="78"/>
        <v>5.5</v>
      </c>
      <c r="Z643" s="290"/>
      <c r="AA643" s="290"/>
      <c r="AB643" s="290"/>
      <c r="AC643" s="290"/>
      <c r="AD643" s="290"/>
      <c r="AE643" s="290"/>
      <c r="AF643" s="290"/>
      <c r="AG643" s="290"/>
      <c r="AH643" s="290"/>
      <c r="AI643" s="353">
        <v>0.98</v>
      </c>
      <c r="AJ643" s="39"/>
      <c r="AK643" s="39"/>
      <c r="AL643" s="39"/>
      <c r="AM643" s="289" t="s">
        <v>92</v>
      </c>
      <c r="AN643" s="289" t="s">
        <v>92</v>
      </c>
      <c r="AO643" s="289" t="s">
        <v>92</v>
      </c>
      <c r="AP643" s="289" t="s">
        <v>92</v>
      </c>
      <c r="AQ643" s="289" t="s">
        <v>92</v>
      </c>
      <c r="AR643" s="289" t="s">
        <v>92</v>
      </c>
      <c r="AS643" s="289" t="s">
        <v>92</v>
      </c>
      <c r="AT643" s="289" t="s">
        <v>92</v>
      </c>
      <c r="AU643" s="289" t="s">
        <v>92</v>
      </c>
      <c r="AV643" s="289" t="s">
        <v>92</v>
      </c>
      <c r="AW643" s="289" t="s">
        <v>92</v>
      </c>
      <c r="AX643" s="1885" t="s">
        <v>92</v>
      </c>
      <c r="AY643" s="289"/>
      <c r="AZ643" s="86"/>
      <c r="BA643" s="86"/>
      <c r="BB643" s="86"/>
      <c r="BC643" s="86"/>
      <c r="BD643" s="86"/>
      <c r="BE643" s="86"/>
    </row>
    <row r="644" spans="1:57" ht="15" customHeight="1" x14ac:dyDescent="0.4">
      <c r="A644" s="86"/>
      <c r="B644" s="1200"/>
      <c r="C644" s="290"/>
      <c r="D644" s="290"/>
      <c r="E644" s="290"/>
      <c r="F644" s="290"/>
      <c r="G644" s="290"/>
      <c r="H644" s="290"/>
      <c r="I644" s="290"/>
      <c r="J644" s="290"/>
      <c r="K644" s="290"/>
      <c r="L644" s="290"/>
      <c r="M644" s="290"/>
      <c r="N644" s="290"/>
      <c r="O644" s="290"/>
      <c r="P644" s="290"/>
      <c r="Q644" s="865" t="s">
        <v>680</v>
      </c>
      <c r="R644" s="866">
        <v>32</v>
      </c>
      <c r="S644" s="866">
        <v>20</v>
      </c>
      <c r="T644" s="866">
        <v>25</v>
      </c>
      <c r="U644" s="290"/>
      <c r="V644" s="685" t="b">
        <f t="shared" si="81"/>
        <v>0</v>
      </c>
      <c r="W644" s="685"/>
      <c r="X644" s="686">
        <f t="shared" si="80"/>
        <v>22.5</v>
      </c>
      <c r="Y644" s="290">
        <f t="shared" si="78"/>
        <v>5</v>
      </c>
      <c r="Z644" s="290"/>
      <c r="AA644" s="290"/>
      <c r="AB644" s="290"/>
      <c r="AC644" s="290"/>
      <c r="AD644" s="290"/>
      <c r="AE644" s="290"/>
      <c r="AF644" s="290"/>
      <c r="AG644" s="290"/>
      <c r="AH644" s="290"/>
      <c r="AI644" s="353">
        <v>1.07</v>
      </c>
      <c r="AJ644" s="39"/>
      <c r="AK644" s="39"/>
      <c r="AL644" s="39"/>
      <c r="AM644" s="289" t="s">
        <v>92</v>
      </c>
      <c r="AN644" s="289" t="s">
        <v>92</v>
      </c>
      <c r="AO644" s="289" t="s">
        <v>92</v>
      </c>
      <c r="AP644" s="289" t="s">
        <v>92</v>
      </c>
      <c r="AQ644" s="289" t="s">
        <v>92</v>
      </c>
      <c r="AR644" s="289" t="s">
        <v>92</v>
      </c>
      <c r="AS644" s="289" t="s">
        <v>92</v>
      </c>
      <c r="AT644" s="289" t="s">
        <v>92</v>
      </c>
      <c r="AU644" s="289" t="s">
        <v>92</v>
      </c>
      <c r="AV644" s="289" t="s">
        <v>92</v>
      </c>
      <c r="AW644" s="289" t="s">
        <v>92</v>
      </c>
      <c r="AX644" s="1885" t="s">
        <v>92</v>
      </c>
      <c r="AY644" s="289"/>
      <c r="AZ644" s="86"/>
      <c r="BA644" s="86"/>
      <c r="BB644" s="86"/>
      <c r="BC644" s="86"/>
      <c r="BD644" s="86"/>
      <c r="BE644" s="86"/>
    </row>
    <row r="645" spans="1:57" ht="15" customHeight="1" x14ac:dyDescent="0.4">
      <c r="A645" s="86"/>
      <c r="B645" s="1200"/>
      <c r="C645" s="290"/>
      <c r="D645" s="290"/>
      <c r="E645" s="290"/>
      <c r="F645" s="290"/>
      <c r="G645" s="290"/>
      <c r="H645" s="290"/>
      <c r="I645" s="290"/>
      <c r="J645" s="290"/>
      <c r="K645" s="290"/>
      <c r="L645" s="290"/>
      <c r="M645" s="290"/>
      <c r="N645" s="290"/>
      <c r="O645" s="290"/>
      <c r="P645" s="290"/>
      <c r="Q645" s="865" t="s">
        <v>681</v>
      </c>
      <c r="R645" s="866">
        <v>32</v>
      </c>
      <c r="S645" s="866">
        <v>25</v>
      </c>
      <c r="T645" s="866">
        <v>30</v>
      </c>
      <c r="U645" s="290"/>
      <c r="V645" s="685" t="b">
        <f t="shared" si="81"/>
        <v>0</v>
      </c>
      <c r="W645" s="685"/>
      <c r="X645" s="686">
        <f t="shared" si="80"/>
        <v>27.5</v>
      </c>
      <c r="Y645" s="290">
        <f t="shared" si="78"/>
        <v>4.5</v>
      </c>
      <c r="Z645" s="290"/>
      <c r="AA645" s="290"/>
      <c r="AB645" s="290"/>
      <c r="AC645" s="290"/>
      <c r="AD645" s="290"/>
      <c r="AE645" s="290"/>
      <c r="AF645" s="290"/>
      <c r="AG645" s="290"/>
      <c r="AH645" s="290"/>
      <c r="AI645" s="353">
        <v>1.1499999999999999</v>
      </c>
      <c r="AJ645" s="39"/>
      <c r="AK645" s="39"/>
      <c r="AL645" s="39"/>
      <c r="AM645" s="289" t="s">
        <v>92</v>
      </c>
      <c r="AN645" s="289" t="s">
        <v>92</v>
      </c>
      <c r="AO645" s="289" t="s">
        <v>92</v>
      </c>
      <c r="AP645" s="289" t="s">
        <v>92</v>
      </c>
      <c r="AQ645" s="289" t="s">
        <v>92</v>
      </c>
      <c r="AR645" s="289" t="s">
        <v>92</v>
      </c>
      <c r="AS645" s="289" t="s">
        <v>92</v>
      </c>
      <c r="AT645" s="289" t="s">
        <v>92</v>
      </c>
      <c r="AU645" s="289" t="s">
        <v>92</v>
      </c>
      <c r="AV645" s="289" t="s">
        <v>92</v>
      </c>
      <c r="AW645" s="289" t="s">
        <v>92</v>
      </c>
      <c r="AX645" s="1885" t="s">
        <v>92</v>
      </c>
      <c r="AY645" s="289"/>
      <c r="AZ645" s="86"/>
      <c r="BA645" s="86"/>
      <c r="BB645" s="86"/>
      <c r="BC645" s="86"/>
      <c r="BD645" s="86"/>
      <c r="BE645" s="86"/>
    </row>
    <row r="646" spans="1:57" ht="15" customHeight="1" x14ac:dyDescent="0.4">
      <c r="A646" s="86"/>
      <c r="B646" s="1200"/>
      <c r="C646" s="290"/>
      <c r="D646" s="290"/>
      <c r="E646" s="290"/>
      <c r="F646" s="290"/>
      <c r="G646" s="290"/>
      <c r="H646" s="290"/>
      <c r="I646" s="290"/>
      <c r="J646" s="290"/>
      <c r="K646" s="290"/>
      <c r="L646" s="290"/>
      <c r="M646" s="290"/>
      <c r="N646" s="290"/>
      <c r="O646" s="290"/>
      <c r="P646" s="290"/>
      <c r="Q646" s="865" t="s">
        <v>682</v>
      </c>
      <c r="R646" s="866">
        <v>32</v>
      </c>
      <c r="S646" s="866">
        <v>30</v>
      </c>
      <c r="T646" s="866">
        <v>34</v>
      </c>
      <c r="U646" s="290"/>
      <c r="V646" s="685" t="b">
        <f t="shared" si="81"/>
        <v>0</v>
      </c>
      <c r="W646" s="685"/>
      <c r="X646" s="686">
        <f t="shared" si="80"/>
        <v>32</v>
      </c>
      <c r="Y646" s="290">
        <f t="shared" si="78"/>
        <v>3.5</v>
      </c>
      <c r="Z646" s="290"/>
      <c r="AA646" s="290"/>
      <c r="AB646" s="290"/>
      <c r="AC646" s="290"/>
      <c r="AD646" s="290"/>
      <c r="AE646" s="290"/>
      <c r="AF646" s="290"/>
      <c r="AG646" s="290"/>
      <c r="AH646" s="290"/>
      <c r="AI646" s="353">
        <v>1.3747</v>
      </c>
      <c r="AJ646" s="39"/>
      <c r="AK646" s="39"/>
      <c r="AL646" s="39"/>
      <c r="AM646" s="289" t="s">
        <v>92</v>
      </c>
      <c r="AN646" s="289" t="s">
        <v>92</v>
      </c>
      <c r="AO646" s="289" t="s">
        <v>92</v>
      </c>
      <c r="AP646" s="289" t="s">
        <v>92</v>
      </c>
      <c r="AQ646" s="289" t="s">
        <v>92</v>
      </c>
      <c r="AR646" s="289" t="s">
        <v>92</v>
      </c>
      <c r="AS646" s="289" t="s">
        <v>92</v>
      </c>
      <c r="AT646" s="289" t="s">
        <v>92</v>
      </c>
      <c r="AU646" s="289" t="s">
        <v>92</v>
      </c>
      <c r="AV646" s="289" t="s">
        <v>92</v>
      </c>
      <c r="AW646" s="289" t="s">
        <v>92</v>
      </c>
      <c r="AX646" s="1885" t="s">
        <v>92</v>
      </c>
      <c r="AY646" s="289"/>
      <c r="AZ646" s="86"/>
      <c r="BA646" s="86"/>
      <c r="BB646" s="86"/>
      <c r="BC646" s="86"/>
      <c r="BD646" s="86"/>
      <c r="BE646" s="86"/>
    </row>
    <row r="647" spans="1:57" ht="15" customHeight="1" x14ac:dyDescent="0.4">
      <c r="A647" s="86"/>
      <c r="B647" s="1200"/>
      <c r="C647" s="290"/>
      <c r="D647" s="290"/>
      <c r="E647" s="290"/>
      <c r="F647" s="290"/>
      <c r="G647" s="290"/>
      <c r="H647" s="290"/>
      <c r="I647" s="290"/>
      <c r="J647" s="290"/>
      <c r="K647" s="290"/>
      <c r="L647" s="290"/>
      <c r="M647" s="290"/>
      <c r="N647" s="290"/>
      <c r="O647" s="290"/>
      <c r="P647" s="290"/>
      <c r="Q647" s="865" t="s">
        <v>683</v>
      </c>
      <c r="R647" s="866">
        <v>32</v>
      </c>
      <c r="S647" s="866">
        <v>34</v>
      </c>
      <c r="T647" s="866">
        <v>37</v>
      </c>
      <c r="U647" s="290"/>
      <c r="V647" s="685" t="b">
        <f t="shared" si="81"/>
        <v>0</v>
      </c>
      <c r="W647" s="685"/>
      <c r="X647" s="686">
        <f t="shared" si="80"/>
        <v>35.5</v>
      </c>
      <c r="Y647" s="290">
        <f t="shared" si="78"/>
        <v>3</v>
      </c>
      <c r="Z647" s="290"/>
      <c r="AA647" s="290"/>
      <c r="AB647" s="290"/>
      <c r="AC647" s="290"/>
      <c r="AD647" s="290"/>
      <c r="AE647" s="290"/>
      <c r="AF647" s="290"/>
      <c r="AG647" s="290"/>
      <c r="AH647" s="290"/>
      <c r="AI647" s="353">
        <v>1.8593</v>
      </c>
      <c r="AJ647" s="39"/>
      <c r="AK647" s="39"/>
      <c r="AL647" s="39"/>
      <c r="AM647" s="289" t="s">
        <v>92</v>
      </c>
      <c r="AN647" s="289" t="s">
        <v>92</v>
      </c>
      <c r="AO647" s="289" t="s">
        <v>92</v>
      </c>
      <c r="AP647" s="289" t="s">
        <v>92</v>
      </c>
      <c r="AQ647" s="289" t="s">
        <v>92</v>
      </c>
      <c r="AR647" s="289" t="s">
        <v>92</v>
      </c>
      <c r="AS647" s="289" t="s">
        <v>92</v>
      </c>
      <c r="AT647" s="289" t="s">
        <v>92</v>
      </c>
      <c r="AU647" s="289" t="s">
        <v>92</v>
      </c>
      <c r="AV647" s="289" t="s">
        <v>92</v>
      </c>
      <c r="AW647" s="289" t="s">
        <v>92</v>
      </c>
      <c r="AX647" s="1885" t="s">
        <v>92</v>
      </c>
      <c r="AY647" s="289"/>
      <c r="AZ647" s="86"/>
      <c r="BA647" s="86"/>
      <c r="BB647" s="86"/>
      <c r="BC647" s="86"/>
      <c r="BD647" s="86"/>
      <c r="BE647" s="86"/>
    </row>
    <row r="648" spans="1:57" ht="15" customHeight="1" x14ac:dyDescent="0.4">
      <c r="A648" s="86"/>
      <c r="B648" s="1200"/>
      <c r="C648" s="290"/>
      <c r="D648" s="290"/>
      <c r="E648" s="290"/>
      <c r="F648" s="290"/>
      <c r="G648" s="290"/>
      <c r="H648" s="290"/>
      <c r="I648" s="290"/>
      <c r="J648" s="290"/>
      <c r="K648" s="290"/>
      <c r="L648" s="290"/>
      <c r="M648" s="290"/>
      <c r="N648" s="290"/>
      <c r="O648" s="290"/>
      <c r="P648" s="290"/>
      <c r="Q648" s="865" t="s">
        <v>684</v>
      </c>
      <c r="R648" s="866">
        <v>32</v>
      </c>
      <c r="S648" s="866">
        <v>37</v>
      </c>
      <c r="T648" s="866">
        <v>40</v>
      </c>
      <c r="U648" s="290"/>
      <c r="V648" s="685" t="b">
        <f t="shared" si="81"/>
        <v>0</v>
      </c>
      <c r="W648" s="685"/>
      <c r="X648" s="686">
        <f t="shared" si="80"/>
        <v>38.5</v>
      </c>
      <c r="Y648" s="290">
        <f t="shared" si="78"/>
        <v>3</v>
      </c>
      <c r="Z648" s="290"/>
      <c r="AA648" s="290"/>
      <c r="AB648" s="290"/>
      <c r="AC648" s="290"/>
      <c r="AD648" s="290"/>
      <c r="AE648" s="290"/>
      <c r="AF648" s="290"/>
      <c r="AG648" s="290"/>
      <c r="AH648" s="290"/>
      <c r="AI648" s="353">
        <v>2.25</v>
      </c>
      <c r="AJ648" s="39"/>
      <c r="AK648" s="39"/>
      <c r="AL648" s="39"/>
      <c r="AM648" s="289" t="s">
        <v>92</v>
      </c>
      <c r="AN648" s="289" t="s">
        <v>92</v>
      </c>
      <c r="AO648" s="289" t="s">
        <v>92</v>
      </c>
      <c r="AP648" s="289" t="s">
        <v>92</v>
      </c>
      <c r="AQ648" s="289" t="s">
        <v>92</v>
      </c>
      <c r="AR648" s="289" t="s">
        <v>92</v>
      </c>
      <c r="AS648" s="289" t="s">
        <v>92</v>
      </c>
      <c r="AT648" s="289" t="s">
        <v>92</v>
      </c>
      <c r="AU648" s="289" t="s">
        <v>92</v>
      </c>
      <c r="AV648" s="289" t="s">
        <v>92</v>
      </c>
      <c r="AW648" s="289" t="s">
        <v>92</v>
      </c>
      <c r="AX648" s="1885" t="s">
        <v>92</v>
      </c>
      <c r="AY648" s="289"/>
      <c r="AZ648" s="86"/>
      <c r="BA648" s="86"/>
      <c r="BB648" s="86"/>
      <c r="BC648" s="86"/>
      <c r="BD648" s="86"/>
      <c r="BE648" s="86"/>
    </row>
    <row r="649" spans="1:57" ht="15" customHeight="1" x14ac:dyDescent="0.4">
      <c r="A649" s="86"/>
      <c r="B649" s="1200"/>
      <c r="C649" s="290"/>
      <c r="D649" s="290"/>
      <c r="E649" s="290"/>
      <c r="F649" s="290"/>
      <c r="G649" s="290"/>
      <c r="H649" s="290"/>
      <c r="I649" s="290"/>
      <c r="J649" s="290"/>
      <c r="K649" s="290"/>
      <c r="L649" s="290"/>
      <c r="M649" s="290"/>
      <c r="N649" s="290"/>
      <c r="O649" s="290"/>
      <c r="P649" s="290"/>
      <c r="Q649" s="865" t="s">
        <v>685</v>
      </c>
      <c r="R649" s="866">
        <v>32</v>
      </c>
      <c r="S649" s="866">
        <v>40</v>
      </c>
      <c r="T649" s="866">
        <v>43</v>
      </c>
      <c r="U649" s="290"/>
      <c r="V649" s="685" t="b">
        <f t="shared" si="81"/>
        <v>0</v>
      </c>
      <c r="W649" s="685"/>
      <c r="X649" s="686">
        <f t="shared" si="80"/>
        <v>41.5</v>
      </c>
      <c r="Y649" s="290" t="str">
        <f t="shared" si="78"/>
        <v/>
      </c>
      <c r="Z649" s="290"/>
      <c r="AA649" s="290"/>
      <c r="AB649" s="290"/>
      <c r="AC649" s="290"/>
      <c r="AD649" s="290"/>
      <c r="AE649" s="290"/>
      <c r="AF649" s="290"/>
      <c r="AG649" s="290"/>
      <c r="AH649" s="290"/>
      <c r="AI649" s="353">
        <v>2.4329999999999998</v>
      </c>
      <c r="AJ649" s="39"/>
      <c r="AK649" s="39"/>
      <c r="AL649" s="39"/>
      <c r="AM649" s="289" t="s">
        <v>92</v>
      </c>
      <c r="AN649" s="289" t="s">
        <v>92</v>
      </c>
      <c r="AO649" s="289" t="s">
        <v>92</v>
      </c>
      <c r="AP649" s="289" t="s">
        <v>92</v>
      </c>
      <c r="AQ649" s="289" t="s">
        <v>92</v>
      </c>
      <c r="AR649" s="289" t="s">
        <v>92</v>
      </c>
      <c r="AS649" s="289" t="s">
        <v>92</v>
      </c>
      <c r="AT649" s="289" t="s">
        <v>92</v>
      </c>
      <c r="AU649" s="289" t="s">
        <v>92</v>
      </c>
      <c r="AV649" s="289" t="s">
        <v>92</v>
      </c>
      <c r="AW649" s="289" t="s">
        <v>92</v>
      </c>
      <c r="AX649" s="1885" t="s">
        <v>92</v>
      </c>
      <c r="AY649" s="289"/>
      <c r="AZ649" s="86"/>
      <c r="BA649" s="86"/>
      <c r="BB649" s="86"/>
      <c r="BC649" s="86"/>
      <c r="BD649" s="86"/>
      <c r="BE649" s="86"/>
    </row>
    <row r="650" spans="1:57" ht="15" customHeight="1" x14ac:dyDescent="0.4">
      <c r="A650" s="86"/>
      <c r="B650" s="1200"/>
      <c r="C650" s="290"/>
      <c r="D650" s="290"/>
      <c r="E650" s="290"/>
      <c r="F650" s="290"/>
      <c r="G650" s="290"/>
      <c r="H650" s="290"/>
      <c r="I650" s="290"/>
      <c r="J650" s="290"/>
      <c r="K650" s="290"/>
      <c r="L650" s="290"/>
      <c r="M650" s="290"/>
      <c r="N650" s="290"/>
      <c r="O650" s="290"/>
      <c r="P650" s="290"/>
      <c r="Q650" s="865" t="s">
        <v>686</v>
      </c>
      <c r="R650" s="866">
        <v>34</v>
      </c>
      <c r="S650" s="866">
        <v>0</v>
      </c>
      <c r="T650" s="866">
        <v>16</v>
      </c>
      <c r="U650" s="290"/>
      <c r="V650" s="685" t="b">
        <f t="shared" si="81"/>
        <v>0</v>
      </c>
      <c r="W650" s="685"/>
      <c r="X650" s="686">
        <f t="shared" si="80"/>
        <v>8</v>
      </c>
      <c r="Y650" s="290">
        <f t="shared" si="78"/>
        <v>11</v>
      </c>
      <c r="Z650" s="290"/>
      <c r="AA650" s="290"/>
      <c r="AB650" s="290"/>
      <c r="AC650" s="290"/>
      <c r="AD650" s="290"/>
      <c r="AE650" s="290"/>
      <c r="AF650" s="290"/>
      <c r="AG650" s="290"/>
      <c r="AH650" s="290"/>
      <c r="AI650" s="353">
        <v>1</v>
      </c>
      <c r="AJ650" s="39"/>
      <c r="AK650" s="39"/>
      <c r="AL650" s="39"/>
      <c r="AM650" s="289" t="s">
        <v>92</v>
      </c>
      <c r="AN650" s="289" t="s">
        <v>92</v>
      </c>
      <c r="AO650" s="289" t="s">
        <v>92</v>
      </c>
      <c r="AP650" s="289" t="s">
        <v>92</v>
      </c>
      <c r="AQ650" s="289" t="s">
        <v>92</v>
      </c>
      <c r="AR650" s="289" t="s">
        <v>92</v>
      </c>
      <c r="AS650" s="289" t="s">
        <v>92</v>
      </c>
      <c r="AT650" s="289" t="s">
        <v>92</v>
      </c>
      <c r="AU650" s="289" t="s">
        <v>92</v>
      </c>
      <c r="AV650" s="289" t="s">
        <v>92</v>
      </c>
      <c r="AW650" s="289" t="s">
        <v>92</v>
      </c>
      <c r="AX650" s="1885" t="s">
        <v>92</v>
      </c>
      <c r="AY650" s="289"/>
      <c r="AZ650" s="86"/>
      <c r="BA650" s="86"/>
      <c r="BB650" s="86"/>
      <c r="BC650" s="86"/>
      <c r="BD650" s="86"/>
      <c r="BE650" s="86"/>
    </row>
    <row r="651" spans="1:57" ht="15" customHeight="1" x14ac:dyDescent="0.4">
      <c r="A651" s="86"/>
      <c r="B651" s="1200"/>
      <c r="C651" s="290"/>
      <c r="D651" s="290"/>
      <c r="E651" s="290"/>
      <c r="F651" s="290"/>
      <c r="G651" s="290"/>
      <c r="H651" s="290"/>
      <c r="I651" s="290"/>
      <c r="J651" s="290"/>
      <c r="K651" s="290"/>
      <c r="L651" s="290"/>
      <c r="M651" s="290"/>
      <c r="N651" s="290"/>
      <c r="O651" s="290"/>
      <c r="P651" s="290"/>
      <c r="Q651" s="865" t="s">
        <v>687</v>
      </c>
      <c r="R651" s="866">
        <v>34</v>
      </c>
      <c r="S651" s="866">
        <v>16</v>
      </c>
      <c r="T651" s="866">
        <v>22</v>
      </c>
      <c r="U651" s="290"/>
      <c r="V651" s="685" t="b">
        <f t="shared" si="81"/>
        <v>0</v>
      </c>
      <c r="W651" s="685"/>
      <c r="X651" s="686">
        <f t="shared" si="80"/>
        <v>19</v>
      </c>
      <c r="Y651" s="290">
        <f t="shared" si="78"/>
        <v>5.5</v>
      </c>
      <c r="Z651" s="290"/>
      <c r="AA651" s="290"/>
      <c r="AB651" s="290"/>
      <c r="AC651" s="290"/>
      <c r="AD651" s="290"/>
      <c r="AE651" s="290"/>
      <c r="AF651" s="290"/>
      <c r="AG651" s="290"/>
      <c r="AH651" s="290"/>
      <c r="AI651" s="353">
        <v>1.0483</v>
      </c>
      <c r="AJ651" s="39"/>
      <c r="AK651" s="39"/>
      <c r="AL651" s="39"/>
      <c r="AM651" s="289" t="s">
        <v>92</v>
      </c>
      <c r="AN651" s="289" t="s">
        <v>92</v>
      </c>
      <c r="AO651" s="289" t="s">
        <v>92</v>
      </c>
      <c r="AP651" s="289" t="s">
        <v>92</v>
      </c>
      <c r="AQ651" s="289" t="s">
        <v>92</v>
      </c>
      <c r="AR651" s="289" t="s">
        <v>92</v>
      </c>
      <c r="AS651" s="289" t="s">
        <v>92</v>
      </c>
      <c r="AT651" s="289" t="s">
        <v>92</v>
      </c>
      <c r="AU651" s="289" t="s">
        <v>92</v>
      </c>
      <c r="AV651" s="289" t="s">
        <v>92</v>
      </c>
      <c r="AW651" s="289" t="s">
        <v>92</v>
      </c>
      <c r="AX651" s="1885" t="s">
        <v>92</v>
      </c>
      <c r="AY651" s="289"/>
      <c r="AZ651" s="86"/>
      <c r="BA651" s="86"/>
      <c r="BB651" s="86"/>
      <c r="BC651" s="86"/>
      <c r="BD651" s="86"/>
      <c r="BE651" s="86"/>
    </row>
    <row r="652" spans="1:57" ht="15" customHeight="1" x14ac:dyDescent="0.4">
      <c r="A652" s="86"/>
      <c r="B652" s="1200"/>
      <c r="C652" s="290"/>
      <c r="D652" s="290"/>
      <c r="E652" s="290"/>
      <c r="F652" s="290"/>
      <c r="G652" s="290"/>
      <c r="H652" s="290"/>
      <c r="I652" s="290"/>
      <c r="J652" s="290"/>
      <c r="K652" s="290"/>
      <c r="L652" s="290"/>
      <c r="M652" s="290"/>
      <c r="N652" s="290"/>
      <c r="O652" s="290"/>
      <c r="P652" s="290"/>
      <c r="Q652" s="865" t="s">
        <v>688</v>
      </c>
      <c r="R652" s="866">
        <v>34</v>
      </c>
      <c r="S652" s="866">
        <v>22</v>
      </c>
      <c r="T652" s="866">
        <v>27</v>
      </c>
      <c r="U652" s="290"/>
      <c r="V652" s="685" t="b">
        <f t="shared" si="81"/>
        <v>1</v>
      </c>
      <c r="W652" s="685"/>
      <c r="X652" s="686">
        <f t="shared" si="80"/>
        <v>24.5</v>
      </c>
      <c r="Y652" s="290">
        <f t="shared" si="78"/>
        <v>5</v>
      </c>
      <c r="Z652" s="290"/>
      <c r="AA652" s="290"/>
      <c r="AB652" s="290"/>
      <c r="AC652" s="290"/>
      <c r="AD652" s="290"/>
      <c r="AE652" s="290"/>
      <c r="AF652" s="290"/>
      <c r="AG652" s="290"/>
      <c r="AH652" s="290"/>
      <c r="AI652" s="353">
        <v>1.18</v>
      </c>
      <c r="AJ652" s="39"/>
      <c r="AK652" s="39"/>
      <c r="AL652" s="39"/>
      <c r="AM652" s="289" t="s">
        <v>92</v>
      </c>
      <c r="AN652" s="289" t="s">
        <v>92</v>
      </c>
      <c r="AO652" s="289" t="s">
        <v>92</v>
      </c>
      <c r="AP652" s="289" t="s">
        <v>92</v>
      </c>
      <c r="AQ652" s="289" t="s">
        <v>92</v>
      </c>
      <c r="AR652" s="289" t="s">
        <v>92</v>
      </c>
      <c r="AS652" s="289" t="s">
        <v>92</v>
      </c>
      <c r="AT652" s="289" t="s">
        <v>92</v>
      </c>
      <c r="AU652" s="289" t="s">
        <v>92</v>
      </c>
      <c r="AV652" s="289" t="s">
        <v>92</v>
      </c>
      <c r="AW652" s="289" t="s">
        <v>92</v>
      </c>
      <c r="AX652" s="1885" t="s">
        <v>92</v>
      </c>
      <c r="AY652" s="289"/>
      <c r="AZ652" s="86"/>
      <c r="BA652" s="86"/>
      <c r="BB652" s="86"/>
      <c r="BC652" s="86"/>
      <c r="BD652" s="86"/>
      <c r="BE652" s="86"/>
    </row>
    <row r="653" spans="1:57" ht="15" customHeight="1" x14ac:dyDescent="0.4">
      <c r="A653" s="86"/>
      <c r="B653" s="1200"/>
      <c r="C653" s="290"/>
      <c r="D653" s="290"/>
      <c r="E653" s="290"/>
      <c r="F653" s="290"/>
      <c r="G653" s="290"/>
      <c r="H653" s="290"/>
      <c r="I653" s="290"/>
      <c r="J653" s="290"/>
      <c r="K653" s="290"/>
      <c r="L653" s="290"/>
      <c r="M653" s="290"/>
      <c r="N653" s="290"/>
      <c r="O653" s="290"/>
      <c r="P653" s="290"/>
      <c r="Q653" s="865" t="s">
        <v>689</v>
      </c>
      <c r="R653" s="866">
        <v>34</v>
      </c>
      <c r="S653" s="866">
        <v>27</v>
      </c>
      <c r="T653" s="866">
        <v>32</v>
      </c>
      <c r="U653" s="290"/>
      <c r="V653" s="685" t="b">
        <f t="shared" si="81"/>
        <v>0</v>
      </c>
      <c r="W653" s="685"/>
      <c r="X653" s="686">
        <f t="shared" si="80"/>
        <v>29.5</v>
      </c>
      <c r="Y653" s="290">
        <f t="shared" si="78"/>
        <v>3.5</v>
      </c>
      <c r="Z653" s="290"/>
      <c r="AA653" s="290"/>
      <c r="AB653" s="290"/>
      <c r="AC653" s="290"/>
      <c r="AD653" s="290"/>
      <c r="AE653" s="290"/>
      <c r="AF653" s="290"/>
      <c r="AG653" s="290"/>
      <c r="AH653" s="290"/>
      <c r="AI653" s="353">
        <v>1.2857000000000001</v>
      </c>
      <c r="AJ653" s="39"/>
      <c r="AK653" s="39"/>
      <c r="AL653" s="39"/>
      <c r="AM653" s="289" t="s">
        <v>92</v>
      </c>
      <c r="AN653" s="289" t="s">
        <v>92</v>
      </c>
      <c r="AO653" s="289" t="s">
        <v>92</v>
      </c>
      <c r="AP653" s="289" t="s">
        <v>92</v>
      </c>
      <c r="AQ653" s="289" t="s">
        <v>92</v>
      </c>
      <c r="AR653" s="289" t="s">
        <v>92</v>
      </c>
      <c r="AS653" s="289" t="s">
        <v>92</v>
      </c>
      <c r="AT653" s="289" t="s">
        <v>92</v>
      </c>
      <c r="AU653" s="289" t="s">
        <v>92</v>
      </c>
      <c r="AV653" s="289" t="s">
        <v>92</v>
      </c>
      <c r="AW653" s="289" t="s">
        <v>92</v>
      </c>
      <c r="AX653" s="1885" t="s">
        <v>92</v>
      </c>
      <c r="AY653" s="289"/>
      <c r="AZ653" s="86"/>
      <c r="BA653" s="86"/>
      <c r="BB653" s="86"/>
      <c r="BC653" s="86"/>
      <c r="BD653" s="86"/>
      <c r="BE653" s="86"/>
    </row>
    <row r="654" spans="1:57" ht="15" customHeight="1" x14ac:dyDescent="0.4">
      <c r="A654" s="86"/>
      <c r="B654" s="1200"/>
      <c r="C654" s="290"/>
      <c r="D654" s="290"/>
      <c r="E654" s="290"/>
      <c r="F654" s="290"/>
      <c r="G654" s="290"/>
      <c r="H654" s="290"/>
      <c r="I654" s="290"/>
      <c r="J654" s="290"/>
      <c r="K654" s="290"/>
      <c r="L654" s="290"/>
      <c r="M654" s="290"/>
      <c r="N654" s="290"/>
      <c r="O654" s="290"/>
      <c r="P654" s="290"/>
      <c r="Q654" s="865" t="s">
        <v>690</v>
      </c>
      <c r="R654" s="866">
        <v>34</v>
      </c>
      <c r="S654" s="866">
        <v>32</v>
      </c>
      <c r="T654" s="866">
        <v>34</v>
      </c>
      <c r="U654" s="290"/>
      <c r="V654" s="685" t="b">
        <f t="shared" si="81"/>
        <v>0</v>
      </c>
      <c r="W654" s="685"/>
      <c r="X654" s="686">
        <f t="shared" si="80"/>
        <v>33</v>
      </c>
      <c r="Y654" s="290">
        <f t="shared" si="78"/>
        <v>2.5</v>
      </c>
      <c r="Z654" s="290"/>
      <c r="AA654" s="290"/>
      <c r="AB654" s="290"/>
      <c r="AC654" s="290"/>
      <c r="AD654" s="290"/>
      <c r="AE654" s="290"/>
      <c r="AF654" s="290"/>
      <c r="AG654" s="290"/>
      <c r="AH654" s="290"/>
      <c r="AI654" s="353">
        <v>1.57</v>
      </c>
      <c r="AJ654" s="39"/>
      <c r="AK654" s="39"/>
      <c r="AL654" s="39"/>
      <c r="AM654" s="289" t="s">
        <v>92</v>
      </c>
      <c r="AN654" s="289" t="s">
        <v>92</v>
      </c>
      <c r="AO654" s="289" t="s">
        <v>92</v>
      </c>
      <c r="AP654" s="289" t="s">
        <v>92</v>
      </c>
      <c r="AQ654" s="289" t="s">
        <v>92</v>
      </c>
      <c r="AR654" s="289" t="s">
        <v>92</v>
      </c>
      <c r="AS654" s="289" t="s">
        <v>92</v>
      </c>
      <c r="AT654" s="289" t="s">
        <v>92</v>
      </c>
      <c r="AU654" s="289" t="s">
        <v>92</v>
      </c>
      <c r="AV654" s="289" t="s">
        <v>92</v>
      </c>
      <c r="AW654" s="289" t="s">
        <v>92</v>
      </c>
      <c r="AX654" s="1885" t="s">
        <v>92</v>
      </c>
      <c r="AY654" s="289"/>
      <c r="AZ654" s="86"/>
      <c r="BA654" s="86"/>
      <c r="BB654" s="86"/>
      <c r="BC654" s="86"/>
      <c r="BD654" s="86"/>
      <c r="BE654" s="86"/>
    </row>
    <row r="655" spans="1:57" ht="15" customHeight="1" x14ac:dyDescent="0.4">
      <c r="A655" s="86"/>
      <c r="B655" s="1200"/>
      <c r="C655" s="290"/>
      <c r="D655" s="290"/>
      <c r="E655" s="290"/>
      <c r="F655" s="290"/>
      <c r="G655" s="290"/>
      <c r="H655" s="290"/>
      <c r="I655" s="290"/>
      <c r="J655" s="290"/>
      <c r="K655" s="290"/>
      <c r="L655" s="290"/>
      <c r="M655" s="290"/>
      <c r="N655" s="290"/>
      <c r="O655" s="290"/>
      <c r="P655" s="290"/>
      <c r="Q655" s="865" t="s">
        <v>691</v>
      </c>
      <c r="R655" s="866">
        <v>34</v>
      </c>
      <c r="S655" s="866">
        <v>34</v>
      </c>
      <c r="T655" s="866">
        <v>37</v>
      </c>
      <c r="U655" s="290"/>
      <c r="V655" s="685" t="b">
        <f t="shared" si="81"/>
        <v>0</v>
      </c>
      <c r="W655" s="685"/>
      <c r="X655" s="686">
        <f t="shared" si="80"/>
        <v>35.5</v>
      </c>
      <c r="Y655" s="290">
        <f t="shared" si="78"/>
        <v>3</v>
      </c>
      <c r="Z655" s="290"/>
      <c r="AA655" s="290"/>
      <c r="AB655" s="290"/>
      <c r="AC655" s="290"/>
      <c r="AD655" s="290"/>
      <c r="AE655" s="290"/>
      <c r="AF655" s="290"/>
      <c r="AG655" s="290"/>
      <c r="AH655" s="290"/>
      <c r="AI655" s="353">
        <v>2.1164999999999998</v>
      </c>
      <c r="AJ655" s="39"/>
      <c r="AK655" s="39"/>
      <c r="AL655" s="39"/>
      <c r="AM655" s="289" t="s">
        <v>92</v>
      </c>
      <c r="AN655" s="289" t="s">
        <v>92</v>
      </c>
      <c r="AO655" s="289" t="s">
        <v>92</v>
      </c>
      <c r="AP655" s="289" t="s">
        <v>92</v>
      </c>
      <c r="AQ655" s="289" t="s">
        <v>92</v>
      </c>
      <c r="AR655" s="289" t="s">
        <v>92</v>
      </c>
      <c r="AS655" s="289" t="s">
        <v>92</v>
      </c>
      <c r="AT655" s="289" t="s">
        <v>92</v>
      </c>
      <c r="AU655" s="289" t="s">
        <v>92</v>
      </c>
      <c r="AV655" s="289" t="s">
        <v>92</v>
      </c>
      <c r="AW655" s="289" t="s">
        <v>92</v>
      </c>
      <c r="AX655" s="1885" t="s">
        <v>92</v>
      </c>
      <c r="AY655" s="289"/>
      <c r="AZ655" s="86"/>
      <c r="BA655" s="86"/>
      <c r="BB655" s="86"/>
      <c r="BC655" s="86"/>
      <c r="BD655" s="86"/>
      <c r="BE655" s="86"/>
    </row>
    <row r="656" spans="1:57" ht="15" customHeight="1" x14ac:dyDescent="0.4">
      <c r="A656" s="86"/>
      <c r="B656" s="1200"/>
      <c r="C656" s="290"/>
      <c r="D656" s="290"/>
      <c r="E656" s="290"/>
      <c r="F656" s="290"/>
      <c r="G656" s="290"/>
      <c r="H656" s="290"/>
      <c r="I656" s="290"/>
      <c r="J656" s="290"/>
      <c r="K656" s="290"/>
      <c r="L656" s="290"/>
      <c r="M656" s="290"/>
      <c r="N656" s="290"/>
      <c r="O656" s="290"/>
      <c r="P656" s="290"/>
      <c r="Q656" s="865" t="s">
        <v>692</v>
      </c>
      <c r="R656" s="866">
        <v>34</v>
      </c>
      <c r="S656" s="866">
        <v>37</v>
      </c>
      <c r="T656" s="866">
        <v>40</v>
      </c>
      <c r="U656" s="290"/>
      <c r="V656" s="685" t="b">
        <f t="shared" si="81"/>
        <v>0</v>
      </c>
      <c r="W656" s="685"/>
      <c r="X656" s="686">
        <f t="shared" si="80"/>
        <v>38.5</v>
      </c>
      <c r="Y656" s="290">
        <f t="shared" si="78"/>
        <v>3</v>
      </c>
      <c r="Z656" s="290"/>
      <c r="AA656" s="290"/>
      <c r="AB656" s="290"/>
      <c r="AC656" s="290"/>
      <c r="AD656" s="290"/>
      <c r="AE656" s="290"/>
      <c r="AF656" s="290"/>
      <c r="AG656" s="290"/>
      <c r="AH656" s="290"/>
      <c r="AI656" s="353">
        <v>2.5516000000000001</v>
      </c>
      <c r="AJ656" s="39"/>
      <c r="AK656" s="39"/>
      <c r="AL656" s="39"/>
      <c r="AM656" s="289" t="s">
        <v>92</v>
      </c>
      <c r="AN656" s="289" t="s">
        <v>92</v>
      </c>
      <c r="AO656" s="289" t="s">
        <v>92</v>
      </c>
      <c r="AP656" s="289" t="s">
        <v>92</v>
      </c>
      <c r="AQ656" s="289" t="s">
        <v>92</v>
      </c>
      <c r="AR656" s="289" t="s">
        <v>92</v>
      </c>
      <c r="AS656" s="289" t="s">
        <v>92</v>
      </c>
      <c r="AT656" s="289" t="s">
        <v>92</v>
      </c>
      <c r="AU656" s="289" t="s">
        <v>92</v>
      </c>
      <c r="AV656" s="289" t="s">
        <v>92</v>
      </c>
      <c r="AW656" s="289" t="s">
        <v>92</v>
      </c>
      <c r="AX656" s="1885" t="s">
        <v>92</v>
      </c>
      <c r="AY656" s="289"/>
      <c r="AZ656" s="86"/>
      <c r="BA656" s="86"/>
      <c r="BB656" s="86"/>
      <c r="BC656" s="86"/>
      <c r="BD656" s="86"/>
      <c r="BE656" s="86"/>
    </row>
    <row r="657" spans="1:57" ht="15" customHeight="1" x14ac:dyDescent="0.4">
      <c r="A657" s="86"/>
      <c r="B657" s="1200"/>
      <c r="C657" s="290"/>
      <c r="D657" s="290"/>
      <c r="E657" s="290"/>
      <c r="F657" s="290"/>
      <c r="G657" s="290"/>
      <c r="H657" s="290"/>
      <c r="I657" s="290"/>
      <c r="J657" s="290"/>
      <c r="K657" s="290"/>
      <c r="L657" s="290"/>
      <c r="M657" s="290"/>
      <c r="N657" s="290"/>
      <c r="O657" s="290"/>
      <c r="P657" s="290"/>
      <c r="Q657" s="865" t="s">
        <v>693</v>
      </c>
      <c r="R657" s="866">
        <v>34</v>
      </c>
      <c r="S657" s="866">
        <v>40</v>
      </c>
      <c r="T657" s="866">
        <v>43</v>
      </c>
      <c r="U657" s="290"/>
      <c r="V657" s="685" t="b">
        <f t="shared" si="81"/>
        <v>0</v>
      </c>
      <c r="W657" s="685"/>
      <c r="X657" s="686">
        <f t="shared" si="80"/>
        <v>41.5</v>
      </c>
      <c r="Y657" s="290">
        <f t="shared" si="78"/>
        <v>2.5</v>
      </c>
      <c r="Z657" s="290"/>
      <c r="AA657" s="290"/>
      <c r="AB657" s="290"/>
      <c r="AC657" s="290"/>
      <c r="AD657" s="290"/>
      <c r="AE657" s="290"/>
      <c r="AF657" s="290"/>
      <c r="AG657" s="290"/>
      <c r="AH657" s="290"/>
      <c r="AI657" s="353">
        <v>2.82</v>
      </c>
      <c r="AJ657" s="39"/>
      <c r="AK657" s="39"/>
      <c r="AL657" s="39"/>
      <c r="AM657" s="289" t="s">
        <v>92</v>
      </c>
      <c r="AN657" s="289" t="s">
        <v>92</v>
      </c>
      <c r="AO657" s="289" t="s">
        <v>92</v>
      </c>
      <c r="AP657" s="289" t="s">
        <v>92</v>
      </c>
      <c r="AQ657" s="289" t="s">
        <v>92</v>
      </c>
      <c r="AR657" s="289" t="s">
        <v>92</v>
      </c>
      <c r="AS657" s="289" t="s">
        <v>92</v>
      </c>
      <c r="AT657" s="289" t="s">
        <v>92</v>
      </c>
      <c r="AU657" s="289" t="s">
        <v>92</v>
      </c>
      <c r="AV657" s="289" t="s">
        <v>92</v>
      </c>
      <c r="AW657" s="289" t="s">
        <v>92</v>
      </c>
      <c r="AX657" s="1885" t="s">
        <v>92</v>
      </c>
      <c r="AY657" s="289"/>
      <c r="AZ657" s="86"/>
      <c r="BA657" s="86"/>
      <c r="BB657" s="86"/>
      <c r="BC657" s="86"/>
      <c r="BD657" s="86"/>
      <c r="BE657" s="86"/>
    </row>
    <row r="658" spans="1:57" ht="15" customHeight="1" x14ac:dyDescent="0.4">
      <c r="A658" s="86"/>
      <c r="B658" s="1200"/>
      <c r="C658" s="290"/>
      <c r="D658" s="290"/>
      <c r="E658" s="290"/>
      <c r="F658" s="290"/>
      <c r="G658" s="290"/>
      <c r="H658" s="290"/>
      <c r="I658" s="290"/>
      <c r="J658" s="290"/>
      <c r="K658" s="290"/>
      <c r="L658" s="290"/>
      <c r="M658" s="290"/>
      <c r="N658" s="290"/>
      <c r="O658" s="290"/>
      <c r="P658" s="290"/>
      <c r="Q658" s="865" t="s">
        <v>694</v>
      </c>
      <c r="R658" s="866">
        <v>34</v>
      </c>
      <c r="S658" s="866">
        <v>43</v>
      </c>
      <c r="T658" s="866">
        <v>45</v>
      </c>
      <c r="U658" s="290"/>
      <c r="V658" s="685" t="b">
        <f t="shared" ref="V658:V689" si="82">IF(AND(SHBTAdjSashWeight&gt;=$S658,SHBTAdjSashWeight&lt;=$T658,$S$550=$R658),TRUE,FALSE)</f>
        <v>0</v>
      </c>
      <c r="W658" s="685"/>
      <c r="X658" s="686">
        <f t="shared" si="80"/>
        <v>44</v>
      </c>
      <c r="Y658" s="290" t="str">
        <f t="shared" si="78"/>
        <v/>
      </c>
      <c r="Z658" s="290"/>
      <c r="AA658" s="290"/>
      <c r="AB658" s="290"/>
      <c r="AC658" s="290"/>
      <c r="AD658" s="290"/>
      <c r="AE658" s="290"/>
      <c r="AF658" s="290"/>
      <c r="AG658" s="290"/>
      <c r="AH658" s="290"/>
      <c r="AI658" s="353">
        <v>2.9670000000000001</v>
      </c>
      <c r="AJ658" s="39"/>
      <c r="AK658" s="39"/>
      <c r="AL658" s="39"/>
      <c r="AM658" s="289" t="s">
        <v>92</v>
      </c>
      <c r="AN658" s="289" t="s">
        <v>92</v>
      </c>
      <c r="AO658" s="289" t="s">
        <v>92</v>
      </c>
      <c r="AP658" s="289" t="s">
        <v>92</v>
      </c>
      <c r="AQ658" s="289" t="s">
        <v>92</v>
      </c>
      <c r="AR658" s="289" t="s">
        <v>92</v>
      </c>
      <c r="AS658" s="289" t="s">
        <v>92</v>
      </c>
      <c r="AT658" s="289" t="s">
        <v>92</v>
      </c>
      <c r="AU658" s="289" t="s">
        <v>92</v>
      </c>
      <c r="AV658" s="289" t="s">
        <v>92</v>
      </c>
      <c r="AW658" s="289" t="s">
        <v>92</v>
      </c>
      <c r="AX658" s="1885" t="s">
        <v>92</v>
      </c>
      <c r="AY658" s="289"/>
      <c r="AZ658" s="86"/>
      <c r="BA658" s="86"/>
      <c r="BB658" s="86"/>
      <c r="BC658" s="86"/>
      <c r="BD658" s="86"/>
      <c r="BE658" s="86"/>
    </row>
    <row r="659" spans="1:57" ht="15" customHeight="1" x14ac:dyDescent="0.4">
      <c r="A659" s="86"/>
      <c r="B659" s="1200"/>
      <c r="C659" s="290"/>
      <c r="D659" s="290"/>
      <c r="E659" s="290"/>
      <c r="F659" s="290"/>
      <c r="G659" s="290"/>
      <c r="H659" s="290"/>
      <c r="I659" s="290"/>
      <c r="J659" s="290"/>
      <c r="K659" s="290"/>
      <c r="L659" s="290"/>
      <c r="M659" s="290"/>
      <c r="N659" s="290"/>
      <c r="O659" s="290"/>
      <c r="P659" s="290"/>
      <c r="Q659" s="865" t="s">
        <v>695</v>
      </c>
      <c r="R659" s="866">
        <v>36</v>
      </c>
      <c r="S659" s="866">
        <v>0</v>
      </c>
      <c r="T659" s="866">
        <v>16</v>
      </c>
      <c r="U659" s="290"/>
      <c r="V659" s="685" t="b">
        <f t="shared" si="82"/>
        <v>0</v>
      </c>
      <c r="W659" s="685"/>
      <c r="X659" s="686">
        <f t="shared" si="80"/>
        <v>8</v>
      </c>
      <c r="Y659" s="290">
        <f t="shared" si="78"/>
        <v>11</v>
      </c>
      <c r="Z659" s="290"/>
      <c r="AA659" s="290"/>
      <c r="AB659" s="290"/>
      <c r="AC659" s="290"/>
      <c r="AD659" s="290"/>
      <c r="AE659" s="290"/>
      <c r="AF659" s="290"/>
      <c r="AG659" s="290"/>
      <c r="AH659" s="290"/>
      <c r="AI659" s="353">
        <v>1.0879000000000001</v>
      </c>
      <c r="AJ659" s="39"/>
      <c r="AK659" s="39"/>
      <c r="AL659" s="39"/>
      <c r="AM659" s="289" t="s">
        <v>92</v>
      </c>
      <c r="AN659" s="289" t="s">
        <v>92</v>
      </c>
      <c r="AO659" s="289" t="s">
        <v>92</v>
      </c>
      <c r="AP659" s="289" t="s">
        <v>92</v>
      </c>
      <c r="AQ659" s="289" t="s">
        <v>92</v>
      </c>
      <c r="AR659" s="289" t="s">
        <v>92</v>
      </c>
      <c r="AS659" s="289" t="s">
        <v>92</v>
      </c>
      <c r="AT659" s="289" t="s">
        <v>92</v>
      </c>
      <c r="AU659" s="289" t="s">
        <v>92</v>
      </c>
      <c r="AV659" s="289" t="s">
        <v>92</v>
      </c>
      <c r="AW659" s="289" t="s">
        <v>92</v>
      </c>
      <c r="AX659" s="1885" t="s">
        <v>92</v>
      </c>
      <c r="AY659" s="289"/>
      <c r="AZ659" s="86"/>
      <c r="BA659" s="86"/>
      <c r="BB659" s="86"/>
      <c r="BC659" s="86"/>
      <c r="BD659" s="86"/>
      <c r="BE659" s="86"/>
    </row>
    <row r="660" spans="1:57" ht="15" customHeight="1" x14ac:dyDescent="0.4">
      <c r="A660" s="86"/>
      <c r="B660" s="1200"/>
      <c r="C660" s="290"/>
      <c r="D660" s="290"/>
      <c r="E660" s="290"/>
      <c r="F660" s="290"/>
      <c r="G660" s="290"/>
      <c r="H660" s="290"/>
      <c r="I660" s="290"/>
      <c r="J660" s="290"/>
      <c r="K660" s="290"/>
      <c r="L660" s="290"/>
      <c r="M660" s="290"/>
      <c r="N660" s="290"/>
      <c r="O660" s="290"/>
      <c r="P660" s="290"/>
      <c r="Q660" s="865" t="s">
        <v>696</v>
      </c>
      <c r="R660" s="866">
        <v>36</v>
      </c>
      <c r="S660" s="866">
        <v>16</v>
      </c>
      <c r="T660" s="866">
        <v>22</v>
      </c>
      <c r="U660" s="290"/>
      <c r="V660" s="685" t="b">
        <f t="shared" si="82"/>
        <v>0</v>
      </c>
      <c r="W660" s="685"/>
      <c r="X660" s="686">
        <f t="shared" si="80"/>
        <v>19</v>
      </c>
      <c r="Y660" s="290">
        <f t="shared" si="78"/>
        <v>5.5</v>
      </c>
      <c r="Z660" s="290"/>
      <c r="AA660" s="290"/>
      <c r="AB660" s="290"/>
      <c r="AC660" s="290"/>
      <c r="AD660" s="290"/>
      <c r="AE660" s="290"/>
      <c r="AF660" s="290"/>
      <c r="AG660" s="290"/>
      <c r="AH660" s="290"/>
      <c r="AI660" s="353">
        <v>1.167</v>
      </c>
      <c r="AJ660" s="39"/>
      <c r="AK660" s="39"/>
      <c r="AL660" s="39"/>
      <c r="AM660" s="289" t="s">
        <v>92</v>
      </c>
      <c r="AN660" s="289" t="s">
        <v>92</v>
      </c>
      <c r="AO660" s="289" t="s">
        <v>92</v>
      </c>
      <c r="AP660" s="289" t="s">
        <v>92</v>
      </c>
      <c r="AQ660" s="289" t="s">
        <v>92</v>
      </c>
      <c r="AR660" s="289" t="s">
        <v>92</v>
      </c>
      <c r="AS660" s="289" t="s">
        <v>92</v>
      </c>
      <c r="AT660" s="289" t="s">
        <v>92</v>
      </c>
      <c r="AU660" s="289" t="s">
        <v>92</v>
      </c>
      <c r="AV660" s="289" t="s">
        <v>92</v>
      </c>
      <c r="AW660" s="289" t="s">
        <v>92</v>
      </c>
      <c r="AX660" s="1885" t="s">
        <v>92</v>
      </c>
      <c r="AY660" s="289"/>
      <c r="AZ660" s="86"/>
      <c r="BA660" s="86"/>
      <c r="BB660" s="86"/>
      <c r="BC660" s="86"/>
      <c r="BD660" s="86"/>
      <c r="BE660" s="86"/>
    </row>
    <row r="661" spans="1:57" ht="15" customHeight="1" x14ac:dyDescent="0.4">
      <c r="A661" s="86"/>
      <c r="B661" s="1200"/>
      <c r="C661" s="290"/>
      <c r="D661" s="290"/>
      <c r="E661" s="290"/>
      <c r="F661" s="290"/>
      <c r="G661" s="290"/>
      <c r="H661" s="290"/>
      <c r="I661" s="290"/>
      <c r="J661" s="290"/>
      <c r="K661" s="290"/>
      <c r="L661" s="290"/>
      <c r="M661" s="290"/>
      <c r="N661" s="290"/>
      <c r="O661" s="290"/>
      <c r="P661" s="290"/>
      <c r="Q661" s="865" t="s">
        <v>697</v>
      </c>
      <c r="R661" s="866">
        <v>36</v>
      </c>
      <c r="S661" s="866">
        <v>22</v>
      </c>
      <c r="T661" s="866">
        <v>27</v>
      </c>
      <c r="U661" s="290"/>
      <c r="V661" s="685" t="b">
        <f t="shared" si="82"/>
        <v>0</v>
      </c>
      <c r="W661" s="685"/>
      <c r="X661" s="686">
        <f t="shared" si="80"/>
        <v>24.5</v>
      </c>
      <c r="Y661" s="290">
        <f t="shared" si="78"/>
        <v>5</v>
      </c>
      <c r="Z661" s="290"/>
      <c r="AA661" s="290"/>
      <c r="AB661" s="290"/>
      <c r="AC661" s="290"/>
      <c r="AD661" s="290"/>
      <c r="AE661" s="290"/>
      <c r="AF661" s="290"/>
      <c r="AG661" s="290"/>
      <c r="AH661" s="290"/>
      <c r="AI661" s="353">
        <v>1.18</v>
      </c>
      <c r="AJ661" s="39"/>
      <c r="AK661" s="39"/>
      <c r="AL661" s="39"/>
      <c r="AM661" s="289" t="s">
        <v>92</v>
      </c>
      <c r="AN661" s="289" t="s">
        <v>92</v>
      </c>
      <c r="AO661" s="289" t="s">
        <v>92</v>
      </c>
      <c r="AP661" s="289" t="s">
        <v>92</v>
      </c>
      <c r="AQ661" s="289" t="s">
        <v>92</v>
      </c>
      <c r="AR661" s="289" t="s">
        <v>92</v>
      </c>
      <c r="AS661" s="289" t="s">
        <v>92</v>
      </c>
      <c r="AT661" s="289" t="s">
        <v>92</v>
      </c>
      <c r="AU661" s="289" t="s">
        <v>92</v>
      </c>
      <c r="AV661" s="289" t="s">
        <v>92</v>
      </c>
      <c r="AW661" s="289" t="s">
        <v>92</v>
      </c>
      <c r="AX661" s="1885" t="s">
        <v>92</v>
      </c>
      <c r="AY661" s="289"/>
      <c r="AZ661" s="86"/>
      <c r="BA661" s="86"/>
      <c r="BB661" s="86"/>
      <c r="BC661" s="86"/>
      <c r="BD661" s="86"/>
      <c r="BE661" s="86"/>
    </row>
    <row r="662" spans="1:57" ht="15" customHeight="1" x14ac:dyDescent="0.4">
      <c r="A662" s="86"/>
      <c r="B662" s="1200"/>
      <c r="C662" s="290"/>
      <c r="D662" s="290"/>
      <c r="E662" s="290"/>
      <c r="F662" s="290"/>
      <c r="G662" s="290"/>
      <c r="H662" s="290"/>
      <c r="I662" s="290"/>
      <c r="J662" s="290"/>
      <c r="K662" s="290"/>
      <c r="L662" s="290"/>
      <c r="M662" s="290"/>
      <c r="N662" s="290"/>
      <c r="O662" s="290"/>
      <c r="P662" s="290"/>
      <c r="Q662" s="865" t="s">
        <v>698</v>
      </c>
      <c r="R662" s="866">
        <v>36</v>
      </c>
      <c r="S662" s="866">
        <v>27</v>
      </c>
      <c r="T662" s="866">
        <v>32</v>
      </c>
      <c r="U662" s="290"/>
      <c r="V662" s="685" t="b">
        <f t="shared" si="82"/>
        <v>0</v>
      </c>
      <c r="W662" s="685"/>
      <c r="X662" s="686">
        <f t="shared" si="80"/>
        <v>29.5</v>
      </c>
      <c r="Y662" s="290">
        <f t="shared" si="78"/>
        <v>3.5</v>
      </c>
      <c r="Z662" s="290"/>
      <c r="AA662" s="290"/>
      <c r="AB662" s="290"/>
      <c r="AC662" s="290"/>
      <c r="AD662" s="290"/>
      <c r="AE662" s="290"/>
      <c r="AF662" s="290"/>
      <c r="AG662" s="290"/>
      <c r="AH662" s="290"/>
      <c r="AI662" s="353">
        <v>1.28</v>
      </c>
      <c r="AJ662" s="39"/>
      <c r="AK662" s="39"/>
      <c r="AL662" s="39"/>
      <c r="AM662" s="289" t="s">
        <v>92</v>
      </c>
      <c r="AN662" s="289" t="s">
        <v>92</v>
      </c>
      <c r="AO662" s="289" t="s">
        <v>92</v>
      </c>
      <c r="AP662" s="289" t="s">
        <v>92</v>
      </c>
      <c r="AQ662" s="289" t="s">
        <v>92</v>
      </c>
      <c r="AR662" s="289" t="s">
        <v>92</v>
      </c>
      <c r="AS662" s="289" t="s">
        <v>92</v>
      </c>
      <c r="AT662" s="289" t="s">
        <v>92</v>
      </c>
      <c r="AU662" s="289" t="s">
        <v>92</v>
      </c>
      <c r="AV662" s="289" t="s">
        <v>92</v>
      </c>
      <c r="AW662" s="289" t="s">
        <v>92</v>
      </c>
      <c r="AX662" s="1885" t="s">
        <v>92</v>
      </c>
      <c r="AY662" s="289"/>
      <c r="AZ662" s="86"/>
      <c r="BA662" s="86"/>
      <c r="BB662" s="86"/>
      <c r="BC662" s="86"/>
      <c r="BD662" s="86"/>
      <c r="BE662" s="86"/>
    </row>
    <row r="663" spans="1:57" ht="15" customHeight="1" x14ac:dyDescent="0.4">
      <c r="A663" s="86"/>
      <c r="B663" s="1200"/>
      <c r="C663" s="290"/>
      <c r="D663" s="290"/>
      <c r="E663" s="290"/>
      <c r="F663" s="290"/>
      <c r="G663" s="290"/>
      <c r="H663" s="290"/>
      <c r="I663" s="290"/>
      <c r="J663" s="290"/>
      <c r="K663" s="290"/>
      <c r="L663" s="290"/>
      <c r="M663" s="290"/>
      <c r="N663" s="290"/>
      <c r="O663" s="290"/>
      <c r="P663" s="290"/>
      <c r="Q663" s="865" t="s">
        <v>699</v>
      </c>
      <c r="R663" s="866">
        <v>36</v>
      </c>
      <c r="S663" s="866">
        <v>32</v>
      </c>
      <c r="T663" s="866">
        <v>34</v>
      </c>
      <c r="U663" s="290"/>
      <c r="V663" s="685" t="b">
        <f t="shared" si="82"/>
        <v>0</v>
      </c>
      <c r="W663" s="685"/>
      <c r="X663" s="686">
        <f t="shared" si="80"/>
        <v>33</v>
      </c>
      <c r="Y663" s="290">
        <f t="shared" ref="Y663:Y703" si="83">IF(X663&gt;X664,"",X664-X663)</f>
        <v>2.5</v>
      </c>
      <c r="Z663" s="290"/>
      <c r="AA663" s="290"/>
      <c r="AB663" s="290"/>
      <c r="AC663" s="290"/>
      <c r="AD663" s="290"/>
      <c r="AE663" s="290"/>
      <c r="AF663" s="290"/>
      <c r="AG663" s="290"/>
      <c r="AH663" s="290"/>
      <c r="AI663" s="353">
        <v>1.6912</v>
      </c>
      <c r="AJ663" s="39"/>
      <c r="AK663" s="39"/>
      <c r="AL663" s="39"/>
      <c r="AM663" s="289" t="s">
        <v>92</v>
      </c>
      <c r="AN663" s="289" t="s">
        <v>92</v>
      </c>
      <c r="AO663" s="289" t="s">
        <v>92</v>
      </c>
      <c r="AP663" s="289" t="s">
        <v>92</v>
      </c>
      <c r="AQ663" s="289" t="s">
        <v>92</v>
      </c>
      <c r="AR663" s="289" t="s">
        <v>92</v>
      </c>
      <c r="AS663" s="289" t="s">
        <v>92</v>
      </c>
      <c r="AT663" s="289" t="s">
        <v>92</v>
      </c>
      <c r="AU663" s="289" t="s">
        <v>92</v>
      </c>
      <c r="AV663" s="289" t="s">
        <v>92</v>
      </c>
      <c r="AW663" s="289" t="s">
        <v>92</v>
      </c>
      <c r="AX663" s="1885" t="s">
        <v>92</v>
      </c>
      <c r="AY663" s="289"/>
      <c r="AZ663" s="86"/>
      <c r="BA663" s="86"/>
      <c r="BB663" s="86"/>
      <c r="BC663" s="86"/>
      <c r="BD663" s="86"/>
      <c r="BE663" s="86"/>
    </row>
    <row r="664" spans="1:57" ht="15" customHeight="1" x14ac:dyDescent="0.4">
      <c r="A664" s="86"/>
      <c r="B664" s="1200"/>
      <c r="C664" s="290"/>
      <c r="D664" s="290"/>
      <c r="E664" s="290"/>
      <c r="F664" s="290"/>
      <c r="G664" s="290"/>
      <c r="H664" s="290"/>
      <c r="I664" s="290"/>
      <c r="J664" s="290"/>
      <c r="K664" s="290"/>
      <c r="L664" s="290"/>
      <c r="M664" s="290"/>
      <c r="N664" s="290"/>
      <c r="O664" s="290"/>
      <c r="P664" s="290"/>
      <c r="Q664" s="865" t="s">
        <v>700</v>
      </c>
      <c r="R664" s="866">
        <v>36</v>
      </c>
      <c r="S664" s="866">
        <v>34</v>
      </c>
      <c r="T664" s="866">
        <v>37</v>
      </c>
      <c r="U664" s="290"/>
      <c r="V664" s="685" t="b">
        <f t="shared" si="82"/>
        <v>0</v>
      </c>
      <c r="W664" s="685"/>
      <c r="X664" s="686">
        <f t="shared" si="80"/>
        <v>35.5</v>
      </c>
      <c r="Y664" s="290">
        <f t="shared" si="83"/>
        <v>3</v>
      </c>
      <c r="Z664" s="290"/>
      <c r="AA664" s="290"/>
      <c r="AB664" s="290"/>
      <c r="AC664" s="290"/>
      <c r="AD664" s="290"/>
      <c r="AE664" s="290"/>
      <c r="AF664" s="290"/>
      <c r="AG664" s="290"/>
      <c r="AH664" s="290"/>
      <c r="AI664" s="353">
        <v>2.3637999999999999</v>
      </c>
      <c r="AJ664" s="39"/>
      <c r="AK664" s="39"/>
      <c r="AL664" s="39"/>
      <c r="AM664" s="289" t="s">
        <v>92</v>
      </c>
      <c r="AN664" s="289" t="s">
        <v>92</v>
      </c>
      <c r="AO664" s="289" t="s">
        <v>92</v>
      </c>
      <c r="AP664" s="289" t="s">
        <v>92</v>
      </c>
      <c r="AQ664" s="289" t="s">
        <v>92</v>
      </c>
      <c r="AR664" s="289" t="s">
        <v>92</v>
      </c>
      <c r="AS664" s="289" t="s">
        <v>92</v>
      </c>
      <c r="AT664" s="289" t="s">
        <v>92</v>
      </c>
      <c r="AU664" s="289" t="s">
        <v>92</v>
      </c>
      <c r="AV664" s="289" t="s">
        <v>92</v>
      </c>
      <c r="AW664" s="289" t="s">
        <v>92</v>
      </c>
      <c r="AX664" s="1885" t="s">
        <v>92</v>
      </c>
      <c r="AY664" s="289"/>
      <c r="AZ664" s="86"/>
      <c r="BA664" s="86"/>
      <c r="BB664" s="86"/>
      <c r="BC664" s="86"/>
      <c r="BD664" s="86"/>
      <c r="BE664" s="86"/>
    </row>
    <row r="665" spans="1:57" ht="15" customHeight="1" x14ac:dyDescent="0.4">
      <c r="A665" s="86"/>
      <c r="B665" s="1200"/>
      <c r="C665" s="290"/>
      <c r="D665" s="290"/>
      <c r="E665" s="290"/>
      <c r="F665" s="290"/>
      <c r="G665" s="290"/>
      <c r="H665" s="290"/>
      <c r="I665" s="290"/>
      <c r="J665" s="290"/>
      <c r="K665" s="290"/>
      <c r="L665" s="290"/>
      <c r="M665" s="290"/>
      <c r="N665" s="290"/>
      <c r="O665" s="290"/>
      <c r="P665" s="290"/>
      <c r="Q665" s="865" t="s">
        <v>701</v>
      </c>
      <c r="R665" s="866">
        <v>36</v>
      </c>
      <c r="S665" s="866">
        <v>37</v>
      </c>
      <c r="T665" s="866">
        <v>40</v>
      </c>
      <c r="U665" s="290"/>
      <c r="V665" s="685" t="b">
        <f t="shared" si="82"/>
        <v>0</v>
      </c>
      <c r="W665" s="685"/>
      <c r="X665" s="686">
        <f t="shared" si="80"/>
        <v>38.5</v>
      </c>
      <c r="Y665" s="290">
        <f t="shared" si="83"/>
        <v>3</v>
      </c>
      <c r="Z665" s="290"/>
      <c r="AA665" s="290"/>
      <c r="AB665" s="290"/>
      <c r="AC665" s="290"/>
      <c r="AD665" s="290"/>
      <c r="AE665" s="290"/>
      <c r="AF665" s="290"/>
      <c r="AG665" s="290"/>
      <c r="AH665" s="290"/>
      <c r="AI665" s="353">
        <v>2.85</v>
      </c>
      <c r="AJ665" s="39"/>
      <c r="AK665" s="39"/>
      <c r="AL665" s="39"/>
      <c r="AM665" s="289" t="s">
        <v>92</v>
      </c>
      <c r="AN665" s="289" t="s">
        <v>92</v>
      </c>
      <c r="AO665" s="289" t="s">
        <v>92</v>
      </c>
      <c r="AP665" s="289" t="s">
        <v>92</v>
      </c>
      <c r="AQ665" s="289" t="s">
        <v>92</v>
      </c>
      <c r="AR665" s="289" t="s">
        <v>92</v>
      </c>
      <c r="AS665" s="289" t="s">
        <v>92</v>
      </c>
      <c r="AT665" s="289" t="s">
        <v>92</v>
      </c>
      <c r="AU665" s="289" t="s">
        <v>92</v>
      </c>
      <c r="AV665" s="289" t="s">
        <v>92</v>
      </c>
      <c r="AW665" s="289" t="s">
        <v>92</v>
      </c>
      <c r="AX665" s="1885" t="s">
        <v>92</v>
      </c>
      <c r="AY665" s="289"/>
      <c r="AZ665" s="86"/>
      <c r="BA665" s="86"/>
      <c r="BB665" s="86"/>
      <c r="BC665" s="86"/>
      <c r="BD665" s="86"/>
      <c r="BE665" s="86"/>
    </row>
    <row r="666" spans="1:57" ht="15" customHeight="1" x14ac:dyDescent="0.4">
      <c r="A666" s="86"/>
      <c r="B666" s="1200"/>
      <c r="C666" s="290"/>
      <c r="D666" s="290"/>
      <c r="E666" s="290"/>
      <c r="F666" s="290"/>
      <c r="G666" s="290"/>
      <c r="H666" s="290"/>
      <c r="I666" s="290"/>
      <c r="J666" s="290"/>
      <c r="K666" s="290"/>
      <c r="L666" s="290"/>
      <c r="M666" s="290"/>
      <c r="N666" s="290"/>
      <c r="O666" s="290"/>
      <c r="P666" s="290"/>
      <c r="Q666" s="865" t="s">
        <v>702</v>
      </c>
      <c r="R666" s="866">
        <v>36</v>
      </c>
      <c r="S666" s="866">
        <v>40</v>
      </c>
      <c r="T666" s="866">
        <v>43</v>
      </c>
      <c r="U666" s="290"/>
      <c r="V666" s="685" t="b">
        <f t="shared" si="82"/>
        <v>0</v>
      </c>
      <c r="W666" s="685"/>
      <c r="X666" s="686">
        <f t="shared" si="80"/>
        <v>41.5</v>
      </c>
      <c r="Y666" s="290">
        <f t="shared" si="83"/>
        <v>2.5</v>
      </c>
      <c r="Z666" s="290"/>
      <c r="AA666" s="290"/>
      <c r="AB666" s="290"/>
      <c r="AC666" s="290"/>
      <c r="AD666" s="290"/>
      <c r="AE666" s="290"/>
      <c r="AF666" s="290"/>
      <c r="AG666" s="290"/>
      <c r="AH666" s="290"/>
      <c r="AI666" s="353">
        <v>3.07</v>
      </c>
      <c r="AJ666" s="39"/>
      <c r="AK666" s="39"/>
      <c r="AL666" s="39"/>
      <c r="AM666" s="289" t="s">
        <v>92</v>
      </c>
      <c r="AN666" s="289" t="s">
        <v>92</v>
      </c>
      <c r="AO666" s="289" t="s">
        <v>92</v>
      </c>
      <c r="AP666" s="289" t="s">
        <v>92</v>
      </c>
      <c r="AQ666" s="289" t="s">
        <v>92</v>
      </c>
      <c r="AR666" s="289" t="s">
        <v>92</v>
      </c>
      <c r="AS666" s="289" t="s">
        <v>92</v>
      </c>
      <c r="AT666" s="289" t="s">
        <v>92</v>
      </c>
      <c r="AU666" s="289" t="s">
        <v>92</v>
      </c>
      <c r="AV666" s="289" t="s">
        <v>92</v>
      </c>
      <c r="AW666" s="289" t="s">
        <v>92</v>
      </c>
      <c r="AX666" s="1885" t="s">
        <v>92</v>
      </c>
      <c r="AY666" s="289"/>
      <c r="AZ666" s="86"/>
      <c r="BA666" s="86"/>
      <c r="BB666" s="86"/>
      <c r="BC666" s="86"/>
      <c r="BD666" s="86"/>
      <c r="BE666" s="86"/>
    </row>
    <row r="667" spans="1:57" ht="15" customHeight="1" x14ac:dyDescent="0.4">
      <c r="A667" s="86"/>
      <c r="B667" s="1200"/>
      <c r="C667" s="290"/>
      <c r="D667" s="290"/>
      <c r="E667" s="290"/>
      <c r="F667" s="290"/>
      <c r="G667" s="290"/>
      <c r="H667" s="290"/>
      <c r="I667" s="290"/>
      <c r="J667" s="290"/>
      <c r="K667" s="290"/>
      <c r="L667" s="290"/>
      <c r="M667" s="290"/>
      <c r="N667" s="290"/>
      <c r="O667" s="290"/>
      <c r="P667" s="290"/>
      <c r="Q667" s="865" t="s">
        <v>703</v>
      </c>
      <c r="R667" s="866">
        <v>36</v>
      </c>
      <c r="S667" s="866">
        <v>43</v>
      </c>
      <c r="T667" s="866">
        <v>45</v>
      </c>
      <c r="U667" s="290"/>
      <c r="V667" s="685" t="b">
        <f t="shared" si="82"/>
        <v>0</v>
      </c>
      <c r="W667" s="685"/>
      <c r="X667" s="686">
        <f t="shared" si="80"/>
        <v>44</v>
      </c>
      <c r="Y667" s="290" t="str">
        <f t="shared" si="83"/>
        <v/>
      </c>
      <c r="Z667" s="290"/>
      <c r="AA667" s="290"/>
      <c r="AB667" s="290"/>
      <c r="AC667" s="290"/>
      <c r="AD667" s="290"/>
      <c r="AE667" s="290"/>
      <c r="AF667" s="290"/>
      <c r="AG667" s="290"/>
      <c r="AH667" s="290"/>
      <c r="AI667" s="353">
        <v>3.27</v>
      </c>
      <c r="AJ667" s="39"/>
      <c r="AK667" s="39"/>
      <c r="AL667" s="39"/>
      <c r="AM667" s="289" t="s">
        <v>92</v>
      </c>
      <c r="AN667" s="289" t="s">
        <v>92</v>
      </c>
      <c r="AO667" s="289" t="s">
        <v>92</v>
      </c>
      <c r="AP667" s="289" t="s">
        <v>92</v>
      </c>
      <c r="AQ667" s="289" t="s">
        <v>92</v>
      </c>
      <c r="AR667" s="289" t="s">
        <v>92</v>
      </c>
      <c r="AS667" s="289" t="s">
        <v>92</v>
      </c>
      <c r="AT667" s="289" t="s">
        <v>92</v>
      </c>
      <c r="AU667" s="289" t="s">
        <v>92</v>
      </c>
      <c r="AV667" s="289" t="s">
        <v>92</v>
      </c>
      <c r="AW667" s="289" t="s">
        <v>92</v>
      </c>
      <c r="AX667" s="1885" t="s">
        <v>92</v>
      </c>
      <c r="AY667" s="289"/>
      <c r="AZ667" s="86"/>
      <c r="BA667" s="86"/>
      <c r="BB667" s="86"/>
      <c r="BC667" s="86"/>
      <c r="BD667" s="86"/>
      <c r="BE667" s="86"/>
    </row>
    <row r="668" spans="1:57" ht="15" customHeight="1" x14ac:dyDescent="0.4">
      <c r="A668" s="86"/>
      <c r="B668" s="1200"/>
      <c r="C668" s="290"/>
      <c r="D668" s="290"/>
      <c r="E668" s="290"/>
      <c r="F668" s="290"/>
      <c r="G668" s="290"/>
      <c r="H668" s="290"/>
      <c r="I668" s="290"/>
      <c r="J668" s="290"/>
      <c r="K668" s="290"/>
      <c r="L668" s="290"/>
      <c r="M668" s="290"/>
      <c r="N668" s="290"/>
      <c r="O668" s="290"/>
      <c r="P668" s="290"/>
      <c r="Q668" s="865" t="s">
        <v>704</v>
      </c>
      <c r="R668" s="866">
        <v>38</v>
      </c>
      <c r="S668" s="866">
        <v>0</v>
      </c>
      <c r="T668" s="866">
        <v>16</v>
      </c>
      <c r="U668" s="290"/>
      <c r="V668" s="685" t="b">
        <f t="shared" si="82"/>
        <v>0</v>
      </c>
      <c r="W668" s="685"/>
      <c r="X668" s="686">
        <f t="shared" si="80"/>
        <v>8</v>
      </c>
      <c r="Y668" s="290">
        <f t="shared" si="83"/>
        <v>11</v>
      </c>
      <c r="Z668" s="290"/>
      <c r="AA668" s="290"/>
      <c r="AB668" s="290"/>
      <c r="AC668" s="290"/>
      <c r="AD668" s="290"/>
      <c r="AE668" s="290"/>
      <c r="AF668" s="290"/>
      <c r="AG668" s="290"/>
      <c r="AH668" s="290"/>
      <c r="AI668" s="353">
        <v>1.27</v>
      </c>
      <c r="AJ668" s="39"/>
      <c r="AK668" s="39"/>
      <c r="AL668" s="39"/>
      <c r="AM668" s="289" t="s">
        <v>92</v>
      </c>
      <c r="AN668" s="289" t="s">
        <v>92</v>
      </c>
      <c r="AO668" s="289" t="s">
        <v>92</v>
      </c>
      <c r="AP668" s="289" t="s">
        <v>92</v>
      </c>
      <c r="AQ668" s="289" t="s">
        <v>92</v>
      </c>
      <c r="AR668" s="289" t="s">
        <v>92</v>
      </c>
      <c r="AS668" s="289" t="s">
        <v>92</v>
      </c>
      <c r="AT668" s="289" t="s">
        <v>92</v>
      </c>
      <c r="AU668" s="289" t="s">
        <v>92</v>
      </c>
      <c r="AV668" s="289" t="s">
        <v>92</v>
      </c>
      <c r="AW668" s="289" t="s">
        <v>92</v>
      </c>
      <c r="AX668" s="1885" t="s">
        <v>92</v>
      </c>
      <c r="AY668" s="289"/>
      <c r="AZ668" s="86"/>
      <c r="BA668" s="86"/>
      <c r="BB668" s="86"/>
      <c r="BC668" s="86"/>
      <c r="BD668" s="86"/>
      <c r="BE668" s="86"/>
    </row>
    <row r="669" spans="1:57" ht="15" customHeight="1" x14ac:dyDescent="0.4">
      <c r="A669" s="86"/>
      <c r="B669" s="1200"/>
      <c r="C669" s="290"/>
      <c r="D669" s="290"/>
      <c r="E669" s="290"/>
      <c r="F669" s="290"/>
      <c r="G669" s="290"/>
      <c r="H669" s="290"/>
      <c r="I669" s="290"/>
      <c r="J669" s="290"/>
      <c r="K669" s="290"/>
      <c r="L669" s="290"/>
      <c r="M669" s="290"/>
      <c r="N669" s="290"/>
      <c r="O669" s="290"/>
      <c r="P669" s="290"/>
      <c r="Q669" s="865" t="s">
        <v>705</v>
      </c>
      <c r="R669" s="866">
        <v>38</v>
      </c>
      <c r="S669" s="866">
        <v>16</v>
      </c>
      <c r="T669" s="866">
        <v>22</v>
      </c>
      <c r="U669" s="290"/>
      <c r="V669" s="685" t="b">
        <f t="shared" si="82"/>
        <v>0</v>
      </c>
      <c r="W669" s="685"/>
      <c r="X669" s="686">
        <f t="shared" si="80"/>
        <v>19</v>
      </c>
      <c r="Y669" s="290">
        <f t="shared" si="83"/>
        <v>5.5</v>
      </c>
      <c r="Z669" s="290"/>
      <c r="AA669" s="290"/>
      <c r="AB669" s="290"/>
      <c r="AC669" s="290"/>
      <c r="AD669" s="290"/>
      <c r="AE669" s="290"/>
      <c r="AF669" s="290"/>
      <c r="AG669" s="290"/>
      <c r="AH669" s="290"/>
      <c r="AI669" s="353">
        <v>1.2758</v>
      </c>
      <c r="AJ669" s="39"/>
      <c r="AK669" s="39"/>
      <c r="AL669" s="39"/>
      <c r="AM669" s="289" t="s">
        <v>92</v>
      </c>
      <c r="AN669" s="289" t="s">
        <v>92</v>
      </c>
      <c r="AO669" s="289" t="s">
        <v>92</v>
      </c>
      <c r="AP669" s="289" t="s">
        <v>92</v>
      </c>
      <c r="AQ669" s="289" t="s">
        <v>92</v>
      </c>
      <c r="AR669" s="289" t="s">
        <v>92</v>
      </c>
      <c r="AS669" s="289" t="s">
        <v>92</v>
      </c>
      <c r="AT669" s="289" t="s">
        <v>92</v>
      </c>
      <c r="AU669" s="289" t="s">
        <v>92</v>
      </c>
      <c r="AV669" s="289" t="s">
        <v>92</v>
      </c>
      <c r="AW669" s="289" t="s">
        <v>92</v>
      </c>
      <c r="AX669" s="1885" t="s">
        <v>92</v>
      </c>
      <c r="AY669" s="289"/>
      <c r="AZ669" s="86"/>
      <c r="BA669" s="86"/>
      <c r="BB669" s="86"/>
      <c r="BC669" s="86"/>
      <c r="BD669" s="86"/>
      <c r="BE669" s="86"/>
    </row>
    <row r="670" spans="1:57" ht="15" customHeight="1" x14ac:dyDescent="0.4">
      <c r="A670" s="86"/>
      <c r="B670" s="1200"/>
      <c r="C670" s="290"/>
      <c r="D670" s="290"/>
      <c r="E670" s="290"/>
      <c r="F670" s="290"/>
      <c r="G670" s="290"/>
      <c r="H670" s="290"/>
      <c r="I670" s="290"/>
      <c r="J670" s="290"/>
      <c r="K670" s="290"/>
      <c r="L670" s="290"/>
      <c r="M670" s="290"/>
      <c r="N670" s="290"/>
      <c r="O670" s="290"/>
      <c r="P670" s="290"/>
      <c r="Q670" s="865" t="s">
        <v>706</v>
      </c>
      <c r="R670" s="866">
        <v>38</v>
      </c>
      <c r="S670" s="866">
        <v>22</v>
      </c>
      <c r="T670" s="866">
        <v>27</v>
      </c>
      <c r="U670" s="290"/>
      <c r="V670" s="685" t="b">
        <f t="shared" si="82"/>
        <v>0</v>
      </c>
      <c r="W670" s="685"/>
      <c r="X670" s="686">
        <f t="shared" si="80"/>
        <v>24.5</v>
      </c>
      <c r="Y670" s="290">
        <f t="shared" si="83"/>
        <v>5</v>
      </c>
      <c r="Z670" s="290"/>
      <c r="AA670" s="290"/>
      <c r="AB670" s="290"/>
      <c r="AC670" s="290"/>
      <c r="AD670" s="290"/>
      <c r="AE670" s="290"/>
      <c r="AF670" s="290"/>
      <c r="AG670" s="290"/>
      <c r="AH670" s="290"/>
      <c r="AI670" s="353">
        <v>1.4538</v>
      </c>
      <c r="AJ670" s="39"/>
      <c r="AK670" s="39"/>
      <c r="AL670" s="39"/>
      <c r="AM670" s="289" t="s">
        <v>92</v>
      </c>
      <c r="AN670" s="289" t="s">
        <v>92</v>
      </c>
      <c r="AO670" s="289" t="s">
        <v>92</v>
      </c>
      <c r="AP670" s="289" t="s">
        <v>92</v>
      </c>
      <c r="AQ670" s="289" t="s">
        <v>92</v>
      </c>
      <c r="AR670" s="289" t="s">
        <v>92</v>
      </c>
      <c r="AS670" s="289" t="s">
        <v>92</v>
      </c>
      <c r="AT670" s="289" t="s">
        <v>92</v>
      </c>
      <c r="AU670" s="289" t="s">
        <v>92</v>
      </c>
      <c r="AV670" s="289" t="s">
        <v>92</v>
      </c>
      <c r="AW670" s="289" t="s">
        <v>92</v>
      </c>
      <c r="AX670" s="1885" t="s">
        <v>92</v>
      </c>
      <c r="AY670" s="289"/>
      <c r="AZ670" s="86"/>
      <c r="BA670" s="86"/>
      <c r="BB670" s="86"/>
      <c r="BC670" s="86"/>
      <c r="BD670" s="86"/>
      <c r="BE670" s="86"/>
    </row>
    <row r="671" spans="1:57" ht="15" customHeight="1" x14ac:dyDescent="0.4">
      <c r="A671" s="86"/>
      <c r="B671" s="1200"/>
      <c r="C671" s="290"/>
      <c r="D671" s="290"/>
      <c r="E671" s="290"/>
      <c r="F671" s="290"/>
      <c r="G671" s="290"/>
      <c r="H671" s="290"/>
      <c r="I671" s="290"/>
      <c r="J671" s="290"/>
      <c r="K671" s="290"/>
      <c r="L671" s="290"/>
      <c r="M671" s="290"/>
      <c r="N671" s="290"/>
      <c r="O671" s="290"/>
      <c r="P671" s="290"/>
      <c r="Q671" s="865" t="s">
        <v>707</v>
      </c>
      <c r="R671" s="866">
        <v>38</v>
      </c>
      <c r="S671" s="866">
        <v>27</v>
      </c>
      <c r="T671" s="866">
        <v>32</v>
      </c>
      <c r="U671" s="290"/>
      <c r="V671" s="685" t="b">
        <f t="shared" si="82"/>
        <v>0</v>
      </c>
      <c r="W671" s="685"/>
      <c r="X671" s="686">
        <f t="shared" si="80"/>
        <v>29.5</v>
      </c>
      <c r="Y671" s="290">
        <f t="shared" si="83"/>
        <v>3.5</v>
      </c>
      <c r="Z671" s="290"/>
      <c r="AA671" s="290"/>
      <c r="AB671" s="290"/>
      <c r="AC671" s="290"/>
      <c r="AD671" s="290"/>
      <c r="AE671" s="290"/>
      <c r="AF671" s="290"/>
      <c r="AG671" s="290"/>
      <c r="AH671" s="290"/>
      <c r="AI671" s="353">
        <v>1.5427999999999999</v>
      </c>
      <c r="AJ671" s="39"/>
      <c r="AK671" s="39"/>
      <c r="AL671" s="39"/>
      <c r="AM671" s="289" t="s">
        <v>92</v>
      </c>
      <c r="AN671" s="289" t="s">
        <v>92</v>
      </c>
      <c r="AO671" s="289" t="s">
        <v>92</v>
      </c>
      <c r="AP671" s="289" t="s">
        <v>92</v>
      </c>
      <c r="AQ671" s="289" t="s">
        <v>92</v>
      </c>
      <c r="AR671" s="289" t="s">
        <v>92</v>
      </c>
      <c r="AS671" s="289" t="s">
        <v>92</v>
      </c>
      <c r="AT671" s="289" t="s">
        <v>92</v>
      </c>
      <c r="AU671" s="289" t="s">
        <v>92</v>
      </c>
      <c r="AV671" s="289" t="s">
        <v>92</v>
      </c>
      <c r="AW671" s="289" t="s">
        <v>92</v>
      </c>
      <c r="AX671" s="1885" t="s">
        <v>92</v>
      </c>
      <c r="AY671" s="289"/>
      <c r="AZ671" s="86"/>
      <c r="BA671" s="86"/>
      <c r="BB671" s="86"/>
      <c r="BC671" s="86"/>
      <c r="BD671" s="86"/>
      <c r="BE671" s="86"/>
    </row>
    <row r="672" spans="1:57" ht="15" customHeight="1" x14ac:dyDescent="0.4">
      <c r="A672" s="86"/>
      <c r="B672" s="1200"/>
      <c r="C672" s="290"/>
      <c r="D672" s="290"/>
      <c r="E672" s="290"/>
      <c r="F672" s="290"/>
      <c r="G672" s="290"/>
      <c r="H672" s="290"/>
      <c r="I672" s="290"/>
      <c r="J672" s="290"/>
      <c r="K672" s="290"/>
      <c r="L672" s="290"/>
      <c r="M672" s="290"/>
      <c r="N672" s="290"/>
      <c r="O672" s="290"/>
      <c r="P672" s="290"/>
      <c r="Q672" s="865" t="s">
        <v>708</v>
      </c>
      <c r="R672" s="866">
        <v>38</v>
      </c>
      <c r="S672" s="866">
        <v>32</v>
      </c>
      <c r="T672" s="866">
        <v>34</v>
      </c>
      <c r="U672" s="290"/>
      <c r="V672" s="685" t="b">
        <f t="shared" si="82"/>
        <v>0</v>
      </c>
      <c r="W672" s="685"/>
      <c r="X672" s="686">
        <f t="shared" si="80"/>
        <v>33</v>
      </c>
      <c r="Y672" s="290">
        <f t="shared" si="83"/>
        <v>2.5</v>
      </c>
      <c r="Z672" s="290"/>
      <c r="AA672" s="290"/>
      <c r="AB672" s="290"/>
      <c r="AC672" s="290"/>
      <c r="AD672" s="290"/>
      <c r="AE672" s="290"/>
      <c r="AF672" s="290"/>
      <c r="AG672" s="290"/>
      <c r="AH672" s="290"/>
      <c r="AI672" s="353">
        <v>1.7505999999999999</v>
      </c>
      <c r="AJ672" s="39"/>
      <c r="AK672" s="39"/>
      <c r="AL672" s="39"/>
      <c r="AM672" s="289" t="s">
        <v>92</v>
      </c>
      <c r="AN672" s="289" t="s">
        <v>92</v>
      </c>
      <c r="AO672" s="289" t="s">
        <v>92</v>
      </c>
      <c r="AP672" s="289" t="s">
        <v>92</v>
      </c>
      <c r="AQ672" s="289" t="s">
        <v>92</v>
      </c>
      <c r="AR672" s="289" t="s">
        <v>92</v>
      </c>
      <c r="AS672" s="289" t="s">
        <v>92</v>
      </c>
      <c r="AT672" s="289" t="s">
        <v>92</v>
      </c>
      <c r="AU672" s="289" t="s">
        <v>92</v>
      </c>
      <c r="AV672" s="289" t="s">
        <v>92</v>
      </c>
      <c r="AW672" s="289" t="s">
        <v>92</v>
      </c>
      <c r="AX672" s="1885" t="s">
        <v>92</v>
      </c>
      <c r="AY672" s="289"/>
      <c r="AZ672" s="86"/>
      <c r="BA672" s="86"/>
      <c r="BB672" s="86"/>
      <c r="BC672" s="86"/>
      <c r="BD672" s="86"/>
      <c r="BE672" s="86"/>
    </row>
    <row r="673" spans="1:57" ht="15" customHeight="1" x14ac:dyDescent="0.4">
      <c r="A673" s="86"/>
      <c r="B673" s="1200"/>
      <c r="C673" s="290"/>
      <c r="D673" s="290"/>
      <c r="E673" s="290"/>
      <c r="F673" s="290"/>
      <c r="G673" s="290"/>
      <c r="H673" s="290"/>
      <c r="I673" s="290"/>
      <c r="J673" s="290"/>
      <c r="K673" s="290"/>
      <c r="L673" s="290"/>
      <c r="M673" s="290"/>
      <c r="N673" s="290"/>
      <c r="O673" s="290"/>
      <c r="P673" s="290"/>
      <c r="Q673" s="865" t="s">
        <v>709</v>
      </c>
      <c r="R673" s="866">
        <v>38</v>
      </c>
      <c r="S673" s="866">
        <v>34</v>
      </c>
      <c r="T673" s="866">
        <v>37</v>
      </c>
      <c r="U673" s="290"/>
      <c r="V673" s="685" t="b">
        <f t="shared" si="82"/>
        <v>0</v>
      </c>
      <c r="W673" s="685"/>
      <c r="X673" s="686">
        <f t="shared" si="80"/>
        <v>35.5</v>
      </c>
      <c r="Y673" s="290">
        <f t="shared" si="83"/>
        <v>3</v>
      </c>
      <c r="Z673" s="290"/>
      <c r="AA673" s="290"/>
      <c r="AB673" s="290"/>
      <c r="AC673" s="290"/>
      <c r="AD673" s="290"/>
      <c r="AE673" s="290"/>
      <c r="AF673" s="290"/>
      <c r="AG673" s="290"/>
      <c r="AH673" s="290"/>
      <c r="AI673" s="353">
        <v>2.44</v>
      </c>
      <c r="AJ673" s="39"/>
      <c r="AK673" s="39"/>
      <c r="AL673" s="39"/>
      <c r="AM673" s="289" t="s">
        <v>92</v>
      </c>
      <c r="AN673" s="289" t="s">
        <v>92</v>
      </c>
      <c r="AO673" s="289" t="s">
        <v>92</v>
      </c>
      <c r="AP673" s="289" t="s">
        <v>92</v>
      </c>
      <c r="AQ673" s="289" t="s">
        <v>92</v>
      </c>
      <c r="AR673" s="289" t="s">
        <v>92</v>
      </c>
      <c r="AS673" s="289" t="s">
        <v>92</v>
      </c>
      <c r="AT673" s="289" t="s">
        <v>92</v>
      </c>
      <c r="AU673" s="289" t="s">
        <v>92</v>
      </c>
      <c r="AV673" s="289" t="s">
        <v>92</v>
      </c>
      <c r="AW673" s="289" t="s">
        <v>92</v>
      </c>
      <c r="AX673" s="1885" t="s">
        <v>92</v>
      </c>
      <c r="AY673" s="289"/>
      <c r="AZ673" s="86"/>
      <c r="BA673" s="86"/>
      <c r="BB673" s="86"/>
      <c r="BC673" s="86"/>
      <c r="BD673" s="86"/>
      <c r="BE673" s="86"/>
    </row>
    <row r="674" spans="1:57" ht="15" customHeight="1" x14ac:dyDescent="0.4">
      <c r="A674" s="86"/>
      <c r="B674" s="1200"/>
      <c r="C674" s="290"/>
      <c r="D674" s="290"/>
      <c r="E674" s="290"/>
      <c r="F674" s="290"/>
      <c r="G674" s="290"/>
      <c r="H674" s="290"/>
      <c r="I674" s="290"/>
      <c r="J674" s="290"/>
      <c r="K674" s="290"/>
      <c r="L674" s="290"/>
      <c r="M674" s="290"/>
      <c r="N674" s="290"/>
      <c r="O674" s="290"/>
      <c r="P674" s="290"/>
      <c r="Q674" s="865" t="s">
        <v>710</v>
      </c>
      <c r="R674" s="866">
        <v>38</v>
      </c>
      <c r="S674" s="866">
        <v>37</v>
      </c>
      <c r="T674" s="866">
        <v>40</v>
      </c>
      <c r="U674" s="290"/>
      <c r="V674" s="685" t="b">
        <f t="shared" si="82"/>
        <v>0</v>
      </c>
      <c r="W674" s="685"/>
      <c r="X674" s="686">
        <f t="shared" si="80"/>
        <v>38.5</v>
      </c>
      <c r="Y674" s="290">
        <f t="shared" si="83"/>
        <v>3</v>
      </c>
      <c r="Z674" s="290"/>
      <c r="AA674" s="290"/>
      <c r="AB674" s="290"/>
      <c r="AC674" s="290"/>
      <c r="AD674" s="290"/>
      <c r="AE674" s="290"/>
      <c r="AF674" s="290"/>
      <c r="AG674" s="290"/>
      <c r="AH674" s="290"/>
      <c r="AI674" s="353">
        <v>2.89</v>
      </c>
      <c r="AJ674" s="39"/>
      <c r="AK674" s="39"/>
      <c r="AL674" s="39"/>
      <c r="AM674" s="289" t="s">
        <v>92</v>
      </c>
      <c r="AN674" s="289" t="s">
        <v>92</v>
      </c>
      <c r="AO674" s="289" t="s">
        <v>92</v>
      </c>
      <c r="AP674" s="289" t="s">
        <v>92</v>
      </c>
      <c r="AQ674" s="289" t="s">
        <v>92</v>
      </c>
      <c r="AR674" s="289" t="s">
        <v>92</v>
      </c>
      <c r="AS674" s="289" t="s">
        <v>92</v>
      </c>
      <c r="AT674" s="289" t="s">
        <v>92</v>
      </c>
      <c r="AU674" s="289" t="s">
        <v>92</v>
      </c>
      <c r="AV674" s="289" t="s">
        <v>92</v>
      </c>
      <c r="AW674" s="289" t="s">
        <v>92</v>
      </c>
      <c r="AX674" s="1885" t="s">
        <v>92</v>
      </c>
      <c r="AY674" s="289"/>
      <c r="AZ674" s="86"/>
      <c r="BA674" s="86"/>
      <c r="BB674" s="86"/>
      <c r="BC674" s="86"/>
      <c r="BD674" s="86"/>
      <c r="BE674" s="86"/>
    </row>
    <row r="675" spans="1:57" ht="15" customHeight="1" x14ac:dyDescent="0.4">
      <c r="A675" s="86"/>
      <c r="B675" s="1200"/>
      <c r="C675" s="290"/>
      <c r="D675" s="290"/>
      <c r="E675" s="290"/>
      <c r="F675" s="290"/>
      <c r="G675" s="290"/>
      <c r="H675" s="290"/>
      <c r="I675" s="290"/>
      <c r="J675" s="290"/>
      <c r="K675" s="290"/>
      <c r="L675" s="290"/>
      <c r="M675" s="290"/>
      <c r="N675" s="290"/>
      <c r="O675" s="290"/>
      <c r="P675" s="290"/>
      <c r="Q675" s="865" t="s">
        <v>711</v>
      </c>
      <c r="R675" s="866">
        <v>38</v>
      </c>
      <c r="S675" s="866">
        <v>40</v>
      </c>
      <c r="T675" s="866">
        <v>43</v>
      </c>
      <c r="U675" s="290"/>
      <c r="V675" s="685" t="b">
        <f t="shared" si="82"/>
        <v>0</v>
      </c>
      <c r="W675" s="685"/>
      <c r="X675" s="686">
        <f t="shared" si="80"/>
        <v>41.5</v>
      </c>
      <c r="Y675" s="290">
        <f t="shared" si="83"/>
        <v>2.5</v>
      </c>
      <c r="Z675" s="290"/>
      <c r="AA675" s="290"/>
      <c r="AB675" s="290"/>
      <c r="AC675" s="290"/>
      <c r="AD675" s="290"/>
      <c r="AE675" s="290"/>
      <c r="AF675" s="290"/>
      <c r="AG675" s="290"/>
      <c r="AH675" s="290"/>
      <c r="AI675" s="353">
        <v>3.0956000000000001</v>
      </c>
      <c r="AJ675" s="39"/>
      <c r="AK675" s="39"/>
      <c r="AL675" s="39"/>
      <c r="AM675" s="289" t="s">
        <v>92</v>
      </c>
      <c r="AN675" s="289" t="s">
        <v>92</v>
      </c>
      <c r="AO675" s="289" t="s">
        <v>92</v>
      </c>
      <c r="AP675" s="289" t="s">
        <v>92</v>
      </c>
      <c r="AQ675" s="289" t="s">
        <v>92</v>
      </c>
      <c r="AR675" s="289" t="s">
        <v>92</v>
      </c>
      <c r="AS675" s="289" t="s">
        <v>92</v>
      </c>
      <c r="AT675" s="289" t="s">
        <v>92</v>
      </c>
      <c r="AU675" s="289" t="s">
        <v>92</v>
      </c>
      <c r="AV675" s="289" t="s">
        <v>92</v>
      </c>
      <c r="AW675" s="289" t="s">
        <v>92</v>
      </c>
      <c r="AX675" s="1885" t="s">
        <v>92</v>
      </c>
      <c r="AY675" s="289"/>
      <c r="AZ675" s="86"/>
      <c r="BA675" s="86"/>
      <c r="BB675" s="86"/>
      <c r="BC675" s="86"/>
      <c r="BD675" s="86"/>
      <c r="BE675" s="86"/>
    </row>
    <row r="676" spans="1:57" ht="15" customHeight="1" x14ac:dyDescent="0.4">
      <c r="A676" s="86"/>
      <c r="B676" s="1200"/>
      <c r="C676" s="290"/>
      <c r="D676" s="290"/>
      <c r="E676" s="290"/>
      <c r="F676" s="290"/>
      <c r="G676" s="290"/>
      <c r="H676" s="290"/>
      <c r="I676" s="290"/>
      <c r="J676" s="290"/>
      <c r="K676" s="290"/>
      <c r="L676" s="290"/>
      <c r="M676" s="290"/>
      <c r="N676" s="290"/>
      <c r="O676" s="290"/>
      <c r="P676" s="290"/>
      <c r="Q676" s="865" t="s">
        <v>712</v>
      </c>
      <c r="R676" s="866">
        <v>38</v>
      </c>
      <c r="S676" s="866">
        <v>43</v>
      </c>
      <c r="T676" s="866">
        <v>45</v>
      </c>
      <c r="U676" s="290"/>
      <c r="V676" s="685" t="b">
        <f t="shared" si="82"/>
        <v>0</v>
      </c>
      <c r="W676" s="685"/>
      <c r="X676" s="686">
        <f t="shared" si="80"/>
        <v>44</v>
      </c>
      <c r="Y676" s="290" t="str">
        <f t="shared" si="83"/>
        <v/>
      </c>
      <c r="Z676" s="290"/>
      <c r="AA676" s="290"/>
      <c r="AB676" s="290"/>
      <c r="AC676" s="290"/>
      <c r="AD676" s="290"/>
      <c r="AE676" s="290"/>
      <c r="AF676" s="290"/>
      <c r="AG676" s="290"/>
      <c r="AH676" s="290"/>
      <c r="AI676" s="353">
        <v>3.31</v>
      </c>
      <c r="AJ676" s="39"/>
      <c r="AK676" s="39"/>
      <c r="AL676" s="39"/>
      <c r="AM676" s="289" t="s">
        <v>92</v>
      </c>
      <c r="AN676" s="289" t="s">
        <v>92</v>
      </c>
      <c r="AO676" s="289" t="s">
        <v>92</v>
      </c>
      <c r="AP676" s="289" t="s">
        <v>92</v>
      </c>
      <c r="AQ676" s="289" t="s">
        <v>92</v>
      </c>
      <c r="AR676" s="289" t="s">
        <v>92</v>
      </c>
      <c r="AS676" s="289" t="s">
        <v>92</v>
      </c>
      <c r="AT676" s="289" t="s">
        <v>92</v>
      </c>
      <c r="AU676" s="289" t="s">
        <v>92</v>
      </c>
      <c r="AV676" s="289" t="s">
        <v>92</v>
      </c>
      <c r="AW676" s="289" t="s">
        <v>92</v>
      </c>
      <c r="AX676" s="1885" t="s">
        <v>92</v>
      </c>
      <c r="AY676" s="289"/>
      <c r="AZ676" s="86"/>
      <c r="BA676" s="86"/>
      <c r="BB676" s="86"/>
      <c r="BC676" s="86"/>
      <c r="BD676" s="86"/>
      <c r="BE676" s="86"/>
    </row>
    <row r="677" spans="1:57" ht="15" customHeight="1" x14ac:dyDescent="0.4">
      <c r="A677" s="86"/>
      <c r="B677" s="1200"/>
      <c r="C677" s="290"/>
      <c r="D677" s="290"/>
      <c r="E677" s="290"/>
      <c r="F677" s="290"/>
      <c r="G677" s="290"/>
      <c r="H677" s="290"/>
      <c r="I677" s="290"/>
      <c r="J677" s="290"/>
      <c r="K677" s="290"/>
      <c r="L677" s="290"/>
      <c r="M677" s="290"/>
      <c r="N677" s="290"/>
      <c r="O677" s="290"/>
      <c r="P677" s="290"/>
      <c r="Q677" s="865" t="s">
        <v>713</v>
      </c>
      <c r="R677" s="866">
        <v>40</v>
      </c>
      <c r="S677" s="866">
        <v>0</v>
      </c>
      <c r="T677" s="866">
        <v>16</v>
      </c>
      <c r="U677" s="290"/>
      <c r="V677" s="685" t="b">
        <f t="shared" si="82"/>
        <v>0</v>
      </c>
      <c r="W677" s="685"/>
      <c r="X677" s="686">
        <f t="shared" si="80"/>
        <v>8</v>
      </c>
      <c r="Y677" s="290">
        <f t="shared" si="83"/>
        <v>11</v>
      </c>
      <c r="Z677" s="290"/>
      <c r="AA677" s="290"/>
      <c r="AB677" s="290"/>
      <c r="AC677" s="290"/>
      <c r="AD677" s="290"/>
      <c r="AE677" s="290"/>
      <c r="AF677" s="290"/>
      <c r="AG677" s="290"/>
      <c r="AH677" s="290"/>
      <c r="AI677" s="353">
        <v>1.29</v>
      </c>
      <c r="AJ677" s="39"/>
      <c r="AK677" s="39"/>
      <c r="AL677" s="39"/>
      <c r="AM677" s="289" t="s">
        <v>92</v>
      </c>
      <c r="AN677" s="289" t="s">
        <v>92</v>
      </c>
      <c r="AO677" s="289" t="s">
        <v>92</v>
      </c>
      <c r="AP677" s="289" t="s">
        <v>92</v>
      </c>
      <c r="AQ677" s="289" t="s">
        <v>92</v>
      </c>
      <c r="AR677" s="289" t="s">
        <v>92</v>
      </c>
      <c r="AS677" s="289" t="s">
        <v>92</v>
      </c>
      <c r="AT677" s="289" t="s">
        <v>92</v>
      </c>
      <c r="AU677" s="289" t="s">
        <v>92</v>
      </c>
      <c r="AV677" s="289" t="s">
        <v>92</v>
      </c>
      <c r="AW677" s="289" t="s">
        <v>92</v>
      </c>
      <c r="AX677" s="1885" t="s">
        <v>92</v>
      </c>
      <c r="AY677" s="289"/>
      <c r="AZ677" s="86"/>
      <c r="BA677" s="86"/>
      <c r="BB677" s="86"/>
      <c r="BC677" s="86"/>
      <c r="BD677" s="86"/>
      <c r="BE677" s="86"/>
    </row>
    <row r="678" spans="1:57" ht="15" customHeight="1" x14ac:dyDescent="0.4">
      <c r="A678" s="86"/>
      <c r="B678" s="1200"/>
      <c r="C678" s="290"/>
      <c r="D678" s="290"/>
      <c r="E678" s="290"/>
      <c r="F678" s="290"/>
      <c r="G678" s="290"/>
      <c r="H678" s="290"/>
      <c r="I678" s="290"/>
      <c r="J678" s="290"/>
      <c r="K678" s="290"/>
      <c r="L678" s="290"/>
      <c r="M678" s="290"/>
      <c r="N678" s="290"/>
      <c r="O678" s="290"/>
      <c r="P678" s="290"/>
      <c r="Q678" s="865" t="s">
        <v>714</v>
      </c>
      <c r="R678" s="866">
        <v>40</v>
      </c>
      <c r="S678" s="866">
        <v>16</v>
      </c>
      <c r="T678" s="866">
        <v>22</v>
      </c>
      <c r="U678" s="290"/>
      <c r="V678" s="685" t="b">
        <f t="shared" si="82"/>
        <v>0</v>
      </c>
      <c r="W678" s="685"/>
      <c r="X678" s="686">
        <f t="shared" si="80"/>
        <v>19</v>
      </c>
      <c r="Y678" s="290">
        <f t="shared" si="83"/>
        <v>5.5</v>
      </c>
      <c r="Z678" s="290"/>
      <c r="AA678" s="290"/>
      <c r="AB678" s="290"/>
      <c r="AC678" s="290"/>
      <c r="AD678" s="290"/>
      <c r="AE678" s="290"/>
      <c r="AF678" s="290"/>
      <c r="AG678" s="290"/>
      <c r="AH678" s="290"/>
      <c r="AI678" s="353">
        <v>1.32</v>
      </c>
      <c r="AJ678" s="39"/>
      <c r="AK678" s="39"/>
      <c r="AL678" s="39"/>
      <c r="AM678" s="289" t="s">
        <v>92</v>
      </c>
      <c r="AN678" s="289" t="s">
        <v>92</v>
      </c>
      <c r="AO678" s="289" t="s">
        <v>92</v>
      </c>
      <c r="AP678" s="289" t="s">
        <v>92</v>
      </c>
      <c r="AQ678" s="289" t="s">
        <v>92</v>
      </c>
      <c r="AR678" s="289" t="s">
        <v>92</v>
      </c>
      <c r="AS678" s="289" t="s">
        <v>92</v>
      </c>
      <c r="AT678" s="289" t="s">
        <v>92</v>
      </c>
      <c r="AU678" s="289" t="s">
        <v>92</v>
      </c>
      <c r="AV678" s="289" t="s">
        <v>92</v>
      </c>
      <c r="AW678" s="289" t="s">
        <v>92</v>
      </c>
      <c r="AX678" s="1885" t="s">
        <v>92</v>
      </c>
      <c r="AY678" s="289"/>
      <c r="AZ678" s="86"/>
      <c r="BA678" s="86"/>
      <c r="BB678" s="86"/>
      <c r="BC678" s="86"/>
      <c r="BD678" s="86"/>
      <c r="BE678" s="86"/>
    </row>
    <row r="679" spans="1:57" ht="15" customHeight="1" x14ac:dyDescent="0.4">
      <c r="A679" s="86"/>
      <c r="B679" s="1200"/>
      <c r="C679" s="290"/>
      <c r="D679" s="290"/>
      <c r="E679" s="290"/>
      <c r="F679" s="290"/>
      <c r="G679" s="290"/>
      <c r="H679" s="290"/>
      <c r="I679" s="290"/>
      <c r="J679" s="290"/>
      <c r="K679" s="290"/>
      <c r="L679" s="290"/>
      <c r="M679" s="290"/>
      <c r="N679" s="290"/>
      <c r="O679" s="290"/>
      <c r="P679" s="290"/>
      <c r="Q679" s="865" t="s">
        <v>715</v>
      </c>
      <c r="R679" s="866">
        <v>40</v>
      </c>
      <c r="S679" s="866">
        <v>22</v>
      </c>
      <c r="T679" s="866">
        <v>27</v>
      </c>
      <c r="U679" s="290"/>
      <c r="V679" s="685" t="b">
        <f t="shared" si="82"/>
        <v>0</v>
      </c>
      <c r="W679" s="685"/>
      <c r="X679" s="686">
        <f t="shared" si="80"/>
        <v>24.5</v>
      </c>
      <c r="Y679" s="290">
        <f t="shared" si="83"/>
        <v>5</v>
      </c>
      <c r="Z679" s="290"/>
      <c r="AA679" s="290"/>
      <c r="AB679" s="290"/>
      <c r="AC679" s="290"/>
      <c r="AD679" s="290"/>
      <c r="AE679" s="290"/>
      <c r="AF679" s="290"/>
      <c r="AG679" s="290"/>
      <c r="AH679" s="290"/>
      <c r="AI679" s="353">
        <v>1.4835</v>
      </c>
      <c r="AJ679" s="39"/>
      <c r="AK679" s="39"/>
      <c r="AL679" s="39"/>
      <c r="AM679" s="289" t="s">
        <v>92</v>
      </c>
      <c r="AN679" s="289" t="s">
        <v>92</v>
      </c>
      <c r="AO679" s="289" t="s">
        <v>92</v>
      </c>
      <c r="AP679" s="289" t="s">
        <v>92</v>
      </c>
      <c r="AQ679" s="289" t="s">
        <v>92</v>
      </c>
      <c r="AR679" s="289" t="s">
        <v>92</v>
      </c>
      <c r="AS679" s="289" t="s">
        <v>92</v>
      </c>
      <c r="AT679" s="289" t="s">
        <v>92</v>
      </c>
      <c r="AU679" s="289" t="s">
        <v>92</v>
      </c>
      <c r="AV679" s="289" t="s">
        <v>92</v>
      </c>
      <c r="AW679" s="289" t="s">
        <v>92</v>
      </c>
      <c r="AX679" s="1885" t="s">
        <v>92</v>
      </c>
      <c r="AY679" s="289"/>
      <c r="AZ679" s="86"/>
      <c r="BA679" s="86"/>
      <c r="BB679" s="86"/>
      <c r="BC679" s="86"/>
      <c r="BD679" s="86"/>
      <c r="BE679" s="86"/>
    </row>
    <row r="680" spans="1:57" ht="15" customHeight="1" x14ac:dyDescent="0.4">
      <c r="A680" s="86"/>
      <c r="B680" s="1200"/>
      <c r="C680" s="290"/>
      <c r="D680" s="290"/>
      <c r="E680" s="290"/>
      <c r="F680" s="290"/>
      <c r="G680" s="290"/>
      <c r="H680" s="290"/>
      <c r="I680" s="290"/>
      <c r="J680" s="290"/>
      <c r="K680" s="290"/>
      <c r="L680" s="290"/>
      <c r="M680" s="290"/>
      <c r="N680" s="290"/>
      <c r="O680" s="290"/>
      <c r="P680" s="290"/>
      <c r="Q680" s="865" t="s">
        <v>716</v>
      </c>
      <c r="R680" s="866">
        <v>40</v>
      </c>
      <c r="S680" s="866">
        <v>27</v>
      </c>
      <c r="T680" s="866">
        <v>32</v>
      </c>
      <c r="U680" s="290"/>
      <c r="V680" s="685" t="b">
        <f t="shared" si="82"/>
        <v>0</v>
      </c>
      <c r="W680" s="685"/>
      <c r="X680" s="686">
        <f t="shared" ref="X680:X703" si="84">AVERAGE(S680:T680)</f>
        <v>29.5</v>
      </c>
      <c r="Y680" s="290">
        <f t="shared" si="83"/>
        <v>3.5</v>
      </c>
      <c r="Z680" s="290"/>
      <c r="AA680" s="290"/>
      <c r="AB680" s="290"/>
      <c r="AC680" s="290"/>
      <c r="AD680" s="290"/>
      <c r="AE680" s="290"/>
      <c r="AF680" s="290"/>
      <c r="AG680" s="290"/>
      <c r="AH680" s="290"/>
      <c r="AI680" s="353">
        <v>2.09</v>
      </c>
      <c r="AJ680" s="39"/>
      <c r="AK680" s="39"/>
      <c r="AL680" s="39"/>
      <c r="AM680" s="289" t="s">
        <v>92</v>
      </c>
      <c r="AN680" s="289" t="s">
        <v>92</v>
      </c>
      <c r="AO680" s="289" t="s">
        <v>92</v>
      </c>
      <c r="AP680" s="289" t="s">
        <v>92</v>
      </c>
      <c r="AQ680" s="289" t="s">
        <v>92</v>
      </c>
      <c r="AR680" s="289" t="s">
        <v>92</v>
      </c>
      <c r="AS680" s="289" t="s">
        <v>92</v>
      </c>
      <c r="AT680" s="289" t="s">
        <v>92</v>
      </c>
      <c r="AU680" s="289" t="s">
        <v>92</v>
      </c>
      <c r="AV680" s="289" t="s">
        <v>92</v>
      </c>
      <c r="AW680" s="289" t="s">
        <v>92</v>
      </c>
      <c r="AX680" s="1885" t="s">
        <v>92</v>
      </c>
      <c r="AY680" s="289"/>
      <c r="AZ680" s="86"/>
      <c r="BA680" s="86"/>
      <c r="BB680" s="86"/>
      <c r="BC680" s="86"/>
      <c r="BD680" s="86"/>
      <c r="BE680" s="86"/>
    </row>
    <row r="681" spans="1:57" ht="15" customHeight="1" x14ac:dyDescent="0.4">
      <c r="A681" s="86"/>
      <c r="B681" s="1200"/>
      <c r="C681" s="290"/>
      <c r="D681" s="290"/>
      <c r="E681" s="290"/>
      <c r="F681" s="290"/>
      <c r="G681" s="290"/>
      <c r="H681" s="290"/>
      <c r="I681" s="290"/>
      <c r="J681" s="290"/>
      <c r="K681" s="290"/>
      <c r="L681" s="290"/>
      <c r="M681" s="290"/>
      <c r="N681" s="290"/>
      <c r="O681" s="290"/>
      <c r="P681" s="290"/>
      <c r="Q681" s="865" t="s">
        <v>717</v>
      </c>
      <c r="R681" s="866">
        <v>40</v>
      </c>
      <c r="S681" s="866">
        <v>32</v>
      </c>
      <c r="T681" s="866">
        <v>34</v>
      </c>
      <c r="U681" s="290"/>
      <c r="V681" s="685" t="b">
        <f t="shared" si="82"/>
        <v>0</v>
      </c>
      <c r="W681" s="685"/>
      <c r="X681" s="686">
        <f t="shared" si="84"/>
        <v>33</v>
      </c>
      <c r="Y681" s="290">
        <f t="shared" si="83"/>
        <v>2.5</v>
      </c>
      <c r="Z681" s="290"/>
      <c r="AA681" s="290"/>
      <c r="AB681" s="290"/>
      <c r="AC681" s="290"/>
      <c r="AD681" s="290"/>
      <c r="AE681" s="290"/>
      <c r="AF681" s="290"/>
      <c r="AG681" s="290"/>
      <c r="AH681" s="290"/>
      <c r="AI681" s="353">
        <v>1.88</v>
      </c>
      <c r="AJ681" s="39"/>
      <c r="AK681" s="39"/>
      <c r="AL681" s="39"/>
      <c r="AM681" s="289" t="s">
        <v>92</v>
      </c>
      <c r="AN681" s="289" t="s">
        <v>92</v>
      </c>
      <c r="AO681" s="289" t="s">
        <v>92</v>
      </c>
      <c r="AP681" s="289" t="s">
        <v>92</v>
      </c>
      <c r="AQ681" s="289" t="s">
        <v>92</v>
      </c>
      <c r="AR681" s="289" t="s">
        <v>92</v>
      </c>
      <c r="AS681" s="289" t="s">
        <v>92</v>
      </c>
      <c r="AT681" s="289" t="s">
        <v>92</v>
      </c>
      <c r="AU681" s="289" t="s">
        <v>92</v>
      </c>
      <c r="AV681" s="289" t="s">
        <v>92</v>
      </c>
      <c r="AW681" s="289" t="s">
        <v>92</v>
      </c>
      <c r="AX681" s="1885" t="s">
        <v>92</v>
      </c>
      <c r="AY681" s="289"/>
      <c r="AZ681" s="86"/>
      <c r="BA681" s="86"/>
      <c r="BB681" s="86"/>
      <c r="BC681" s="86"/>
      <c r="BD681" s="86"/>
      <c r="BE681" s="86"/>
    </row>
    <row r="682" spans="1:57" ht="15" customHeight="1" x14ac:dyDescent="0.4">
      <c r="A682" s="86"/>
      <c r="B682" s="1200"/>
      <c r="C682" s="290"/>
      <c r="D682" s="290"/>
      <c r="E682" s="290"/>
      <c r="F682" s="290"/>
      <c r="G682" s="290"/>
      <c r="H682" s="290"/>
      <c r="I682" s="290"/>
      <c r="J682" s="290"/>
      <c r="K682" s="290"/>
      <c r="L682" s="290"/>
      <c r="M682" s="290"/>
      <c r="N682" s="290"/>
      <c r="O682" s="290"/>
      <c r="P682" s="290"/>
      <c r="Q682" s="865" t="s">
        <v>718</v>
      </c>
      <c r="R682" s="866">
        <v>40</v>
      </c>
      <c r="S682" s="866">
        <v>34</v>
      </c>
      <c r="T682" s="866">
        <v>37</v>
      </c>
      <c r="U682" s="290"/>
      <c r="V682" s="685" t="b">
        <f t="shared" si="82"/>
        <v>0</v>
      </c>
      <c r="W682" s="685"/>
      <c r="X682" s="686">
        <f t="shared" si="84"/>
        <v>35.5</v>
      </c>
      <c r="Y682" s="290">
        <f t="shared" si="83"/>
        <v>3</v>
      </c>
      <c r="Z682" s="290"/>
      <c r="AA682" s="290"/>
      <c r="AB682" s="290"/>
      <c r="AC682" s="290"/>
      <c r="AD682" s="290"/>
      <c r="AE682" s="290"/>
      <c r="AF682" s="290"/>
      <c r="AG682" s="290"/>
      <c r="AH682" s="290"/>
      <c r="AI682" s="353">
        <v>2.54</v>
      </c>
      <c r="AJ682" s="39"/>
      <c r="AK682" s="39"/>
      <c r="AL682" s="39"/>
      <c r="AM682" s="289" t="s">
        <v>92</v>
      </c>
      <c r="AN682" s="289" t="s">
        <v>92</v>
      </c>
      <c r="AO682" s="289" t="s">
        <v>92</v>
      </c>
      <c r="AP682" s="289" t="s">
        <v>92</v>
      </c>
      <c r="AQ682" s="289" t="s">
        <v>92</v>
      </c>
      <c r="AR682" s="289" t="s">
        <v>92</v>
      </c>
      <c r="AS682" s="289" t="s">
        <v>92</v>
      </c>
      <c r="AT682" s="289" t="s">
        <v>92</v>
      </c>
      <c r="AU682" s="289" t="s">
        <v>92</v>
      </c>
      <c r="AV682" s="289" t="s">
        <v>92</v>
      </c>
      <c r="AW682" s="289" t="s">
        <v>92</v>
      </c>
      <c r="AX682" s="1885" t="s">
        <v>92</v>
      </c>
      <c r="AY682" s="289"/>
      <c r="AZ682" s="86"/>
      <c r="BA682" s="86"/>
      <c r="BB682" s="86"/>
      <c r="BC682" s="86"/>
      <c r="BD682" s="86"/>
      <c r="BE682" s="86"/>
    </row>
    <row r="683" spans="1:57" ht="15" customHeight="1" x14ac:dyDescent="0.4">
      <c r="A683" s="86"/>
      <c r="B683" s="1200"/>
      <c r="C683" s="290"/>
      <c r="D683" s="290"/>
      <c r="E683" s="290"/>
      <c r="F683" s="290"/>
      <c r="G683" s="290"/>
      <c r="H683" s="290"/>
      <c r="I683" s="290"/>
      <c r="J683" s="290"/>
      <c r="K683" s="290"/>
      <c r="L683" s="290"/>
      <c r="M683" s="290"/>
      <c r="N683" s="290"/>
      <c r="O683" s="290"/>
      <c r="P683" s="290"/>
      <c r="Q683" s="865" t="s">
        <v>719</v>
      </c>
      <c r="R683" s="866">
        <v>40</v>
      </c>
      <c r="S683" s="866">
        <v>37</v>
      </c>
      <c r="T683" s="866">
        <v>40</v>
      </c>
      <c r="U683" s="290"/>
      <c r="V683" s="685" t="b">
        <f t="shared" si="82"/>
        <v>0</v>
      </c>
      <c r="W683" s="685"/>
      <c r="X683" s="686">
        <f t="shared" si="84"/>
        <v>38.5</v>
      </c>
      <c r="Y683" s="290">
        <f t="shared" si="83"/>
        <v>3</v>
      </c>
      <c r="Z683" s="290"/>
      <c r="AA683" s="290"/>
      <c r="AB683" s="290"/>
      <c r="AC683" s="290"/>
      <c r="AD683" s="290"/>
      <c r="AE683" s="290"/>
      <c r="AF683" s="290"/>
      <c r="AG683" s="290"/>
      <c r="AH683" s="290"/>
      <c r="AI683" s="353">
        <v>2.99</v>
      </c>
      <c r="AJ683" s="39"/>
      <c r="AK683" s="39"/>
      <c r="AL683" s="39"/>
      <c r="AM683" s="289" t="s">
        <v>92</v>
      </c>
      <c r="AN683" s="289" t="s">
        <v>92</v>
      </c>
      <c r="AO683" s="289" t="s">
        <v>92</v>
      </c>
      <c r="AP683" s="289" t="s">
        <v>92</v>
      </c>
      <c r="AQ683" s="289" t="s">
        <v>92</v>
      </c>
      <c r="AR683" s="289" t="s">
        <v>92</v>
      </c>
      <c r="AS683" s="289" t="s">
        <v>92</v>
      </c>
      <c r="AT683" s="289" t="s">
        <v>92</v>
      </c>
      <c r="AU683" s="289" t="s">
        <v>92</v>
      </c>
      <c r="AV683" s="289" t="s">
        <v>92</v>
      </c>
      <c r="AW683" s="289" t="s">
        <v>92</v>
      </c>
      <c r="AX683" s="1885" t="s">
        <v>92</v>
      </c>
      <c r="AY683" s="289"/>
      <c r="AZ683" s="86"/>
      <c r="BA683" s="86"/>
      <c r="BB683" s="86"/>
      <c r="BC683" s="86"/>
      <c r="BD683" s="86"/>
      <c r="BE683" s="86"/>
    </row>
    <row r="684" spans="1:57" ht="15" customHeight="1" x14ac:dyDescent="0.4">
      <c r="A684" s="86"/>
      <c r="B684" s="1200"/>
      <c r="C684" s="290"/>
      <c r="D684" s="290"/>
      <c r="E684" s="290"/>
      <c r="F684" s="290"/>
      <c r="G684" s="290"/>
      <c r="H684" s="290"/>
      <c r="I684" s="290"/>
      <c r="J684" s="290"/>
      <c r="K684" s="290"/>
      <c r="L684" s="290"/>
      <c r="M684" s="290"/>
      <c r="N684" s="290"/>
      <c r="O684" s="290"/>
      <c r="P684" s="290"/>
      <c r="Q684" s="865" t="s">
        <v>720</v>
      </c>
      <c r="R684" s="866">
        <v>40</v>
      </c>
      <c r="S684" s="866">
        <v>40</v>
      </c>
      <c r="T684" s="866">
        <v>43</v>
      </c>
      <c r="U684" s="290"/>
      <c r="V684" s="685" t="b">
        <f t="shared" si="82"/>
        <v>0</v>
      </c>
      <c r="W684" s="685"/>
      <c r="X684" s="686">
        <f t="shared" si="84"/>
        <v>41.5</v>
      </c>
      <c r="Y684" s="290">
        <f t="shared" si="83"/>
        <v>2.5</v>
      </c>
      <c r="Z684" s="290"/>
      <c r="AA684" s="290"/>
      <c r="AB684" s="290"/>
      <c r="AC684" s="290"/>
      <c r="AD684" s="290"/>
      <c r="AE684" s="290"/>
      <c r="AF684" s="290"/>
      <c r="AG684" s="290"/>
      <c r="AH684" s="290"/>
      <c r="AI684" s="353">
        <v>3.68</v>
      </c>
      <c r="AJ684" s="39"/>
      <c r="AK684" s="39"/>
      <c r="AL684" s="39"/>
      <c r="AM684" s="289" t="s">
        <v>92</v>
      </c>
      <c r="AN684" s="289" t="s">
        <v>92</v>
      </c>
      <c r="AO684" s="289" t="s">
        <v>92</v>
      </c>
      <c r="AP684" s="289" t="s">
        <v>92</v>
      </c>
      <c r="AQ684" s="289" t="s">
        <v>92</v>
      </c>
      <c r="AR684" s="289" t="s">
        <v>92</v>
      </c>
      <c r="AS684" s="289" t="s">
        <v>92</v>
      </c>
      <c r="AT684" s="289" t="s">
        <v>92</v>
      </c>
      <c r="AU684" s="289" t="s">
        <v>92</v>
      </c>
      <c r="AV684" s="289" t="s">
        <v>92</v>
      </c>
      <c r="AW684" s="289" t="s">
        <v>92</v>
      </c>
      <c r="AX684" s="1885" t="s">
        <v>92</v>
      </c>
      <c r="AY684" s="289"/>
      <c r="AZ684" s="86"/>
      <c r="BA684" s="86"/>
      <c r="BB684" s="86"/>
      <c r="BC684" s="86"/>
      <c r="BD684" s="86"/>
      <c r="BE684" s="86"/>
    </row>
    <row r="685" spans="1:57" ht="15" customHeight="1" x14ac:dyDescent="0.4">
      <c r="A685" s="86"/>
      <c r="B685" s="1200"/>
      <c r="C685" s="290"/>
      <c r="D685" s="290"/>
      <c r="E685" s="290"/>
      <c r="F685" s="290"/>
      <c r="G685" s="290"/>
      <c r="H685" s="290"/>
      <c r="I685" s="290"/>
      <c r="J685" s="290"/>
      <c r="K685" s="290"/>
      <c r="L685" s="290"/>
      <c r="M685" s="290"/>
      <c r="N685" s="290"/>
      <c r="O685" s="290"/>
      <c r="P685" s="290"/>
      <c r="Q685" s="865" t="s">
        <v>721</v>
      </c>
      <c r="R685" s="866">
        <v>40</v>
      </c>
      <c r="S685" s="866">
        <v>43</v>
      </c>
      <c r="T685" s="866">
        <v>45</v>
      </c>
      <c r="U685" s="290"/>
      <c r="V685" s="685" t="b">
        <f t="shared" si="82"/>
        <v>0</v>
      </c>
      <c r="W685" s="685"/>
      <c r="X685" s="686">
        <f t="shared" si="84"/>
        <v>44</v>
      </c>
      <c r="Y685" s="290" t="str">
        <f t="shared" si="83"/>
        <v/>
      </c>
      <c r="Z685" s="290"/>
      <c r="AA685" s="290"/>
      <c r="AB685" s="290"/>
      <c r="AC685" s="290"/>
      <c r="AD685" s="290"/>
      <c r="AE685" s="290"/>
      <c r="AF685" s="290"/>
      <c r="AG685" s="290"/>
      <c r="AH685" s="290"/>
      <c r="AI685" s="353">
        <v>3.37</v>
      </c>
      <c r="AJ685" s="39"/>
      <c r="AK685" s="39"/>
      <c r="AL685" s="39"/>
      <c r="AM685" s="289" t="s">
        <v>92</v>
      </c>
      <c r="AN685" s="289" t="s">
        <v>92</v>
      </c>
      <c r="AO685" s="289" t="s">
        <v>92</v>
      </c>
      <c r="AP685" s="289" t="s">
        <v>92</v>
      </c>
      <c r="AQ685" s="289" t="s">
        <v>92</v>
      </c>
      <c r="AR685" s="289" t="s">
        <v>92</v>
      </c>
      <c r="AS685" s="289" t="s">
        <v>92</v>
      </c>
      <c r="AT685" s="289" t="s">
        <v>92</v>
      </c>
      <c r="AU685" s="289" t="s">
        <v>92</v>
      </c>
      <c r="AV685" s="289" t="s">
        <v>92</v>
      </c>
      <c r="AW685" s="289" t="s">
        <v>92</v>
      </c>
      <c r="AX685" s="1885" t="s">
        <v>92</v>
      </c>
      <c r="AY685" s="289"/>
      <c r="AZ685" s="86"/>
      <c r="BA685" s="86"/>
      <c r="BB685" s="86"/>
      <c r="BC685" s="86"/>
      <c r="BD685" s="86"/>
      <c r="BE685" s="86"/>
    </row>
    <row r="686" spans="1:57" ht="15" customHeight="1" x14ac:dyDescent="0.4">
      <c r="A686" s="86"/>
      <c r="B686" s="1200"/>
      <c r="C686" s="290"/>
      <c r="D686" s="290"/>
      <c r="E686" s="290"/>
      <c r="F686" s="290"/>
      <c r="G686" s="290"/>
      <c r="H686" s="290"/>
      <c r="I686" s="290"/>
      <c r="J686" s="290"/>
      <c r="K686" s="290"/>
      <c r="L686" s="290"/>
      <c r="M686" s="290"/>
      <c r="N686" s="290"/>
      <c r="O686" s="290"/>
      <c r="P686" s="290"/>
      <c r="Q686" s="865" t="s">
        <v>722</v>
      </c>
      <c r="R686" s="866">
        <v>42</v>
      </c>
      <c r="S686" s="866">
        <v>0</v>
      </c>
      <c r="T686" s="866">
        <v>16</v>
      </c>
      <c r="U686" s="290"/>
      <c r="V686" s="685" t="b">
        <f t="shared" si="82"/>
        <v>0</v>
      </c>
      <c r="W686" s="685"/>
      <c r="X686" s="686">
        <f t="shared" si="84"/>
        <v>8</v>
      </c>
      <c r="Y686" s="290">
        <f t="shared" si="83"/>
        <v>11</v>
      </c>
      <c r="Z686" s="290"/>
      <c r="AA686" s="290"/>
      <c r="AB686" s="290"/>
      <c r="AC686" s="290"/>
      <c r="AD686" s="290"/>
      <c r="AE686" s="290"/>
      <c r="AF686" s="290"/>
      <c r="AG686" s="290"/>
      <c r="AH686" s="290"/>
      <c r="AI686" s="353">
        <v>1.82</v>
      </c>
      <c r="AJ686" s="39"/>
      <c r="AK686" s="39"/>
      <c r="AL686" s="39"/>
      <c r="AM686" s="289" t="s">
        <v>92</v>
      </c>
      <c r="AN686" s="289" t="s">
        <v>92</v>
      </c>
      <c r="AO686" s="289" t="s">
        <v>92</v>
      </c>
      <c r="AP686" s="289" t="s">
        <v>92</v>
      </c>
      <c r="AQ686" s="289" t="s">
        <v>92</v>
      </c>
      <c r="AR686" s="289" t="s">
        <v>92</v>
      </c>
      <c r="AS686" s="289" t="s">
        <v>92</v>
      </c>
      <c r="AT686" s="289" t="s">
        <v>92</v>
      </c>
      <c r="AU686" s="289" t="s">
        <v>92</v>
      </c>
      <c r="AV686" s="289" t="s">
        <v>92</v>
      </c>
      <c r="AW686" s="289" t="s">
        <v>92</v>
      </c>
      <c r="AX686" s="1885" t="s">
        <v>92</v>
      </c>
      <c r="AY686" s="289"/>
      <c r="AZ686" s="86"/>
      <c r="BA686" s="86"/>
      <c r="BB686" s="86"/>
      <c r="BC686" s="86"/>
      <c r="BD686" s="86"/>
      <c r="BE686" s="86"/>
    </row>
    <row r="687" spans="1:57" ht="15" customHeight="1" x14ac:dyDescent="0.4">
      <c r="A687" s="86"/>
      <c r="B687" s="1200"/>
      <c r="C687" s="290"/>
      <c r="D687" s="290"/>
      <c r="E687" s="290"/>
      <c r="F687" s="290"/>
      <c r="G687" s="290"/>
      <c r="H687" s="290"/>
      <c r="I687" s="290"/>
      <c r="J687" s="290"/>
      <c r="K687" s="290"/>
      <c r="L687" s="290"/>
      <c r="M687" s="290"/>
      <c r="N687" s="290"/>
      <c r="O687" s="290"/>
      <c r="P687" s="290"/>
      <c r="Q687" s="865" t="s">
        <v>723</v>
      </c>
      <c r="R687" s="866">
        <v>42</v>
      </c>
      <c r="S687" s="866">
        <v>16</v>
      </c>
      <c r="T687" s="866">
        <v>22</v>
      </c>
      <c r="U687" s="290"/>
      <c r="V687" s="685" t="b">
        <f t="shared" si="82"/>
        <v>0</v>
      </c>
      <c r="W687" s="685"/>
      <c r="X687" s="686">
        <f t="shared" si="84"/>
        <v>19</v>
      </c>
      <c r="Y687" s="290">
        <f t="shared" si="83"/>
        <v>5.5</v>
      </c>
      <c r="Z687" s="290"/>
      <c r="AA687" s="290"/>
      <c r="AB687" s="290"/>
      <c r="AC687" s="290"/>
      <c r="AD687" s="290"/>
      <c r="AE687" s="290"/>
      <c r="AF687" s="290"/>
      <c r="AG687" s="290"/>
      <c r="AH687" s="290"/>
      <c r="AI687" s="353">
        <v>1.36</v>
      </c>
      <c r="AJ687" s="39"/>
      <c r="AK687" s="39"/>
      <c r="AL687" s="39"/>
      <c r="AM687" s="289" t="s">
        <v>92</v>
      </c>
      <c r="AN687" s="289" t="s">
        <v>92</v>
      </c>
      <c r="AO687" s="289" t="s">
        <v>92</v>
      </c>
      <c r="AP687" s="289" t="s">
        <v>92</v>
      </c>
      <c r="AQ687" s="289" t="s">
        <v>92</v>
      </c>
      <c r="AR687" s="289" t="s">
        <v>92</v>
      </c>
      <c r="AS687" s="289" t="s">
        <v>92</v>
      </c>
      <c r="AT687" s="289" t="s">
        <v>92</v>
      </c>
      <c r="AU687" s="289" t="s">
        <v>92</v>
      </c>
      <c r="AV687" s="289" t="s">
        <v>92</v>
      </c>
      <c r="AW687" s="289" t="s">
        <v>92</v>
      </c>
      <c r="AX687" s="1885" t="s">
        <v>92</v>
      </c>
      <c r="AY687" s="289"/>
      <c r="AZ687" s="86"/>
      <c r="BA687" s="86"/>
      <c r="BB687" s="86"/>
      <c r="BC687" s="86"/>
      <c r="BD687" s="86"/>
      <c r="BE687" s="86"/>
    </row>
    <row r="688" spans="1:57" ht="15" customHeight="1" x14ac:dyDescent="0.4">
      <c r="A688" s="86"/>
      <c r="B688" s="1200"/>
      <c r="C688" s="290"/>
      <c r="D688" s="290"/>
      <c r="E688" s="290"/>
      <c r="F688" s="290"/>
      <c r="G688" s="290"/>
      <c r="H688" s="290"/>
      <c r="I688" s="290"/>
      <c r="J688" s="290"/>
      <c r="K688" s="290"/>
      <c r="L688" s="290"/>
      <c r="M688" s="290"/>
      <c r="N688" s="290"/>
      <c r="O688" s="290"/>
      <c r="P688" s="290"/>
      <c r="Q688" s="865" t="s">
        <v>724</v>
      </c>
      <c r="R688" s="866">
        <v>42</v>
      </c>
      <c r="S688" s="866">
        <v>22</v>
      </c>
      <c r="T688" s="866">
        <v>27</v>
      </c>
      <c r="U688" s="290"/>
      <c r="V688" s="685" t="b">
        <f t="shared" si="82"/>
        <v>0</v>
      </c>
      <c r="W688" s="685"/>
      <c r="X688" s="686">
        <f t="shared" si="84"/>
        <v>24.5</v>
      </c>
      <c r="Y688" s="290">
        <f t="shared" si="83"/>
        <v>5</v>
      </c>
      <c r="Z688" s="290"/>
      <c r="AA688" s="290"/>
      <c r="AB688" s="290"/>
      <c r="AC688" s="290"/>
      <c r="AD688" s="290"/>
      <c r="AE688" s="290"/>
      <c r="AF688" s="290"/>
      <c r="AG688" s="290"/>
      <c r="AH688" s="290"/>
      <c r="AI688" s="353">
        <v>1.53</v>
      </c>
      <c r="AJ688" s="39"/>
      <c r="AK688" s="39"/>
      <c r="AL688" s="39"/>
      <c r="AM688" s="289" t="s">
        <v>92</v>
      </c>
      <c r="AN688" s="289" t="s">
        <v>92</v>
      </c>
      <c r="AO688" s="289" t="s">
        <v>92</v>
      </c>
      <c r="AP688" s="289" t="s">
        <v>92</v>
      </c>
      <c r="AQ688" s="289" t="s">
        <v>92</v>
      </c>
      <c r="AR688" s="289" t="s">
        <v>92</v>
      </c>
      <c r="AS688" s="289" t="s">
        <v>92</v>
      </c>
      <c r="AT688" s="289" t="s">
        <v>92</v>
      </c>
      <c r="AU688" s="289" t="s">
        <v>92</v>
      </c>
      <c r="AV688" s="289" t="s">
        <v>92</v>
      </c>
      <c r="AW688" s="289" t="s">
        <v>92</v>
      </c>
      <c r="AX688" s="1885" t="s">
        <v>92</v>
      </c>
      <c r="AY688" s="289"/>
      <c r="AZ688" s="86"/>
      <c r="BA688" s="86"/>
      <c r="BB688" s="86"/>
      <c r="BC688" s="86"/>
      <c r="BD688" s="86"/>
      <c r="BE688" s="86"/>
    </row>
    <row r="689" spans="1:57" ht="15" customHeight="1" x14ac:dyDescent="0.4">
      <c r="A689" s="86"/>
      <c r="B689" s="1200"/>
      <c r="C689" s="290"/>
      <c r="D689" s="290"/>
      <c r="E689" s="290"/>
      <c r="F689" s="290"/>
      <c r="G689" s="290"/>
      <c r="H689" s="290"/>
      <c r="I689" s="290"/>
      <c r="J689" s="290"/>
      <c r="K689" s="290"/>
      <c r="L689" s="290"/>
      <c r="M689" s="290"/>
      <c r="N689" s="290"/>
      <c r="O689" s="290"/>
      <c r="P689" s="290"/>
      <c r="Q689" s="865" t="s">
        <v>725</v>
      </c>
      <c r="R689" s="866">
        <v>42</v>
      </c>
      <c r="S689" s="866">
        <v>27</v>
      </c>
      <c r="T689" s="866">
        <v>32</v>
      </c>
      <c r="U689" s="290"/>
      <c r="V689" s="685" t="b">
        <f t="shared" si="82"/>
        <v>0</v>
      </c>
      <c r="W689" s="685"/>
      <c r="X689" s="686">
        <f t="shared" si="84"/>
        <v>29.5</v>
      </c>
      <c r="Y689" s="290">
        <f t="shared" si="83"/>
        <v>3.5</v>
      </c>
      <c r="Z689" s="290"/>
      <c r="AA689" s="290"/>
      <c r="AB689" s="290"/>
      <c r="AC689" s="290"/>
      <c r="AD689" s="290"/>
      <c r="AE689" s="290"/>
      <c r="AF689" s="290"/>
      <c r="AG689" s="290"/>
      <c r="AH689" s="290"/>
      <c r="AI689" s="353">
        <v>1.64</v>
      </c>
      <c r="AJ689" s="39"/>
      <c r="AK689" s="39"/>
      <c r="AL689" s="39"/>
      <c r="AM689" s="289" t="s">
        <v>92</v>
      </c>
      <c r="AN689" s="289" t="s">
        <v>92</v>
      </c>
      <c r="AO689" s="289" t="s">
        <v>92</v>
      </c>
      <c r="AP689" s="289" t="s">
        <v>92</v>
      </c>
      <c r="AQ689" s="289" t="s">
        <v>92</v>
      </c>
      <c r="AR689" s="289" t="s">
        <v>92</v>
      </c>
      <c r="AS689" s="289" t="s">
        <v>92</v>
      </c>
      <c r="AT689" s="289" t="s">
        <v>92</v>
      </c>
      <c r="AU689" s="289" t="s">
        <v>92</v>
      </c>
      <c r="AV689" s="289" t="s">
        <v>92</v>
      </c>
      <c r="AW689" s="289" t="s">
        <v>92</v>
      </c>
      <c r="AX689" s="1885" t="s">
        <v>92</v>
      </c>
      <c r="AY689" s="289"/>
      <c r="AZ689" s="86"/>
      <c r="BA689" s="86"/>
      <c r="BB689" s="86"/>
      <c r="BC689" s="86"/>
      <c r="BD689" s="86"/>
      <c r="BE689" s="86"/>
    </row>
    <row r="690" spans="1:57" ht="15" customHeight="1" x14ac:dyDescent="0.4">
      <c r="A690" s="86"/>
      <c r="B690" s="1200"/>
      <c r="C690" s="290"/>
      <c r="D690" s="290"/>
      <c r="E690" s="290"/>
      <c r="F690" s="290"/>
      <c r="G690" s="290"/>
      <c r="H690" s="290"/>
      <c r="I690" s="290"/>
      <c r="J690" s="290"/>
      <c r="K690" s="290"/>
      <c r="L690" s="290"/>
      <c r="M690" s="290"/>
      <c r="N690" s="290"/>
      <c r="O690" s="290"/>
      <c r="P690" s="290"/>
      <c r="Q690" s="865" t="s">
        <v>726</v>
      </c>
      <c r="R690" s="866">
        <v>42</v>
      </c>
      <c r="S690" s="866">
        <v>32</v>
      </c>
      <c r="T690" s="866">
        <v>34</v>
      </c>
      <c r="U690" s="290"/>
      <c r="V690" s="685" t="b">
        <f t="shared" ref="V690:V703" si="85">IF(AND(SHBTAdjSashWeight&gt;=$S690,SHBTAdjSashWeight&lt;=$T690,$S$550=$R690),TRUE,FALSE)</f>
        <v>0</v>
      </c>
      <c r="W690" s="685"/>
      <c r="X690" s="686">
        <f t="shared" si="84"/>
        <v>33</v>
      </c>
      <c r="Y690" s="290">
        <f t="shared" si="83"/>
        <v>2.5</v>
      </c>
      <c r="Z690" s="290"/>
      <c r="AA690" s="290"/>
      <c r="AB690" s="290"/>
      <c r="AC690" s="290"/>
      <c r="AD690" s="290"/>
      <c r="AE690" s="290"/>
      <c r="AF690" s="290"/>
      <c r="AG690" s="290"/>
      <c r="AH690" s="290"/>
      <c r="AI690" s="353">
        <v>2.06</v>
      </c>
      <c r="AJ690" s="39"/>
      <c r="AK690" s="39"/>
      <c r="AL690" s="39"/>
      <c r="AM690" s="289" t="s">
        <v>92</v>
      </c>
      <c r="AN690" s="289" t="s">
        <v>92</v>
      </c>
      <c r="AO690" s="289" t="s">
        <v>92</v>
      </c>
      <c r="AP690" s="289" t="s">
        <v>92</v>
      </c>
      <c r="AQ690" s="289" t="s">
        <v>92</v>
      </c>
      <c r="AR690" s="289" t="s">
        <v>92</v>
      </c>
      <c r="AS690" s="289" t="s">
        <v>92</v>
      </c>
      <c r="AT690" s="289" t="s">
        <v>92</v>
      </c>
      <c r="AU690" s="289" t="s">
        <v>92</v>
      </c>
      <c r="AV690" s="289" t="s">
        <v>92</v>
      </c>
      <c r="AW690" s="289" t="s">
        <v>92</v>
      </c>
      <c r="AX690" s="1885" t="s">
        <v>92</v>
      </c>
      <c r="AY690" s="289"/>
      <c r="AZ690" s="86"/>
      <c r="BA690" s="86"/>
      <c r="BB690" s="86"/>
      <c r="BC690" s="86"/>
      <c r="BD690" s="86"/>
      <c r="BE690" s="86"/>
    </row>
    <row r="691" spans="1:57" ht="15" customHeight="1" x14ac:dyDescent="0.4">
      <c r="A691" s="86"/>
      <c r="B691" s="1200"/>
      <c r="C691" s="290"/>
      <c r="D691" s="290"/>
      <c r="E691" s="290"/>
      <c r="F691" s="290"/>
      <c r="G691" s="290"/>
      <c r="H691" s="290"/>
      <c r="I691" s="290"/>
      <c r="J691" s="290"/>
      <c r="K691" s="290"/>
      <c r="L691" s="290"/>
      <c r="M691" s="290"/>
      <c r="N691" s="290"/>
      <c r="O691" s="290"/>
      <c r="P691" s="290"/>
      <c r="Q691" s="865" t="s">
        <v>727</v>
      </c>
      <c r="R691" s="866">
        <v>42</v>
      </c>
      <c r="S691" s="866">
        <v>34</v>
      </c>
      <c r="T691" s="866">
        <v>37</v>
      </c>
      <c r="U691" s="290"/>
      <c r="V691" s="685" t="b">
        <f t="shared" si="85"/>
        <v>0</v>
      </c>
      <c r="W691" s="685"/>
      <c r="X691" s="686">
        <f t="shared" si="84"/>
        <v>35.5</v>
      </c>
      <c r="Y691" s="290">
        <f t="shared" si="83"/>
        <v>3</v>
      </c>
      <c r="Z691" s="290"/>
      <c r="AA691" s="290"/>
      <c r="AB691" s="290"/>
      <c r="AC691" s="290"/>
      <c r="AD691" s="290"/>
      <c r="AE691" s="290"/>
      <c r="AF691" s="290"/>
      <c r="AG691" s="290"/>
      <c r="AH691" s="290"/>
      <c r="AI691" s="353">
        <v>2.5516000000000001</v>
      </c>
      <c r="AJ691" s="39"/>
      <c r="AK691" s="39"/>
      <c r="AL691" s="39"/>
      <c r="AM691" s="289" t="s">
        <v>92</v>
      </c>
      <c r="AN691" s="289" t="s">
        <v>92</v>
      </c>
      <c r="AO691" s="289" t="s">
        <v>92</v>
      </c>
      <c r="AP691" s="289" t="s">
        <v>92</v>
      </c>
      <c r="AQ691" s="289" t="s">
        <v>92</v>
      </c>
      <c r="AR691" s="289" t="s">
        <v>92</v>
      </c>
      <c r="AS691" s="289" t="s">
        <v>92</v>
      </c>
      <c r="AT691" s="289" t="s">
        <v>92</v>
      </c>
      <c r="AU691" s="289" t="s">
        <v>92</v>
      </c>
      <c r="AV691" s="289" t="s">
        <v>92</v>
      </c>
      <c r="AW691" s="289" t="s">
        <v>92</v>
      </c>
      <c r="AX691" s="1885" t="s">
        <v>92</v>
      </c>
      <c r="AY691" s="289"/>
      <c r="AZ691" s="86"/>
      <c r="BA691" s="86"/>
      <c r="BB691" s="86"/>
      <c r="BC691" s="86"/>
      <c r="BD691" s="86"/>
      <c r="BE691" s="86"/>
    </row>
    <row r="692" spans="1:57" ht="15" customHeight="1" x14ac:dyDescent="0.4">
      <c r="A692" s="86"/>
      <c r="B692" s="1200"/>
      <c r="C692" s="290"/>
      <c r="D692" s="290"/>
      <c r="E692" s="290"/>
      <c r="F692" s="290"/>
      <c r="G692" s="290"/>
      <c r="H692" s="290"/>
      <c r="I692" s="290"/>
      <c r="J692" s="290"/>
      <c r="K692" s="290"/>
      <c r="L692" s="290"/>
      <c r="M692" s="290"/>
      <c r="N692" s="290"/>
      <c r="O692" s="290"/>
      <c r="P692" s="290"/>
      <c r="Q692" s="865" t="s">
        <v>728</v>
      </c>
      <c r="R692" s="866">
        <v>42</v>
      </c>
      <c r="S692" s="866">
        <v>37</v>
      </c>
      <c r="T692" s="866">
        <v>40</v>
      </c>
      <c r="U692" s="290"/>
      <c r="V692" s="685" t="b">
        <f t="shared" si="85"/>
        <v>0</v>
      </c>
      <c r="W692" s="685"/>
      <c r="X692" s="686">
        <f t="shared" si="84"/>
        <v>38.5</v>
      </c>
      <c r="Y692" s="290">
        <f t="shared" si="83"/>
        <v>3</v>
      </c>
      <c r="Z692" s="290"/>
      <c r="AA692" s="290"/>
      <c r="AB692" s="290"/>
      <c r="AC692" s="290"/>
      <c r="AD692" s="290"/>
      <c r="AE692" s="290"/>
      <c r="AF692" s="290"/>
      <c r="AG692" s="290"/>
      <c r="AH692" s="290"/>
      <c r="AI692" s="353">
        <v>3.52</v>
      </c>
      <c r="AJ692" s="39"/>
      <c r="AK692" s="39"/>
      <c r="AL692" s="39"/>
      <c r="AM692" s="289" t="s">
        <v>92</v>
      </c>
      <c r="AN692" s="289" t="s">
        <v>92</v>
      </c>
      <c r="AO692" s="289" t="s">
        <v>92</v>
      </c>
      <c r="AP692" s="289" t="s">
        <v>92</v>
      </c>
      <c r="AQ692" s="289" t="s">
        <v>92</v>
      </c>
      <c r="AR692" s="289" t="s">
        <v>92</v>
      </c>
      <c r="AS692" s="289" t="s">
        <v>92</v>
      </c>
      <c r="AT692" s="289" t="s">
        <v>92</v>
      </c>
      <c r="AU692" s="289" t="s">
        <v>92</v>
      </c>
      <c r="AV692" s="289" t="s">
        <v>92</v>
      </c>
      <c r="AW692" s="289" t="s">
        <v>92</v>
      </c>
      <c r="AX692" s="1885" t="s">
        <v>92</v>
      </c>
      <c r="AY692" s="289"/>
      <c r="AZ692" s="86"/>
      <c r="BA692" s="86"/>
      <c r="BB692" s="86"/>
      <c r="BC692" s="86"/>
      <c r="BD692" s="86"/>
      <c r="BE692" s="86"/>
    </row>
    <row r="693" spans="1:57" ht="15" customHeight="1" x14ac:dyDescent="0.4">
      <c r="A693" s="86"/>
      <c r="B693" s="1200"/>
      <c r="C693" s="290"/>
      <c r="D693" s="290"/>
      <c r="E693" s="290"/>
      <c r="F693" s="290"/>
      <c r="G693" s="290"/>
      <c r="H693" s="290"/>
      <c r="I693" s="290"/>
      <c r="J693" s="290"/>
      <c r="K693" s="290"/>
      <c r="L693" s="290"/>
      <c r="M693" s="290"/>
      <c r="N693" s="290"/>
      <c r="O693" s="290"/>
      <c r="P693" s="290"/>
      <c r="Q693" s="865" t="s">
        <v>729</v>
      </c>
      <c r="R693" s="866">
        <v>42</v>
      </c>
      <c r="S693" s="866">
        <v>40</v>
      </c>
      <c r="T693" s="866">
        <v>43</v>
      </c>
      <c r="U693" s="290"/>
      <c r="V693" s="685" t="b">
        <f t="shared" si="85"/>
        <v>0</v>
      </c>
      <c r="W693" s="685"/>
      <c r="X693" s="686">
        <f t="shared" si="84"/>
        <v>41.5</v>
      </c>
      <c r="Y693" s="290">
        <f t="shared" si="83"/>
        <v>2.5</v>
      </c>
      <c r="Z693" s="290"/>
      <c r="AA693" s="290"/>
      <c r="AB693" s="290"/>
      <c r="AC693" s="290"/>
      <c r="AD693" s="290"/>
      <c r="AE693" s="290"/>
      <c r="AF693" s="290"/>
      <c r="AG693" s="290"/>
      <c r="AH693" s="290"/>
      <c r="AI693" s="353">
        <v>3.71</v>
      </c>
      <c r="AJ693" s="39"/>
      <c r="AK693" s="39"/>
      <c r="AL693" s="39"/>
      <c r="AM693" s="289" t="s">
        <v>92</v>
      </c>
      <c r="AN693" s="289" t="s">
        <v>92</v>
      </c>
      <c r="AO693" s="289" t="s">
        <v>92</v>
      </c>
      <c r="AP693" s="289" t="s">
        <v>92</v>
      </c>
      <c r="AQ693" s="289" t="s">
        <v>92</v>
      </c>
      <c r="AR693" s="289" t="s">
        <v>92</v>
      </c>
      <c r="AS693" s="289" t="s">
        <v>92</v>
      </c>
      <c r="AT693" s="289" t="s">
        <v>92</v>
      </c>
      <c r="AU693" s="289" t="s">
        <v>92</v>
      </c>
      <c r="AV693" s="289" t="s">
        <v>92</v>
      </c>
      <c r="AW693" s="289" t="s">
        <v>92</v>
      </c>
      <c r="AX693" s="1885" t="s">
        <v>92</v>
      </c>
      <c r="AY693" s="289"/>
      <c r="AZ693" s="86"/>
      <c r="BA693" s="86"/>
      <c r="BB693" s="86"/>
      <c r="BC693" s="86"/>
      <c r="BD693" s="86"/>
      <c r="BE693" s="86"/>
    </row>
    <row r="694" spans="1:57" ht="15" customHeight="1" x14ac:dyDescent="0.4">
      <c r="A694" s="86"/>
      <c r="B694" s="1200"/>
      <c r="C694" s="290"/>
      <c r="D694" s="290"/>
      <c r="E694" s="290"/>
      <c r="F694" s="290"/>
      <c r="G694" s="290"/>
      <c r="H694" s="290"/>
      <c r="I694" s="290"/>
      <c r="J694" s="290"/>
      <c r="K694" s="290"/>
      <c r="L694" s="290"/>
      <c r="M694" s="290"/>
      <c r="N694" s="290"/>
      <c r="O694" s="290"/>
      <c r="P694" s="290"/>
      <c r="Q694" s="865" t="s">
        <v>730</v>
      </c>
      <c r="R694" s="866">
        <v>42</v>
      </c>
      <c r="S694" s="866">
        <v>43</v>
      </c>
      <c r="T694" s="866">
        <v>45</v>
      </c>
      <c r="U694" s="290"/>
      <c r="V694" s="685" t="b">
        <f t="shared" si="85"/>
        <v>0</v>
      </c>
      <c r="W694" s="685"/>
      <c r="X694" s="686">
        <f t="shared" si="84"/>
        <v>44</v>
      </c>
      <c r="Y694" s="290" t="str">
        <f t="shared" si="83"/>
        <v/>
      </c>
      <c r="Z694" s="290"/>
      <c r="AA694" s="290"/>
      <c r="AB694" s="290"/>
      <c r="AC694" s="290"/>
      <c r="AD694" s="290"/>
      <c r="AE694" s="290"/>
      <c r="AF694" s="290"/>
      <c r="AG694" s="290"/>
      <c r="AH694" s="290"/>
      <c r="AI694" s="353">
        <v>3.41</v>
      </c>
      <c r="AJ694" s="39"/>
      <c r="AK694" s="39"/>
      <c r="AL694" s="39"/>
      <c r="AM694" s="289" t="s">
        <v>92</v>
      </c>
      <c r="AN694" s="289" t="s">
        <v>92</v>
      </c>
      <c r="AO694" s="289" t="s">
        <v>92</v>
      </c>
      <c r="AP694" s="289" t="s">
        <v>92</v>
      </c>
      <c r="AQ694" s="289" t="s">
        <v>92</v>
      </c>
      <c r="AR694" s="289" t="s">
        <v>92</v>
      </c>
      <c r="AS694" s="289" t="s">
        <v>92</v>
      </c>
      <c r="AT694" s="289" t="s">
        <v>92</v>
      </c>
      <c r="AU694" s="289" t="s">
        <v>92</v>
      </c>
      <c r="AV694" s="289" t="s">
        <v>92</v>
      </c>
      <c r="AW694" s="289" t="s">
        <v>92</v>
      </c>
      <c r="AX694" s="1885" t="s">
        <v>92</v>
      </c>
      <c r="AY694" s="289"/>
      <c r="AZ694" s="86"/>
      <c r="BA694" s="86"/>
      <c r="BB694" s="86"/>
      <c r="BC694" s="86"/>
      <c r="BD694" s="86"/>
      <c r="BE694" s="86"/>
    </row>
    <row r="695" spans="1:57" ht="15" customHeight="1" x14ac:dyDescent="0.4">
      <c r="A695" s="86"/>
      <c r="B695" s="1200"/>
      <c r="C695" s="290"/>
      <c r="D695" s="290"/>
      <c r="E695" s="290"/>
      <c r="F695" s="290"/>
      <c r="G695" s="290"/>
      <c r="H695" s="290"/>
      <c r="I695" s="290"/>
      <c r="J695" s="290"/>
      <c r="K695" s="290"/>
      <c r="L695" s="290"/>
      <c r="M695" s="290"/>
      <c r="N695" s="290"/>
      <c r="O695" s="290"/>
      <c r="P695" s="290"/>
      <c r="Q695" s="865" t="s">
        <v>731</v>
      </c>
      <c r="R695" s="866">
        <v>44</v>
      </c>
      <c r="S695" s="866">
        <v>0</v>
      </c>
      <c r="T695" s="866">
        <v>16</v>
      </c>
      <c r="U695" s="290"/>
      <c r="V695" s="685" t="b">
        <f t="shared" si="85"/>
        <v>0</v>
      </c>
      <c r="W695" s="685"/>
      <c r="X695" s="686">
        <f t="shared" si="84"/>
        <v>8</v>
      </c>
      <c r="Y695" s="290">
        <f t="shared" si="83"/>
        <v>11</v>
      </c>
      <c r="Z695" s="290"/>
      <c r="AA695" s="290"/>
      <c r="AB695" s="290"/>
      <c r="AC695" s="290"/>
      <c r="AD695" s="290"/>
      <c r="AE695" s="290"/>
      <c r="AF695" s="290"/>
      <c r="AG695" s="290"/>
      <c r="AH695" s="290"/>
      <c r="AI695" s="353">
        <v>1.48</v>
      </c>
      <c r="AJ695" s="39"/>
      <c r="AK695" s="39"/>
      <c r="AL695" s="39"/>
      <c r="AM695" s="289" t="s">
        <v>92</v>
      </c>
      <c r="AN695" s="289" t="s">
        <v>92</v>
      </c>
      <c r="AO695" s="289" t="s">
        <v>92</v>
      </c>
      <c r="AP695" s="289" t="s">
        <v>92</v>
      </c>
      <c r="AQ695" s="289" t="s">
        <v>92</v>
      </c>
      <c r="AR695" s="289" t="s">
        <v>92</v>
      </c>
      <c r="AS695" s="289" t="s">
        <v>92</v>
      </c>
      <c r="AT695" s="289" t="s">
        <v>92</v>
      </c>
      <c r="AU695" s="289" t="s">
        <v>92</v>
      </c>
      <c r="AV695" s="289" t="s">
        <v>92</v>
      </c>
      <c r="AW695" s="289" t="s">
        <v>92</v>
      </c>
      <c r="AX695" s="1885" t="s">
        <v>92</v>
      </c>
      <c r="AY695" s="289"/>
      <c r="AZ695" s="86"/>
      <c r="BA695" s="86"/>
      <c r="BB695" s="86"/>
      <c r="BC695" s="86"/>
      <c r="BD695" s="86"/>
      <c r="BE695" s="86"/>
    </row>
    <row r="696" spans="1:57" ht="15" customHeight="1" x14ac:dyDescent="0.4">
      <c r="A696" s="86"/>
      <c r="B696" s="1200"/>
      <c r="C696" s="290"/>
      <c r="D696" s="290"/>
      <c r="E696" s="290"/>
      <c r="F696" s="290"/>
      <c r="G696" s="290"/>
      <c r="H696" s="290"/>
      <c r="I696" s="290"/>
      <c r="J696" s="290"/>
      <c r="K696" s="290"/>
      <c r="L696" s="290"/>
      <c r="M696" s="290"/>
      <c r="N696" s="290"/>
      <c r="O696" s="290"/>
      <c r="P696" s="290"/>
      <c r="Q696" s="865" t="s">
        <v>732</v>
      </c>
      <c r="R696" s="866">
        <v>44</v>
      </c>
      <c r="S696" s="866">
        <v>16</v>
      </c>
      <c r="T696" s="866">
        <v>22</v>
      </c>
      <c r="U696" s="290"/>
      <c r="V696" s="685" t="b">
        <f t="shared" si="85"/>
        <v>0</v>
      </c>
      <c r="W696" s="685"/>
      <c r="X696" s="686">
        <f t="shared" si="84"/>
        <v>19</v>
      </c>
      <c r="Y696" s="290">
        <f t="shared" si="83"/>
        <v>5.5</v>
      </c>
      <c r="Z696" s="290"/>
      <c r="AA696" s="290"/>
      <c r="AB696" s="290"/>
      <c r="AC696" s="290"/>
      <c r="AD696" s="290"/>
      <c r="AE696" s="290"/>
      <c r="AF696" s="290"/>
      <c r="AG696" s="290"/>
      <c r="AH696" s="290"/>
      <c r="AI696" s="353">
        <v>1.51</v>
      </c>
      <c r="AJ696" s="39"/>
      <c r="AK696" s="39"/>
      <c r="AL696" s="39"/>
      <c r="AM696" s="289" t="s">
        <v>92</v>
      </c>
      <c r="AN696" s="289" t="s">
        <v>92</v>
      </c>
      <c r="AO696" s="289" t="s">
        <v>92</v>
      </c>
      <c r="AP696" s="289" t="s">
        <v>92</v>
      </c>
      <c r="AQ696" s="289" t="s">
        <v>92</v>
      </c>
      <c r="AR696" s="289" t="s">
        <v>92</v>
      </c>
      <c r="AS696" s="289" t="s">
        <v>92</v>
      </c>
      <c r="AT696" s="289" t="s">
        <v>92</v>
      </c>
      <c r="AU696" s="289" t="s">
        <v>92</v>
      </c>
      <c r="AV696" s="289" t="s">
        <v>92</v>
      </c>
      <c r="AW696" s="289" t="s">
        <v>92</v>
      </c>
      <c r="AX696" s="1885" t="s">
        <v>92</v>
      </c>
      <c r="AY696" s="289"/>
      <c r="AZ696" s="86"/>
      <c r="BA696" s="86"/>
      <c r="BB696" s="86"/>
      <c r="BC696" s="86"/>
      <c r="BD696" s="86"/>
      <c r="BE696" s="86"/>
    </row>
    <row r="697" spans="1:57" ht="15" customHeight="1" x14ac:dyDescent="0.4">
      <c r="A697" s="86"/>
      <c r="B697" s="1200"/>
      <c r="C697" s="290"/>
      <c r="D697" s="290"/>
      <c r="E697" s="290"/>
      <c r="F697" s="290"/>
      <c r="G697" s="290"/>
      <c r="H697" s="290"/>
      <c r="I697" s="290"/>
      <c r="J697" s="290"/>
      <c r="K697" s="290"/>
      <c r="L697" s="290"/>
      <c r="M697" s="290"/>
      <c r="N697" s="290"/>
      <c r="O697" s="290"/>
      <c r="P697" s="290"/>
      <c r="Q697" s="865" t="s">
        <v>733</v>
      </c>
      <c r="R697" s="866">
        <v>44</v>
      </c>
      <c r="S697" s="866">
        <v>22</v>
      </c>
      <c r="T697" s="866">
        <v>27</v>
      </c>
      <c r="U697" s="290"/>
      <c r="V697" s="685" t="b">
        <f t="shared" si="85"/>
        <v>0</v>
      </c>
      <c r="W697" s="685"/>
      <c r="X697" s="686">
        <f t="shared" si="84"/>
        <v>24.5</v>
      </c>
      <c r="Y697" s="290">
        <f t="shared" si="83"/>
        <v>5</v>
      </c>
      <c r="Z697" s="290"/>
      <c r="AA697" s="290"/>
      <c r="AB697" s="290"/>
      <c r="AC697" s="290"/>
      <c r="AD697" s="290"/>
      <c r="AE697" s="290"/>
      <c r="AF697" s="290"/>
      <c r="AG697" s="290"/>
      <c r="AH697" s="290"/>
      <c r="AI697" s="353">
        <v>1.58</v>
      </c>
      <c r="AJ697" s="39"/>
      <c r="AK697" s="39"/>
      <c r="AL697" s="39"/>
      <c r="AM697" s="289" t="s">
        <v>92</v>
      </c>
      <c r="AN697" s="289" t="s">
        <v>92</v>
      </c>
      <c r="AO697" s="289" t="s">
        <v>92</v>
      </c>
      <c r="AP697" s="289" t="s">
        <v>92</v>
      </c>
      <c r="AQ697" s="289" t="s">
        <v>92</v>
      </c>
      <c r="AR697" s="289" t="s">
        <v>92</v>
      </c>
      <c r="AS697" s="289" t="s">
        <v>92</v>
      </c>
      <c r="AT697" s="289" t="s">
        <v>92</v>
      </c>
      <c r="AU697" s="289" t="s">
        <v>92</v>
      </c>
      <c r="AV697" s="289" t="s">
        <v>92</v>
      </c>
      <c r="AW697" s="289" t="s">
        <v>92</v>
      </c>
      <c r="AX697" s="1885" t="s">
        <v>92</v>
      </c>
      <c r="AY697" s="289"/>
      <c r="AZ697" s="86"/>
      <c r="BA697" s="86"/>
      <c r="BB697" s="86"/>
      <c r="BC697" s="86"/>
      <c r="BD697" s="86"/>
      <c r="BE697" s="86"/>
    </row>
    <row r="698" spans="1:57" ht="15" customHeight="1" x14ac:dyDescent="0.4">
      <c r="A698" s="86"/>
      <c r="B698" s="1200"/>
      <c r="C698" s="290"/>
      <c r="D698" s="290"/>
      <c r="E698" s="290"/>
      <c r="F698" s="290"/>
      <c r="G698" s="290"/>
      <c r="H698" s="290"/>
      <c r="I698" s="290"/>
      <c r="J698" s="290"/>
      <c r="K698" s="290"/>
      <c r="L698" s="290"/>
      <c r="M698" s="290"/>
      <c r="N698" s="290"/>
      <c r="O698" s="290"/>
      <c r="P698" s="290"/>
      <c r="Q698" s="865" t="s">
        <v>734</v>
      </c>
      <c r="R698" s="866">
        <v>44</v>
      </c>
      <c r="S698" s="866">
        <v>27</v>
      </c>
      <c r="T698" s="866">
        <v>32</v>
      </c>
      <c r="U698" s="290"/>
      <c r="V698" s="685" t="b">
        <f t="shared" si="85"/>
        <v>0</v>
      </c>
      <c r="W698" s="685"/>
      <c r="X698" s="686">
        <f t="shared" si="84"/>
        <v>29.5</v>
      </c>
      <c r="Y698" s="290">
        <f t="shared" si="83"/>
        <v>3.5</v>
      </c>
      <c r="Z698" s="290"/>
      <c r="AA698" s="290"/>
      <c r="AB698" s="290"/>
      <c r="AC698" s="290"/>
      <c r="AD698" s="290"/>
      <c r="AE698" s="290"/>
      <c r="AF698" s="290"/>
      <c r="AG698" s="290"/>
      <c r="AH698" s="290"/>
      <c r="AI698" s="353">
        <v>1.69</v>
      </c>
      <c r="AJ698" s="39"/>
      <c r="AK698" s="39"/>
      <c r="AL698" s="39"/>
      <c r="AM698" s="289" t="s">
        <v>92</v>
      </c>
      <c r="AN698" s="289" t="s">
        <v>92</v>
      </c>
      <c r="AO698" s="289" t="s">
        <v>92</v>
      </c>
      <c r="AP698" s="289" t="s">
        <v>92</v>
      </c>
      <c r="AQ698" s="289" t="s">
        <v>92</v>
      </c>
      <c r="AR698" s="289" t="s">
        <v>92</v>
      </c>
      <c r="AS698" s="289" t="s">
        <v>92</v>
      </c>
      <c r="AT698" s="289" t="s">
        <v>92</v>
      </c>
      <c r="AU698" s="289" t="s">
        <v>92</v>
      </c>
      <c r="AV698" s="289" t="s">
        <v>92</v>
      </c>
      <c r="AW698" s="289" t="s">
        <v>92</v>
      </c>
      <c r="AX698" s="1885" t="s">
        <v>92</v>
      </c>
      <c r="AY698" s="289"/>
      <c r="AZ698" s="86"/>
      <c r="BA698" s="86"/>
      <c r="BB698" s="86"/>
      <c r="BC698" s="86"/>
      <c r="BD698" s="86"/>
      <c r="BE698" s="86"/>
    </row>
    <row r="699" spans="1:57" ht="15" customHeight="1" x14ac:dyDescent="0.4">
      <c r="A699" s="86"/>
      <c r="B699" s="1200"/>
      <c r="C699" s="290"/>
      <c r="D699" s="290"/>
      <c r="E699" s="290"/>
      <c r="F699" s="290"/>
      <c r="G699" s="290"/>
      <c r="H699" s="290"/>
      <c r="I699" s="290"/>
      <c r="J699" s="290"/>
      <c r="K699" s="290"/>
      <c r="L699" s="290"/>
      <c r="M699" s="290"/>
      <c r="N699" s="290"/>
      <c r="O699" s="290"/>
      <c r="P699" s="290"/>
      <c r="Q699" s="865" t="s">
        <v>735</v>
      </c>
      <c r="R699" s="866">
        <v>44</v>
      </c>
      <c r="S699" s="866">
        <v>32</v>
      </c>
      <c r="T699" s="866">
        <v>34</v>
      </c>
      <c r="U699" s="290"/>
      <c r="V699" s="685" t="b">
        <f t="shared" si="85"/>
        <v>0</v>
      </c>
      <c r="W699" s="685"/>
      <c r="X699" s="686">
        <f t="shared" si="84"/>
        <v>33</v>
      </c>
      <c r="Y699" s="290">
        <f t="shared" si="83"/>
        <v>2.5</v>
      </c>
      <c r="Z699" s="290"/>
      <c r="AA699" s="290"/>
      <c r="AB699" s="290"/>
      <c r="AC699" s="290"/>
      <c r="AD699" s="290"/>
      <c r="AE699" s="290"/>
      <c r="AF699" s="290"/>
      <c r="AG699" s="290"/>
      <c r="AH699" s="290"/>
      <c r="AI699" s="353">
        <v>2.11</v>
      </c>
      <c r="AJ699" s="39"/>
      <c r="AK699" s="39"/>
      <c r="AL699" s="39"/>
      <c r="AM699" s="289" t="s">
        <v>92</v>
      </c>
      <c r="AN699" s="289" t="s">
        <v>92</v>
      </c>
      <c r="AO699" s="289" t="s">
        <v>92</v>
      </c>
      <c r="AP699" s="289" t="s">
        <v>92</v>
      </c>
      <c r="AQ699" s="289" t="s">
        <v>92</v>
      </c>
      <c r="AR699" s="289" t="s">
        <v>92</v>
      </c>
      <c r="AS699" s="289" t="s">
        <v>92</v>
      </c>
      <c r="AT699" s="289" t="s">
        <v>92</v>
      </c>
      <c r="AU699" s="289" t="s">
        <v>92</v>
      </c>
      <c r="AV699" s="289" t="s">
        <v>92</v>
      </c>
      <c r="AW699" s="289" t="s">
        <v>92</v>
      </c>
      <c r="AX699" s="1885" t="s">
        <v>92</v>
      </c>
      <c r="AY699" s="289"/>
      <c r="AZ699" s="86"/>
      <c r="BA699" s="86"/>
      <c r="BB699" s="86"/>
      <c r="BC699" s="86"/>
      <c r="BD699" s="86"/>
      <c r="BE699" s="86"/>
    </row>
    <row r="700" spans="1:57" ht="15" customHeight="1" x14ac:dyDescent="0.4">
      <c r="A700" s="86"/>
      <c r="B700" s="1200"/>
      <c r="C700" s="290"/>
      <c r="D700" s="290"/>
      <c r="E700" s="290"/>
      <c r="F700" s="290"/>
      <c r="G700" s="290"/>
      <c r="H700" s="290"/>
      <c r="I700" s="290"/>
      <c r="J700" s="290"/>
      <c r="K700" s="290"/>
      <c r="L700" s="290"/>
      <c r="M700" s="290"/>
      <c r="N700" s="290"/>
      <c r="O700" s="290"/>
      <c r="P700" s="290"/>
      <c r="Q700" s="865" t="s">
        <v>736</v>
      </c>
      <c r="R700" s="866">
        <v>44</v>
      </c>
      <c r="S700" s="866">
        <v>34</v>
      </c>
      <c r="T700" s="866">
        <v>37</v>
      </c>
      <c r="U700" s="290"/>
      <c r="V700" s="685" t="b">
        <f t="shared" si="85"/>
        <v>0</v>
      </c>
      <c r="W700" s="685"/>
      <c r="X700" s="686">
        <f t="shared" si="84"/>
        <v>35.5</v>
      </c>
      <c r="Y700" s="290">
        <f t="shared" si="83"/>
        <v>3</v>
      </c>
      <c r="Z700" s="290"/>
      <c r="AA700" s="290"/>
      <c r="AB700" s="290"/>
      <c r="AC700" s="290"/>
      <c r="AD700" s="290"/>
      <c r="AE700" s="290"/>
      <c r="AF700" s="290"/>
      <c r="AG700" s="290"/>
      <c r="AH700" s="290"/>
      <c r="AI700" s="353">
        <v>2.6012</v>
      </c>
      <c r="AJ700" s="39"/>
      <c r="AK700" s="39"/>
      <c r="AL700" s="39"/>
      <c r="AM700" s="289" t="s">
        <v>92</v>
      </c>
      <c r="AN700" s="289" t="s">
        <v>92</v>
      </c>
      <c r="AO700" s="289" t="s">
        <v>92</v>
      </c>
      <c r="AP700" s="289" t="s">
        <v>92</v>
      </c>
      <c r="AQ700" s="289" t="s">
        <v>92</v>
      </c>
      <c r="AR700" s="289" t="s">
        <v>92</v>
      </c>
      <c r="AS700" s="289" t="s">
        <v>92</v>
      </c>
      <c r="AT700" s="289" t="s">
        <v>92</v>
      </c>
      <c r="AU700" s="289" t="s">
        <v>92</v>
      </c>
      <c r="AV700" s="289" t="s">
        <v>92</v>
      </c>
      <c r="AW700" s="289" t="s">
        <v>92</v>
      </c>
      <c r="AX700" s="1885" t="s">
        <v>92</v>
      </c>
      <c r="AY700" s="289"/>
      <c r="AZ700" s="86"/>
      <c r="BA700" s="86"/>
      <c r="BB700" s="86"/>
      <c r="BC700" s="86"/>
      <c r="BD700" s="86"/>
      <c r="BE700" s="86"/>
    </row>
    <row r="701" spans="1:57" ht="15" customHeight="1" x14ac:dyDescent="0.4">
      <c r="A701" s="290"/>
      <c r="B701" s="1200"/>
      <c r="C701" s="290"/>
      <c r="D701" s="290"/>
      <c r="E701" s="290"/>
      <c r="F701" s="290"/>
      <c r="G701" s="290"/>
      <c r="H701" s="290"/>
      <c r="I701" s="290"/>
      <c r="J701" s="290"/>
      <c r="K701" s="290"/>
      <c r="L701" s="290"/>
      <c r="M701" s="290"/>
      <c r="N701" s="290"/>
      <c r="O701" s="290"/>
      <c r="P701" s="290"/>
      <c r="Q701" s="865" t="s">
        <v>737</v>
      </c>
      <c r="R701" s="866">
        <v>44</v>
      </c>
      <c r="S701" s="866">
        <v>37</v>
      </c>
      <c r="T701" s="866">
        <v>40</v>
      </c>
      <c r="U701" s="290"/>
      <c r="V701" s="685" t="b">
        <f t="shared" si="85"/>
        <v>0</v>
      </c>
      <c r="W701" s="685"/>
      <c r="X701" s="686">
        <f t="shared" si="84"/>
        <v>38.5</v>
      </c>
      <c r="Y701" s="290">
        <f t="shared" si="83"/>
        <v>3</v>
      </c>
      <c r="Z701" s="290"/>
      <c r="AA701" s="290"/>
      <c r="AB701" s="290"/>
      <c r="AC701" s="290"/>
      <c r="AD701" s="290"/>
      <c r="AE701" s="290"/>
      <c r="AF701" s="290"/>
      <c r="AG701" s="290"/>
      <c r="AH701" s="290"/>
      <c r="AI701" s="353">
        <v>3.0264000000000002</v>
      </c>
      <c r="AJ701" s="39"/>
      <c r="AK701" s="39"/>
      <c r="AL701" s="39"/>
      <c r="AM701" s="289" t="s">
        <v>92</v>
      </c>
      <c r="AN701" s="289" t="s">
        <v>92</v>
      </c>
      <c r="AO701" s="289" t="s">
        <v>92</v>
      </c>
      <c r="AP701" s="289" t="s">
        <v>92</v>
      </c>
      <c r="AQ701" s="289" t="s">
        <v>92</v>
      </c>
      <c r="AR701" s="289" t="s">
        <v>92</v>
      </c>
      <c r="AS701" s="289" t="s">
        <v>92</v>
      </c>
      <c r="AT701" s="289" t="s">
        <v>92</v>
      </c>
      <c r="AU701" s="289" t="s">
        <v>92</v>
      </c>
      <c r="AV701" s="289" t="s">
        <v>92</v>
      </c>
      <c r="AW701" s="289" t="s">
        <v>92</v>
      </c>
      <c r="AX701" s="1885" t="s">
        <v>92</v>
      </c>
      <c r="AY701" s="289"/>
      <c r="AZ701" s="290"/>
      <c r="BA701" s="290"/>
      <c r="BB701" s="290"/>
      <c r="BC701" s="290"/>
      <c r="BD701" s="290"/>
      <c r="BE701" s="86"/>
    </row>
    <row r="702" spans="1:57" ht="15" customHeight="1" x14ac:dyDescent="0.4">
      <c r="A702" s="290"/>
      <c r="B702" s="1200"/>
      <c r="C702" s="290"/>
      <c r="D702" s="290"/>
      <c r="E702" s="290"/>
      <c r="F702" s="290"/>
      <c r="G702" s="290"/>
      <c r="H702" s="290"/>
      <c r="I702" s="290"/>
      <c r="J702" s="290"/>
      <c r="K702" s="290"/>
      <c r="L702" s="290"/>
      <c r="M702" s="290"/>
      <c r="N702" s="290"/>
      <c r="O702" s="290"/>
      <c r="P702" s="290"/>
      <c r="Q702" s="865" t="s">
        <v>738</v>
      </c>
      <c r="R702" s="866">
        <v>44</v>
      </c>
      <c r="S702" s="866">
        <v>40</v>
      </c>
      <c r="T702" s="866">
        <v>43</v>
      </c>
      <c r="U702" s="290"/>
      <c r="V702" s="685" t="b">
        <f t="shared" si="85"/>
        <v>0</v>
      </c>
      <c r="W702" s="685"/>
      <c r="X702" s="686">
        <f t="shared" si="84"/>
        <v>41.5</v>
      </c>
      <c r="Y702" s="290">
        <f t="shared" si="83"/>
        <v>2.5</v>
      </c>
      <c r="Z702" s="290"/>
      <c r="AA702" s="290"/>
      <c r="AB702" s="290"/>
      <c r="AC702" s="290"/>
      <c r="AD702" s="290"/>
      <c r="AE702" s="290"/>
      <c r="AF702" s="290"/>
      <c r="AG702" s="290"/>
      <c r="AH702" s="290"/>
      <c r="AI702" s="353">
        <v>3.42</v>
      </c>
      <c r="AJ702" s="39"/>
      <c r="AK702" s="39"/>
      <c r="AL702" s="39"/>
      <c r="AM702" s="289" t="s">
        <v>92</v>
      </c>
      <c r="AN702" s="289" t="s">
        <v>92</v>
      </c>
      <c r="AO702" s="289" t="s">
        <v>92</v>
      </c>
      <c r="AP702" s="289" t="s">
        <v>92</v>
      </c>
      <c r="AQ702" s="289" t="s">
        <v>92</v>
      </c>
      <c r="AR702" s="289" t="s">
        <v>92</v>
      </c>
      <c r="AS702" s="289" t="s">
        <v>92</v>
      </c>
      <c r="AT702" s="289" t="s">
        <v>92</v>
      </c>
      <c r="AU702" s="289" t="s">
        <v>92</v>
      </c>
      <c r="AV702" s="289" t="s">
        <v>92</v>
      </c>
      <c r="AW702" s="289" t="s">
        <v>92</v>
      </c>
      <c r="AX702" s="1885" t="s">
        <v>92</v>
      </c>
      <c r="AY702" s="289"/>
      <c r="AZ702" s="290"/>
      <c r="BA702" s="290"/>
      <c r="BB702" s="290"/>
      <c r="BC702" s="290"/>
      <c r="BD702" s="290"/>
      <c r="BE702" s="86"/>
    </row>
    <row r="703" spans="1:57" ht="16.2" x14ac:dyDescent="0.4">
      <c r="A703" s="290"/>
      <c r="B703" s="1200"/>
      <c r="C703" s="290"/>
      <c r="D703" s="290"/>
      <c r="E703" s="290"/>
      <c r="F703" s="290"/>
      <c r="G703" s="290"/>
      <c r="H703" s="290"/>
      <c r="I703" s="290"/>
      <c r="J703" s="290"/>
      <c r="K703" s="290"/>
      <c r="L703" s="290"/>
      <c r="M703" s="290"/>
      <c r="N703" s="290"/>
      <c r="O703" s="290"/>
      <c r="P703" s="290"/>
      <c r="Q703" s="865" t="s">
        <v>739</v>
      </c>
      <c r="R703" s="866">
        <v>44</v>
      </c>
      <c r="S703" s="866">
        <v>43</v>
      </c>
      <c r="T703" s="866">
        <v>45</v>
      </c>
      <c r="U703" s="290"/>
      <c r="V703" s="685" t="b">
        <f t="shared" si="85"/>
        <v>0</v>
      </c>
      <c r="W703" s="685"/>
      <c r="X703" s="686">
        <f t="shared" si="84"/>
        <v>44</v>
      </c>
      <c r="Y703" s="290" t="str">
        <f t="shared" si="83"/>
        <v/>
      </c>
      <c r="Z703" s="290"/>
      <c r="AA703" s="290"/>
      <c r="AB703" s="290"/>
      <c r="AC703" s="290"/>
      <c r="AD703" s="290"/>
      <c r="AE703" s="290"/>
      <c r="AF703" s="290"/>
      <c r="AG703" s="290"/>
      <c r="AH703" s="290"/>
      <c r="AI703" s="353">
        <v>3.66</v>
      </c>
      <c r="AJ703" s="39"/>
      <c r="AK703" s="39"/>
      <c r="AL703" s="39"/>
      <c r="AM703" s="289" t="s">
        <v>92</v>
      </c>
      <c r="AN703" s="289" t="s">
        <v>92</v>
      </c>
      <c r="AO703" s="289" t="s">
        <v>92</v>
      </c>
      <c r="AP703" s="289" t="s">
        <v>92</v>
      </c>
      <c r="AQ703" s="289" t="s">
        <v>92</v>
      </c>
      <c r="AR703" s="289" t="s">
        <v>92</v>
      </c>
      <c r="AS703" s="289" t="s">
        <v>92</v>
      </c>
      <c r="AT703" s="289" t="s">
        <v>92</v>
      </c>
      <c r="AU703" s="289" t="s">
        <v>92</v>
      </c>
      <c r="AV703" s="289" t="s">
        <v>92</v>
      </c>
      <c r="AW703" s="289" t="s">
        <v>92</v>
      </c>
      <c r="AX703" s="1885" t="s">
        <v>92</v>
      </c>
      <c r="AY703" s="289"/>
      <c r="AZ703" s="290"/>
      <c r="BA703" s="290"/>
      <c r="BB703" s="290"/>
      <c r="BC703" s="290"/>
      <c r="BD703" s="290"/>
      <c r="BE703" s="86"/>
    </row>
    <row r="704" spans="1:57" ht="16.8" thickBot="1" x14ac:dyDescent="0.45">
      <c r="A704" s="290"/>
      <c r="B704" s="1200"/>
      <c r="C704" s="290"/>
      <c r="D704" s="290"/>
      <c r="E704" s="290"/>
      <c r="F704" s="290"/>
      <c r="G704" s="290"/>
      <c r="H704" s="290"/>
      <c r="I704" s="290"/>
      <c r="J704" s="290"/>
      <c r="K704" s="290"/>
      <c r="L704" s="290"/>
      <c r="M704" s="290"/>
      <c r="N704" s="290"/>
      <c r="O704" s="290"/>
      <c r="P704" s="290"/>
      <c r="Q704" s="687" t="s">
        <v>740</v>
      </c>
      <c r="R704" s="687" t="s">
        <v>740</v>
      </c>
      <c r="S704" s="687" t="s">
        <v>740</v>
      </c>
      <c r="T704" s="687" t="s">
        <v>740</v>
      </c>
      <c r="U704" s="688"/>
      <c r="V704" s="685" t="b">
        <v>1</v>
      </c>
      <c r="W704" s="685"/>
      <c r="X704" s="685"/>
      <c r="Y704" s="290"/>
      <c r="Z704" s="290"/>
      <c r="AA704" s="290"/>
      <c r="AB704" s="290"/>
      <c r="AC704" s="290"/>
      <c r="AD704" s="290"/>
      <c r="AE704" s="290"/>
      <c r="AF704" s="290"/>
      <c r="AG704" s="290"/>
      <c r="AH704" s="290"/>
      <c r="AI704" s="51">
        <v>0</v>
      </c>
      <c r="AJ704" s="39"/>
      <c r="AK704" s="39"/>
      <c r="AL704" s="39"/>
      <c r="AM704" s="894" t="s">
        <v>92</v>
      </c>
      <c r="AN704" s="894" t="s">
        <v>92</v>
      </c>
      <c r="AO704" s="894" t="s">
        <v>92</v>
      </c>
      <c r="AP704" s="894" t="s">
        <v>92</v>
      </c>
      <c r="AQ704" s="894" t="s">
        <v>92</v>
      </c>
      <c r="AR704" s="894" t="s">
        <v>92</v>
      </c>
      <c r="AS704" s="894" t="s">
        <v>92</v>
      </c>
      <c r="AT704" s="894" t="s">
        <v>92</v>
      </c>
      <c r="AU704" s="894" t="s">
        <v>92</v>
      </c>
      <c r="AV704" s="894" t="s">
        <v>92</v>
      </c>
      <c r="AW704" s="894" t="s">
        <v>92</v>
      </c>
      <c r="AX704" s="1886" t="s">
        <v>92</v>
      </c>
      <c r="AY704" s="289"/>
      <c r="AZ704" s="290"/>
      <c r="BA704" s="290"/>
      <c r="BB704" s="290"/>
      <c r="BC704" s="290"/>
      <c r="BD704" s="290"/>
      <c r="BE704" s="86"/>
    </row>
    <row r="705" spans="1:57" ht="50.1" customHeight="1" x14ac:dyDescent="0.4">
      <c r="A705" s="3"/>
      <c r="B705" s="1200"/>
      <c r="C705" s="490" t="s">
        <v>741</v>
      </c>
      <c r="D705" s="138"/>
      <c r="E705" s="138"/>
      <c r="F705" s="138"/>
      <c r="G705" s="173"/>
      <c r="H705" s="175"/>
      <c r="I705" s="448"/>
      <c r="J705" s="448"/>
      <c r="K705" s="448"/>
      <c r="L705" s="448"/>
      <c r="M705" s="178"/>
      <c r="N705" s="178"/>
      <c r="O705" s="178"/>
      <c r="P705" s="178"/>
      <c r="Q705" s="178"/>
      <c r="R705" s="448"/>
      <c r="S705" s="198">
        <v>1</v>
      </c>
      <c r="T705" s="116" t="s">
        <v>385</v>
      </c>
      <c r="U705" s="848"/>
      <c r="V705" s="116"/>
      <c r="W705" s="116"/>
      <c r="X705" s="116"/>
      <c r="Y705" s="1449">
        <v>400031000</v>
      </c>
      <c r="Z705" s="1449"/>
      <c r="AA705" s="1449"/>
      <c r="AB705" s="116"/>
      <c r="AC705" s="116">
        <v>45</v>
      </c>
      <c r="AD705" s="116">
        <v>2</v>
      </c>
      <c r="AE705" s="116">
        <f>S705*AD705</f>
        <v>2</v>
      </c>
      <c r="AF705" s="116" t="s">
        <v>385</v>
      </c>
      <c r="AG705" s="179" t="s">
        <v>369</v>
      </c>
      <c r="AH705" s="179" t="s">
        <v>369</v>
      </c>
      <c r="AI705" s="1426">
        <v>0.2109</v>
      </c>
      <c r="AJ705" s="180"/>
      <c r="AK705" s="180"/>
      <c r="AL705" s="180"/>
      <c r="AM705" s="180">
        <f>AE$705*AI705+SUM(AJ705:AL705)</f>
        <v>0.42180000000000001</v>
      </c>
      <c r="AN705" s="116" t="s">
        <v>81</v>
      </c>
      <c r="AO705" s="116" t="s">
        <v>81</v>
      </c>
      <c r="AP705" s="116" t="s">
        <v>81</v>
      </c>
      <c r="AQ705" s="116" t="s">
        <v>81</v>
      </c>
      <c r="AR705" s="116" t="s">
        <v>81</v>
      </c>
      <c r="AS705" s="116" t="s">
        <v>81</v>
      </c>
      <c r="AT705" s="116" t="s">
        <v>81</v>
      </c>
      <c r="AU705" s="116" t="s">
        <v>92</v>
      </c>
      <c r="AV705" s="116" t="s">
        <v>92</v>
      </c>
      <c r="AW705" s="116" t="s">
        <v>92</v>
      </c>
      <c r="AX705" s="1884" t="s">
        <v>81</v>
      </c>
      <c r="AY705" s="116"/>
      <c r="AZ705" s="139"/>
      <c r="BA705" s="139"/>
      <c r="BB705" s="139"/>
      <c r="BC705" s="139"/>
      <c r="BD705" s="139"/>
      <c r="BE705" s="3"/>
    </row>
    <row r="706" spans="1:57" ht="16.8" thickBot="1" x14ac:dyDescent="0.45">
      <c r="A706" s="3"/>
      <c r="B706" s="1202"/>
      <c r="C706" s="1193"/>
      <c r="D706" s="968"/>
      <c r="E706" s="968"/>
      <c r="F706" s="968"/>
      <c r="G706" s="924"/>
      <c r="H706" s="887"/>
      <c r="I706" s="1494"/>
      <c r="J706" s="1494"/>
      <c r="K706" s="1494"/>
      <c r="L706" s="1494"/>
      <c r="M706" s="1020"/>
      <c r="N706" s="1020"/>
      <c r="O706" s="1020"/>
      <c r="P706" s="1020"/>
      <c r="Q706" s="1020"/>
      <c r="R706" s="1494"/>
      <c r="S706" s="1156"/>
      <c r="T706" s="889"/>
      <c r="U706" s="1203"/>
      <c r="V706" s="889"/>
      <c r="W706" s="889"/>
      <c r="X706" s="889"/>
      <c r="Y706" s="889"/>
      <c r="Z706" s="889"/>
      <c r="AA706" s="889"/>
      <c r="AB706" s="889"/>
      <c r="AC706" s="889"/>
      <c r="AD706" s="889"/>
      <c r="AE706" s="889"/>
      <c r="AF706" s="889"/>
      <c r="AG706" s="888"/>
      <c r="AH706" s="888"/>
      <c r="AI706" s="937"/>
      <c r="AJ706" s="947"/>
      <c r="AK706" s="947"/>
      <c r="AL706" s="947"/>
      <c r="AM706" s="947"/>
      <c r="AN706" s="889"/>
      <c r="AO706" s="889"/>
      <c r="AP706" s="889"/>
      <c r="AQ706" s="889"/>
      <c r="AR706" s="889"/>
      <c r="AS706" s="889"/>
      <c r="AT706" s="889"/>
      <c r="AU706" s="889"/>
      <c r="AV706" s="889"/>
      <c r="AW706" s="889"/>
      <c r="AX706" s="1590"/>
      <c r="AY706" s="894"/>
      <c r="AZ706" s="139"/>
      <c r="BA706" s="139"/>
      <c r="BB706" s="139"/>
      <c r="BC706" s="139"/>
      <c r="BD706" s="139"/>
      <c r="BE706" s="3"/>
    </row>
    <row r="707" spans="1:57" ht="15" customHeight="1" x14ac:dyDescent="0.4">
      <c r="A707" s="3"/>
      <c r="B707" s="36" t="s">
        <v>1979</v>
      </c>
      <c r="C707" s="4"/>
      <c r="D707" s="4"/>
      <c r="E707" s="4"/>
      <c r="F707" s="4"/>
      <c r="G707" s="7"/>
      <c r="H707" s="20"/>
      <c r="I707" s="500"/>
      <c r="J707" s="500"/>
      <c r="K707" s="500"/>
      <c r="L707" s="500"/>
      <c r="M707" s="24"/>
      <c r="N707" s="24"/>
      <c r="O707" s="24"/>
      <c r="P707" s="24"/>
      <c r="Q707" s="24"/>
      <c r="R707" s="500"/>
      <c r="S707" s="5"/>
      <c r="T707" s="3"/>
      <c r="U707" s="3"/>
      <c r="V707" s="500" t="s">
        <v>582</v>
      </c>
      <c r="W707" s="3"/>
      <c r="X707" s="3"/>
      <c r="Y707" s="500" t="s">
        <v>2198</v>
      </c>
      <c r="Z707" s="3"/>
      <c r="AA707" s="3"/>
      <c r="AB707" s="3"/>
      <c r="AC707" s="3"/>
      <c r="AD707" s="3"/>
      <c r="AE707" s="3"/>
      <c r="AF707" s="3"/>
      <c r="AG707" s="38"/>
      <c r="AH707" s="38"/>
      <c r="AI707" s="51"/>
      <c r="AJ707" s="39"/>
      <c r="AK707" s="39"/>
      <c r="AL707" s="39"/>
      <c r="AM707" s="39"/>
      <c r="AN707" s="3" t="s">
        <v>371</v>
      </c>
      <c r="AO707" s="3" t="s">
        <v>371</v>
      </c>
      <c r="AP707" s="3" t="s">
        <v>371</v>
      </c>
      <c r="AQ707" s="3" t="s">
        <v>371</v>
      </c>
      <c r="AR707" s="3" t="s">
        <v>371</v>
      </c>
      <c r="AS707" s="3" t="s">
        <v>371</v>
      </c>
      <c r="AT707" s="3" t="s">
        <v>371</v>
      </c>
      <c r="AU707" s="3" t="s">
        <v>81</v>
      </c>
      <c r="AV707" s="3" t="s">
        <v>81</v>
      </c>
      <c r="AW707" s="3" t="s">
        <v>81</v>
      </c>
      <c r="AX707" s="1414" t="s">
        <v>371</v>
      </c>
      <c r="AY707" s="3"/>
      <c r="AZ707" s="139"/>
      <c r="BA707" s="139"/>
      <c r="BB707" s="139"/>
      <c r="BC707" s="139"/>
      <c r="BD707" s="139"/>
      <c r="BE707" s="3"/>
    </row>
    <row r="708" spans="1:57" ht="15" customHeight="1" x14ac:dyDescent="0.4">
      <c r="A708" s="3" t="s">
        <v>583</v>
      </c>
      <c r="B708" s="689"/>
      <c r="C708" s="494" t="s">
        <v>742</v>
      </c>
      <c r="D708" s="4"/>
      <c r="E708" s="4"/>
      <c r="F708" s="4"/>
      <c r="G708" s="7"/>
      <c r="H708" s="20"/>
      <c r="I708" s="500"/>
      <c r="J708" s="500"/>
      <c r="K708" s="500"/>
      <c r="L708" s="500"/>
      <c r="M708" s="24"/>
      <c r="N708" s="24"/>
      <c r="O708" s="24"/>
      <c r="P708" s="24"/>
      <c r="Q708" s="24"/>
      <c r="R708" s="452"/>
      <c r="S708" s="452" t="s">
        <v>2205</v>
      </c>
      <c r="T708" s="3" t="s">
        <v>385</v>
      </c>
      <c r="U708" s="3"/>
      <c r="V708" s="1414" t="str">
        <f>RIGHT(Y708,3)</f>
        <v>150</v>
      </c>
      <c r="W708" s="3"/>
      <c r="X708" s="3"/>
      <c r="Y708" s="1586">
        <f>INDEX($O$712:$O$743,MATCH(TRUE,$V$712:$V$743,0))</f>
        <v>400019000150</v>
      </c>
      <c r="Z708" s="1445"/>
      <c r="AA708" s="1445"/>
      <c r="AB708" s="3"/>
      <c r="AC708" s="3">
        <v>45</v>
      </c>
      <c r="AD708" s="3">
        <v>2</v>
      </c>
      <c r="AE708" s="56">
        <v>2</v>
      </c>
      <c r="AF708" s="3" t="s">
        <v>385</v>
      </c>
      <c r="AG708" s="38" t="s">
        <v>369</v>
      </c>
      <c r="AH708" s="38" t="s">
        <v>369</v>
      </c>
      <c r="AI708" s="51">
        <f>LOOKUP(Y708,$O$712:$O$743,$AI$712:$AI$743)</f>
        <v>1.5186999999999999</v>
      </c>
      <c r="AJ708" s="39"/>
      <c r="AK708" s="39"/>
      <c r="AL708" s="39"/>
      <c r="AM708" s="39">
        <f>AE$708*AI708+SUM(AJ708:AL708)</f>
        <v>3.0373999999999999</v>
      </c>
      <c r="AN708" s="3" t="s">
        <v>371</v>
      </c>
      <c r="AO708" s="3" t="s">
        <v>371</v>
      </c>
      <c r="AP708" s="3" t="s">
        <v>371</v>
      </c>
      <c r="AQ708" s="3" t="s">
        <v>371</v>
      </c>
      <c r="AR708" s="3" t="s">
        <v>371</v>
      </c>
      <c r="AS708" s="3" t="s">
        <v>371</v>
      </c>
      <c r="AT708" s="3" t="s">
        <v>371</v>
      </c>
      <c r="AU708" s="3" t="s">
        <v>81</v>
      </c>
      <c r="AV708" s="3" t="s">
        <v>81</v>
      </c>
      <c r="AW708" s="3" t="s">
        <v>81</v>
      </c>
      <c r="AX708" s="1414" t="s">
        <v>371</v>
      </c>
      <c r="AY708" s="3"/>
      <c r="AZ708" s="139"/>
      <c r="BA708" s="139"/>
      <c r="BB708" s="139"/>
      <c r="BC708" s="139"/>
      <c r="BD708" s="139"/>
      <c r="BE708" s="3"/>
    </row>
    <row r="709" spans="1:57" ht="15" customHeight="1" x14ac:dyDescent="0.4">
      <c r="A709" s="3"/>
      <c r="B709" s="689"/>
      <c r="C709" s="7"/>
      <c r="D709" s="4"/>
      <c r="E709" s="4"/>
      <c r="F709" s="4"/>
      <c r="G709" s="7"/>
      <c r="H709" s="20"/>
      <c r="I709" s="223"/>
      <c r="J709" s="223"/>
      <c r="K709" s="223"/>
      <c r="L709" s="223"/>
      <c r="M709" s="625"/>
      <c r="N709" s="625"/>
      <c r="O709" s="625"/>
      <c r="P709" s="625"/>
      <c r="Q709" s="625"/>
      <c r="R709" s="222"/>
      <c r="S709" s="576"/>
      <c r="T709" s="577"/>
      <c r="U709" s="577"/>
      <c r="V709" s="577"/>
      <c r="W709" s="577"/>
      <c r="X709" s="577"/>
      <c r="Y709" s="577"/>
      <c r="Z709" s="577"/>
      <c r="AA709" s="577"/>
      <c r="AB709" s="577"/>
      <c r="AC709" s="577"/>
      <c r="AD709" s="577"/>
      <c r="AE709" s="576"/>
      <c r="AF709" s="577"/>
      <c r="AG709" s="579"/>
      <c r="AH709" s="579"/>
      <c r="AI709" s="626" t="s">
        <v>2206</v>
      </c>
      <c r="AJ709" s="581"/>
      <c r="AK709" s="581"/>
      <c r="AL709" s="581"/>
      <c r="AM709" s="1587" t="s">
        <v>743</v>
      </c>
      <c r="AN709" s="577" t="s">
        <v>371</v>
      </c>
      <c r="AO709" s="577" t="s">
        <v>371</v>
      </c>
      <c r="AP709" s="577" t="s">
        <v>371</v>
      </c>
      <c r="AQ709" s="577" t="s">
        <v>371</v>
      </c>
      <c r="AR709" s="577" t="s">
        <v>371</v>
      </c>
      <c r="AS709" s="577" t="s">
        <v>371</v>
      </c>
      <c r="AT709" s="577" t="s">
        <v>371</v>
      </c>
      <c r="AU709" s="577" t="s">
        <v>81</v>
      </c>
      <c r="AV709" s="577" t="s">
        <v>81</v>
      </c>
      <c r="AW709" s="577" t="s">
        <v>81</v>
      </c>
      <c r="AX709" s="1881" t="s">
        <v>371</v>
      </c>
      <c r="AY709" s="577"/>
      <c r="AZ709" s="139"/>
      <c r="BA709" s="139"/>
      <c r="BB709" s="139"/>
      <c r="BC709" s="139"/>
      <c r="BD709" s="139"/>
      <c r="BE709" s="3"/>
    </row>
    <row r="710" spans="1:57" ht="15" customHeight="1" x14ac:dyDescent="0.4">
      <c r="A710" s="3"/>
      <c r="B710" s="689"/>
      <c r="C710" s="3"/>
      <c r="D710" s="4"/>
      <c r="E710" s="4"/>
      <c r="F710" s="4"/>
      <c r="G710" s="7"/>
      <c r="H710" s="20"/>
      <c r="I710" s="500"/>
      <c r="J710" s="500"/>
      <c r="K710" s="500"/>
      <c r="L710" s="500"/>
      <c r="M710" s="24"/>
      <c r="N710" s="24"/>
      <c r="O710" s="24"/>
      <c r="P710" s="24"/>
      <c r="Q710" s="452" t="s">
        <v>744</v>
      </c>
      <c r="R710" s="3"/>
      <c r="S710" s="690" t="s">
        <v>745</v>
      </c>
      <c r="T710" s="3"/>
      <c r="U710" s="3"/>
      <c r="V710" s="87" t="s">
        <v>2199</v>
      </c>
      <c r="W710" s="87"/>
      <c r="X710" s="87"/>
      <c r="Y710" s="3"/>
      <c r="Z710" s="3"/>
      <c r="AA710" s="3"/>
      <c r="AB710" s="3"/>
      <c r="AC710" s="3"/>
      <c r="AD710" s="3"/>
      <c r="AE710" s="5"/>
      <c r="AF710" s="3"/>
      <c r="AG710" s="38"/>
      <c r="AH710" s="38"/>
      <c r="AI710" s="51"/>
      <c r="AJ710" s="3"/>
      <c r="AK710" s="3"/>
      <c r="AL710" s="3"/>
      <c r="AM710" s="39"/>
      <c r="AN710" s="3" t="s">
        <v>371</v>
      </c>
      <c r="AO710" s="3" t="s">
        <v>371</v>
      </c>
      <c r="AP710" s="3" t="s">
        <v>371</v>
      </c>
      <c r="AQ710" s="3" t="s">
        <v>371</v>
      </c>
      <c r="AR710" s="3" t="s">
        <v>371</v>
      </c>
      <c r="AS710" s="3" t="s">
        <v>371</v>
      </c>
      <c r="AT710" s="3" t="s">
        <v>371</v>
      </c>
      <c r="AU710" s="3" t="s">
        <v>81</v>
      </c>
      <c r="AV710" s="3" t="s">
        <v>81</v>
      </c>
      <c r="AW710" s="3" t="s">
        <v>81</v>
      </c>
      <c r="AX710" s="1414" t="s">
        <v>371</v>
      </c>
      <c r="AY710" s="3"/>
      <c r="AZ710" s="139"/>
      <c r="BA710" s="139"/>
      <c r="BB710" s="139"/>
      <c r="BC710" s="139"/>
      <c r="BD710" s="139"/>
      <c r="BE710" s="3"/>
    </row>
    <row r="711" spans="1:57" ht="15" customHeight="1" x14ac:dyDescent="0.4">
      <c r="A711" s="3"/>
      <c r="B711" s="689"/>
      <c r="C711" s="3"/>
      <c r="D711" s="4"/>
      <c r="E711" s="4"/>
      <c r="F711" s="4"/>
      <c r="G711" s="7"/>
      <c r="H711" s="20"/>
      <c r="I711" s="500"/>
      <c r="J711" s="500"/>
      <c r="K711" s="500"/>
      <c r="L711" s="500"/>
      <c r="M711" s="24"/>
      <c r="N711" s="24"/>
      <c r="O711" s="24"/>
      <c r="P711" s="24"/>
      <c r="Q711" s="452" t="s">
        <v>356</v>
      </c>
      <c r="R711" s="3"/>
      <c r="S711" s="690" t="s">
        <v>746</v>
      </c>
      <c r="T711" s="3"/>
      <c r="U711" s="3"/>
      <c r="V711" s="87" t="s">
        <v>2200</v>
      </c>
      <c r="W711" s="206"/>
      <c r="X711" s="206"/>
      <c r="Y711" s="3"/>
      <c r="Z711" s="3"/>
      <c r="AA711" s="3"/>
      <c r="AB711" s="3"/>
      <c r="AC711" s="3"/>
      <c r="AD711" s="3"/>
      <c r="AE711" s="5"/>
      <c r="AF711" s="3"/>
      <c r="AG711" s="38"/>
      <c r="AH711" s="38"/>
      <c r="AI711" s="51"/>
      <c r="AJ711" s="3"/>
      <c r="AK711" s="3"/>
      <c r="AL711" s="3"/>
      <c r="AM711" s="39"/>
      <c r="AN711" s="3" t="s">
        <v>371</v>
      </c>
      <c r="AO711" s="3" t="s">
        <v>371</v>
      </c>
      <c r="AP711" s="3" t="s">
        <v>371</v>
      </c>
      <c r="AQ711" s="3" t="s">
        <v>371</v>
      </c>
      <c r="AR711" s="3" t="s">
        <v>371</v>
      </c>
      <c r="AS711" s="3" t="s">
        <v>371</v>
      </c>
      <c r="AT711" s="3" t="s">
        <v>371</v>
      </c>
      <c r="AU711" s="3" t="s">
        <v>81</v>
      </c>
      <c r="AV711" s="3" t="s">
        <v>81</v>
      </c>
      <c r="AW711" s="3" t="s">
        <v>81</v>
      </c>
      <c r="AX711" s="1414" t="s">
        <v>371</v>
      </c>
      <c r="AY711" s="3"/>
      <c r="AZ711" s="139"/>
      <c r="BA711" s="139"/>
      <c r="BB711" s="139"/>
      <c r="BC711" s="139"/>
      <c r="BD711" s="139"/>
      <c r="BE711" s="3"/>
    </row>
    <row r="712" spans="1:57" ht="15" customHeight="1" x14ac:dyDescent="0.4">
      <c r="A712" s="3"/>
      <c r="B712" s="689"/>
      <c r="C712" s="7"/>
      <c r="D712" s="4"/>
      <c r="E712" s="4"/>
      <c r="F712" s="4"/>
      <c r="G712" s="7"/>
      <c r="H712" s="20"/>
      <c r="I712" s="500"/>
      <c r="J712" s="500"/>
      <c r="K712" s="500"/>
      <c r="L712" s="500"/>
      <c r="M712" s="24"/>
      <c r="N712" s="24"/>
      <c r="O712" s="1974">
        <v>400019000035</v>
      </c>
      <c r="P712" s="1974"/>
      <c r="Q712" s="1974"/>
      <c r="R712" s="3">
        <v>2</v>
      </c>
      <c r="S712" s="3" t="s">
        <v>747</v>
      </c>
      <c r="T712" s="3">
        <v>7</v>
      </c>
      <c r="U712" s="3"/>
      <c r="V712" s="56" t="b">
        <f t="shared" ref="V712:V743" si="86">IF(AND(SHCoilAdjSashWeight&gt;=$R712,SHCoilAdjSashWeight&lt;=$T712),TRUE,FALSE)</f>
        <v>0</v>
      </c>
      <c r="W712" s="982"/>
      <c r="X712" s="984" t="s">
        <v>748</v>
      </c>
      <c r="Y712" s="3"/>
      <c r="Z712" s="3"/>
      <c r="AA712" s="3"/>
      <c r="AB712" s="3"/>
      <c r="AC712" s="3"/>
      <c r="AD712" s="3"/>
      <c r="AE712" s="5"/>
      <c r="AF712" s="3"/>
      <c r="AG712" s="38"/>
      <c r="AH712" s="38"/>
      <c r="AI712" s="353">
        <v>0.79020000000000001</v>
      </c>
      <c r="AJ712" s="39"/>
      <c r="AK712" s="39"/>
      <c r="AL712" s="39"/>
      <c r="AM712" s="39"/>
      <c r="AN712" s="3" t="s">
        <v>371</v>
      </c>
      <c r="AO712" s="3" t="s">
        <v>371</v>
      </c>
      <c r="AP712" s="3" t="s">
        <v>371</v>
      </c>
      <c r="AQ712" s="3" t="s">
        <v>371</v>
      </c>
      <c r="AR712" s="3" t="s">
        <v>371</v>
      </c>
      <c r="AS712" s="3" t="s">
        <v>371</v>
      </c>
      <c r="AT712" s="3" t="s">
        <v>371</v>
      </c>
      <c r="AU712" s="3" t="s">
        <v>81</v>
      </c>
      <c r="AV712" s="3" t="s">
        <v>81</v>
      </c>
      <c r="AW712" s="3" t="s">
        <v>81</v>
      </c>
      <c r="AX712" s="1414" t="s">
        <v>371</v>
      </c>
      <c r="AY712" s="3"/>
      <c r="AZ712" s="139"/>
      <c r="BA712" s="139"/>
      <c r="BB712" s="139"/>
      <c r="BC712" s="139"/>
      <c r="BD712" s="139"/>
      <c r="BE712" s="3"/>
    </row>
    <row r="713" spans="1:57" ht="15" customHeight="1" x14ac:dyDescent="0.4">
      <c r="A713" s="3"/>
      <c r="B713" s="689"/>
      <c r="C713" s="7"/>
      <c r="D713" s="4"/>
      <c r="E713" s="4"/>
      <c r="F713" s="4"/>
      <c r="G713" s="7"/>
      <c r="H713" s="20"/>
      <c r="I713" s="500"/>
      <c r="J713" s="500"/>
      <c r="K713" s="500"/>
      <c r="L713" s="500"/>
      <c r="M713" s="24"/>
      <c r="N713" s="24"/>
      <c r="O713" s="1974">
        <v>400019000045</v>
      </c>
      <c r="P713" s="1974"/>
      <c r="Q713" s="1974"/>
      <c r="R713" s="3">
        <f>T712</f>
        <v>7</v>
      </c>
      <c r="S713" s="3" t="s">
        <v>747</v>
      </c>
      <c r="T713" s="3">
        <v>9</v>
      </c>
      <c r="U713" s="3"/>
      <c r="V713" s="56" t="b">
        <f t="shared" si="86"/>
        <v>0</v>
      </c>
      <c r="W713" s="982"/>
      <c r="X713" s="984" t="s">
        <v>749</v>
      </c>
      <c r="Y713" s="3"/>
      <c r="Z713" s="3"/>
      <c r="AA713" s="3"/>
      <c r="AB713" s="3"/>
      <c r="AC713" s="3"/>
      <c r="AD713" s="3"/>
      <c r="AE713" s="5"/>
      <c r="AF713" s="3"/>
      <c r="AG713" s="38"/>
      <c r="AH713" s="38"/>
      <c r="AI713" s="353">
        <v>0.79549999999999998</v>
      </c>
      <c r="AJ713" s="39"/>
      <c r="AK713" s="39"/>
      <c r="AL713" s="39"/>
      <c r="AM713" s="39"/>
      <c r="AN713" s="3" t="s">
        <v>371</v>
      </c>
      <c r="AO713" s="3" t="s">
        <v>371</v>
      </c>
      <c r="AP713" s="3" t="s">
        <v>371</v>
      </c>
      <c r="AQ713" s="3" t="s">
        <v>371</v>
      </c>
      <c r="AR713" s="3" t="s">
        <v>371</v>
      </c>
      <c r="AS713" s="3" t="s">
        <v>371</v>
      </c>
      <c r="AT713" s="3" t="s">
        <v>371</v>
      </c>
      <c r="AU713" s="3" t="s">
        <v>81</v>
      </c>
      <c r="AV713" s="3" t="s">
        <v>81</v>
      </c>
      <c r="AW713" s="3" t="s">
        <v>81</v>
      </c>
      <c r="AX713" s="1414" t="s">
        <v>371</v>
      </c>
      <c r="AY713" s="3"/>
      <c r="AZ713" s="139"/>
      <c r="BA713" s="139"/>
      <c r="BB713" s="139"/>
      <c r="BC713" s="139"/>
      <c r="BD713" s="139"/>
      <c r="BE713" s="3"/>
    </row>
    <row r="714" spans="1:57" ht="15" customHeight="1" x14ac:dyDescent="0.4">
      <c r="A714" s="3"/>
      <c r="B714" s="689"/>
      <c r="C714" s="7"/>
      <c r="D714" s="4"/>
      <c r="E714" s="4"/>
      <c r="F714" s="4"/>
      <c r="G714" s="7"/>
      <c r="H714" s="20"/>
      <c r="I714" s="500"/>
      <c r="J714" s="500"/>
      <c r="K714" s="500"/>
      <c r="L714" s="500"/>
      <c r="M714" s="24"/>
      <c r="N714" s="24"/>
      <c r="O714" s="1974">
        <v>400019000055</v>
      </c>
      <c r="P714" s="1974"/>
      <c r="Q714" s="1974"/>
      <c r="R714" s="3">
        <f t="shared" ref="R714:R743" si="87">T713</f>
        <v>9</v>
      </c>
      <c r="S714" s="3" t="s">
        <v>747</v>
      </c>
      <c r="T714" s="3">
        <v>11</v>
      </c>
      <c r="U714" s="3"/>
      <c r="V714" s="56" t="b">
        <f t="shared" si="86"/>
        <v>0</v>
      </c>
      <c r="W714" s="982"/>
      <c r="X714" s="984" t="s">
        <v>750</v>
      </c>
      <c r="Y714" s="3"/>
      <c r="Z714" s="3"/>
      <c r="AA714" s="3"/>
      <c r="AB714" s="3"/>
      <c r="AC714" s="3"/>
      <c r="AD714" s="3"/>
      <c r="AE714" s="5"/>
      <c r="AF714" s="3"/>
      <c r="AG714" s="38"/>
      <c r="AH714" s="38"/>
      <c r="AI714" s="353">
        <v>0.81030000000000002</v>
      </c>
      <c r="AJ714" s="39"/>
      <c r="AK714" s="39"/>
      <c r="AL714" s="39"/>
      <c r="AM714" s="39"/>
      <c r="AN714" s="3" t="s">
        <v>371</v>
      </c>
      <c r="AO714" s="3" t="s">
        <v>371</v>
      </c>
      <c r="AP714" s="3" t="s">
        <v>371</v>
      </c>
      <c r="AQ714" s="3" t="s">
        <v>371</v>
      </c>
      <c r="AR714" s="3" t="s">
        <v>371</v>
      </c>
      <c r="AS714" s="3" t="s">
        <v>371</v>
      </c>
      <c r="AT714" s="3" t="s">
        <v>371</v>
      </c>
      <c r="AU714" s="3" t="s">
        <v>81</v>
      </c>
      <c r="AV714" s="3" t="s">
        <v>81</v>
      </c>
      <c r="AW714" s="3" t="s">
        <v>81</v>
      </c>
      <c r="AX714" s="1414" t="s">
        <v>371</v>
      </c>
      <c r="AY714" s="3"/>
      <c r="AZ714" s="139"/>
      <c r="BA714" s="139"/>
      <c r="BB714" s="139"/>
      <c r="BC714" s="139"/>
      <c r="BD714" s="139"/>
      <c r="BE714" s="3"/>
    </row>
    <row r="715" spans="1:57" ht="15" customHeight="1" x14ac:dyDescent="0.4">
      <c r="A715" s="3"/>
      <c r="B715" s="689"/>
      <c r="C715" s="7"/>
      <c r="D715" s="4"/>
      <c r="E715" s="4"/>
      <c r="F715" s="4"/>
      <c r="G715" s="7"/>
      <c r="H715" s="20"/>
      <c r="I715" s="500"/>
      <c r="J715" s="500"/>
      <c r="K715" s="500"/>
      <c r="L715" s="500"/>
      <c r="M715" s="24"/>
      <c r="N715" s="24"/>
      <c r="O715" s="1974">
        <v>400019000065</v>
      </c>
      <c r="P715" s="1974"/>
      <c r="Q715" s="1974"/>
      <c r="R715" s="3">
        <f t="shared" si="87"/>
        <v>11</v>
      </c>
      <c r="S715" s="3" t="s">
        <v>747</v>
      </c>
      <c r="T715" s="3">
        <v>13</v>
      </c>
      <c r="U715" s="3"/>
      <c r="V715" s="56" t="b">
        <f t="shared" si="86"/>
        <v>0</v>
      </c>
      <c r="W715" s="982"/>
      <c r="X715" s="984" t="s">
        <v>751</v>
      </c>
      <c r="Y715" s="3"/>
      <c r="Z715" s="3"/>
      <c r="AA715" s="3"/>
      <c r="AB715" s="3"/>
      <c r="AC715" s="3"/>
      <c r="AD715" s="3"/>
      <c r="AE715" s="5"/>
      <c r="AF715" s="3"/>
      <c r="AG715" s="38"/>
      <c r="AH715" s="38"/>
      <c r="AI715" s="353">
        <v>0.83730000000000004</v>
      </c>
      <c r="AJ715" s="39"/>
      <c r="AK715" s="39"/>
      <c r="AL715" s="39"/>
      <c r="AM715" s="39"/>
      <c r="AN715" s="3" t="s">
        <v>371</v>
      </c>
      <c r="AO715" s="3" t="s">
        <v>371</v>
      </c>
      <c r="AP715" s="3" t="s">
        <v>371</v>
      </c>
      <c r="AQ715" s="3" t="s">
        <v>371</v>
      </c>
      <c r="AR715" s="3" t="s">
        <v>371</v>
      </c>
      <c r="AS715" s="3" t="s">
        <v>371</v>
      </c>
      <c r="AT715" s="3" t="s">
        <v>371</v>
      </c>
      <c r="AU715" s="3" t="s">
        <v>81</v>
      </c>
      <c r="AV715" s="3" t="s">
        <v>81</v>
      </c>
      <c r="AW715" s="3" t="s">
        <v>81</v>
      </c>
      <c r="AX715" s="1414" t="s">
        <v>371</v>
      </c>
      <c r="AY715" s="3"/>
      <c r="AZ715" s="139"/>
      <c r="BA715" s="139"/>
      <c r="BB715" s="139"/>
      <c r="BC715" s="139"/>
      <c r="BD715" s="139"/>
      <c r="BE715" s="3"/>
    </row>
    <row r="716" spans="1:57" ht="15" customHeight="1" x14ac:dyDescent="0.4">
      <c r="A716" s="3"/>
      <c r="B716" s="689"/>
      <c r="C716" s="7"/>
      <c r="D716" s="4"/>
      <c r="E716" s="4"/>
      <c r="F716" s="4"/>
      <c r="G716" s="7"/>
      <c r="H716" s="20"/>
      <c r="I716" s="500"/>
      <c r="J716" s="500"/>
      <c r="K716" s="500"/>
      <c r="L716" s="500"/>
      <c r="M716" s="24"/>
      <c r="N716" s="24"/>
      <c r="O716" s="1974">
        <v>400019000075</v>
      </c>
      <c r="P716" s="1974"/>
      <c r="Q716" s="1974"/>
      <c r="R716" s="3">
        <f t="shared" si="87"/>
        <v>13</v>
      </c>
      <c r="S716" s="3" t="s">
        <v>747</v>
      </c>
      <c r="T716" s="3">
        <v>15</v>
      </c>
      <c r="U716" s="3"/>
      <c r="V716" s="56" t="b">
        <f t="shared" si="86"/>
        <v>0</v>
      </c>
      <c r="W716" s="982"/>
      <c r="X716" s="984" t="s">
        <v>752</v>
      </c>
      <c r="Y716" s="3"/>
      <c r="Z716" s="3"/>
      <c r="AA716" s="3"/>
      <c r="AB716" s="3"/>
      <c r="AC716" s="3"/>
      <c r="AD716" s="3"/>
      <c r="AE716" s="5"/>
      <c r="AF716" s="3"/>
      <c r="AG716" s="38"/>
      <c r="AH716" s="38"/>
      <c r="AI716" s="353">
        <v>0.86240000000000006</v>
      </c>
      <c r="AJ716" s="39"/>
      <c r="AK716" s="39"/>
      <c r="AL716" s="39"/>
      <c r="AM716" s="39"/>
      <c r="AN716" s="3" t="s">
        <v>371</v>
      </c>
      <c r="AO716" s="3" t="s">
        <v>371</v>
      </c>
      <c r="AP716" s="3" t="s">
        <v>371</v>
      </c>
      <c r="AQ716" s="3" t="s">
        <v>371</v>
      </c>
      <c r="AR716" s="3" t="s">
        <v>371</v>
      </c>
      <c r="AS716" s="3" t="s">
        <v>371</v>
      </c>
      <c r="AT716" s="3" t="s">
        <v>371</v>
      </c>
      <c r="AU716" s="3" t="s">
        <v>81</v>
      </c>
      <c r="AV716" s="3" t="s">
        <v>81</v>
      </c>
      <c r="AW716" s="3" t="s">
        <v>81</v>
      </c>
      <c r="AX716" s="1414" t="s">
        <v>371</v>
      </c>
      <c r="AY716" s="3"/>
      <c r="AZ716" s="139"/>
      <c r="BA716" s="139"/>
      <c r="BB716" s="139"/>
      <c r="BC716" s="139"/>
      <c r="BD716" s="139"/>
      <c r="BE716" s="3"/>
    </row>
    <row r="717" spans="1:57" ht="15" customHeight="1" x14ac:dyDescent="0.4">
      <c r="A717" s="3"/>
      <c r="B717" s="689"/>
      <c r="C717" s="7"/>
      <c r="D717" s="4"/>
      <c r="E717" s="4"/>
      <c r="F717" s="4"/>
      <c r="G717" s="7"/>
      <c r="H717" s="20"/>
      <c r="I717" s="500"/>
      <c r="J717" s="500"/>
      <c r="K717" s="500"/>
      <c r="L717" s="500"/>
      <c r="M717" s="24"/>
      <c r="N717" s="24"/>
      <c r="O717" s="1974">
        <v>400019000090</v>
      </c>
      <c r="P717" s="1974"/>
      <c r="Q717" s="1974"/>
      <c r="R717" s="3">
        <f t="shared" si="87"/>
        <v>15</v>
      </c>
      <c r="S717" s="3" t="s">
        <v>747</v>
      </c>
      <c r="T717" s="3">
        <v>18</v>
      </c>
      <c r="U717" s="3"/>
      <c r="V717" s="56" t="b">
        <f t="shared" si="86"/>
        <v>0</v>
      </c>
      <c r="W717" s="982"/>
      <c r="X717" s="984" t="s">
        <v>753</v>
      </c>
      <c r="Y717" s="3"/>
      <c r="Z717" s="3"/>
      <c r="AA717" s="3"/>
      <c r="AB717" s="3"/>
      <c r="AC717" s="3"/>
      <c r="AD717" s="3"/>
      <c r="AE717" s="5"/>
      <c r="AF717" s="3"/>
      <c r="AG717" s="38"/>
      <c r="AH717" s="38"/>
      <c r="AI717" s="353">
        <v>0.88039999999999996</v>
      </c>
      <c r="AJ717" s="39"/>
      <c r="AK717" s="39"/>
      <c r="AL717" s="39"/>
      <c r="AM717" s="39"/>
      <c r="AN717" s="3" t="s">
        <v>371</v>
      </c>
      <c r="AO717" s="3" t="s">
        <v>371</v>
      </c>
      <c r="AP717" s="3" t="s">
        <v>371</v>
      </c>
      <c r="AQ717" s="3" t="s">
        <v>371</v>
      </c>
      <c r="AR717" s="3" t="s">
        <v>371</v>
      </c>
      <c r="AS717" s="3" t="s">
        <v>371</v>
      </c>
      <c r="AT717" s="3" t="s">
        <v>371</v>
      </c>
      <c r="AU717" s="3" t="s">
        <v>81</v>
      </c>
      <c r="AV717" s="3" t="s">
        <v>81</v>
      </c>
      <c r="AW717" s="3" t="s">
        <v>81</v>
      </c>
      <c r="AX717" s="1414" t="s">
        <v>371</v>
      </c>
      <c r="AY717" s="3"/>
      <c r="AZ717" s="139"/>
      <c r="BA717" s="139"/>
      <c r="BB717" s="139"/>
      <c r="BC717" s="139"/>
      <c r="BD717" s="139"/>
      <c r="BE717" s="3"/>
    </row>
    <row r="718" spans="1:57" ht="15" customHeight="1" x14ac:dyDescent="0.4">
      <c r="A718" s="3"/>
      <c r="B718" s="689"/>
      <c r="C718" s="7"/>
      <c r="D718" s="4"/>
      <c r="E718" s="4"/>
      <c r="F718" s="4"/>
      <c r="G718" s="7"/>
      <c r="H718" s="20"/>
      <c r="I718" s="223"/>
      <c r="J718" s="223"/>
      <c r="K718" s="223"/>
      <c r="L718" s="223"/>
      <c r="M718" s="625"/>
      <c r="N718" s="625"/>
      <c r="O718" s="1998">
        <v>400019000100</v>
      </c>
      <c r="P718" s="1998"/>
      <c r="Q718" s="1998"/>
      <c r="R718" s="577">
        <f t="shared" si="87"/>
        <v>18</v>
      </c>
      <c r="S718" s="577" t="s">
        <v>747</v>
      </c>
      <c r="T718" s="577">
        <v>20</v>
      </c>
      <c r="U718" s="577"/>
      <c r="V718" s="576" t="b">
        <f t="shared" si="86"/>
        <v>0</v>
      </c>
      <c r="W718" s="983"/>
      <c r="X718" s="985" t="s">
        <v>754</v>
      </c>
      <c r="Y718" s="577"/>
      <c r="Z718" s="577"/>
      <c r="AA718" s="577"/>
      <c r="AB718" s="577"/>
      <c r="AC718" s="577"/>
      <c r="AD718" s="577"/>
      <c r="AE718" s="575"/>
      <c r="AF718" s="577"/>
      <c r="AG718" s="579"/>
      <c r="AH718" s="579"/>
      <c r="AI718" s="1425">
        <v>0.88200000000000001</v>
      </c>
      <c r="AJ718" s="581"/>
      <c r="AK718" s="581"/>
      <c r="AL718" s="581"/>
      <c r="AM718" s="581"/>
      <c r="AN718" s="577" t="s">
        <v>371</v>
      </c>
      <c r="AO718" s="577" t="s">
        <v>371</v>
      </c>
      <c r="AP718" s="577" t="s">
        <v>371</v>
      </c>
      <c r="AQ718" s="577" t="s">
        <v>371</v>
      </c>
      <c r="AR718" s="577" t="s">
        <v>371</v>
      </c>
      <c r="AS718" s="577" t="s">
        <v>371</v>
      </c>
      <c r="AT718" s="577" t="s">
        <v>371</v>
      </c>
      <c r="AU718" s="577" t="s">
        <v>81</v>
      </c>
      <c r="AV718" s="577" t="s">
        <v>81</v>
      </c>
      <c r="AW718" s="577" t="s">
        <v>81</v>
      </c>
      <c r="AX718" s="1881" t="s">
        <v>371</v>
      </c>
      <c r="AY718" s="577"/>
      <c r="AZ718" s="139"/>
      <c r="BA718" s="139"/>
      <c r="BB718" s="139"/>
      <c r="BC718" s="139"/>
      <c r="BD718" s="139"/>
      <c r="BE718" s="3"/>
    </row>
    <row r="719" spans="1:57" ht="15" customHeight="1" x14ac:dyDescent="0.4">
      <c r="A719" s="3"/>
      <c r="B719" s="689"/>
      <c r="C719" s="7"/>
      <c r="D719" s="4"/>
      <c r="E719" s="4"/>
      <c r="F719" s="4"/>
      <c r="G719" s="7"/>
      <c r="H719" s="20"/>
      <c r="I719" s="500"/>
      <c r="J719" s="500"/>
      <c r="K719" s="500"/>
      <c r="L719" s="500"/>
      <c r="M719" s="24"/>
      <c r="N719" s="24"/>
      <c r="O719" s="1974">
        <v>400019000110</v>
      </c>
      <c r="P719" s="1974"/>
      <c r="Q719" s="1974"/>
      <c r="R719" s="3">
        <f t="shared" si="87"/>
        <v>20</v>
      </c>
      <c r="S719" s="3" t="s">
        <v>747</v>
      </c>
      <c r="T719" s="3">
        <v>22</v>
      </c>
      <c r="U719" s="3"/>
      <c r="V719" s="56" t="b">
        <f t="shared" si="86"/>
        <v>0</v>
      </c>
      <c r="W719" s="982"/>
      <c r="X719" s="984" t="s">
        <v>755</v>
      </c>
      <c r="Y719" s="3"/>
      <c r="Z719" s="3"/>
      <c r="AA719" s="3"/>
      <c r="AB719" s="3"/>
      <c r="AC719" s="3"/>
      <c r="AD719" s="3"/>
      <c r="AE719" s="5"/>
      <c r="AF719" s="3"/>
      <c r="AG719" s="38"/>
      <c r="AH719" s="38"/>
      <c r="AI719" s="353">
        <v>1.2166999999999999</v>
      </c>
      <c r="AJ719" s="39"/>
      <c r="AK719" s="39"/>
      <c r="AL719" s="39"/>
      <c r="AM719" s="39"/>
      <c r="AN719" s="3" t="s">
        <v>371</v>
      </c>
      <c r="AO719" s="3" t="s">
        <v>371</v>
      </c>
      <c r="AP719" s="3" t="s">
        <v>371</v>
      </c>
      <c r="AQ719" s="3" t="s">
        <v>371</v>
      </c>
      <c r="AR719" s="3" t="s">
        <v>371</v>
      </c>
      <c r="AS719" s="3" t="s">
        <v>371</v>
      </c>
      <c r="AT719" s="3" t="s">
        <v>371</v>
      </c>
      <c r="AU719" s="3" t="s">
        <v>81</v>
      </c>
      <c r="AV719" s="3" t="s">
        <v>81</v>
      </c>
      <c r="AW719" s="3" t="s">
        <v>81</v>
      </c>
      <c r="AX719" s="1414" t="s">
        <v>371</v>
      </c>
      <c r="AY719" s="3"/>
      <c r="AZ719" s="139"/>
      <c r="BA719" s="139"/>
      <c r="BB719" s="139"/>
      <c r="BC719" s="139"/>
      <c r="BD719" s="139"/>
      <c r="BE719" s="3"/>
    </row>
    <row r="720" spans="1:57" ht="15" customHeight="1" x14ac:dyDescent="0.4">
      <c r="A720" s="3"/>
      <c r="B720" s="689"/>
      <c r="C720" s="7"/>
      <c r="D720" s="4"/>
      <c r="E720" s="4"/>
      <c r="F720" s="4"/>
      <c r="G720" s="7"/>
      <c r="H720" s="20"/>
      <c r="I720" s="500"/>
      <c r="J720" s="500"/>
      <c r="K720" s="500"/>
      <c r="L720" s="500"/>
      <c r="M720" s="24"/>
      <c r="N720" s="24"/>
      <c r="O720" s="1974">
        <v>400019000120</v>
      </c>
      <c r="P720" s="1974"/>
      <c r="Q720" s="1974"/>
      <c r="R720" s="3">
        <f t="shared" si="87"/>
        <v>22</v>
      </c>
      <c r="S720" s="3" t="s">
        <v>747</v>
      </c>
      <c r="T720" s="3">
        <v>24</v>
      </c>
      <c r="U720" s="3"/>
      <c r="V720" s="56" t="b">
        <f t="shared" si="86"/>
        <v>0</v>
      </c>
      <c r="W720" s="982"/>
      <c r="X720" s="984" t="s">
        <v>756</v>
      </c>
      <c r="Y720" s="3"/>
      <c r="Z720" s="3"/>
      <c r="AA720" s="3"/>
      <c r="AB720" s="3"/>
      <c r="AC720" s="3"/>
      <c r="AD720" s="3"/>
      <c r="AE720" s="5"/>
      <c r="AF720" s="3"/>
      <c r="AG720" s="38"/>
      <c r="AH720" s="38"/>
      <c r="AI720" s="353">
        <v>1.2532000000000001</v>
      </c>
      <c r="AJ720" s="39"/>
      <c r="AK720" s="39"/>
      <c r="AL720" s="39"/>
      <c r="AM720" s="39"/>
      <c r="AN720" s="3" t="s">
        <v>371</v>
      </c>
      <c r="AO720" s="3" t="s">
        <v>371</v>
      </c>
      <c r="AP720" s="3" t="s">
        <v>371</v>
      </c>
      <c r="AQ720" s="3" t="s">
        <v>371</v>
      </c>
      <c r="AR720" s="3" t="s">
        <v>371</v>
      </c>
      <c r="AS720" s="3" t="s">
        <v>371</v>
      </c>
      <c r="AT720" s="3" t="s">
        <v>371</v>
      </c>
      <c r="AU720" s="3" t="s">
        <v>81</v>
      </c>
      <c r="AV720" s="3" t="s">
        <v>81</v>
      </c>
      <c r="AW720" s="3" t="s">
        <v>81</v>
      </c>
      <c r="AX720" s="1414" t="s">
        <v>371</v>
      </c>
      <c r="AY720" s="3"/>
      <c r="AZ720" s="139"/>
      <c r="BA720" s="139"/>
      <c r="BB720" s="139"/>
      <c r="BC720" s="139"/>
      <c r="BD720" s="139"/>
      <c r="BE720" s="3"/>
    </row>
    <row r="721" spans="1:57" ht="15" customHeight="1" x14ac:dyDescent="0.4">
      <c r="A721" s="3"/>
      <c r="B721" s="689"/>
      <c r="C721" s="7"/>
      <c r="D721" s="4"/>
      <c r="E721" s="4"/>
      <c r="F721" s="4"/>
      <c r="G721" s="7"/>
      <c r="H721" s="20"/>
      <c r="I721" s="500"/>
      <c r="J721" s="500"/>
      <c r="K721" s="500"/>
      <c r="L721" s="500"/>
      <c r="M721" s="24"/>
      <c r="N721" s="24"/>
      <c r="O721" s="1974">
        <v>400019000130</v>
      </c>
      <c r="P721" s="1974"/>
      <c r="Q721" s="1974"/>
      <c r="R721" s="3">
        <f t="shared" si="87"/>
        <v>24</v>
      </c>
      <c r="S721" s="3" t="s">
        <v>747</v>
      </c>
      <c r="T721" s="3">
        <v>26</v>
      </c>
      <c r="U721" s="3"/>
      <c r="V721" s="56" t="b">
        <f t="shared" si="86"/>
        <v>0</v>
      </c>
      <c r="W721" s="982"/>
      <c r="X721" s="984" t="s">
        <v>757</v>
      </c>
      <c r="Y721" s="3"/>
      <c r="Z721" s="3"/>
      <c r="AA721" s="3"/>
      <c r="AB721" s="3"/>
      <c r="AC721" s="3"/>
      <c r="AD721" s="3"/>
      <c r="AE721" s="5"/>
      <c r="AF721" s="3"/>
      <c r="AG721" s="38"/>
      <c r="AH721" s="38"/>
      <c r="AI721" s="353">
        <v>1.3711</v>
      </c>
      <c r="AJ721" s="39"/>
      <c r="AK721" s="39"/>
      <c r="AL721" s="39"/>
      <c r="AM721" s="39"/>
      <c r="AN721" s="3" t="s">
        <v>371</v>
      </c>
      <c r="AO721" s="3" t="s">
        <v>371</v>
      </c>
      <c r="AP721" s="3" t="s">
        <v>371</v>
      </c>
      <c r="AQ721" s="3" t="s">
        <v>371</v>
      </c>
      <c r="AR721" s="3" t="s">
        <v>371</v>
      </c>
      <c r="AS721" s="3" t="s">
        <v>371</v>
      </c>
      <c r="AT721" s="3" t="s">
        <v>371</v>
      </c>
      <c r="AU721" s="3" t="s">
        <v>81</v>
      </c>
      <c r="AV721" s="3" t="s">
        <v>81</v>
      </c>
      <c r="AW721" s="3" t="s">
        <v>81</v>
      </c>
      <c r="AX721" s="1414" t="s">
        <v>371</v>
      </c>
      <c r="AY721" s="3"/>
      <c r="AZ721" s="139"/>
      <c r="BA721" s="139"/>
      <c r="BB721" s="139"/>
      <c r="BC721" s="139"/>
      <c r="BD721" s="139"/>
      <c r="BE721" s="3"/>
    </row>
    <row r="722" spans="1:57" ht="15" customHeight="1" x14ac:dyDescent="0.4">
      <c r="A722" s="3"/>
      <c r="B722" s="689"/>
      <c r="C722" s="7"/>
      <c r="D722" s="4"/>
      <c r="E722" s="4"/>
      <c r="F722" s="4"/>
      <c r="G722" s="7"/>
      <c r="H722" s="20"/>
      <c r="I722" s="500"/>
      <c r="J722" s="500"/>
      <c r="K722" s="500"/>
      <c r="L722" s="500"/>
      <c r="M722" s="24"/>
      <c r="N722" s="24"/>
      <c r="O722" s="1974">
        <v>400019000140</v>
      </c>
      <c r="P722" s="1974"/>
      <c r="Q722" s="1974"/>
      <c r="R722" s="3">
        <f t="shared" si="87"/>
        <v>26</v>
      </c>
      <c r="S722" s="3" t="s">
        <v>747</v>
      </c>
      <c r="T722" s="3">
        <v>28</v>
      </c>
      <c r="U722" s="3"/>
      <c r="V722" s="56" t="b">
        <f t="shared" si="86"/>
        <v>0</v>
      </c>
      <c r="W722" s="982"/>
      <c r="X722" s="984" t="s">
        <v>758</v>
      </c>
      <c r="Y722" s="3"/>
      <c r="Z722" s="3"/>
      <c r="AA722" s="3"/>
      <c r="AB722" s="3"/>
      <c r="AC722" s="3"/>
      <c r="AD722" s="3"/>
      <c r="AE722" s="5"/>
      <c r="AF722" s="3"/>
      <c r="AG722" s="38"/>
      <c r="AH722" s="38"/>
      <c r="AI722" s="353">
        <v>1.4121999999999999</v>
      </c>
      <c r="AJ722" s="39"/>
      <c r="AK722" s="39"/>
      <c r="AL722" s="39"/>
      <c r="AM722" s="39"/>
      <c r="AN722" s="3" t="s">
        <v>371</v>
      </c>
      <c r="AO722" s="3" t="s">
        <v>371</v>
      </c>
      <c r="AP722" s="3" t="s">
        <v>371</v>
      </c>
      <c r="AQ722" s="3" t="s">
        <v>371</v>
      </c>
      <c r="AR722" s="3" t="s">
        <v>371</v>
      </c>
      <c r="AS722" s="3" t="s">
        <v>371</v>
      </c>
      <c r="AT722" s="3" t="s">
        <v>371</v>
      </c>
      <c r="AU722" s="3" t="s">
        <v>81</v>
      </c>
      <c r="AV722" s="3" t="s">
        <v>81</v>
      </c>
      <c r="AW722" s="3" t="s">
        <v>81</v>
      </c>
      <c r="AX722" s="1414" t="s">
        <v>371</v>
      </c>
      <c r="AY722" s="3"/>
      <c r="AZ722" s="139"/>
      <c r="BA722" s="139"/>
      <c r="BB722" s="139"/>
      <c r="BC722" s="139"/>
      <c r="BD722" s="139"/>
      <c r="BE722" s="3"/>
    </row>
    <row r="723" spans="1:57" ht="15" customHeight="1" x14ac:dyDescent="0.4">
      <c r="A723" s="3"/>
      <c r="B723" s="689"/>
      <c r="C723" s="4" t="s">
        <v>759</v>
      </c>
      <c r="D723" s="4"/>
      <c r="E723" s="4"/>
      <c r="F723" s="4"/>
      <c r="G723" s="7"/>
      <c r="H723" s="20"/>
      <c r="I723" s="500"/>
      <c r="J723" s="500"/>
      <c r="K723" s="500"/>
      <c r="L723" s="500"/>
      <c r="M723" s="24"/>
      <c r="N723" s="24"/>
      <c r="O723" s="1974">
        <v>400019000150</v>
      </c>
      <c r="P723" s="1974"/>
      <c r="Q723" s="1974"/>
      <c r="R723" s="3">
        <f t="shared" si="87"/>
        <v>28</v>
      </c>
      <c r="S723" s="3" t="s">
        <v>747</v>
      </c>
      <c r="T723" s="3">
        <v>30</v>
      </c>
      <c r="U723" s="3"/>
      <c r="V723" s="56" t="b">
        <f t="shared" si="86"/>
        <v>1</v>
      </c>
      <c r="W723" s="982"/>
      <c r="X723" s="984" t="s">
        <v>760</v>
      </c>
      <c r="Y723" s="3"/>
      <c r="Z723" s="3"/>
      <c r="AA723" s="3"/>
      <c r="AB723" s="3"/>
      <c r="AC723" s="3"/>
      <c r="AD723" s="3"/>
      <c r="AE723" s="5"/>
      <c r="AF723" s="3"/>
      <c r="AG723" s="38"/>
      <c r="AH723" s="38"/>
      <c r="AI723" s="353">
        <v>1.5186999999999999</v>
      </c>
      <c r="AJ723" s="39"/>
      <c r="AK723" s="39"/>
      <c r="AL723" s="39"/>
      <c r="AM723" s="39"/>
      <c r="AN723" s="3" t="s">
        <v>371</v>
      </c>
      <c r="AO723" s="3" t="s">
        <v>371</v>
      </c>
      <c r="AP723" s="3" t="s">
        <v>371</v>
      </c>
      <c r="AQ723" s="3" t="s">
        <v>371</v>
      </c>
      <c r="AR723" s="3" t="s">
        <v>371</v>
      </c>
      <c r="AS723" s="3" t="s">
        <v>371</v>
      </c>
      <c r="AT723" s="3" t="s">
        <v>371</v>
      </c>
      <c r="AU723" s="3" t="s">
        <v>81</v>
      </c>
      <c r="AV723" s="3" t="s">
        <v>81</v>
      </c>
      <c r="AW723" s="3" t="s">
        <v>81</v>
      </c>
      <c r="AX723" s="1414" t="s">
        <v>371</v>
      </c>
      <c r="AY723" s="3"/>
      <c r="AZ723" s="139"/>
      <c r="BA723" s="139"/>
      <c r="BB723" s="139"/>
      <c r="BC723" s="139"/>
      <c r="BD723" s="139"/>
      <c r="BE723" s="3"/>
    </row>
    <row r="724" spans="1:57" ht="15" customHeight="1" x14ac:dyDescent="0.4">
      <c r="A724" s="3"/>
      <c r="B724" s="689"/>
      <c r="C724" s="4" t="s">
        <v>761</v>
      </c>
      <c r="D724" s="4"/>
      <c r="E724" s="4"/>
      <c r="F724" s="4"/>
      <c r="G724" s="7"/>
      <c r="H724" s="20"/>
      <c r="I724" s="500"/>
      <c r="J724" s="500"/>
      <c r="K724" s="500"/>
      <c r="L724" s="500"/>
      <c r="M724" s="24"/>
      <c r="N724" s="24"/>
      <c r="O724" s="1974">
        <v>400019000165</v>
      </c>
      <c r="P724" s="1974"/>
      <c r="Q724" s="1974"/>
      <c r="R724" s="3">
        <f t="shared" si="87"/>
        <v>30</v>
      </c>
      <c r="S724" s="3" t="s">
        <v>747</v>
      </c>
      <c r="T724" s="3">
        <v>33</v>
      </c>
      <c r="U724" s="3"/>
      <c r="V724" s="56" t="b">
        <f t="shared" si="86"/>
        <v>0</v>
      </c>
      <c r="W724" s="982"/>
      <c r="X724" s="984" t="s">
        <v>762</v>
      </c>
      <c r="Y724" s="3"/>
      <c r="Z724" s="3"/>
      <c r="AA724" s="3"/>
      <c r="AB724" s="3"/>
      <c r="AC724" s="3"/>
      <c r="AD724" s="3"/>
      <c r="AE724" s="5"/>
      <c r="AF724" s="3"/>
      <c r="AG724" s="38"/>
      <c r="AH724" s="38"/>
      <c r="AI724" s="353">
        <v>1.4973000000000001</v>
      </c>
      <c r="AJ724" s="39"/>
      <c r="AK724" s="39"/>
      <c r="AL724" s="39"/>
      <c r="AM724" s="39"/>
      <c r="AN724" s="3" t="s">
        <v>371</v>
      </c>
      <c r="AO724" s="3" t="s">
        <v>371</v>
      </c>
      <c r="AP724" s="3" t="s">
        <v>371</v>
      </c>
      <c r="AQ724" s="3" t="s">
        <v>371</v>
      </c>
      <c r="AR724" s="3" t="s">
        <v>371</v>
      </c>
      <c r="AS724" s="3" t="s">
        <v>371</v>
      </c>
      <c r="AT724" s="3" t="s">
        <v>371</v>
      </c>
      <c r="AU724" s="3" t="s">
        <v>81</v>
      </c>
      <c r="AV724" s="3" t="s">
        <v>81</v>
      </c>
      <c r="AW724" s="3" t="s">
        <v>81</v>
      </c>
      <c r="AX724" s="1414" t="s">
        <v>371</v>
      </c>
      <c r="AY724" s="3"/>
      <c r="AZ724" s="139"/>
      <c r="BA724" s="139"/>
      <c r="BB724" s="139"/>
      <c r="BC724" s="139"/>
      <c r="BD724" s="139"/>
      <c r="BE724" s="3"/>
    </row>
    <row r="725" spans="1:57" ht="15" customHeight="1" x14ac:dyDescent="0.4">
      <c r="A725" s="3"/>
      <c r="B725" s="689"/>
      <c r="C725" s="7"/>
      <c r="D725" s="4"/>
      <c r="E725" s="4"/>
      <c r="F725" s="4"/>
      <c r="G725" s="7"/>
      <c r="H725" s="20"/>
      <c r="I725" s="500"/>
      <c r="J725" s="500"/>
      <c r="K725" s="500"/>
      <c r="L725" s="500"/>
      <c r="M725" s="24"/>
      <c r="N725" s="24"/>
      <c r="O725" s="1974">
        <v>400019000180</v>
      </c>
      <c r="P725" s="1974"/>
      <c r="Q725" s="1974"/>
      <c r="R725" s="3">
        <f t="shared" si="87"/>
        <v>33</v>
      </c>
      <c r="S725" s="3" t="s">
        <v>747</v>
      </c>
      <c r="T725" s="3">
        <v>36</v>
      </c>
      <c r="U725" s="3"/>
      <c r="V725" s="56" t="b">
        <f t="shared" si="86"/>
        <v>0</v>
      </c>
      <c r="W725" s="982"/>
      <c r="X725" s="984" t="s">
        <v>763</v>
      </c>
      <c r="Y725" s="3"/>
      <c r="Z725" s="3"/>
      <c r="AA725" s="3"/>
      <c r="AB725" s="3"/>
      <c r="AC725" s="3"/>
      <c r="AD725" s="3"/>
      <c r="AE725" s="5"/>
      <c r="AF725" s="3"/>
      <c r="AG725" s="38"/>
      <c r="AH725" s="38"/>
      <c r="AI725" s="353">
        <v>1.5622</v>
      </c>
      <c r="AJ725" s="39"/>
      <c r="AK725" s="39"/>
      <c r="AL725" s="39"/>
      <c r="AM725" s="39"/>
      <c r="AN725" s="3" t="s">
        <v>371</v>
      </c>
      <c r="AO725" s="3" t="s">
        <v>371</v>
      </c>
      <c r="AP725" s="3" t="s">
        <v>371</v>
      </c>
      <c r="AQ725" s="3" t="s">
        <v>371</v>
      </c>
      <c r="AR725" s="3" t="s">
        <v>371</v>
      </c>
      <c r="AS725" s="3" t="s">
        <v>371</v>
      </c>
      <c r="AT725" s="3" t="s">
        <v>371</v>
      </c>
      <c r="AU725" s="3" t="s">
        <v>81</v>
      </c>
      <c r="AV725" s="3" t="s">
        <v>81</v>
      </c>
      <c r="AW725" s="3" t="s">
        <v>81</v>
      </c>
      <c r="AX725" s="1414" t="s">
        <v>371</v>
      </c>
      <c r="AY725" s="3"/>
      <c r="AZ725" s="139"/>
      <c r="BA725" s="139"/>
      <c r="BB725" s="139"/>
      <c r="BC725" s="139"/>
      <c r="BD725" s="139"/>
      <c r="BE725" s="3"/>
    </row>
    <row r="726" spans="1:57" ht="15" customHeight="1" x14ac:dyDescent="0.4">
      <c r="A726" s="3"/>
      <c r="B726" s="689"/>
      <c r="C726" s="7"/>
      <c r="D726" s="4"/>
      <c r="E726" s="4"/>
      <c r="F726" s="4"/>
      <c r="G726" s="7"/>
      <c r="H726" s="20"/>
      <c r="I726" s="500"/>
      <c r="J726" s="500"/>
      <c r="K726" s="500"/>
      <c r="L726" s="500"/>
      <c r="M726" s="24"/>
      <c r="N726" s="24"/>
      <c r="O726" s="1974">
        <v>400019000190</v>
      </c>
      <c r="P726" s="1974"/>
      <c r="Q726" s="1974"/>
      <c r="R726" s="3">
        <f t="shared" si="87"/>
        <v>36</v>
      </c>
      <c r="S726" s="3" t="s">
        <v>747</v>
      </c>
      <c r="T726" s="3">
        <v>38</v>
      </c>
      <c r="U726" s="3"/>
      <c r="V726" s="56" t="b">
        <f t="shared" si="86"/>
        <v>0</v>
      </c>
      <c r="W726" s="982"/>
      <c r="X726" s="984" t="s">
        <v>764</v>
      </c>
      <c r="Y726" s="3"/>
      <c r="Z726" s="3"/>
      <c r="AA726" s="3"/>
      <c r="AB726" s="3"/>
      <c r="AC726" s="3"/>
      <c r="AD726" s="3"/>
      <c r="AE726" s="5"/>
      <c r="AF726" s="3"/>
      <c r="AG726" s="38"/>
      <c r="AH726" s="38"/>
      <c r="AI726" s="353">
        <v>1.5934999999999999</v>
      </c>
      <c r="AJ726" s="39"/>
      <c r="AK726" s="39"/>
      <c r="AL726" s="39"/>
      <c r="AM726" s="39"/>
      <c r="AN726" s="3" t="s">
        <v>371</v>
      </c>
      <c r="AO726" s="3" t="s">
        <v>371</v>
      </c>
      <c r="AP726" s="3" t="s">
        <v>371</v>
      </c>
      <c r="AQ726" s="3" t="s">
        <v>371</v>
      </c>
      <c r="AR726" s="3" t="s">
        <v>371</v>
      </c>
      <c r="AS726" s="3" t="s">
        <v>371</v>
      </c>
      <c r="AT726" s="3" t="s">
        <v>371</v>
      </c>
      <c r="AU726" s="3" t="s">
        <v>81</v>
      </c>
      <c r="AV726" s="3" t="s">
        <v>81</v>
      </c>
      <c r="AW726" s="3" t="s">
        <v>81</v>
      </c>
      <c r="AX726" s="1414" t="s">
        <v>371</v>
      </c>
      <c r="AY726" s="3"/>
      <c r="AZ726" s="139"/>
      <c r="BA726" s="139"/>
      <c r="BB726" s="139"/>
      <c r="BC726" s="139"/>
      <c r="BD726" s="139"/>
      <c r="BE726" s="3"/>
    </row>
    <row r="727" spans="1:57" ht="15" customHeight="1" x14ac:dyDescent="0.4">
      <c r="A727" s="3"/>
      <c r="B727" s="689"/>
      <c r="C727" s="3"/>
      <c r="D727" s="4"/>
      <c r="E727" s="4"/>
      <c r="F727" s="4"/>
      <c r="G727" s="7"/>
      <c r="H727" s="20"/>
      <c r="I727" s="223"/>
      <c r="J727" s="223"/>
      <c r="K727" s="223"/>
      <c r="L727" s="223"/>
      <c r="M727" s="625"/>
      <c r="N727" s="625"/>
      <c r="O727" s="1998">
        <v>400019000200</v>
      </c>
      <c r="P727" s="1998"/>
      <c r="Q727" s="1998"/>
      <c r="R727" s="577">
        <f t="shared" si="87"/>
        <v>38</v>
      </c>
      <c r="S727" s="577" t="s">
        <v>747</v>
      </c>
      <c r="T727" s="577">
        <v>40</v>
      </c>
      <c r="U727" s="577"/>
      <c r="V727" s="576" t="b">
        <f t="shared" si="86"/>
        <v>0</v>
      </c>
      <c r="W727" s="983"/>
      <c r="X727" s="985" t="s">
        <v>765</v>
      </c>
      <c r="Y727" s="577"/>
      <c r="Z727" s="577"/>
      <c r="AA727" s="577"/>
      <c r="AB727" s="577"/>
      <c r="AC727" s="577"/>
      <c r="AD727" s="577"/>
      <c r="AE727" s="575"/>
      <c r="AF727" s="577"/>
      <c r="AG727" s="579"/>
      <c r="AH727" s="579"/>
      <c r="AI727" s="1425">
        <v>1.6409</v>
      </c>
      <c r="AJ727" s="581"/>
      <c r="AK727" s="581"/>
      <c r="AL727" s="581"/>
      <c r="AM727" s="581"/>
      <c r="AN727" s="577" t="s">
        <v>371</v>
      </c>
      <c r="AO727" s="577" t="s">
        <v>371</v>
      </c>
      <c r="AP727" s="577" t="s">
        <v>371</v>
      </c>
      <c r="AQ727" s="577" t="s">
        <v>371</v>
      </c>
      <c r="AR727" s="577" t="s">
        <v>371</v>
      </c>
      <c r="AS727" s="577" t="s">
        <v>371</v>
      </c>
      <c r="AT727" s="577" t="s">
        <v>371</v>
      </c>
      <c r="AU727" s="577" t="s">
        <v>81</v>
      </c>
      <c r="AV727" s="577" t="s">
        <v>81</v>
      </c>
      <c r="AW727" s="577" t="s">
        <v>81</v>
      </c>
      <c r="AX727" s="1881" t="s">
        <v>371</v>
      </c>
      <c r="AY727" s="577"/>
      <c r="AZ727" s="139"/>
      <c r="BA727" s="139"/>
      <c r="BB727" s="139"/>
      <c r="BC727" s="139"/>
      <c r="BD727" s="139"/>
      <c r="BE727" s="3"/>
    </row>
    <row r="728" spans="1:57" ht="15" customHeight="1" x14ac:dyDescent="0.4">
      <c r="A728" s="3"/>
      <c r="B728" s="689"/>
      <c r="C728" s="3"/>
      <c r="D728" s="4"/>
      <c r="E728" s="4"/>
      <c r="F728" s="4"/>
      <c r="G728" s="7"/>
      <c r="H728" s="20"/>
      <c r="I728" s="500"/>
      <c r="J728" s="500"/>
      <c r="K728" s="500"/>
      <c r="L728" s="500"/>
      <c r="M728" s="24"/>
      <c r="N728" s="24"/>
      <c r="O728" s="1974">
        <v>400019000215</v>
      </c>
      <c r="P728" s="1974"/>
      <c r="Q728" s="1974"/>
      <c r="R728" s="3">
        <f t="shared" si="87"/>
        <v>40</v>
      </c>
      <c r="S728" s="3" t="s">
        <v>747</v>
      </c>
      <c r="T728" s="3">
        <v>43</v>
      </c>
      <c r="U728" s="3"/>
      <c r="V728" s="56" t="b">
        <f t="shared" si="86"/>
        <v>0</v>
      </c>
      <c r="W728" s="982"/>
      <c r="X728" s="984" t="s">
        <v>766</v>
      </c>
      <c r="Y728" s="3"/>
      <c r="Z728" s="3"/>
      <c r="AA728" s="3"/>
      <c r="AB728" s="3"/>
      <c r="AC728" s="3"/>
      <c r="AD728" s="3"/>
      <c r="AE728" s="5"/>
      <c r="AF728" s="3"/>
      <c r="AG728" s="38"/>
      <c r="AH728" s="38"/>
      <c r="AI728" s="353">
        <v>2.1823000000000001</v>
      </c>
      <c r="AJ728" s="39"/>
      <c r="AK728" s="39"/>
      <c r="AL728" s="39"/>
      <c r="AM728" s="39"/>
      <c r="AN728" s="3" t="s">
        <v>371</v>
      </c>
      <c r="AO728" s="3" t="s">
        <v>371</v>
      </c>
      <c r="AP728" s="3" t="s">
        <v>371</v>
      </c>
      <c r="AQ728" s="3" t="s">
        <v>371</v>
      </c>
      <c r="AR728" s="3" t="s">
        <v>371</v>
      </c>
      <c r="AS728" s="3" t="s">
        <v>371</v>
      </c>
      <c r="AT728" s="3" t="s">
        <v>371</v>
      </c>
      <c r="AU728" s="3" t="s">
        <v>81</v>
      </c>
      <c r="AV728" s="3" t="s">
        <v>81</v>
      </c>
      <c r="AW728" s="3" t="s">
        <v>81</v>
      </c>
      <c r="AX728" s="1414" t="s">
        <v>371</v>
      </c>
      <c r="AY728" s="3"/>
      <c r="AZ728" s="139"/>
      <c r="BA728" s="139"/>
      <c r="BB728" s="139"/>
      <c r="BC728" s="139"/>
      <c r="BD728" s="139"/>
      <c r="BE728" s="3"/>
    </row>
    <row r="729" spans="1:57" ht="15" customHeight="1" x14ac:dyDescent="0.4">
      <c r="A729" s="3"/>
      <c r="B729" s="689"/>
      <c r="C729" s="7"/>
      <c r="D729" s="4"/>
      <c r="E729" s="4"/>
      <c r="F729" s="4"/>
      <c r="G729" s="7"/>
      <c r="H729" s="20"/>
      <c r="I729" s="500"/>
      <c r="J729" s="500"/>
      <c r="K729" s="500"/>
      <c r="L729" s="500"/>
      <c r="M729" s="24"/>
      <c r="N729" s="24"/>
      <c r="O729" s="1974">
        <v>400019000225</v>
      </c>
      <c r="P729" s="1974"/>
      <c r="Q729" s="1974"/>
      <c r="R729" s="3">
        <f t="shared" si="87"/>
        <v>43</v>
      </c>
      <c r="S729" s="3" t="s">
        <v>747</v>
      </c>
      <c r="T729" s="3">
        <v>45</v>
      </c>
      <c r="U729" s="3"/>
      <c r="V729" s="56" t="b">
        <f t="shared" si="86"/>
        <v>0</v>
      </c>
      <c r="W729" s="982"/>
      <c r="X729" s="984" t="s">
        <v>767</v>
      </c>
      <c r="Y729" s="3"/>
      <c r="Z729" s="3"/>
      <c r="AA729" s="3"/>
      <c r="AB729" s="3"/>
      <c r="AC729" s="3"/>
      <c r="AD729" s="3"/>
      <c r="AE729" s="5"/>
      <c r="AF729" s="3"/>
      <c r="AG729" s="38"/>
      <c r="AH729" s="38"/>
      <c r="AI729" s="353">
        <v>2.2688000000000001</v>
      </c>
      <c r="AJ729" s="39"/>
      <c r="AK729" s="39"/>
      <c r="AL729" s="39"/>
      <c r="AM729" s="39"/>
      <c r="AN729" s="3" t="s">
        <v>371</v>
      </c>
      <c r="AO729" s="3" t="s">
        <v>371</v>
      </c>
      <c r="AP729" s="3" t="s">
        <v>371</v>
      </c>
      <c r="AQ729" s="3" t="s">
        <v>371</v>
      </c>
      <c r="AR729" s="3" t="s">
        <v>371</v>
      </c>
      <c r="AS729" s="3" t="s">
        <v>371</v>
      </c>
      <c r="AT729" s="3" t="s">
        <v>371</v>
      </c>
      <c r="AU729" s="3" t="s">
        <v>81</v>
      </c>
      <c r="AV729" s="3" t="s">
        <v>81</v>
      </c>
      <c r="AW729" s="3" t="s">
        <v>81</v>
      </c>
      <c r="AX729" s="1414" t="s">
        <v>371</v>
      </c>
      <c r="AY729" s="3"/>
      <c r="AZ729" s="139"/>
      <c r="BA729" s="139"/>
      <c r="BB729" s="139"/>
      <c r="BC729" s="139"/>
      <c r="BD729" s="139"/>
      <c r="BE729" s="3"/>
    </row>
    <row r="730" spans="1:57" ht="15" customHeight="1" x14ac:dyDescent="0.4">
      <c r="A730" s="3"/>
      <c r="B730" s="689"/>
      <c r="C730" s="7"/>
      <c r="D730" s="4"/>
      <c r="E730" s="4"/>
      <c r="F730" s="4"/>
      <c r="G730" s="7"/>
      <c r="H730" s="20"/>
      <c r="I730" s="500"/>
      <c r="J730" s="500"/>
      <c r="K730" s="500"/>
      <c r="L730" s="500"/>
      <c r="M730" s="24"/>
      <c r="N730" s="24"/>
      <c r="O730" s="1974">
        <v>400019000245</v>
      </c>
      <c r="P730" s="1974"/>
      <c r="Q730" s="1974"/>
      <c r="R730" s="3">
        <f t="shared" si="87"/>
        <v>45</v>
      </c>
      <c r="S730" s="3" t="s">
        <v>747</v>
      </c>
      <c r="T730" s="3">
        <v>48</v>
      </c>
      <c r="U730" s="3"/>
      <c r="V730" s="56" t="b">
        <f t="shared" si="86"/>
        <v>0</v>
      </c>
      <c r="W730" s="982"/>
      <c r="X730" s="984" t="s">
        <v>768</v>
      </c>
      <c r="Y730" s="3"/>
      <c r="Z730" s="3"/>
      <c r="AA730" s="3"/>
      <c r="AB730" s="3"/>
      <c r="AC730" s="3"/>
      <c r="AD730" s="3"/>
      <c r="AE730" s="5"/>
      <c r="AF730" s="3"/>
      <c r="AG730" s="38"/>
      <c r="AH730" s="38"/>
      <c r="AI730" s="353">
        <v>2.2887</v>
      </c>
      <c r="AJ730" s="39"/>
      <c r="AK730" s="39"/>
      <c r="AL730" s="39"/>
      <c r="AM730" s="39"/>
      <c r="AN730" s="3" t="s">
        <v>371</v>
      </c>
      <c r="AO730" s="3" t="s">
        <v>371</v>
      </c>
      <c r="AP730" s="3" t="s">
        <v>371</v>
      </c>
      <c r="AQ730" s="3" t="s">
        <v>371</v>
      </c>
      <c r="AR730" s="3" t="s">
        <v>371</v>
      </c>
      <c r="AS730" s="3" t="s">
        <v>371</v>
      </c>
      <c r="AT730" s="3" t="s">
        <v>371</v>
      </c>
      <c r="AU730" s="3" t="s">
        <v>81</v>
      </c>
      <c r="AV730" s="3" t="s">
        <v>81</v>
      </c>
      <c r="AW730" s="3" t="s">
        <v>81</v>
      </c>
      <c r="AX730" s="1414" t="s">
        <v>371</v>
      </c>
      <c r="AY730" s="3"/>
      <c r="AZ730" s="139"/>
      <c r="BA730" s="139"/>
      <c r="BB730" s="139"/>
      <c r="BC730" s="139"/>
      <c r="BD730" s="139"/>
      <c r="BE730" s="3"/>
    </row>
    <row r="731" spans="1:57" ht="15" customHeight="1" x14ac:dyDescent="0.4">
      <c r="A731" s="3"/>
      <c r="B731" s="689"/>
      <c r="C731" s="7"/>
      <c r="D731" s="4"/>
      <c r="E731" s="4"/>
      <c r="F731" s="4"/>
      <c r="G731" s="7"/>
      <c r="H731" s="20"/>
      <c r="I731" s="500"/>
      <c r="J731" s="500"/>
      <c r="K731" s="500"/>
      <c r="L731" s="500"/>
      <c r="M731" s="24"/>
      <c r="N731" s="24"/>
      <c r="O731" s="1974">
        <v>400019000255</v>
      </c>
      <c r="P731" s="1974"/>
      <c r="Q731" s="1974"/>
      <c r="R731" s="3">
        <f t="shared" si="87"/>
        <v>48</v>
      </c>
      <c r="S731" s="3" t="s">
        <v>747</v>
      </c>
      <c r="T731" s="3">
        <v>51</v>
      </c>
      <c r="U731" s="3"/>
      <c r="V731" s="56" t="b">
        <f t="shared" si="86"/>
        <v>0</v>
      </c>
      <c r="W731" s="982"/>
      <c r="X731" s="984" t="s">
        <v>769</v>
      </c>
      <c r="Y731" s="3"/>
      <c r="Z731" s="3"/>
      <c r="AA731" s="3"/>
      <c r="AB731" s="3"/>
      <c r="AC731" s="3"/>
      <c r="AD731" s="3"/>
      <c r="AE731" s="5"/>
      <c r="AF731" s="3"/>
      <c r="AG731" s="38"/>
      <c r="AH731" s="38"/>
      <c r="AI731" s="353">
        <v>2.3138999999999998</v>
      </c>
      <c r="AJ731" s="39"/>
      <c r="AK731" s="39"/>
      <c r="AL731" s="39"/>
      <c r="AM731" s="39"/>
      <c r="AN731" s="3" t="s">
        <v>371</v>
      </c>
      <c r="AO731" s="3" t="s">
        <v>371</v>
      </c>
      <c r="AP731" s="3" t="s">
        <v>371</v>
      </c>
      <c r="AQ731" s="3" t="s">
        <v>371</v>
      </c>
      <c r="AR731" s="3" t="s">
        <v>371</v>
      </c>
      <c r="AS731" s="3" t="s">
        <v>371</v>
      </c>
      <c r="AT731" s="3" t="s">
        <v>371</v>
      </c>
      <c r="AU731" s="3" t="s">
        <v>81</v>
      </c>
      <c r="AV731" s="3" t="s">
        <v>81</v>
      </c>
      <c r="AW731" s="3" t="s">
        <v>81</v>
      </c>
      <c r="AX731" s="1414" t="s">
        <v>371</v>
      </c>
      <c r="AY731" s="3"/>
      <c r="AZ731" s="139"/>
      <c r="BA731" s="139"/>
      <c r="BB731" s="139"/>
      <c r="BC731" s="139"/>
      <c r="BD731" s="139"/>
      <c r="BE731" s="3"/>
    </row>
    <row r="732" spans="1:57" ht="15" customHeight="1" x14ac:dyDescent="0.4">
      <c r="A732" s="3"/>
      <c r="B732" s="689"/>
      <c r="C732" s="7"/>
      <c r="D732" s="4"/>
      <c r="E732" s="4"/>
      <c r="F732" s="4"/>
      <c r="G732" s="7"/>
      <c r="H732" s="20"/>
      <c r="I732" s="500"/>
      <c r="J732" s="500"/>
      <c r="K732" s="500"/>
      <c r="L732" s="500"/>
      <c r="M732" s="24"/>
      <c r="N732" s="24"/>
      <c r="O732" s="1974">
        <v>400019000270</v>
      </c>
      <c r="P732" s="1974"/>
      <c r="Q732" s="1974"/>
      <c r="R732" s="3">
        <f t="shared" si="87"/>
        <v>51</v>
      </c>
      <c r="S732" s="3" t="s">
        <v>747</v>
      </c>
      <c r="T732" s="3">
        <v>54</v>
      </c>
      <c r="U732" s="3"/>
      <c r="V732" s="56" t="b">
        <f t="shared" si="86"/>
        <v>0</v>
      </c>
      <c r="W732" s="982"/>
      <c r="X732" s="984" t="s">
        <v>770</v>
      </c>
      <c r="Y732" s="3"/>
      <c r="Z732" s="3"/>
      <c r="AA732" s="3"/>
      <c r="AB732" s="3"/>
      <c r="AC732" s="3"/>
      <c r="AD732" s="3"/>
      <c r="AE732" s="5"/>
      <c r="AF732" s="3"/>
      <c r="AG732" s="38"/>
      <c r="AH732" s="38"/>
      <c r="AI732" s="353">
        <v>2.3868999999999998</v>
      </c>
      <c r="AJ732" s="39"/>
      <c r="AK732" s="39"/>
      <c r="AL732" s="39"/>
      <c r="AM732" s="39"/>
      <c r="AN732" s="3" t="s">
        <v>371</v>
      </c>
      <c r="AO732" s="3" t="s">
        <v>371</v>
      </c>
      <c r="AP732" s="3" t="s">
        <v>371</v>
      </c>
      <c r="AQ732" s="3" t="s">
        <v>371</v>
      </c>
      <c r="AR732" s="3" t="s">
        <v>371</v>
      </c>
      <c r="AS732" s="3" t="s">
        <v>371</v>
      </c>
      <c r="AT732" s="3" t="s">
        <v>371</v>
      </c>
      <c r="AU732" s="3" t="s">
        <v>81</v>
      </c>
      <c r="AV732" s="3" t="s">
        <v>81</v>
      </c>
      <c r="AW732" s="3" t="s">
        <v>81</v>
      </c>
      <c r="AX732" s="1414" t="s">
        <v>371</v>
      </c>
      <c r="AY732" s="3"/>
      <c r="AZ732" s="139"/>
      <c r="BA732" s="139"/>
      <c r="BB732" s="139"/>
      <c r="BC732" s="139"/>
      <c r="BD732" s="139"/>
      <c r="BE732" s="3"/>
    </row>
    <row r="733" spans="1:57" ht="15" customHeight="1" x14ac:dyDescent="0.4">
      <c r="A733" s="3"/>
      <c r="B733" s="689"/>
      <c r="C733" s="7"/>
      <c r="D733" s="4"/>
      <c r="E733" s="4"/>
      <c r="F733" s="4"/>
      <c r="G733" s="7"/>
      <c r="H733" s="20"/>
      <c r="I733" s="500"/>
      <c r="J733" s="500"/>
      <c r="K733" s="500"/>
      <c r="L733" s="500"/>
      <c r="M733" s="24"/>
      <c r="N733" s="24"/>
      <c r="O733" s="1974">
        <v>400019000280</v>
      </c>
      <c r="P733" s="1974"/>
      <c r="Q733" s="1974"/>
      <c r="R733" s="3">
        <f t="shared" si="87"/>
        <v>54</v>
      </c>
      <c r="S733" s="3" t="s">
        <v>747</v>
      </c>
      <c r="T733" s="3">
        <v>56</v>
      </c>
      <c r="U733" s="3"/>
      <c r="V733" s="56" t="b">
        <f t="shared" si="86"/>
        <v>0</v>
      </c>
      <c r="W733" s="982"/>
      <c r="X733" s="984" t="s">
        <v>771</v>
      </c>
      <c r="Y733" s="3"/>
      <c r="Z733" s="3"/>
      <c r="AA733" s="3"/>
      <c r="AB733" s="3"/>
      <c r="AC733" s="3"/>
      <c r="AD733" s="3"/>
      <c r="AE733" s="5"/>
      <c r="AF733" s="3"/>
      <c r="AG733" s="38"/>
      <c r="AH733" s="38"/>
      <c r="AI733" s="353">
        <v>2.4346000000000001</v>
      </c>
      <c r="AJ733" s="39"/>
      <c r="AK733" s="39"/>
      <c r="AL733" s="39"/>
      <c r="AM733" s="39"/>
      <c r="AN733" s="3" t="s">
        <v>371</v>
      </c>
      <c r="AO733" s="3" t="s">
        <v>371</v>
      </c>
      <c r="AP733" s="3" t="s">
        <v>371</v>
      </c>
      <c r="AQ733" s="3" t="s">
        <v>371</v>
      </c>
      <c r="AR733" s="3" t="s">
        <v>371</v>
      </c>
      <c r="AS733" s="3" t="s">
        <v>371</v>
      </c>
      <c r="AT733" s="3" t="s">
        <v>371</v>
      </c>
      <c r="AU733" s="3" t="s">
        <v>81</v>
      </c>
      <c r="AV733" s="3" t="s">
        <v>81</v>
      </c>
      <c r="AW733" s="3" t="s">
        <v>81</v>
      </c>
      <c r="AX733" s="1414" t="s">
        <v>371</v>
      </c>
      <c r="AY733" s="3"/>
      <c r="AZ733" s="139"/>
      <c r="BA733" s="139"/>
      <c r="BB733" s="139"/>
      <c r="BC733" s="139"/>
      <c r="BD733" s="139"/>
      <c r="BE733" s="3"/>
    </row>
    <row r="734" spans="1:57" ht="15" customHeight="1" x14ac:dyDescent="0.4">
      <c r="A734" s="3"/>
      <c r="B734" s="689"/>
      <c r="C734" s="7"/>
      <c r="D734" s="4"/>
      <c r="E734" s="4"/>
      <c r="F734" s="4"/>
      <c r="G734" s="7"/>
      <c r="H734" s="20"/>
      <c r="I734" s="500"/>
      <c r="J734" s="500"/>
      <c r="K734" s="500"/>
      <c r="L734" s="500"/>
      <c r="M734" s="24"/>
      <c r="N734" s="24"/>
      <c r="O734" s="1974">
        <v>400019000290</v>
      </c>
      <c r="P734" s="1974"/>
      <c r="Q734" s="1974"/>
      <c r="R734" s="3">
        <f t="shared" si="87"/>
        <v>56</v>
      </c>
      <c r="S734" s="3" t="s">
        <v>747</v>
      </c>
      <c r="T734" s="3">
        <v>58</v>
      </c>
      <c r="U734" s="3"/>
      <c r="V734" s="56" t="b">
        <f t="shared" si="86"/>
        <v>0</v>
      </c>
      <c r="W734" s="982"/>
      <c r="X734" s="984" t="s">
        <v>772</v>
      </c>
      <c r="Y734" s="3"/>
      <c r="Z734" s="3"/>
      <c r="AA734" s="3"/>
      <c r="AB734" s="3"/>
      <c r="AC734" s="3"/>
      <c r="AD734" s="3"/>
      <c r="AE734" s="5"/>
      <c r="AF734" s="3"/>
      <c r="AG734" s="38"/>
      <c r="AH734" s="38"/>
      <c r="AI734" s="353">
        <v>2.5076999999999998</v>
      </c>
      <c r="AJ734" s="39"/>
      <c r="AK734" s="39"/>
      <c r="AL734" s="39"/>
      <c r="AM734" s="39"/>
      <c r="AN734" s="3" t="s">
        <v>371</v>
      </c>
      <c r="AO734" s="3" t="s">
        <v>371</v>
      </c>
      <c r="AP734" s="3" t="s">
        <v>371</v>
      </c>
      <c r="AQ734" s="3" t="s">
        <v>371</v>
      </c>
      <c r="AR734" s="3" t="s">
        <v>371</v>
      </c>
      <c r="AS734" s="3" t="s">
        <v>371</v>
      </c>
      <c r="AT734" s="3" t="s">
        <v>371</v>
      </c>
      <c r="AU734" s="3" t="s">
        <v>81</v>
      </c>
      <c r="AV734" s="3" t="s">
        <v>81</v>
      </c>
      <c r="AW734" s="3" t="s">
        <v>81</v>
      </c>
      <c r="AX734" s="1414" t="s">
        <v>371</v>
      </c>
      <c r="AY734" s="3"/>
      <c r="AZ734" s="139"/>
      <c r="BA734" s="139"/>
      <c r="BB734" s="139"/>
      <c r="BC734" s="139"/>
      <c r="BD734" s="139"/>
      <c r="BE734" s="3"/>
    </row>
    <row r="735" spans="1:57" ht="15" customHeight="1" x14ac:dyDescent="0.4">
      <c r="A735" s="3"/>
      <c r="B735" s="689"/>
      <c r="C735" s="7"/>
      <c r="D735" s="4"/>
      <c r="E735" s="4"/>
      <c r="F735" s="4"/>
      <c r="G735" s="7"/>
      <c r="H735" s="20"/>
      <c r="I735" s="223"/>
      <c r="J735" s="223"/>
      <c r="K735" s="223"/>
      <c r="L735" s="223"/>
      <c r="M735" s="625"/>
      <c r="N735" s="625"/>
      <c r="O735" s="1998">
        <v>400019000300</v>
      </c>
      <c r="P735" s="1998"/>
      <c r="Q735" s="1998"/>
      <c r="R735" s="577">
        <f t="shared" si="87"/>
        <v>58</v>
      </c>
      <c r="S735" s="577" t="s">
        <v>747</v>
      </c>
      <c r="T735" s="577">
        <v>60</v>
      </c>
      <c r="U735" s="577"/>
      <c r="V735" s="576" t="b">
        <f t="shared" si="86"/>
        <v>0</v>
      </c>
      <c r="W735" s="983"/>
      <c r="X735" s="985" t="s">
        <v>773</v>
      </c>
      <c r="Y735" s="577"/>
      <c r="Z735" s="577"/>
      <c r="AA735" s="577"/>
      <c r="AB735" s="577"/>
      <c r="AC735" s="577"/>
      <c r="AD735" s="577"/>
      <c r="AE735" s="575"/>
      <c r="AF735" s="577"/>
      <c r="AG735" s="579"/>
      <c r="AH735" s="579"/>
      <c r="AI735" s="1425">
        <v>2.5615000000000001</v>
      </c>
      <c r="AJ735" s="581"/>
      <c r="AK735" s="581"/>
      <c r="AL735" s="581"/>
      <c r="AM735" s="581"/>
      <c r="AN735" s="577" t="s">
        <v>371</v>
      </c>
      <c r="AO735" s="577" t="s">
        <v>371</v>
      </c>
      <c r="AP735" s="577" t="s">
        <v>371</v>
      </c>
      <c r="AQ735" s="577" t="s">
        <v>371</v>
      </c>
      <c r="AR735" s="577" t="s">
        <v>371</v>
      </c>
      <c r="AS735" s="577" t="s">
        <v>371</v>
      </c>
      <c r="AT735" s="577" t="s">
        <v>371</v>
      </c>
      <c r="AU735" s="577" t="s">
        <v>81</v>
      </c>
      <c r="AV735" s="577" t="s">
        <v>81</v>
      </c>
      <c r="AW735" s="577" t="s">
        <v>81</v>
      </c>
      <c r="AX735" s="1881" t="s">
        <v>371</v>
      </c>
      <c r="AY735" s="577"/>
      <c r="AZ735" s="139"/>
      <c r="BA735" s="139"/>
      <c r="BB735" s="139"/>
      <c r="BC735" s="139"/>
      <c r="BD735" s="139"/>
      <c r="BE735" s="3"/>
    </row>
    <row r="736" spans="1:57" ht="15" customHeight="1" x14ac:dyDescent="0.4">
      <c r="A736" s="3"/>
      <c r="B736" s="689"/>
      <c r="C736" s="7"/>
      <c r="D736" s="4"/>
      <c r="E736" s="4"/>
      <c r="F736" s="4"/>
      <c r="G736" s="7"/>
      <c r="H736" s="20"/>
      <c r="I736" s="500"/>
      <c r="J736" s="500"/>
      <c r="K736" s="500"/>
      <c r="L736" s="500"/>
      <c r="M736" s="24"/>
      <c r="N736" s="24"/>
      <c r="O736" s="1974">
        <v>400019000315</v>
      </c>
      <c r="P736" s="1974"/>
      <c r="Q736" s="1974"/>
      <c r="R736" s="3">
        <f t="shared" si="87"/>
        <v>60</v>
      </c>
      <c r="S736" s="3" t="s">
        <v>747</v>
      </c>
      <c r="T736" s="3">
        <v>63</v>
      </c>
      <c r="U736" s="3"/>
      <c r="V736" s="56" t="b">
        <f t="shared" si="86"/>
        <v>0</v>
      </c>
      <c r="W736" s="982"/>
      <c r="X736" s="984" t="s">
        <v>774</v>
      </c>
      <c r="Y736" s="3"/>
      <c r="Z736" s="3"/>
      <c r="AA736" s="3"/>
      <c r="AB736" s="3"/>
      <c r="AC736" s="3"/>
      <c r="AD736" s="3"/>
      <c r="AE736" s="5"/>
      <c r="AF736" s="3"/>
      <c r="AG736" s="38"/>
      <c r="AH736" s="38"/>
      <c r="AI736" s="353">
        <v>3.0562</v>
      </c>
      <c r="AJ736" s="39"/>
      <c r="AK736" s="39"/>
      <c r="AL736" s="39"/>
      <c r="AM736" s="39"/>
      <c r="AN736" s="3" t="s">
        <v>371</v>
      </c>
      <c r="AO736" s="3" t="s">
        <v>371</v>
      </c>
      <c r="AP736" s="3" t="s">
        <v>371</v>
      </c>
      <c r="AQ736" s="3" t="s">
        <v>371</v>
      </c>
      <c r="AR736" s="3" t="s">
        <v>371</v>
      </c>
      <c r="AS736" s="3" t="s">
        <v>371</v>
      </c>
      <c r="AT736" s="3" t="s">
        <v>371</v>
      </c>
      <c r="AU736" s="3" t="s">
        <v>81</v>
      </c>
      <c r="AV736" s="3" t="s">
        <v>81</v>
      </c>
      <c r="AW736" s="3" t="s">
        <v>81</v>
      </c>
      <c r="AX736" s="1414" t="s">
        <v>371</v>
      </c>
      <c r="AY736" s="3"/>
      <c r="AZ736" s="139"/>
      <c r="BA736" s="139"/>
      <c r="BB736" s="139"/>
      <c r="BC736" s="139"/>
      <c r="BD736" s="139"/>
      <c r="BE736" s="3"/>
    </row>
    <row r="737" spans="1:57" ht="15" customHeight="1" x14ac:dyDescent="0.4">
      <c r="A737" s="3"/>
      <c r="B737" s="689"/>
      <c r="C737" s="7"/>
      <c r="D737" s="4"/>
      <c r="E737" s="4"/>
      <c r="F737" s="4"/>
      <c r="G737" s="7"/>
      <c r="H737" s="20"/>
      <c r="I737" s="500"/>
      <c r="J737" s="500"/>
      <c r="K737" s="500"/>
      <c r="L737" s="500"/>
      <c r="M737" s="24"/>
      <c r="N737" s="24"/>
      <c r="O737" s="1974">
        <v>400019000330</v>
      </c>
      <c r="P737" s="1974"/>
      <c r="Q737" s="1974"/>
      <c r="R737" s="3">
        <f t="shared" si="87"/>
        <v>63</v>
      </c>
      <c r="S737" s="3" t="s">
        <v>747</v>
      </c>
      <c r="T737" s="3">
        <v>66</v>
      </c>
      <c r="U737" s="3"/>
      <c r="V737" s="56" t="b">
        <f t="shared" si="86"/>
        <v>0</v>
      </c>
      <c r="W737" s="982"/>
      <c r="X737" s="984" t="s">
        <v>775</v>
      </c>
      <c r="Y737" s="3"/>
      <c r="Z737" s="3"/>
      <c r="AA737" s="3"/>
      <c r="AB737" s="3"/>
      <c r="AC737" s="3"/>
      <c r="AD737" s="3"/>
      <c r="AE737" s="5"/>
      <c r="AF737" s="3"/>
      <c r="AG737" s="38"/>
      <c r="AH737" s="38"/>
      <c r="AI737" s="353">
        <v>3.0832000000000002</v>
      </c>
      <c r="AJ737" s="39"/>
      <c r="AK737" s="39"/>
      <c r="AL737" s="39"/>
      <c r="AM737" s="39"/>
      <c r="AN737" s="3" t="s">
        <v>371</v>
      </c>
      <c r="AO737" s="3" t="s">
        <v>371</v>
      </c>
      <c r="AP737" s="3" t="s">
        <v>371</v>
      </c>
      <c r="AQ737" s="3" t="s">
        <v>371</v>
      </c>
      <c r="AR737" s="3" t="s">
        <v>371</v>
      </c>
      <c r="AS737" s="3" t="s">
        <v>371</v>
      </c>
      <c r="AT737" s="3" t="s">
        <v>371</v>
      </c>
      <c r="AU737" s="3" t="s">
        <v>81</v>
      </c>
      <c r="AV737" s="3" t="s">
        <v>81</v>
      </c>
      <c r="AW737" s="3" t="s">
        <v>81</v>
      </c>
      <c r="AX737" s="1414" t="s">
        <v>371</v>
      </c>
      <c r="AY737" s="3"/>
      <c r="AZ737" s="139"/>
      <c r="BA737" s="139"/>
      <c r="BB737" s="139"/>
      <c r="BC737" s="139"/>
      <c r="BD737" s="139"/>
      <c r="BE737" s="3"/>
    </row>
    <row r="738" spans="1:57" ht="15" customHeight="1" x14ac:dyDescent="0.4">
      <c r="A738" s="3"/>
      <c r="B738" s="689"/>
      <c r="C738" s="7"/>
      <c r="D738" s="4"/>
      <c r="E738" s="4"/>
      <c r="F738" s="4"/>
      <c r="G738" s="7"/>
      <c r="H738" s="20"/>
      <c r="I738" s="500"/>
      <c r="J738" s="500"/>
      <c r="K738" s="500"/>
      <c r="L738" s="500"/>
      <c r="M738" s="24"/>
      <c r="N738" s="24"/>
      <c r="O738" s="1974">
        <v>400019000345</v>
      </c>
      <c r="P738" s="1974"/>
      <c r="Q738" s="1974"/>
      <c r="R738" s="3">
        <f t="shared" si="87"/>
        <v>66</v>
      </c>
      <c r="S738" s="3" t="s">
        <v>747</v>
      </c>
      <c r="T738" s="3">
        <v>69</v>
      </c>
      <c r="U738" s="3"/>
      <c r="V738" s="56" t="b">
        <f t="shared" si="86"/>
        <v>0</v>
      </c>
      <c r="W738" s="982"/>
      <c r="X738" s="984" t="s">
        <v>776</v>
      </c>
      <c r="Y738" s="3"/>
      <c r="Z738" s="3"/>
      <c r="AA738" s="3"/>
      <c r="AB738" s="3"/>
      <c r="AC738" s="3"/>
      <c r="AD738" s="3"/>
      <c r="AE738" s="5"/>
      <c r="AF738" s="3"/>
      <c r="AG738" s="38"/>
      <c r="AH738" s="38"/>
      <c r="AI738" s="353">
        <v>3.1101000000000001</v>
      </c>
      <c r="AJ738" s="39"/>
      <c r="AK738" s="39"/>
      <c r="AL738" s="39"/>
      <c r="AM738" s="39"/>
      <c r="AN738" s="3" t="s">
        <v>371</v>
      </c>
      <c r="AO738" s="3" t="s">
        <v>371</v>
      </c>
      <c r="AP738" s="3" t="s">
        <v>371</v>
      </c>
      <c r="AQ738" s="3" t="s">
        <v>371</v>
      </c>
      <c r="AR738" s="3" t="s">
        <v>371</v>
      </c>
      <c r="AS738" s="3" t="s">
        <v>371</v>
      </c>
      <c r="AT738" s="3" t="s">
        <v>371</v>
      </c>
      <c r="AU738" s="3" t="s">
        <v>81</v>
      </c>
      <c r="AV738" s="3" t="s">
        <v>81</v>
      </c>
      <c r="AW738" s="3" t="s">
        <v>81</v>
      </c>
      <c r="AX738" s="1414" t="s">
        <v>371</v>
      </c>
      <c r="AY738" s="3"/>
      <c r="AZ738" s="139"/>
      <c r="BA738" s="139"/>
      <c r="BB738" s="139"/>
      <c r="BC738" s="139"/>
      <c r="BD738" s="139"/>
      <c r="BE738" s="3"/>
    </row>
    <row r="739" spans="1:57" ht="15" customHeight="1" x14ac:dyDescent="0.4">
      <c r="A739" s="3"/>
      <c r="B739" s="689"/>
      <c r="C739" s="4"/>
      <c r="D739" s="4"/>
      <c r="E739" s="4"/>
      <c r="F739" s="4"/>
      <c r="G739" s="7"/>
      <c r="H739" s="20"/>
      <c r="I739" s="500"/>
      <c r="J739" s="500"/>
      <c r="K739" s="500"/>
      <c r="L739" s="500"/>
      <c r="M739" s="24"/>
      <c r="N739" s="24"/>
      <c r="O739" s="1974">
        <v>400019000360</v>
      </c>
      <c r="P739" s="1974"/>
      <c r="Q739" s="1974"/>
      <c r="R739" s="3">
        <f t="shared" si="87"/>
        <v>69</v>
      </c>
      <c r="S739" s="3" t="s">
        <v>747</v>
      </c>
      <c r="T739" s="3">
        <v>72</v>
      </c>
      <c r="U739" s="3"/>
      <c r="V739" s="56" t="b">
        <f t="shared" si="86"/>
        <v>0</v>
      </c>
      <c r="W739" s="982"/>
      <c r="X739" s="984" t="s">
        <v>777</v>
      </c>
      <c r="Y739" s="3"/>
      <c r="Z739" s="3"/>
      <c r="AA739" s="3"/>
      <c r="AB739" s="3"/>
      <c r="AC739" s="3"/>
      <c r="AD739" s="3"/>
      <c r="AE739" s="3"/>
      <c r="AF739" s="3"/>
      <c r="AG739" s="38"/>
      <c r="AH739" s="38"/>
      <c r="AI739" s="353">
        <v>3.1882000000000001</v>
      </c>
      <c r="AJ739" s="39"/>
      <c r="AK739" s="39"/>
      <c r="AL739" s="39"/>
      <c r="AM739" s="39"/>
      <c r="AN739" s="3" t="s">
        <v>371</v>
      </c>
      <c r="AO739" s="3" t="s">
        <v>371</v>
      </c>
      <c r="AP739" s="3" t="s">
        <v>371</v>
      </c>
      <c r="AQ739" s="3" t="s">
        <v>371</v>
      </c>
      <c r="AR739" s="3" t="s">
        <v>371</v>
      </c>
      <c r="AS739" s="3" t="s">
        <v>371</v>
      </c>
      <c r="AT739" s="3" t="s">
        <v>371</v>
      </c>
      <c r="AU739" s="3" t="s">
        <v>81</v>
      </c>
      <c r="AV739" s="3" t="s">
        <v>81</v>
      </c>
      <c r="AW739" s="3" t="s">
        <v>81</v>
      </c>
      <c r="AX739" s="1414" t="s">
        <v>371</v>
      </c>
      <c r="AY739" s="3"/>
      <c r="AZ739" s="139"/>
      <c r="BA739" s="139"/>
      <c r="BB739" s="139"/>
      <c r="BC739" s="139"/>
      <c r="BD739" s="139"/>
      <c r="BE739" s="3"/>
    </row>
    <row r="740" spans="1:57" ht="15" customHeight="1" x14ac:dyDescent="0.4">
      <c r="A740" s="3"/>
      <c r="B740" s="689"/>
      <c r="C740" s="4"/>
      <c r="D740" s="4"/>
      <c r="E740" s="4"/>
      <c r="F740" s="4"/>
      <c r="G740" s="7"/>
      <c r="H740" s="20"/>
      <c r="I740" s="500"/>
      <c r="J740" s="500"/>
      <c r="K740" s="500"/>
      <c r="L740" s="500"/>
      <c r="M740" s="24"/>
      <c r="N740" s="24"/>
      <c r="O740" s="1974">
        <v>400019000370</v>
      </c>
      <c r="P740" s="1974"/>
      <c r="Q740" s="1974"/>
      <c r="R740" s="3">
        <f t="shared" si="87"/>
        <v>72</v>
      </c>
      <c r="S740" s="3" t="s">
        <v>747</v>
      </c>
      <c r="T740" s="3">
        <v>74</v>
      </c>
      <c r="U740" s="3"/>
      <c r="V740" s="56" t="b">
        <f t="shared" si="86"/>
        <v>0</v>
      </c>
      <c r="W740" s="982"/>
      <c r="X740" s="984" t="s">
        <v>778</v>
      </c>
      <c r="Y740" s="3"/>
      <c r="Z740" s="3"/>
      <c r="AA740" s="3"/>
      <c r="AB740" s="3"/>
      <c r="AC740" s="3"/>
      <c r="AD740" s="3"/>
      <c r="AE740" s="3"/>
      <c r="AF740" s="3"/>
      <c r="AG740" s="38"/>
      <c r="AH740" s="38"/>
      <c r="AI740" s="844">
        <v>0</v>
      </c>
      <c r="AJ740" s="39"/>
      <c r="AK740" s="39"/>
      <c r="AL740" s="39"/>
      <c r="AM740" s="39"/>
      <c r="AN740" s="3" t="s">
        <v>371</v>
      </c>
      <c r="AO740" s="3" t="s">
        <v>371</v>
      </c>
      <c r="AP740" s="3" t="s">
        <v>371</v>
      </c>
      <c r="AQ740" s="3" t="s">
        <v>371</v>
      </c>
      <c r="AR740" s="3" t="s">
        <v>371</v>
      </c>
      <c r="AS740" s="3" t="s">
        <v>371</v>
      </c>
      <c r="AT740" s="3" t="s">
        <v>371</v>
      </c>
      <c r="AU740" s="3" t="s">
        <v>81</v>
      </c>
      <c r="AV740" s="3" t="s">
        <v>81</v>
      </c>
      <c r="AW740" s="3" t="s">
        <v>81</v>
      </c>
      <c r="AX740" s="1414" t="s">
        <v>371</v>
      </c>
      <c r="AY740" s="3"/>
      <c r="AZ740" s="139"/>
      <c r="BA740" s="139"/>
      <c r="BB740" s="139"/>
      <c r="BC740" s="139"/>
      <c r="BD740" s="139"/>
      <c r="BE740" s="3"/>
    </row>
    <row r="741" spans="1:57" ht="15" customHeight="1" x14ac:dyDescent="0.4">
      <c r="A741" s="3"/>
      <c r="B741" s="689"/>
      <c r="C741" s="4"/>
      <c r="D741" s="4"/>
      <c r="E741" s="4"/>
      <c r="F741" s="4"/>
      <c r="G741" s="7"/>
      <c r="H741" s="20"/>
      <c r="I741" s="500"/>
      <c r="J741" s="500"/>
      <c r="K741" s="500"/>
      <c r="L741" s="500"/>
      <c r="M741" s="24"/>
      <c r="N741" s="24"/>
      <c r="O741" s="1974">
        <v>400019000380</v>
      </c>
      <c r="P741" s="1974"/>
      <c r="Q741" s="1974"/>
      <c r="R741" s="3">
        <f t="shared" si="87"/>
        <v>74</v>
      </c>
      <c r="S741" s="3" t="s">
        <v>747</v>
      </c>
      <c r="T741" s="3">
        <v>76</v>
      </c>
      <c r="U741" s="3"/>
      <c r="V741" s="56" t="b">
        <f t="shared" si="86"/>
        <v>0</v>
      </c>
      <c r="W741" s="982"/>
      <c r="X741" s="984" t="s">
        <v>779</v>
      </c>
      <c r="Y741" s="3"/>
      <c r="Z741" s="3"/>
      <c r="AA741" s="3"/>
      <c r="AB741" s="3"/>
      <c r="AC741" s="3"/>
      <c r="AD741" s="3"/>
      <c r="AE741" s="3"/>
      <c r="AF741" s="3"/>
      <c r="AG741" s="38"/>
      <c r="AH741" s="38"/>
      <c r="AI741" s="353">
        <v>3.3203</v>
      </c>
      <c r="AJ741" s="39"/>
      <c r="AK741" s="39"/>
      <c r="AL741" s="39"/>
      <c r="AM741" s="39"/>
      <c r="AN741" s="3" t="s">
        <v>371</v>
      </c>
      <c r="AO741" s="3" t="s">
        <v>371</v>
      </c>
      <c r="AP741" s="3" t="s">
        <v>371</v>
      </c>
      <c r="AQ741" s="3" t="s">
        <v>371</v>
      </c>
      <c r="AR741" s="3" t="s">
        <v>371</v>
      </c>
      <c r="AS741" s="3" t="s">
        <v>371</v>
      </c>
      <c r="AT741" s="3" t="s">
        <v>371</v>
      </c>
      <c r="AU741" s="3" t="s">
        <v>81</v>
      </c>
      <c r="AV741" s="3" t="s">
        <v>81</v>
      </c>
      <c r="AW741" s="3" t="s">
        <v>81</v>
      </c>
      <c r="AX741" s="1414" t="s">
        <v>371</v>
      </c>
      <c r="AY741" s="3"/>
      <c r="AZ741" s="139"/>
      <c r="BA741" s="139"/>
      <c r="BB741" s="139"/>
      <c r="BC741" s="139"/>
      <c r="BD741" s="139"/>
      <c r="BE741" s="3"/>
    </row>
    <row r="742" spans="1:57" ht="15" customHeight="1" x14ac:dyDescent="0.4">
      <c r="A742" s="3"/>
      <c r="B742" s="689"/>
      <c r="C742" s="4"/>
      <c r="D742" s="4"/>
      <c r="E742" s="1490" t="s">
        <v>2087</v>
      </c>
      <c r="F742" s="4"/>
      <c r="G742" s="7"/>
      <c r="H742" s="20"/>
      <c r="I742" s="500"/>
      <c r="J742" s="500"/>
      <c r="K742" s="500"/>
      <c r="L742" s="500"/>
      <c r="M742" s="24"/>
      <c r="N742" s="24"/>
      <c r="O742" s="1974">
        <v>400019000390</v>
      </c>
      <c r="P742" s="1974"/>
      <c r="Q742" s="1974"/>
      <c r="R742" s="3">
        <f t="shared" si="87"/>
        <v>76</v>
      </c>
      <c r="S742" s="3" t="s">
        <v>747</v>
      </c>
      <c r="T742" s="3">
        <v>78</v>
      </c>
      <c r="U742" s="3"/>
      <c r="V742" s="56" t="b">
        <f t="shared" si="86"/>
        <v>0</v>
      </c>
      <c r="W742" s="982"/>
      <c r="X742" s="984" t="s">
        <v>780</v>
      </c>
      <c r="Y742" s="3"/>
      <c r="Z742" s="3"/>
      <c r="AA742" s="3"/>
      <c r="AB742" s="3"/>
      <c r="AC742" s="3"/>
      <c r="AD742" s="3"/>
      <c r="AE742" s="3"/>
      <c r="AF742" s="3"/>
      <c r="AG742" s="38"/>
      <c r="AH742" s="38"/>
      <c r="AI742" s="353">
        <v>3.4531999999999998</v>
      </c>
      <c r="AJ742" s="39"/>
      <c r="AK742" s="39"/>
      <c r="AL742" s="39"/>
      <c r="AM742" s="39"/>
      <c r="AN742" s="3" t="s">
        <v>371</v>
      </c>
      <c r="AO742" s="3" t="s">
        <v>371</v>
      </c>
      <c r="AP742" s="3" t="s">
        <v>371</v>
      </c>
      <c r="AQ742" s="3" t="s">
        <v>371</v>
      </c>
      <c r="AR742" s="3" t="s">
        <v>371</v>
      </c>
      <c r="AS742" s="3" t="s">
        <v>371</v>
      </c>
      <c r="AT742" s="3" t="s">
        <v>371</v>
      </c>
      <c r="AU742" s="3" t="s">
        <v>81</v>
      </c>
      <c r="AV742" s="3" t="s">
        <v>81</v>
      </c>
      <c r="AW742" s="3" t="s">
        <v>81</v>
      </c>
      <c r="AX742" s="1414" t="s">
        <v>371</v>
      </c>
      <c r="AY742" s="3"/>
      <c r="AZ742" s="139"/>
      <c r="BA742" s="139"/>
      <c r="BB742" s="139"/>
      <c r="BC742" s="139"/>
      <c r="BD742" s="139"/>
      <c r="BE742" s="3"/>
    </row>
    <row r="743" spans="1:57" ht="15" customHeight="1" thickBot="1" x14ac:dyDescent="0.45">
      <c r="A743" s="3"/>
      <c r="B743" s="689"/>
      <c r="C743" s="968"/>
      <c r="D743" s="968"/>
      <c r="E743" s="968"/>
      <c r="F743" s="968"/>
      <c r="G743" s="924"/>
      <c r="H743" s="887"/>
      <c r="I743" s="1494"/>
      <c r="J743" s="1494"/>
      <c r="K743" s="1494"/>
      <c r="L743" s="1494"/>
      <c r="M743" s="1020"/>
      <c r="N743" s="1020"/>
      <c r="O743" s="1999">
        <v>400019000400</v>
      </c>
      <c r="P743" s="1999"/>
      <c r="Q743" s="1999"/>
      <c r="R743" s="889">
        <f t="shared" si="87"/>
        <v>78</v>
      </c>
      <c r="S743" s="889" t="s">
        <v>747</v>
      </c>
      <c r="T743" s="889">
        <v>80</v>
      </c>
      <c r="U743" s="889"/>
      <c r="V743" s="1156" t="b">
        <f t="shared" si="86"/>
        <v>0</v>
      </c>
      <c r="W743" s="1204"/>
      <c r="X743" s="986" t="s">
        <v>781</v>
      </c>
      <c r="Y743" s="889"/>
      <c r="Z743" s="889"/>
      <c r="AA743" s="889"/>
      <c r="AB743" s="889"/>
      <c r="AC743" s="889"/>
      <c r="AD743" s="889"/>
      <c r="AE743" s="889"/>
      <c r="AF743" s="889"/>
      <c r="AG743" s="888"/>
      <c r="AH743" s="888"/>
      <c r="AI743" s="1424">
        <v>3.5912999999999999</v>
      </c>
      <c r="AJ743" s="947"/>
      <c r="AK743" s="947"/>
      <c r="AL743" s="947"/>
      <c r="AM743" s="947"/>
      <c r="AN743" s="889" t="s">
        <v>371</v>
      </c>
      <c r="AO743" s="889" t="s">
        <v>371</v>
      </c>
      <c r="AP743" s="889" t="s">
        <v>371</v>
      </c>
      <c r="AQ743" s="889" t="s">
        <v>371</v>
      </c>
      <c r="AR743" s="889" t="s">
        <v>371</v>
      </c>
      <c r="AS743" s="889" t="s">
        <v>371</v>
      </c>
      <c r="AT743" s="889" t="s">
        <v>371</v>
      </c>
      <c r="AU743" s="889" t="s">
        <v>81</v>
      </c>
      <c r="AV743" s="889" t="s">
        <v>81</v>
      </c>
      <c r="AW743" s="889" t="s">
        <v>81</v>
      </c>
      <c r="AX743" s="1590" t="s">
        <v>371</v>
      </c>
      <c r="AY743" s="889"/>
      <c r="AZ743" s="139"/>
      <c r="BA743" s="139"/>
      <c r="BB743" s="139"/>
      <c r="BC743" s="139"/>
      <c r="BD743" s="139"/>
      <c r="BE743" s="3"/>
    </row>
    <row r="744" spans="1:57" ht="15" customHeight="1" x14ac:dyDescent="0.4">
      <c r="A744" s="3"/>
      <c r="B744" s="689"/>
      <c r="C744" s="7" t="s">
        <v>782</v>
      </c>
      <c r="D744" s="4"/>
      <c r="E744" s="4"/>
      <c r="F744" s="4"/>
      <c r="G744" s="7"/>
      <c r="H744" s="20"/>
      <c r="I744" s="500"/>
      <c r="J744" s="500"/>
      <c r="K744" s="500"/>
      <c r="L744" s="500"/>
      <c r="M744" s="24"/>
      <c r="N744" s="24"/>
      <c r="O744" s="24"/>
      <c r="P744" s="24"/>
      <c r="Q744" s="42"/>
      <c r="R744" s="31"/>
      <c r="S744" s="31"/>
      <c r="T744" s="31"/>
      <c r="U744" s="14"/>
      <c r="V744" s="685"/>
      <c r="W744" s="685"/>
      <c r="X744" s="685"/>
      <c r="Y744" s="3"/>
      <c r="Z744" s="3"/>
      <c r="AA744" s="3"/>
      <c r="AB744" s="370"/>
      <c r="AC744" s="3"/>
      <c r="AD744" s="3">
        <v>2</v>
      </c>
      <c r="AE744" s="3">
        <v>2</v>
      </c>
      <c r="AF744" s="3" t="s">
        <v>385</v>
      </c>
      <c r="AG744" s="38" t="s">
        <v>8</v>
      </c>
      <c r="AH744" s="38" t="s">
        <v>8</v>
      </c>
      <c r="AI744" s="51"/>
      <c r="AJ744" s="39"/>
      <c r="AK744" s="39"/>
      <c r="AL744" s="39"/>
      <c r="AM744" s="39"/>
      <c r="AN744" s="3" t="s">
        <v>371</v>
      </c>
      <c r="AO744" s="3" t="s">
        <v>371</v>
      </c>
      <c r="AP744" s="3" t="s">
        <v>371</v>
      </c>
      <c r="AQ744" s="3" t="s">
        <v>371</v>
      </c>
      <c r="AR744" s="3" t="s">
        <v>371</v>
      </c>
      <c r="AS744" s="3" t="s">
        <v>371</v>
      </c>
      <c r="AT744" s="3" t="s">
        <v>371</v>
      </c>
      <c r="AU744" s="3" t="s">
        <v>92</v>
      </c>
      <c r="AV744" s="3" t="s">
        <v>92</v>
      </c>
      <c r="AW744" s="3" t="s">
        <v>92</v>
      </c>
      <c r="AX744" s="1414" t="s">
        <v>371</v>
      </c>
      <c r="AY744" s="3"/>
      <c r="AZ744" s="139"/>
      <c r="BA744" s="139"/>
      <c r="BB744" s="139"/>
      <c r="BC744" s="139"/>
      <c r="BD744" s="139"/>
      <c r="BE744" s="3"/>
    </row>
    <row r="745" spans="1:57" ht="15" customHeight="1" x14ac:dyDescent="0.4">
      <c r="A745" s="3"/>
      <c r="B745" s="689"/>
      <c r="C745" s="4"/>
      <c r="D745" s="8" t="s">
        <v>783</v>
      </c>
      <c r="E745" s="4"/>
      <c r="F745" s="3"/>
      <c r="G745" s="7"/>
      <c r="H745" s="20"/>
      <c r="I745" s="500"/>
      <c r="J745" s="500"/>
      <c r="K745" s="500"/>
      <c r="L745" s="500"/>
      <c r="M745" s="24"/>
      <c r="N745" s="24"/>
      <c r="O745" s="24"/>
      <c r="P745" s="24"/>
      <c r="Q745" s="42"/>
      <c r="R745" s="31"/>
      <c r="S745" s="31">
        <v>1</v>
      </c>
      <c r="T745" s="31" t="s">
        <v>385</v>
      </c>
      <c r="U745" s="14"/>
      <c r="V745" s="685"/>
      <c r="W745" s="685"/>
      <c r="X745" s="685"/>
      <c r="Y745" s="1454">
        <v>400005000035</v>
      </c>
      <c r="Z745" s="1454"/>
      <c r="AA745" s="1454"/>
      <c r="AB745" s="370"/>
      <c r="AC745" s="3"/>
      <c r="AD745" s="3"/>
      <c r="AE745" s="3"/>
      <c r="AF745" s="3"/>
      <c r="AG745" s="38"/>
      <c r="AH745" s="38"/>
      <c r="AI745" s="353">
        <v>0.28999999999999998</v>
      </c>
      <c r="AJ745" s="39"/>
      <c r="AK745" s="39"/>
      <c r="AL745" s="39"/>
      <c r="AM745" s="39"/>
      <c r="AN745" s="3" t="s">
        <v>371</v>
      </c>
      <c r="AO745" s="3" t="s">
        <v>371</v>
      </c>
      <c r="AP745" s="3" t="s">
        <v>371</v>
      </c>
      <c r="AQ745" s="3" t="s">
        <v>371</v>
      </c>
      <c r="AR745" s="3" t="s">
        <v>371</v>
      </c>
      <c r="AS745" s="3" t="s">
        <v>371</v>
      </c>
      <c r="AT745" s="3" t="s">
        <v>371</v>
      </c>
      <c r="AU745" s="3" t="s">
        <v>92</v>
      </c>
      <c r="AV745" s="3" t="s">
        <v>92</v>
      </c>
      <c r="AW745" s="3" t="s">
        <v>92</v>
      </c>
      <c r="AX745" s="1414" t="s">
        <v>371</v>
      </c>
      <c r="AY745" s="3"/>
      <c r="AZ745" s="139"/>
      <c r="BA745" s="139"/>
      <c r="BB745" s="139"/>
      <c r="BC745" s="139"/>
      <c r="BD745" s="139"/>
      <c r="BE745" s="3"/>
    </row>
    <row r="746" spans="1:57" ht="15" customHeight="1" x14ac:dyDescent="0.4">
      <c r="A746" s="3"/>
      <c r="B746" s="689"/>
      <c r="C746" s="4"/>
      <c r="D746" s="8" t="s">
        <v>784</v>
      </c>
      <c r="E746" s="4"/>
      <c r="F746" s="3"/>
      <c r="G746" s="7"/>
      <c r="H746" s="20"/>
      <c r="I746" s="500"/>
      <c r="J746" s="500"/>
      <c r="K746" s="500"/>
      <c r="L746" s="500"/>
      <c r="M746" s="24"/>
      <c r="N746" s="24"/>
      <c r="O746" s="24"/>
      <c r="P746" s="24"/>
      <c r="Q746" s="42"/>
      <c r="R746" s="31"/>
      <c r="S746" s="31">
        <v>1</v>
      </c>
      <c r="T746" s="31" t="s">
        <v>385</v>
      </c>
      <c r="U746" s="14"/>
      <c r="V746" s="685"/>
      <c r="W746" s="685"/>
      <c r="X746" s="685"/>
      <c r="Y746" s="1454">
        <v>400005000045</v>
      </c>
      <c r="Z746" s="1454"/>
      <c r="AA746" s="1454"/>
      <c r="AB746" s="370"/>
      <c r="AC746" s="3"/>
      <c r="AD746" s="3"/>
      <c r="AE746" s="3"/>
      <c r="AF746" s="3"/>
      <c r="AG746" s="38"/>
      <c r="AH746" s="38"/>
      <c r="AI746" s="353">
        <v>0.33500000000000002</v>
      </c>
      <c r="AJ746" s="39"/>
      <c r="AK746" s="39"/>
      <c r="AL746" s="39"/>
      <c r="AM746" s="39"/>
      <c r="AN746" s="3" t="s">
        <v>371</v>
      </c>
      <c r="AO746" s="3" t="s">
        <v>371</v>
      </c>
      <c r="AP746" s="3" t="s">
        <v>371</v>
      </c>
      <c r="AQ746" s="3" t="s">
        <v>371</v>
      </c>
      <c r="AR746" s="3" t="s">
        <v>371</v>
      </c>
      <c r="AS746" s="3" t="s">
        <v>371</v>
      </c>
      <c r="AT746" s="3" t="s">
        <v>371</v>
      </c>
      <c r="AU746" s="3" t="s">
        <v>92</v>
      </c>
      <c r="AV746" s="3" t="s">
        <v>92</v>
      </c>
      <c r="AW746" s="3" t="s">
        <v>92</v>
      </c>
      <c r="AX746" s="1414" t="s">
        <v>371</v>
      </c>
      <c r="AY746" s="3"/>
      <c r="AZ746" s="139"/>
      <c r="BA746" s="139"/>
      <c r="BB746" s="139"/>
      <c r="BC746" s="139"/>
      <c r="BD746" s="139"/>
      <c r="BE746" s="3"/>
    </row>
    <row r="747" spans="1:57" ht="15" customHeight="1" x14ac:dyDescent="0.4">
      <c r="A747" s="3"/>
      <c r="B747" s="689"/>
      <c r="C747" s="4"/>
      <c r="D747" s="8" t="s">
        <v>785</v>
      </c>
      <c r="E747" s="4"/>
      <c r="F747" s="3"/>
      <c r="G747" s="7"/>
      <c r="H747" s="20"/>
      <c r="I747" s="500"/>
      <c r="J747" s="500"/>
      <c r="K747" s="500"/>
      <c r="L747" s="500"/>
      <c r="M747" s="24"/>
      <c r="N747" s="24"/>
      <c r="O747" s="24"/>
      <c r="P747" s="24"/>
      <c r="Q747" s="42"/>
      <c r="R747" s="31"/>
      <c r="S747" s="31">
        <v>1</v>
      </c>
      <c r="T747" s="31" t="s">
        <v>385</v>
      </c>
      <c r="U747" s="14"/>
      <c r="V747" s="685"/>
      <c r="W747" s="685"/>
      <c r="X747" s="685"/>
      <c r="Y747" s="1454">
        <v>400005000055</v>
      </c>
      <c r="Z747" s="1454"/>
      <c r="AA747" s="1454"/>
      <c r="AB747" s="370"/>
      <c r="AC747" s="3"/>
      <c r="AD747" s="3"/>
      <c r="AE747" s="3"/>
      <c r="AF747" s="3"/>
      <c r="AG747" s="38"/>
      <c r="AH747" s="38"/>
      <c r="AI747" s="353">
        <v>0.36230000000000001</v>
      </c>
      <c r="AJ747" s="39"/>
      <c r="AK747" s="39"/>
      <c r="AL747" s="39"/>
      <c r="AM747" s="39"/>
      <c r="AN747" s="3" t="s">
        <v>371</v>
      </c>
      <c r="AO747" s="3" t="s">
        <v>371</v>
      </c>
      <c r="AP747" s="3" t="s">
        <v>371</v>
      </c>
      <c r="AQ747" s="3" t="s">
        <v>371</v>
      </c>
      <c r="AR747" s="3" t="s">
        <v>371</v>
      </c>
      <c r="AS747" s="3" t="s">
        <v>371</v>
      </c>
      <c r="AT747" s="3" t="s">
        <v>371</v>
      </c>
      <c r="AU747" s="3" t="s">
        <v>92</v>
      </c>
      <c r="AV747" s="3" t="s">
        <v>92</v>
      </c>
      <c r="AW747" s="3" t="s">
        <v>92</v>
      </c>
      <c r="AX747" s="1414" t="s">
        <v>371</v>
      </c>
      <c r="AY747" s="3"/>
      <c r="AZ747" s="139"/>
      <c r="BA747" s="139"/>
      <c r="BB747" s="139"/>
      <c r="BC747" s="139"/>
      <c r="BD747" s="139"/>
      <c r="BE747" s="3"/>
    </row>
    <row r="748" spans="1:57" ht="15" customHeight="1" x14ac:dyDescent="0.4">
      <c r="A748" s="3"/>
      <c r="B748" s="689"/>
      <c r="C748" s="4"/>
      <c r="D748" s="8" t="s">
        <v>786</v>
      </c>
      <c r="E748" s="4"/>
      <c r="F748" s="3"/>
      <c r="G748" s="7"/>
      <c r="H748" s="20"/>
      <c r="I748" s="500"/>
      <c r="J748" s="500"/>
      <c r="K748" s="500"/>
      <c r="L748" s="500"/>
      <c r="M748" s="24"/>
      <c r="N748" s="24"/>
      <c r="O748" s="24"/>
      <c r="P748" s="24"/>
      <c r="Q748" s="42"/>
      <c r="R748" s="31"/>
      <c r="S748" s="31">
        <v>1</v>
      </c>
      <c r="T748" s="31" t="s">
        <v>385</v>
      </c>
      <c r="U748" s="14"/>
      <c r="V748" s="685"/>
      <c r="W748" s="685"/>
      <c r="X748" s="685"/>
      <c r="Y748" s="1454">
        <v>400005000065</v>
      </c>
      <c r="Z748" s="1454"/>
      <c r="AA748" s="1454"/>
      <c r="AB748" s="370"/>
      <c r="AC748" s="3"/>
      <c r="AD748" s="3"/>
      <c r="AE748" s="3"/>
      <c r="AF748" s="3"/>
      <c r="AG748" s="38"/>
      <c r="AH748" s="38"/>
      <c r="AI748" s="353">
        <v>0.37869999999999998</v>
      </c>
      <c r="AJ748" s="39"/>
      <c r="AK748" s="39"/>
      <c r="AL748" s="39"/>
      <c r="AM748" s="39"/>
      <c r="AN748" s="3" t="s">
        <v>371</v>
      </c>
      <c r="AO748" s="3" t="s">
        <v>371</v>
      </c>
      <c r="AP748" s="3" t="s">
        <v>371</v>
      </c>
      <c r="AQ748" s="3" t="s">
        <v>371</v>
      </c>
      <c r="AR748" s="3" t="s">
        <v>371</v>
      </c>
      <c r="AS748" s="3" t="s">
        <v>371</v>
      </c>
      <c r="AT748" s="3" t="s">
        <v>371</v>
      </c>
      <c r="AU748" s="3" t="s">
        <v>92</v>
      </c>
      <c r="AV748" s="3" t="s">
        <v>92</v>
      </c>
      <c r="AW748" s="3" t="s">
        <v>92</v>
      </c>
      <c r="AX748" s="1414" t="s">
        <v>371</v>
      </c>
      <c r="AY748" s="3"/>
      <c r="AZ748" s="139"/>
      <c r="BA748" s="139"/>
      <c r="BB748" s="139"/>
      <c r="BC748" s="139"/>
      <c r="BD748" s="139"/>
      <c r="BE748" s="3"/>
    </row>
    <row r="749" spans="1:57" ht="15" customHeight="1" x14ac:dyDescent="0.4">
      <c r="A749" s="3"/>
      <c r="B749" s="689"/>
      <c r="C749" s="4"/>
      <c r="D749" s="8" t="s">
        <v>787</v>
      </c>
      <c r="E749" s="4"/>
      <c r="F749" s="3"/>
      <c r="G749" s="7"/>
      <c r="H749" s="20"/>
      <c r="I749" s="500"/>
      <c r="J749" s="500"/>
      <c r="K749" s="500"/>
      <c r="L749" s="500"/>
      <c r="M749" s="24"/>
      <c r="N749" s="24"/>
      <c r="O749" s="24"/>
      <c r="P749" s="24"/>
      <c r="Q749" s="42"/>
      <c r="R749" s="31"/>
      <c r="S749" s="31">
        <v>1</v>
      </c>
      <c r="T749" s="31" t="s">
        <v>385</v>
      </c>
      <c r="U749" s="14"/>
      <c r="V749" s="685"/>
      <c r="W749" s="685"/>
      <c r="X749" s="685"/>
      <c r="Y749" s="1454">
        <v>400005000075</v>
      </c>
      <c r="Z749" s="1454"/>
      <c r="AA749" s="1454"/>
      <c r="AB749" s="370"/>
      <c r="AC749" s="3"/>
      <c r="AD749" s="3"/>
      <c r="AE749" s="3"/>
      <c r="AF749" s="3"/>
      <c r="AG749" s="38"/>
      <c r="AH749" s="38"/>
      <c r="AI749" s="353">
        <v>0.46060000000000001</v>
      </c>
      <c r="AJ749" s="39"/>
      <c r="AK749" s="39"/>
      <c r="AL749" s="39"/>
      <c r="AM749" s="39"/>
      <c r="AN749" s="3" t="s">
        <v>371</v>
      </c>
      <c r="AO749" s="3" t="s">
        <v>371</v>
      </c>
      <c r="AP749" s="3" t="s">
        <v>371</v>
      </c>
      <c r="AQ749" s="3" t="s">
        <v>371</v>
      </c>
      <c r="AR749" s="3" t="s">
        <v>371</v>
      </c>
      <c r="AS749" s="3" t="s">
        <v>371</v>
      </c>
      <c r="AT749" s="3" t="s">
        <v>371</v>
      </c>
      <c r="AU749" s="3" t="s">
        <v>92</v>
      </c>
      <c r="AV749" s="3" t="s">
        <v>92</v>
      </c>
      <c r="AW749" s="3" t="s">
        <v>92</v>
      </c>
      <c r="AX749" s="1414" t="s">
        <v>371</v>
      </c>
      <c r="AY749" s="3"/>
      <c r="AZ749" s="139"/>
      <c r="BA749" s="139"/>
      <c r="BB749" s="139"/>
      <c r="BC749" s="139"/>
      <c r="BD749" s="139"/>
      <c r="BE749" s="3"/>
    </row>
    <row r="750" spans="1:57" ht="15" customHeight="1" x14ac:dyDescent="0.4">
      <c r="A750" s="3"/>
      <c r="B750" s="689"/>
      <c r="C750" s="4"/>
      <c r="D750" s="8" t="s">
        <v>788</v>
      </c>
      <c r="E750" s="4"/>
      <c r="F750" s="3"/>
      <c r="G750" s="7"/>
      <c r="H750" s="20"/>
      <c r="I750" s="500"/>
      <c r="J750" s="500"/>
      <c r="K750" s="500"/>
      <c r="L750" s="500"/>
      <c r="M750" s="24"/>
      <c r="N750" s="24"/>
      <c r="O750" s="24"/>
      <c r="P750" s="24"/>
      <c r="Q750" s="42"/>
      <c r="R750" s="31"/>
      <c r="S750" s="31">
        <v>1</v>
      </c>
      <c r="T750" s="31" t="s">
        <v>385</v>
      </c>
      <c r="U750" s="14"/>
      <c r="V750" s="685"/>
      <c r="W750" s="685"/>
      <c r="X750" s="685"/>
      <c r="Y750" s="1454">
        <v>400005000090</v>
      </c>
      <c r="Z750" s="1454"/>
      <c r="AA750" s="1454"/>
      <c r="AB750" s="370"/>
      <c r="AC750" s="3"/>
      <c r="AD750" s="3"/>
      <c r="AE750" s="3"/>
      <c r="AF750" s="3"/>
      <c r="AG750" s="38"/>
      <c r="AH750" s="38"/>
      <c r="AI750" s="353">
        <v>0.49130000000000001</v>
      </c>
      <c r="AJ750" s="39"/>
      <c r="AK750" s="39"/>
      <c r="AL750" s="39"/>
      <c r="AM750" s="39"/>
      <c r="AN750" s="3" t="s">
        <v>371</v>
      </c>
      <c r="AO750" s="3" t="s">
        <v>371</v>
      </c>
      <c r="AP750" s="3" t="s">
        <v>371</v>
      </c>
      <c r="AQ750" s="3" t="s">
        <v>371</v>
      </c>
      <c r="AR750" s="3" t="s">
        <v>371</v>
      </c>
      <c r="AS750" s="3" t="s">
        <v>371</v>
      </c>
      <c r="AT750" s="3" t="s">
        <v>371</v>
      </c>
      <c r="AU750" s="3" t="s">
        <v>92</v>
      </c>
      <c r="AV750" s="3" t="s">
        <v>92</v>
      </c>
      <c r="AW750" s="3" t="s">
        <v>92</v>
      </c>
      <c r="AX750" s="1414" t="s">
        <v>371</v>
      </c>
      <c r="AY750" s="3"/>
      <c r="AZ750" s="139"/>
      <c r="BA750" s="139"/>
      <c r="BB750" s="139"/>
      <c r="BC750" s="139"/>
      <c r="BD750" s="139"/>
      <c r="BE750" s="3"/>
    </row>
    <row r="751" spans="1:57" ht="15" customHeight="1" x14ac:dyDescent="0.4">
      <c r="A751" s="3"/>
      <c r="B751" s="689"/>
      <c r="C751" s="4"/>
      <c r="D751" s="8" t="s">
        <v>789</v>
      </c>
      <c r="E751" s="4"/>
      <c r="F751" s="3"/>
      <c r="G751" s="7"/>
      <c r="H751" s="20"/>
      <c r="I751" s="500"/>
      <c r="J751" s="500"/>
      <c r="K751" s="500"/>
      <c r="L751" s="500"/>
      <c r="M751" s="24"/>
      <c r="N751" s="24"/>
      <c r="O751" s="24"/>
      <c r="P751" s="24"/>
      <c r="Q751" s="42"/>
      <c r="R751" s="31"/>
      <c r="S751" s="31">
        <v>1</v>
      </c>
      <c r="T751" s="31" t="s">
        <v>385</v>
      </c>
      <c r="U751" s="14"/>
      <c r="V751" s="685"/>
      <c r="W751" s="685"/>
      <c r="X751" s="685"/>
      <c r="Y751" s="1454">
        <v>400005000100</v>
      </c>
      <c r="Z751" s="1454"/>
      <c r="AA751" s="1454"/>
      <c r="AB751" s="370"/>
      <c r="AC751" s="3"/>
      <c r="AD751" s="3"/>
      <c r="AE751" s="3"/>
      <c r="AF751" s="3"/>
      <c r="AG751" s="38"/>
      <c r="AH751" s="38"/>
      <c r="AI751" s="353">
        <v>0.61419999999999997</v>
      </c>
      <c r="AJ751" s="39"/>
      <c r="AK751" s="39"/>
      <c r="AL751" s="39"/>
      <c r="AM751" s="39"/>
      <c r="AN751" s="3" t="s">
        <v>371</v>
      </c>
      <c r="AO751" s="3" t="s">
        <v>371</v>
      </c>
      <c r="AP751" s="3" t="s">
        <v>371</v>
      </c>
      <c r="AQ751" s="3" t="s">
        <v>371</v>
      </c>
      <c r="AR751" s="3" t="s">
        <v>371</v>
      </c>
      <c r="AS751" s="3" t="s">
        <v>371</v>
      </c>
      <c r="AT751" s="3" t="s">
        <v>371</v>
      </c>
      <c r="AU751" s="3" t="s">
        <v>92</v>
      </c>
      <c r="AV751" s="3" t="s">
        <v>92</v>
      </c>
      <c r="AW751" s="3" t="s">
        <v>92</v>
      </c>
      <c r="AX751" s="1414" t="s">
        <v>371</v>
      </c>
      <c r="AY751" s="3"/>
      <c r="AZ751" s="139"/>
      <c r="BA751" s="139"/>
      <c r="BB751" s="139"/>
      <c r="BC751" s="139"/>
      <c r="BD751" s="139"/>
      <c r="BE751" s="3"/>
    </row>
    <row r="752" spans="1:57" ht="15" customHeight="1" x14ac:dyDescent="0.4">
      <c r="A752" s="3"/>
      <c r="B752" s="689"/>
      <c r="C752" s="573"/>
      <c r="D752" s="694"/>
      <c r="E752" s="573"/>
      <c r="F752" s="577"/>
      <c r="G752" s="221"/>
      <c r="H752" s="624"/>
      <c r="I752" s="223"/>
      <c r="J752" s="223"/>
      <c r="K752" s="223"/>
      <c r="L752" s="223"/>
      <c r="M752" s="625"/>
      <c r="N752" s="625"/>
      <c r="O752" s="625"/>
      <c r="P752" s="625"/>
      <c r="Q752" s="691"/>
      <c r="R752" s="692"/>
      <c r="S752" s="692"/>
      <c r="T752" s="692"/>
      <c r="U752" s="574"/>
      <c r="V752" s="693"/>
      <c r="W752" s="693"/>
      <c r="X752" s="693"/>
      <c r="Y752" s="579"/>
      <c r="Z752" s="579"/>
      <c r="AA752" s="579"/>
      <c r="AB752" s="695"/>
      <c r="AC752" s="577"/>
      <c r="AD752" s="577"/>
      <c r="AE752" s="577"/>
      <c r="AF752" s="577"/>
      <c r="AG752" s="579"/>
      <c r="AH752" s="579"/>
      <c r="AI752" s="626"/>
      <c r="AJ752" s="581"/>
      <c r="AK752" s="581"/>
      <c r="AL752" s="581"/>
      <c r="AM752" s="581"/>
      <c r="AN752" s="577" t="s">
        <v>371</v>
      </c>
      <c r="AO752" s="577" t="s">
        <v>371</v>
      </c>
      <c r="AP752" s="577" t="s">
        <v>371</v>
      </c>
      <c r="AQ752" s="577" t="s">
        <v>371</v>
      </c>
      <c r="AR752" s="577" t="s">
        <v>371</v>
      </c>
      <c r="AS752" s="577" t="s">
        <v>371</v>
      </c>
      <c r="AT752" s="577" t="s">
        <v>371</v>
      </c>
      <c r="AU752" s="577" t="s">
        <v>92</v>
      </c>
      <c r="AV752" s="577" t="s">
        <v>92</v>
      </c>
      <c r="AW752" s="577" t="s">
        <v>92</v>
      </c>
      <c r="AX752" s="1881" t="s">
        <v>371</v>
      </c>
      <c r="AY752" s="577"/>
      <c r="AZ752" s="139"/>
      <c r="BA752" s="139"/>
      <c r="BB752" s="139"/>
      <c r="BC752" s="139"/>
      <c r="BD752" s="139"/>
      <c r="BE752" s="3"/>
    </row>
    <row r="753" spans="1:57" ht="15" customHeight="1" x14ac:dyDescent="0.4">
      <c r="A753" s="3"/>
      <c r="B753" s="689"/>
      <c r="C753" s="7" t="s">
        <v>790</v>
      </c>
      <c r="D753" s="8"/>
      <c r="E753" s="4"/>
      <c r="F753" s="3"/>
      <c r="G753" s="7"/>
      <c r="H753" s="20"/>
      <c r="I753" s="500"/>
      <c r="J753" s="500"/>
      <c r="K753" s="500"/>
      <c r="L753" s="500"/>
      <c r="M753" s="24"/>
      <c r="N753" s="24"/>
      <c r="O753" s="24"/>
      <c r="P753" s="24"/>
      <c r="Q753" s="42"/>
      <c r="R753" s="31"/>
      <c r="S753" s="31"/>
      <c r="T753" s="31"/>
      <c r="U753" s="14"/>
      <c r="V753" s="685"/>
      <c r="W753" s="685"/>
      <c r="X753" s="685"/>
      <c r="Y753" s="38"/>
      <c r="Z753" s="38"/>
      <c r="AA753" s="38"/>
      <c r="AB753" s="370"/>
      <c r="AC753" s="3"/>
      <c r="AD753" s="3">
        <v>2</v>
      </c>
      <c r="AE753" s="3">
        <v>2</v>
      </c>
      <c r="AF753" s="3" t="s">
        <v>385</v>
      </c>
      <c r="AG753" s="38" t="s">
        <v>8</v>
      </c>
      <c r="AH753" s="38" t="s">
        <v>8</v>
      </c>
      <c r="AI753" s="51"/>
      <c r="AJ753" s="39"/>
      <c r="AK753" s="39"/>
      <c r="AL753" s="39"/>
      <c r="AM753" s="39"/>
      <c r="AN753" s="3" t="s">
        <v>371</v>
      </c>
      <c r="AO753" s="3" t="s">
        <v>371</v>
      </c>
      <c r="AP753" s="3" t="s">
        <v>371</v>
      </c>
      <c r="AQ753" s="3" t="s">
        <v>371</v>
      </c>
      <c r="AR753" s="3" t="s">
        <v>371</v>
      </c>
      <c r="AS753" s="3" t="s">
        <v>371</v>
      </c>
      <c r="AT753" s="3" t="s">
        <v>371</v>
      </c>
      <c r="AU753" s="3" t="s">
        <v>92</v>
      </c>
      <c r="AV753" s="3" t="s">
        <v>92</v>
      </c>
      <c r="AW753" s="3" t="s">
        <v>92</v>
      </c>
      <c r="AX753" s="1414" t="s">
        <v>371</v>
      </c>
      <c r="AY753" s="3"/>
      <c r="AZ753" s="139"/>
      <c r="BA753" s="139"/>
      <c r="BB753" s="139"/>
      <c r="BC753" s="139"/>
      <c r="BD753" s="139"/>
      <c r="BE753" s="3"/>
    </row>
    <row r="754" spans="1:57" ht="15" customHeight="1" x14ac:dyDescent="0.4">
      <c r="A754" s="3"/>
      <c r="B754" s="689"/>
      <c r="C754" s="4"/>
      <c r="D754" s="8" t="s">
        <v>791</v>
      </c>
      <c r="E754" s="4"/>
      <c r="F754" s="3"/>
      <c r="G754" s="7"/>
      <c r="H754" s="20"/>
      <c r="I754" s="500"/>
      <c r="J754" s="500"/>
      <c r="K754" s="500"/>
      <c r="L754" s="500"/>
      <c r="M754" s="24"/>
      <c r="N754" s="24"/>
      <c r="O754" s="24"/>
      <c r="P754" s="24"/>
      <c r="Q754" s="42"/>
      <c r="R754" s="31"/>
      <c r="S754" s="31">
        <v>1</v>
      </c>
      <c r="T754" s="31" t="s">
        <v>385</v>
      </c>
      <c r="U754" s="14"/>
      <c r="V754" s="685"/>
      <c r="W754" s="685"/>
      <c r="X754" s="685"/>
      <c r="Y754" s="1454">
        <v>400020000055</v>
      </c>
      <c r="Z754" s="1454"/>
      <c r="AA754" s="1454"/>
      <c r="AB754" s="370"/>
      <c r="AC754" s="3"/>
      <c r="AD754" s="3"/>
      <c r="AE754" s="3"/>
      <c r="AF754" s="3"/>
      <c r="AG754" s="38"/>
      <c r="AH754" s="38"/>
      <c r="AI754" s="353">
        <v>0.36230000000000001</v>
      </c>
      <c r="AJ754" s="39"/>
      <c r="AK754" s="39"/>
      <c r="AL754" s="39"/>
      <c r="AM754" s="39"/>
      <c r="AN754" s="3" t="s">
        <v>371</v>
      </c>
      <c r="AO754" s="3" t="s">
        <v>371</v>
      </c>
      <c r="AP754" s="3" t="s">
        <v>371</v>
      </c>
      <c r="AQ754" s="3" t="s">
        <v>371</v>
      </c>
      <c r="AR754" s="3" t="s">
        <v>371</v>
      </c>
      <c r="AS754" s="3" t="s">
        <v>371</v>
      </c>
      <c r="AT754" s="3" t="s">
        <v>371</v>
      </c>
      <c r="AU754" s="3" t="s">
        <v>92</v>
      </c>
      <c r="AV754" s="3" t="s">
        <v>92</v>
      </c>
      <c r="AW754" s="3" t="s">
        <v>92</v>
      </c>
      <c r="AX754" s="1414" t="s">
        <v>371</v>
      </c>
      <c r="AY754" s="3"/>
      <c r="AZ754" s="139"/>
      <c r="BA754" s="139"/>
      <c r="BB754" s="139"/>
      <c r="BC754" s="139"/>
      <c r="BD754" s="139"/>
      <c r="BE754" s="3"/>
    </row>
    <row r="755" spans="1:57" ht="15" customHeight="1" x14ac:dyDescent="0.4">
      <c r="A755" s="3"/>
      <c r="B755" s="689"/>
      <c r="C755" s="4"/>
      <c r="D755" s="8" t="s">
        <v>792</v>
      </c>
      <c r="E755" s="4"/>
      <c r="F755" s="3"/>
      <c r="G755" s="7"/>
      <c r="H755" s="20"/>
      <c r="I755" s="500"/>
      <c r="J755" s="500"/>
      <c r="K755" s="500"/>
      <c r="L755" s="500"/>
      <c r="M755" s="24"/>
      <c r="N755" s="24"/>
      <c r="O755" s="24"/>
      <c r="P755" s="24"/>
      <c r="Q755" s="42"/>
      <c r="R755" s="31"/>
      <c r="S755" s="31">
        <v>1</v>
      </c>
      <c r="T755" s="31" t="s">
        <v>385</v>
      </c>
      <c r="U755" s="14"/>
      <c r="V755" s="685"/>
      <c r="W755" s="685"/>
      <c r="X755" s="685"/>
      <c r="Y755" s="1454">
        <v>400020000065</v>
      </c>
      <c r="Z755" s="1454"/>
      <c r="AA755" s="1454"/>
      <c r="AB755" s="370"/>
      <c r="AC755" s="3"/>
      <c r="AD755" s="3"/>
      <c r="AE755" s="3"/>
      <c r="AF755" s="3"/>
      <c r="AG755" s="38"/>
      <c r="AH755" s="38"/>
      <c r="AI755" s="353">
        <v>0.37869999999999998</v>
      </c>
      <c r="AJ755" s="39"/>
      <c r="AK755" s="39"/>
      <c r="AL755" s="39"/>
      <c r="AM755" s="39"/>
      <c r="AN755" s="3" t="s">
        <v>371</v>
      </c>
      <c r="AO755" s="3" t="s">
        <v>371</v>
      </c>
      <c r="AP755" s="3" t="s">
        <v>371</v>
      </c>
      <c r="AQ755" s="3" t="s">
        <v>371</v>
      </c>
      <c r="AR755" s="3" t="s">
        <v>371</v>
      </c>
      <c r="AS755" s="3" t="s">
        <v>371</v>
      </c>
      <c r="AT755" s="3" t="s">
        <v>371</v>
      </c>
      <c r="AU755" s="3" t="s">
        <v>92</v>
      </c>
      <c r="AV755" s="3" t="s">
        <v>92</v>
      </c>
      <c r="AW755" s="3" t="s">
        <v>92</v>
      </c>
      <c r="AX755" s="1414" t="s">
        <v>371</v>
      </c>
      <c r="AY755" s="3"/>
      <c r="AZ755" s="139"/>
      <c r="BA755" s="139"/>
      <c r="BB755" s="139"/>
      <c r="BC755" s="139"/>
      <c r="BD755" s="139"/>
      <c r="BE755" s="3"/>
    </row>
    <row r="756" spans="1:57" ht="15" customHeight="1" x14ac:dyDescent="0.4">
      <c r="A756" s="3"/>
      <c r="B756" s="689"/>
      <c r="C756" s="4"/>
      <c r="D756" s="8" t="s">
        <v>793</v>
      </c>
      <c r="E756" s="4"/>
      <c r="F756" s="3"/>
      <c r="G756" s="7"/>
      <c r="H756" s="20"/>
      <c r="I756" s="500"/>
      <c r="J756" s="500"/>
      <c r="K756" s="500"/>
      <c r="L756" s="500"/>
      <c r="M756" s="24"/>
      <c r="N756" s="24"/>
      <c r="O756" s="24"/>
      <c r="P756" s="24"/>
      <c r="Q756" s="42"/>
      <c r="R756" s="31"/>
      <c r="S756" s="31">
        <v>1</v>
      </c>
      <c r="T756" s="31" t="s">
        <v>385</v>
      </c>
      <c r="U756" s="14"/>
      <c r="V756" s="685"/>
      <c r="W756" s="685"/>
      <c r="X756" s="685"/>
      <c r="Y756" s="1454">
        <v>400020000075</v>
      </c>
      <c r="Z756" s="1454"/>
      <c r="AA756" s="1454"/>
      <c r="AB756" s="370"/>
      <c r="AC756" s="3"/>
      <c r="AD756" s="3"/>
      <c r="AE756" s="3"/>
      <c r="AF756" s="3"/>
      <c r="AG756" s="38"/>
      <c r="AH756" s="38"/>
      <c r="AI756" s="353">
        <v>0.46060000000000001</v>
      </c>
      <c r="AJ756" s="39"/>
      <c r="AK756" s="39"/>
      <c r="AL756" s="39"/>
      <c r="AM756" s="39"/>
      <c r="AN756" s="3" t="s">
        <v>371</v>
      </c>
      <c r="AO756" s="3" t="s">
        <v>371</v>
      </c>
      <c r="AP756" s="3" t="s">
        <v>371</v>
      </c>
      <c r="AQ756" s="3" t="s">
        <v>371</v>
      </c>
      <c r="AR756" s="3" t="s">
        <v>371</v>
      </c>
      <c r="AS756" s="3" t="s">
        <v>371</v>
      </c>
      <c r="AT756" s="3" t="s">
        <v>371</v>
      </c>
      <c r="AU756" s="3" t="s">
        <v>92</v>
      </c>
      <c r="AV756" s="3" t="s">
        <v>92</v>
      </c>
      <c r="AW756" s="3" t="s">
        <v>92</v>
      </c>
      <c r="AX756" s="1414" t="s">
        <v>371</v>
      </c>
      <c r="AY756" s="3"/>
      <c r="AZ756" s="139"/>
      <c r="BA756" s="139"/>
      <c r="BB756" s="139"/>
      <c r="BC756" s="139"/>
      <c r="BD756" s="139"/>
      <c r="BE756" s="3"/>
    </row>
    <row r="757" spans="1:57" ht="15" customHeight="1" x14ac:dyDescent="0.4">
      <c r="A757" s="3"/>
      <c r="B757" s="689"/>
      <c r="C757" s="4"/>
      <c r="D757" s="8" t="s">
        <v>794</v>
      </c>
      <c r="E757" s="4"/>
      <c r="F757" s="3"/>
      <c r="G757" s="7"/>
      <c r="H757" s="20"/>
      <c r="I757" s="500"/>
      <c r="J757" s="500"/>
      <c r="K757" s="500"/>
      <c r="L757" s="500"/>
      <c r="M757" s="24"/>
      <c r="N757" s="24"/>
      <c r="O757" s="24"/>
      <c r="P757" s="24"/>
      <c r="Q757" s="42"/>
      <c r="R757" s="31"/>
      <c r="S757" s="31">
        <v>1</v>
      </c>
      <c r="T757" s="31" t="s">
        <v>385</v>
      </c>
      <c r="U757" s="14"/>
      <c r="V757" s="685"/>
      <c r="W757" s="685"/>
      <c r="X757" s="685"/>
      <c r="Y757" s="1454">
        <v>400020000090</v>
      </c>
      <c r="Z757" s="1454"/>
      <c r="AA757" s="1454"/>
      <c r="AB757" s="370"/>
      <c r="AC757" s="3"/>
      <c r="AD757" s="3"/>
      <c r="AE757" s="3"/>
      <c r="AF757" s="3"/>
      <c r="AG757" s="38"/>
      <c r="AH757" s="38"/>
      <c r="AI757" s="353">
        <v>0.49130000000000001</v>
      </c>
      <c r="AJ757" s="39"/>
      <c r="AK757" s="39"/>
      <c r="AL757" s="39"/>
      <c r="AM757" s="39"/>
      <c r="AN757" s="3" t="s">
        <v>371</v>
      </c>
      <c r="AO757" s="3" t="s">
        <v>371</v>
      </c>
      <c r="AP757" s="3" t="s">
        <v>371</v>
      </c>
      <c r="AQ757" s="3" t="s">
        <v>371</v>
      </c>
      <c r="AR757" s="3" t="s">
        <v>371</v>
      </c>
      <c r="AS757" s="3" t="s">
        <v>371</v>
      </c>
      <c r="AT757" s="3" t="s">
        <v>371</v>
      </c>
      <c r="AU757" s="3" t="s">
        <v>92</v>
      </c>
      <c r="AV757" s="3" t="s">
        <v>92</v>
      </c>
      <c r="AW757" s="3" t="s">
        <v>92</v>
      </c>
      <c r="AX757" s="1414" t="s">
        <v>371</v>
      </c>
      <c r="AY757" s="3"/>
      <c r="AZ757" s="139"/>
      <c r="BA757" s="139"/>
      <c r="BB757" s="139"/>
      <c r="BC757" s="139"/>
      <c r="BD757" s="139"/>
      <c r="BE757" s="3"/>
    </row>
    <row r="758" spans="1:57" ht="15" customHeight="1" x14ac:dyDescent="0.4">
      <c r="A758" s="3"/>
      <c r="B758" s="689"/>
      <c r="C758" s="4"/>
      <c r="D758" s="8" t="s">
        <v>795</v>
      </c>
      <c r="E758" s="4"/>
      <c r="F758" s="3"/>
      <c r="G758" s="7"/>
      <c r="H758" s="20"/>
      <c r="I758" s="500"/>
      <c r="J758" s="500"/>
      <c r="K758" s="500"/>
      <c r="L758" s="500"/>
      <c r="M758" s="24"/>
      <c r="N758" s="24"/>
      <c r="O758" s="24"/>
      <c r="P758" s="24"/>
      <c r="Q758" s="42"/>
      <c r="R758" s="31"/>
      <c r="S758" s="31">
        <v>1</v>
      </c>
      <c r="T758" s="31" t="s">
        <v>385</v>
      </c>
      <c r="U758" s="14"/>
      <c r="V758" s="685"/>
      <c r="W758" s="685"/>
      <c r="X758" s="685"/>
      <c r="Y758" s="1454">
        <v>400020000100</v>
      </c>
      <c r="Z758" s="1454"/>
      <c r="AA758" s="1454"/>
      <c r="AB758" s="370"/>
      <c r="AC758" s="3"/>
      <c r="AD758" s="3"/>
      <c r="AE758" s="3"/>
      <c r="AF758" s="3"/>
      <c r="AG758" s="38"/>
      <c r="AH758" s="38"/>
      <c r="AI758" s="353">
        <v>0.61419999999999997</v>
      </c>
      <c r="AJ758" s="39"/>
      <c r="AK758" s="39"/>
      <c r="AL758" s="39"/>
      <c r="AM758" s="39"/>
      <c r="AN758" s="3" t="s">
        <v>371</v>
      </c>
      <c r="AO758" s="3" t="s">
        <v>371</v>
      </c>
      <c r="AP758" s="3" t="s">
        <v>371</v>
      </c>
      <c r="AQ758" s="3" t="s">
        <v>371</v>
      </c>
      <c r="AR758" s="3" t="s">
        <v>371</v>
      </c>
      <c r="AS758" s="3" t="s">
        <v>371</v>
      </c>
      <c r="AT758" s="3" t="s">
        <v>371</v>
      </c>
      <c r="AU758" s="3" t="s">
        <v>92</v>
      </c>
      <c r="AV758" s="3" t="s">
        <v>92</v>
      </c>
      <c r="AW758" s="3" t="s">
        <v>92</v>
      </c>
      <c r="AX758" s="1414" t="s">
        <v>371</v>
      </c>
      <c r="AY758" s="3"/>
      <c r="AZ758" s="139"/>
      <c r="BA758" s="139"/>
      <c r="BB758" s="139"/>
      <c r="BC758" s="139"/>
      <c r="BD758" s="139"/>
      <c r="BE758" s="3"/>
    </row>
    <row r="759" spans="1:57" ht="15" customHeight="1" thickBot="1" x14ac:dyDescent="0.45">
      <c r="A759" s="3"/>
      <c r="B759" s="689"/>
      <c r="C759" s="4"/>
      <c r="D759" s="8"/>
      <c r="E759" s="4"/>
      <c r="F759" s="3"/>
      <c r="G759" s="7"/>
      <c r="H759" s="20"/>
      <c r="I759" s="500"/>
      <c r="J759" s="500"/>
      <c r="K759" s="500"/>
      <c r="L759" s="500"/>
      <c r="M759" s="24"/>
      <c r="N759" s="24"/>
      <c r="O759" s="24"/>
      <c r="P759" s="24"/>
      <c r="Q759" s="42"/>
      <c r="R759" s="893"/>
      <c r="S759" s="893"/>
      <c r="T759" s="893"/>
      <c r="U759" s="948"/>
      <c r="V759" s="1205"/>
      <c r="W759" s="1205"/>
      <c r="X759" s="1205"/>
      <c r="Y759" s="888"/>
      <c r="Z759" s="888"/>
      <c r="AA759" s="888"/>
      <c r="AB759" s="1206"/>
      <c r="AC759" s="889"/>
      <c r="AD759" s="889"/>
      <c r="AE759" s="889"/>
      <c r="AF759" s="889"/>
      <c r="AG759" s="888"/>
      <c r="AH759" s="888"/>
      <c r="AI759" s="937"/>
      <c r="AJ759" s="947"/>
      <c r="AK759" s="947"/>
      <c r="AL759" s="947"/>
      <c r="AM759" s="947"/>
      <c r="AN759" s="889" t="s">
        <v>371</v>
      </c>
      <c r="AO759" s="889" t="s">
        <v>371</v>
      </c>
      <c r="AP759" s="889" t="s">
        <v>371</v>
      </c>
      <c r="AQ759" s="889" t="s">
        <v>371</v>
      </c>
      <c r="AR759" s="889" t="s">
        <v>371</v>
      </c>
      <c r="AS759" s="889" t="s">
        <v>371</v>
      </c>
      <c r="AT759" s="889" t="s">
        <v>371</v>
      </c>
      <c r="AU759" s="889" t="s">
        <v>92</v>
      </c>
      <c r="AV759" s="889" t="s">
        <v>92</v>
      </c>
      <c r="AW759" s="889" t="s">
        <v>92</v>
      </c>
      <c r="AX759" s="1590" t="s">
        <v>371</v>
      </c>
      <c r="AY759" s="889"/>
      <c r="AZ759" s="139"/>
      <c r="BA759" s="139"/>
      <c r="BB759" s="139"/>
      <c r="BC759" s="139"/>
      <c r="BD759" s="139"/>
      <c r="BE759" s="3"/>
    </row>
    <row r="760" spans="1:57" ht="15" customHeight="1" x14ac:dyDescent="0.4">
      <c r="A760" s="3"/>
      <c r="B760" s="689"/>
      <c r="C760" s="173" t="s">
        <v>796</v>
      </c>
      <c r="D760" s="138"/>
      <c r="E760" s="138"/>
      <c r="F760" s="138"/>
      <c r="G760" s="173"/>
      <c r="H760" s="175"/>
      <c r="I760" s="448"/>
      <c r="J760" s="448"/>
      <c r="K760" s="448"/>
      <c r="L760" s="448"/>
      <c r="M760" s="178"/>
      <c r="N760" s="178"/>
      <c r="O760" s="178"/>
      <c r="P760" s="178"/>
      <c r="Q760" s="480"/>
      <c r="R760" s="452"/>
      <c r="S760" s="31">
        <v>1</v>
      </c>
      <c r="T760" s="31" t="s">
        <v>385</v>
      </c>
      <c r="U760" s="14"/>
      <c r="V760" s="685"/>
      <c r="W760" s="685"/>
      <c r="X760" s="452" t="s">
        <v>797</v>
      </c>
      <c r="Y760" s="1588">
        <f>INDEX(Y762:Y765,MATCH(TRUE,V762:V765,0))</f>
        <v>400018000002</v>
      </c>
      <c r="Z760" s="1588" t="str">
        <f>INDEX(D762:D765,MATCH(TRUE,V762:V765,0))</f>
        <v>Dual Coil</v>
      </c>
      <c r="AA760" s="1445"/>
      <c r="AB760" s="370"/>
      <c r="AC760" s="3"/>
      <c r="AD760" s="3">
        <v>2</v>
      </c>
      <c r="AE760" s="3">
        <v>2</v>
      </c>
      <c r="AF760" s="3" t="s">
        <v>385</v>
      </c>
      <c r="AG760" s="38" t="s">
        <v>8</v>
      </c>
      <c r="AH760" s="38" t="s">
        <v>8</v>
      </c>
      <c r="AI760" s="51">
        <f>LOOKUP(Y760,Y762:Y765,AI762:AI765)</f>
        <v>0.50219999999999998</v>
      </c>
      <c r="AJ760" s="39"/>
      <c r="AK760" s="39"/>
      <c r="AL760" s="39"/>
      <c r="AM760" s="39">
        <f>AE$760*AI760+SUM(AJ760:AL760)</f>
        <v>1.0044</v>
      </c>
      <c r="AN760" s="3" t="s">
        <v>371</v>
      </c>
      <c r="AO760" s="3" t="s">
        <v>371</v>
      </c>
      <c r="AP760" s="3" t="s">
        <v>371</v>
      </c>
      <c r="AQ760" s="3" t="s">
        <v>371</v>
      </c>
      <c r="AR760" s="3" t="s">
        <v>371</v>
      </c>
      <c r="AS760" s="3" t="s">
        <v>371</v>
      </c>
      <c r="AT760" s="3" t="s">
        <v>371</v>
      </c>
      <c r="AU760" s="3" t="s">
        <v>92</v>
      </c>
      <c r="AV760" s="3" t="s">
        <v>92</v>
      </c>
      <c r="AW760" s="3" t="s">
        <v>92</v>
      </c>
      <c r="AX760" s="1414" t="s">
        <v>371</v>
      </c>
      <c r="AY760" s="3"/>
      <c r="AZ760" s="139"/>
      <c r="BA760" s="139"/>
      <c r="BB760" s="139"/>
      <c r="BC760" s="139"/>
      <c r="BD760" s="139"/>
      <c r="BE760" s="3"/>
    </row>
    <row r="761" spans="1:57" ht="15" customHeight="1" x14ac:dyDescent="0.4">
      <c r="A761" s="3"/>
      <c r="B761" s="689"/>
      <c r="C761" s="7"/>
      <c r="D761" s="4"/>
      <c r="E761" s="4"/>
      <c r="F761" s="4"/>
      <c r="G761" s="7"/>
      <c r="H761" s="20"/>
      <c r="I761" s="500"/>
      <c r="J761" s="500"/>
      <c r="K761" s="500"/>
      <c r="L761" s="500"/>
      <c r="M761" s="24"/>
      <c r="N761" s="24"/>
      <c r="O761" s="24"/>
      <c r="P761" s="24"/>
      <c r="Q761" s="42"/>
      <c r="R761" s="31"/>
      <c r="S761" s="3"/>
      <c r="T761" s="3"/>
      <c r="U761" s="14"/>
      <c r="V761" s="685"/>
      <c r="W761" s="685"/>
      <c r="X761" s="685"/>
      <c r="Y761" s="3"/>
      <c r="Z761" s="3"/>
      <c r="AA761" s="3"/>
      <c r="AB761" s="370"/>
      <c r="AC761" s="3"/>
      <c r="AD761" s="3"/>
      <c r="AE761" s="3"/>
      <c r="AF761" s="3"/>
      <c r="AG761" s="38"/>
      <c r="AH761" s="38"/>
      <c r="AI761" s="51"/>
      <c r="AJ761" s="39"/>
      <c r="AK761" s="39"/>
      <c r="AL761" s="39"/>
      <c r="AM761" s="39"/>
      <c r="AN761" s="3" t="s">
        <v>371</v>
      </c>
      <c r="AO761" s="3" t="s">
        <v>371</v>
      </c>
      <c r="AP761" s="3" t="s">
        <v>371</v>
      </c>
      <c r="AQ761" s="3" t="s">
        <v>371</v>
      </c>
      <c r="AR761" s="3" t="s">
        <v>371</v>
      </c>
      <c r="AS761" s="3" t="s">
        <v>371</v>
      </c>
      <c r="AT761" s="3" t="s">
        <v>371</v>
      </c>
      <c r="AU761" s="3" t="s">
        <v>92</v>
      </c>
      <c r="AV761" s="3" t="s">
        <v>92</v>
      </c>
      <c r="AW761" s="3" t="s">
        <v>92</v>
      </c>
      <c r="AX761" s="1414" t="s">
        <v>371</v>
      </c>
      <c r="AY761" s="3"/>
      <c r="AZ761" s="139"/>
      <c r="BA761" s="139"/>
      <c r="BB761" s="139"/>
      <c r="BC761" s="139"/>
      <c r="BD761" s="139"/>
      <c r="BE761" s="3"/>
    </row>
    <row r="762" spans="1:57" ht="15" customHeight="1" x14ac:dyDescent="0.4">
      <c r="A762" s="3"/>
      <c r="B762" s="689"/>
      <c r="C762" s="4"/>
      <c r="D762" s="8" t="s">
        <v>798</v>
      </c>
      <c r="E762" s="4"/>
      <c r="F762" s="3"/>
      <c r="G762" s="7"/>
      <c r="H762" s="20"/>
      <c r="I762" s="500"/>
      <c r="J762" s="500"/>
      <c r="K762" s="500"/>
      <c r="L762" s="500"/>
      <c r="M762" s="24"/>
      <c r="N762" s="24"/>
      <c r="O762" s="24"/>
      <c r="P762" s="24"/>
      <c r="Q762" s="42"/>
      <c r="R762" s="31"/>
      <c r="S762" s="3"/>
      <c r="T762" s="3"/>
      <c r="U762" s="14"/>
      <c r="V762" s="696" t="b">
        <f>IF(AND(SHCoilAdjSashWeight&gt;=$R712,SHCoilAdjSashWeight&lt;=$T718),TRUE,FALSE)</f>
        <v>0</v>
      </c>
      <c r="W762" s="685"/>
      <c r="X762" s="685"/>
      <c r="Y762" s="1454">
        <v>400018000001</v>
      </c>
      <c r="Z762" s="1454"/>
      <c r="AA762" s="1454"/>
      <c r="AB762" s="370"/>
      <c r="AC762" s="3"/>
      <c r="AD762" s="3"/>
      <c r="AE762" s="3"/>
      <c r="AF762" s="3"/>
      <c r="AG762" s="38"/>
      <c r="AH762" s="38"/>
      <c r="AI762" s="353">
        <v>0.36880000000000002</v>
      </c>
      <c r="AJ762" s="39"/>
      <c r="AK762" s="39"/>
      <c r="AL762" s="39"/>
      <c r="AM762" s="39"/>
      <c r="AN762" s="3" t="s">
        <v>371</v>
      </c>
      <c r="AO762" s="3" t="s">
        <v>371</v>
      </c>
      <c r="AP762" s="3" t="s">
        <v>371</v>
      </c>
      <c r="AQ762" s="3" t="s">
        <v>371</v>
      </c>
      <c r="AR762" s="3" t="s">
        <v>371</v>
      </c>
      <c r="AS762" s="3" t="s">
        <v>371</v>
      </c>
      <c r="AT762" s="3" t="s">
        <v>371</v>
      </c>
      <c r="AU762" s="3" t="s">
        <v>92</v>
      </c>
      <c r="AV762" s="3" t="s">
        <v>92</v>
      </c>
      <c r="AW762" s="3" t="s">
        <v>92</v>
      </c>
      <c r="AX762" s="1414" t="s">
        <v>371</v>
      </c>
      <c r="AY762" s="3"/>
      <c r="AZ762" s="139"/>
      <c r="BA762" s="139"/>
      <c r="BB762" s="139"/>
      <c r="BC762" s="139"/>
      <c r="BD762" s="139"/>
      <c r="BE762" s="3"/>
    </row>
    <row r="763" spans="1:57" ht="15" customHeight="1" x14ac:dyDescent="0.4">
      <c r="A763" s="3"/>
      <c r="B763" s="689"/>
      <c r="C763" s="4"/>
      <c r="D763" s="8" t="s">
        <v>799</v>
      </c>
      <c r="E763" s="4"/>
      <c r="F763" s="3"/>
      <c r="G763" s="7"/>
      <c r="H763" s="20"/>
      <c r="I763" s="500"/>
      <c r="J763" s="500"/>
      <c r="K763" s="500"/>
      <c r="L763" s="500"/>
      <c r="M763" s="24"/>
      <c r="N763" s="24"/>
      <c r="O763" s="24"/>
      <c r="P763" s="24"/>
      <c r="Q763" s="42"/>
      <c r="R763" s="31"/>
      <c r="S763" s="31"/>
      <c r="T763" s="31"/>
      <c r="U763" s="14"/>
      <c r="V763" s="696" t="b">
        <f>IF(AND(SHCoilAdjSashWeight&gt;=$R719,SHCoilAdjSashWeight&lt;=$T727),TRUE,FALSE)</f>
        <v>1</v>
      </c>
      <c r="W763" s="685"/>
      <c r="X763" s="685"/>
      <c r="Y763" s="1454">
        <v>400018000002</v>
      </c>
      <c r="Z763" s="1454"/>
      <c r="AA763" s="1454"/>
      <c r="AB763" s="370"/>
      <c r="AC763" s="3"/>
      <c r="AD763" s="3"/>
      <c r="AE763" s="3"/>
      <c r="AF763" s="3"/>
      <c r="AG763" s="38"/>
      <c r="AH763" s="38"/>
      <c r="AI763" s="353">
        <v>0.50219999999999998</v>
      </c>
      <c r="AJ763" s="39"/>
      <c r="AK763" s="39"/>
      <c r="AL763" s="39"/>
      <c r="AM763" s="39"/>
      <c r="AN763" s="3" t="s">
        <v>371</v>
      </c>
      <c r="AO763" s="3" t="s">
        <v>371</v>
      </c>
      <c r="AP763" s="3" t="s">
        <v>371</v>
      </c>
      <c r="AQ763" s="3" t="s">
        <v>371</v>
      </c>
      <c r="AR763" s="3" t="s">
        <v>371</v>
      </c>
      <c r="AS763" s="3" t="s">
        <v>371</v>
      </c>
      <c r="AT763" s="3" t="s">
        <v>371</v>
      </c>
      <c r="AU763" s="3" t="s">
        <v>92</v>
      </c>
      <c r="AV763" s="3" t="s">
        <v>92</v>
      </c>
      <c r="AW763" s="3" t="s">
        <v>92</v>
      </c>
      <c r="AX763" s="1414" t="s">
        <v>371</v>
      </c>
      <c r="AY763" s="3"/>
      <c r="AZ763" s="139"/>
      <c r="BA763" s="139"/>
      <c r="BB763" s="139"/>
      <c r="BC763" s="139"/>
      <c r="BD763" s="139"/>
      <c r="BE763" s="3"/>
    </row>
    <row r="764" spans="1:57" ht="15" customHeight="1" x14ac:dyDescent="0.4">
      <c r="A764" s="3"/>
      <c r="B764" s="689"/>
      <c r="C764" s="4"/>
      <c r="D764" s="8" t="s">
        <v>800</v>
      </c>
      <c r="E764" s="4"/>
      <c r="F764" s="3"/>
      <c r="G764" s="7"/>
      <c r="H764" s="20"/>
      <c r="I764" s="500"/>
      <c r="J764" s="500"/>
      <c r="K764" s="500"/>
      <c r="L764" s="500"/>
      <c r="M764" s="24"/>
      <c r="N764" s="24"/>
      <c r="O764" s="24"/>
      <c r="P764" s="24"/>
      <c r="Q764" s="42"/>
      <c r="R764" s="31"/>
      <c r="S764" s="31"/>
      <c r="T764" s="31"/>
      <c r="U764" s="14"/>
      <c r="V764" s="696" t="b">
        <f>IF(AND(SHCoilAdjSashWeight&gt;=$R728,SHCoilAdjSashWeight&lt;=$T735),TRUE,FALSE)</f>
        <v>0</v>
      </c>
      <c r="W764" s="685"/>
      <c r="X764" s="685"/>
      <c r="Y764" s="1454">
        <v>400018000003</v>
      </c>
      <c r="Z764" s="1454"/>
      <c r="AA764" s="1454"/>
      <c r="AB764" s="370"/>
      <c r="AC764" s="3"/>
      <c r="AD764" s="3"/>
      <c r="AE764" s="3"/>
      <c r="AF764" s="3"/>
      <c r="AG764" s="38"/>
      <c r="AH764" s="38"/>
      <c r="AI764" s="353">
        <v>0.84889999999999999</v>
      </c>
      <c r="AJ764" s="39"/>
      <c r="AK764" s="39"/>
      <c r="AL764" s="39"/>
      <c r="AM764" s="39"/>
      <c r="AN764" s="3" t="s">
        <v>371</v>
      </c>
      <c r="AO764" s="3" t="s">
        <v>371</v>
      </c>
      <c r="AP764" s="3" t="s">
        <v>371</v>
      </c>
      <c r="AQ764" s="3" t="s">
        <v>371</v>
      </c>
      <c r="AR764" s="3" t="s">
        <v>371</v>
      </c>
      <c r="AS764" s="3" t="s">
        <v>371</v>
      </c>
      <c r="AT764" s="3" t="s">
        <v>371</v>
      </c>
      <c r="AU764" s="3" t="s">
        <v>92</v>
      </c>
      <c r="AV764" s="3" t="s">
        <v>92</v>
      </c>
      <c r="AW764" s="3" t="s">
        <v>92</v>
      </c>
      <c r="AX764" s="1414" t="s">
        <v>371</v>
      </c>
      <c r="AY764" s="3"/>
      <c r="AZ764" s="139"/>
      <c r="BA764" s="139"/>
      <c r="BB764" s="139"/>
      <c r="BC764" s="139"/>
      <c r="BD764" s="139"/>
      <c r="BE764" s="3"/>
    </row>
    <row r="765" spans="1:57" ht="15" customHeight="1" x14ac:dyDescent="0.4">
      <c r="A765" s="3"/>
      <c r="B765" s="689"/>
      <c r="C765" s="4"/>
      <c r="D765" s="8" t="s">
        <v>801</v>
      </c>
      <c r="E765" s="4"/>
      <c r="F765" s="3"/>
      <c r="G765" s="7"/>
      <c r="H765" s="20"/>
      <c r="I765" s="500"/>
      <c r="J765" s="500"/>
      <c r="K765" s="500"/>
      <c r="L765" s="500"/>
      <c r="M765" s="24"/>
      <c r="N765" s="24"/>
      <c r="O765" s="24"/>
      <c r="P765" s="24"/>
      <c r="Q765" s="42"/>
      <c r="R765" s="31"/>
      <c r="S765" s="31"/>
      <c r="T765" s="31"/>
      <c r="U765" s="14"/>
      <c r="V765" s="696" t="b">
        <f>IF(AND(SHCoilAdjSashWeight&gt;=$R736,SHCoilAdjSashWeight&lt;=$T743),TRUE,FALSE)</f>
        <v>0</v>
      </c>
      <c r="W765" s="685"/>
      <c r="X765" s="685"/>
      <c r="Y765" s="1454">
        <v>400018000004</v>
      </c>
      <c r="Z765" s="1454"/>
      <c r="AA765" s="1454"/>
      <c r="AB765" s="370"/>
      <c r="AC765" s="3"/>
      <c r="AD765" s="3"/>
      <c r="AE765" s="3"/>
      <c r="AF765" s="3"/>
      <c r="AG765" s="38"/>
      <c r="AH765" s="38"/>
      <c r="AI765" s="353">
        <v>1.1997</v>
      </c>
      <c r="AJ765" s="39"/>
      <c r="AK765" s="39"/>
      <c r="AL765" s="39"/>
      <c r="AM765" s="39"/>
      <c r="AN765" s="3" t="s">
        <v>371</v>
      </c>
      <c r="AO765" s="3" t="s">
        <v>371</v>
      </c>
      <c r="AP765" s="3" t="s">
        <v>371</v>
      </c>
      <c r="AQ765" s="3" t="s">
        <v>371</v>
      </c>
      <c r="AR765" s="3" t="s">
        <v>371</v>
      </c>
      <c r="AS765" s="3" t="s">
        <v>371</v>
      </c>
      <c r="AT765" s="3" t="s">
        <v>371</v>
      </c>
      <c r="AU765" s="3" t="s">
        <v>92</v>
      </c>
      <c r="AV765" s="3" t="s">
        <v>92</v>
      </c>
      <c r="AW765" s="3" t="s">
        <v>92</v>
      </c>
      <c r="AX765" s="1414" t="s">
        <v>371</v>
      </c>
      <c r="AY765" s="3"/>
      <c r="AZ765" s="139"/>
      <c r="BA765" s="139"/>
      <c r="BB765" s="139"/>
      <c r="BC765" s="139"/>
      <c r="BD765" s="139"/>
      <c r="BE765" s="3"/>
    </row>
    <row r="766" spans="1:57" ht="15" customHeight="1" thickBot="1" x14ac:dyDescent="0.45">
      <c r="A766" s="3"/>
      <c r="B766" s="689"/>
      <c r="C766" s="4"/>
      <c r="D766" s="4"/>
      <c r="E766" s="4"/>
      <c r="F766" s="4"/>
      <c r="G766" s="7"/>
      <c r="H766" s="20"/>
      <c r="I766" s="500"/>
      <c r="J766" s="500"/>
      <c r="K766" s="500"/>
      <c r="L766" s="500"/>
      <c r="M766" s="24"/>
      <c r="N766" s="24"/>
      <c r="O766" s="24"/>
      <c r="P766" s="24"/>
      <c r="Q766" s="42"/>
      <c r="R766" s="31"/>
      <c r="S766" s="31"/>
      <c r="T766" s="31"/>
      <c r="U766" s="948"/>
      <c r="V766" s="685"/>
      <c r="W766" s="685"/>
      <c r="X766" s="685"/>
      <c r="Y766" s="3"/>
      <c r="Z766" s="3"/>
      <c r="AA766" s="3"/>
      <c r="AB766" s="370"/>
      <c r="AC766" s="3"/>
      <c r="AD766" s="3"/>
      <c r="AE766" s="3"/>
      <c r="AF766" s="3"/>
      <c r="AG766" s="38"/>
      <c r="AH766" s="38"/>
      <c r="AI766" s="51"/>
      <c r="AJ766" s="39"/>
      <c r="AK766" s="39"/>
      <c r="AL766" s="39"/>
      <c r="AM766" s="947"/>
      <c r="AN766" s="889" t="s">
        <v>371</v>
      </c>
      <c r="AO766" s="889" t="s">
        <v>371</v>
      </c>
      <c r="AP766" s="889" t="s">
        <v>371</v>
      </c>
      <c r="AQ766" s="889" t="s">
        <v>371</v>
      </c>
      <c r="AR766" s="889" t="s">
        <v>371</v>
      </c>
      <c r="AS766" s="889" t="s">
        <v>371</v>
      </c>
      <c r="AT766" s="889" t="s">
        <v>371</v>
      </c>
      <c r="AU766" s="889" t="s">
        <v>92</v>
      </c>
      <c r="AV766" s="889" t="s">
        <v>92</v>
      </c>
      <c r="AW766" s="889" t="s">
        <v>92</v>
      </c>
      <c r="AX766" s="1590" t="s">
        <v>371</v>
      </c>
      <c r="AY766" s="889"/>
      <c r="AZ766" s="139"/>
      <c r="BA766" s="139"/>
      <c r="BB766" s="139"/>
      <c r="BC766" s="139"/>
      <c r="BD766" s="139"/>
      <c r="BE766" s="3"/>
    </row>
    <row r="767" spans="1:57" ht="16.2" x14ac:dyDescent="0.4">
      <c r="A767" s="3"/>
      <c r="B767" s="689"/>
      <c r="C767" s="490" t="s">
        <v>802</v>
      </c>
      <c r="D767" s="138"/>
      <c r="E767" s="138"/>
      <c r="F767" s="138"/>
      <c r="G767" s="173"/>
      <c r="H767" s="175"/>
      <c r="I767" s="448"/>
      <c r="J767" s="448"/>
      <c r="K767" s="448"/>
      <c r="L767" s="448"/>
      <c r="M767" s="178"/>
      <c r="N767" s="178"/>
      <c r="O767" s="178"/>
      <c r="P767" s="178"/>
      <c r="Q767" s="178"/>
      <c r="R767" s="448"/>
      <c r="S767" s="198">
        <v>1</v>
      </c>
      <c r="T767" s="116" t="s">
        <v>385</v>
      </c>
      <c r="U767" s="193"/>
      <c r="V767" s="114"/>
      <c r="W767" s="138"/>
      <c r="X767" s="138"/>
      <c r="Y767" s="1449">
        <v>400024000</v>
      </c>
      <c r="Z767" s="1449"/>
      <c r="AA767" s="1449"/>
      <c r="AB767" s="193"/>
      <c r="AC767" s="116">
        <v>45</v>
      </c>
      <c r="AD767" s="116">
        <v>2</v>
      </c>
      <c r="AE767" s="116">
        <f>S767*AD767</f>
        <v>2</v>
      </c>
      <c r="AF767" s="116" t="s">
        <v>385</v>
      </c>
      <c r="AG767" s="179" t="s">
        <v>8</v>
      </c>
      <c r="AH767" s="179" t="s">
        <v>8</v>
      </c>
      <c r="AI767" s="1426">
        <v>7.6799999999999993E-2</v>
      </c>
      <c r="AJ767" s="180"/>
      <c r="AK767" s="180"/>
      <c r="AL767" s="180"/>
      <c r="AM767" s="39">
        <f>AE$767*AI767+SUM(AJ767:AL767)</f>
        <v>0.15359999999999999</v>
      </c>
      <c r="AN767" s="3" t="s">
        <v>371</v>
      </c>
      <c r="AO767" s="3" t="s">
        <v>371</v>
      </c>
      <c r="AP767" s="3" t="s">
        <v>371</v>
      </c>
      <c r="AQ767" s="3" t="s">
        <v>371</v>
      </c>
      <c r="AR767" s="3" t="s">
        <v>371</v>
      </c>
      <c r="AS767" s="3" t="s">
        <v>371</v>
      </c>
      <c r="AT767" s="3" t="s">
        <v>371</v>
      </c>
      <c r="AU767" s="3" t="s">
        <v>92</v>
      </c>
      <c r="AV767" s="3" t="s">
        <v>92</v>
      </c>
      <c r="AW767" s="3" t="s">
        <v>92</v>
      </c>
      <c r="AX767" s="1414" t="s">
        <v>371</v>
      </c>
      <c r="AY767" s="3"/>
      <c r="AZ767" s="139"/>
      <c r="BA767" s="139"/>
      <c r="BB767" s="139"/>
      <c r="BC767" s="139"/>
      <c r="BD767" s="139"/>
      <c r="BE767" s="3"/>
    </row>
    <row r="768" spans="1:57" ht="16.2" x14ac:dyDescent="0.4">
      <c r="A768" s="3"/>
      <c r="B768" s="689"/>
      <c r="C768" s="494"/>
      <c r="D768" s="4"/>
      <c r="E768" s="4"/>
      <c r="F768" s="4"/>
      <c r="G768" s="7"/>
      <c r="H768" s="20"/>
      <c r="I768" s="500"/>
      <c r="J768" s="500"/>
      <c r="K768" s="500"/>
      <c r="L768" s="500"/>
      <c r="M768" s="24"/>
      <c r="N768" s="24"/>
      <c r="O768" s="24"/>
      <c r="P768" s="24"/>
      <c r="Q768" s="24"/>
      <c r="R768" s="500"/>
      <c r="S768" s="56"/>
      <c r="T768" s="3"/>
      <c r="U768" s="14"/>
      <c r="V768" s="8"/>
      <c r="W768" s="4"/>
      <c r="X768" s="4"/>
      <c r="Y768" s="3"/>
      <c r="Z768" s="3"/>
      <c r="AA768" s="3"/>
      <c r="AB768" s="14"/>
      <c r="AC768" s="3"/>
      <c r="AD768" s="3"/>
      <c r="AE768" s="3"/>
      <c r="AF768" s="3"/>
      <c r="AG768" s="38"/>
      <c r="AH768" s="38"/>
      <c r="AI768" s="51"/>
      <c r="AJ768" s="39"/>
      <c r="AK768" s="39"/>
      <c r="AL768" s="39"/>
      <c r="AM768" s="39"/>
      <c r="AN768" s="3" t="s">
        <v>371</v>
      </c>
      <c r="AO768" s="3" t="s">
        <v>371</v>
      </c>
      <c r="AP768" s="3" t="s">
        <v>371</v>
      </c>
      <c r="AQ768" s="3" t="s">
        <v>371</v>
      </c>
      <c r="AR768" s="3" t="s">
        <v>371</v>
      </c>
      <c r="AS768" s="3" t="s">
        <v>371</v>
      </c>
      <c r="AT768" s="3" t="s">
        <v>371</v>
      </c>
      <c r="AU768" s="3" t="s">
        <v>92</v>
      </c>
      <c r="AV768" s="3" t="s">
        <v>92</v>
      </c>
      <c r="AW768" s="3" t="s">
        <v>92</v>
      </c>
      <c r="AX768" s="1414" t="s">
        <v>371</v>
      </c>
      <c r="AY768" s="3"/>
      <c r="AZ768" s="139"/>
      <c r="BA768" s="139"/>
      <c r="BB768" s="139"/>
      <c r="BC768" s="139"/>
      <c r="BD768" s="139"/>
      <c r="BE768" s="3"/>
    </row>
    <row r="769" spans="1:57" ht="16.2" x14ac:dyDescent="0.4">
      <c r="A769" s="3"/>
      <c r="B769" s="689"/>
      <c r="C769" s="494"/>
      <c r="D769" s="1490" t="s">
        <v>2087</v>
      </c>
      <c r="E769" s="4"/>
      <c r="F769" s="4"/>
      <c r="G769" s="7"/>
      <c r="H769" s="20"/>
      <c r="I769" s="500"/>
      <c r="J769" s="500"/>
      <c r="K769" s="500"/>
      <c r="L769" s="500"/>
      <c r="M769" s="24"/>
      <c r="N769" s="24"/>
      <c r="O769" s="24"/>
      <c r="P769" s="24"/>
      <c r="Q769" s="24"/>
      <c r="R769" s="500"/>
      <c r="S769" s="56"/>
      <c r="T769" s="3"/>
      <c r="U769" s="14"/>
      <c r="V769" s="8"/>
      <c r="W769" s="4"/>
      <c r="X769" s="4"/>
      <c r="Y769" s="3"/>
      <c r="Z769" s="3"/>
      <c r="AA769" s="3"/>
      <c r="AB769" s="14"/>
      <c r="AC769" s="3"/>
      <c r="AD769" s="3"/>
      <c r="AE769" s="3"/>
      <c r="AF769" s="3"/>
      <c r="AG769" s="38"/>
      <c r="AH769" s="38"/>
      <c r="AI769" s="51"/>
      <c r="AJ769" s="39"/>
      <c r="AK769" s="39"/>
      <c r="AL769" s="39"/>
      <c r="AM769" s="39"/>
      <c r="AN769" s="3" t="s">
        <v>371</v>
      </c>
      <c r="AO769" s="3" t="s">
        <v>371</v>
      </c>
      <c r="AP769" s="3" t="s">
        <v>371</v>
      </c>
      <c r="AQ769" s="3" t="s">
        <v>371</v>
      </c>
      <c r="AR769" s="3" t="s">
        <v>371</v>
      </c>
      <c r="AS769" s="3" t="s">
        <v>371</v>
      </c>
      <c r="AT769" s="3" t="s">
        <v>371</v>
      </c>
      <c r="AU769" s="3" t="s">
        <v>92</v>
      </c>
      <c r="AV769" s="3" t="s">
        <v>92</v>
      </c>
      <c r="AW769" s="3" t="s">
        <v>92</v>
      </c>
      <c r="AX769" s="1414" t="s">
        <v>371</v>
      </c>
      <c r="AY769" s="3"/>
      <c r="AZ769" s="139"/>
      <c r="BA769" s="139"/>
      <c r="BB769" s="139"/>
      <c r="BC769" s="139"/>
      <c r="BD769" s="139"/>
      <c r="BE769" s="3"/>
    </row>
    <row r="770" spans="1:57" ht="16.8" thickBot="1" x14ac:dyDescent="0.45">
      <c r="A770" s="3"/>
      <c r="B770" s="689"/>
      <c r="C770" s="1193"/>
      <c r="D770" s="968"/>
      <c r="E770" s="968"/>
      <c r="F770" s="968"/>
      <c r="G770" s="924"/>
      <c r="H770" s="887"/>
      <c r="I770" s="1494"/>
      <c r="J770" s="1494"/>
      <c r="K770" s="1494"/>
      <c r="L770" s="1494"/>
      <c r="M770" s="1020"/>
      <c r="N770" s="1020"/>
      <c r="O770" s="1020"/>
      <c r="P770" s="1020"/>
      <c r="Q770" s="1020"/>
      <c r="R770" s="1494"/>
      <c r="S770" s="1156"/>
      <c r="T770" s="889"/>
      <c r="U770" s="948"/>
      <c r="V770" s="949"/>
      <c r="W770" s="968"/>
      <c r="X770" s="968"/>
      <c r="Y770" s="889"/>
      <c r="Z770" s="889"/>
      <c r="AA770" s="889"/>
      <c r="AB770" s="948"/>
      <c r="AC770" s="889"/>
      <c r="AD770" s="889"/>
      <c r="AE770" s="889"/>
      <c r="AF770" s="889"/>
      <c r="AG770" s="888"/>
      <c r="AH770" s="888"/>
      <c r="AI770" s="937"/>
      <c r="AJ770" s="947"/>
      <c r="AK770" s="947"/>
      <c r="AL770" s="947"/>
      <c r="AM770" s="947"/>
      <c r="AN770" s="889" t="s">
        <v>371</v>
      </c>
      <c r="AO770" s="889" t="s">
        <v>371</v>
      </c>
      <c r="AP770" s="889" t="s">
        <v>371</v>
      </c>
      <c r="AQ770" s="889" t="s">
        <v>371</v>
      </c>
      <c r="AR770" s="889" t="s">
        <v>371</v>
      </c>
      <c r="AS770" s="889" t="s">
        <v>371</v>
      </c>
      <c r="AT770" s="889" t="s">
        <v>371</v>
      </c>
      <c r="AU770" s="889" t="s">
        <v>92</v>
      </c>
      <c r="AV770" s="889" t="s">
        <v>92</v>
      </c>
      <c r="AW770" s="889" t="s">
        <v>92</v>
      </c>
      <c r="AX770" s="1590" t="s">
        <v>371</v>
      </c>
      <c r="AY770" s="889"/>
      <c r="AZ770" s="139"/>
      <c r="BA770" s="139"/>
      <c r="BB770" s="139"/>
      <c r="BC770" s="139"/>
      <c r="BD770" s="139"/>
      <c r="BE770" s="3"/>
    </row>
    <row r="771" spans="1:57" ht="15" customHeight="1" thickBot="1" x14ac:dyDescent="0.45">
      <c r="A771" s="3"/>
      <c r="B771" s="689"/>
      <c r="C771" s="7" t="s">
        <v>803</v>
      </c>
      <c r="D771" s="3"/>
      <c r="E771" s="7"/>
      <c r="F771" s="7"/>
      <c r="G771" s="7"/>
      <c r="H771" s="14"/>
      <c r="I771" s="8"/>
      <c r="J771" s="3"/>
      <c r="K771" s="3"/>
      <c r="L771" s="3"/>
      <c r="M771" s="5"/>
      <c r="N771" s="5"/>
      <c r="O771" s="5"/>
      <c r="P771" s="5"/>
      <c r="Q771" s="5"/>
      <c r="R771" s="3"/>
      <c r="S771" s="56">
        <v>2</v>
      </c>
      <c r="T771" s="3" t="s">
        <v>385</v>
      </c>
      <c r="U771" s="14"/>
      <c r="V771" s="38"/>
      <c r="W771" s="3"/>
      <c r="X771" s="38"/>
      <c r="Y771" s="3"/>
      <c r="Z771" s="3">
        <v>252924</v>
      </c>
      <c r="AA771" s="3"/>
      <c r="AB771" s="14"/>
      <c r="AC771" s="889">
        <v>45</v>
      </c>
      <c r="AD771" s="1156">
        <f>AD767</f>
        <v>2</v>
      </c>
      <c r="AE771" s="889">
        <f>S771*AD771</f>
        <v>4</v>
      </c>
      <c r="AF771" s="889" t="s">
        <v>385</v>
      </c>
      <c r="AG771" s="888" t="s">
        <v>8</v>
      </c>
      <c r="AH771" s="888" t="s">
        <v>8</v>
      </c>
      <c r="AI771" s="1433">
        <v>3.8E-3</v>
      </c>
      <c r="AJ771" s="137"/>
      <c r="AK771" s="137"/>
      <c r="AL771" s="39"/>
      <c r="AM771" s="39">
        <f>AE$771*AI771+SUM(AJ771:AL771)</f>
        <v>1.52E-2</v>
      </c>
      <c r="AN771" s="889" t="s">
        <v>371</v>
      </c>
      <c r="AO771" s="889" t="s">
        <v>371</v>
      </c>
      <c r="AP771" s="889" t="s">
        <v>371</v>
      </c>
      <c r="AQ771" s="889" t="s">
        <v>371</v>
      </c>
      <c r="AR771" s="889" t="s">
        <v>371</v>
      </c>
      <c r="AS771" s="889" t="s">
        <v>371</v>
      </c>
      <c r="AT771" s="889" t="s">
        <v>371</v>
      </c>
      <c r="AU771" s="889" t="s">
        <v>81</v>
      </c>
      <c r="AV771" s="889" t="s">
        <v>81</v>
      </c>
      <c r="AW771" s="889" t="s">
        <v>81</v>
      </c>
      <c r="AX771" s="1590" t="s">
        <v>371</v>
      </c>
      <c r="AY771" s="889"/>
      <c r="AZ771" s="139"/>
      <c r="BA771" s="139"/>
      <c r="BB771" s="139"/>
      <c r="BC771" s="139"/>
      <c r="BD771" s="139"/>
      <c r="BE771" s="3"/>
    </row>
    <row r="772" spans="1:57" ht="15" customHeight="1" x14ac:dyDescent="0.4">
      <c r="A772" s="3"/>
      <c r="B772" s="849" t="s">
        <v>804</v>
      </c>
      <c r="C772" s="173"/>
      <c r="D772" s="173"/>
      <c r="E772" s="173"/>
      <c r="F772" s="173"/>
      <c r="G772" s="173"/>
      <c r="H772" s="116"/>
      <c r="I772" s="114"/>
      <c r="J772" s="116"/>
      <c r="K772" s="116"/>
      <c r="L772" s="116"/>
      <c r="M772" s="177"/>
      <c r="N772" s="177"/>
      <c r="O772" s="177"/>
      <c r="P772" s="177"/>
      <c r="Q772" s="177"/>
      <c r="R772" s="116"/>
      <c r="S772" s="198"/>
      <c r="T772" s="116"/>
      <c r="U772" s="193"/>
      <c r="V772" s="138"/>
      <c r="W772" s="138"/>
      <c r="X772" s="138"/>
      <c r="Y772" s="116"/>
      <c r="Z772" s="116"/>
      <c r="AA772" s="116"/>
      <c r="AB772" s="193"/>
      <c r="AC772" s="116"/>
      <c r="AD772" s="116"/>
      <c r="AE772" s="198"/>
      <c r="AF772" s="116"/>
      <c r="AG772" s="179"/>
      <c r="AH772" s="179"/>
      <c r="AI772" s="493"/>
      <c r="AJ772" s="481"/>
      <c r="AK772" s="481"/>
      <c r="AL772" s="481"/>
      <c r="AM772" s="180"/>
      <c r="AN772" s="3" t="s">
        <v>371</v>
      </c>
      <c r="AO772" s="3" t="s">
        <v>371</v>
      </c>
      <c r="AP772" s="3" t="s">
        <v>371</v>
      </c>
      <c r="AQ772" s="3" t="s">
        <v>371</v>
      </c>
      <c r="AR772" s="3" t="s">
        <v>371</v>
      </c>
      <c r="AS772" s="3" t="s">
        <v>371</v>
      </c>
      <c r="AT772" s="3" t="s">
        <v>371</v>
      </c>
      <c r="AU772" s="3" t="s">
        <v>92</v>
      </c>
      <c r="AV772" s="3" t="s">
        <v>92</v>
      </c>
      <c r="AW772" s="3" t="s">
        <v>92</v>
      </c>
      <c r="AX772" s="1414" t="s">
        <v>371</v>
      </c>
      <c r="AY772" s="3"/>
      <c r="AZ772" s="139"/>
      <c r="BA772" s="139"/>
      <c r="BB772" s="139"/>
      <c r="BC772" s="139"/>
      <c r="BD772" s="139"/>
      <c r="BE772" s="3"/>
    </row>
    <row r="773" spans="1:57" ht="50.1" customHeight="1" x14ac:dyDescent="0.4">
      <c r="A773" s="315"/>
      <c r="B773" s="318"/>
      <c r="C773" s="956" t="s">
        <v>805</v>
      </c>
      <c r="D773" s="1019"/>
      <c r="E773" s="1013"/>
      <c r="F773" s="1013"/>
      <c r="G773" s="1013"/>
      <c r="H773" s="577"/>
      <c r="I773" s="1013"/>
      <c r="J773" s="1418"/>
      <c r="K773" s="1418"/>
      <c r="L773" s="1418"/>
      <c r="M773" s="1013"/>
      <c r="N773" s="1418"/>
      <c r="O773" s="1013"/>
      <c r="P773" s="1013"/>
      <c r="Q773" s="1017"/>
      <c r="R773" s="1017"/>
      <c r="S773" s="576">
        <v>1</v>
      </c>
      <c r="T773" s="577" t="s">
        <v>385</v>
      </c>
      <c r="U773" s="1419"/>
      <c r="V773" s="1013"/>
      <c r="W773" s="1013"/>
      <c r="X773" s="1418"/>
      <c r="Y773" s="1455">
        <v>420110000</v>
      </c>
      <c r="Z773" s="1455"/>
      <c r="AA773" s="1455"/>
      <c r="AB773" s="574"/>
      <c r="AC773" s="1017">
        <v>45</v>
      </c>
      <c r="AD773" s="1013">
        <v>1</v>
      </c>
      <c r="AE773" s="576">
        <f>S773*AD773</f>
        <v>1</v>
      </c>
      <c r="AF773" s="577" t="s">
        <v>385</v>
      </c>
      <c r="AG773" s="579" t="s">
        <v>8</v>
      </c>
      <c r="AH773" s="579" t="s">
        <v>8</v>
      </c>
      <c r="AI773" s="1425">
        <v>0.89900000000000002</v>
      </c>
      <c r="AJ773" s="580"/>
      <c r="AK773" s="580"/>
      <c r="AL773" s="580"/>
      <c r="AM773" s="581">
        <f>AE$773*AI773+SUM(AJ773:AL773)</f>
        <v>0.89900000000000002</v>
      </c>
      <c r="AN773" s="581" t="s">
        <v>371</v>
      </c>
      <c r="AO773" s="581" t="s">
        <v>371</v>
      </c>
      <c r="AP773" s="1013" t="s">
        <v>371</v>
      </c>
      <c r="AQ773" s="1013" t="s">
        <v>371</v>
      </c>
      <c r="AR773" s="1013" t="s">
        <v>371</v>
      </c>
      <c r="AS773" s="1013" t="s">
        <v>371</v>
      </c>
      <c r="AT773" s="581" t="s">
        <v>371</v>
      </c>
      <c r="AU773" s="581" t="s">
        <v>92</v>
      </c>
      <c r="AV773" s="581" t="s">
        <v>92</v>
      </c>
      <c r="AW773" s="581" t="s">
        <v>92</v>
      </c>
      <c r="AX773" s="1887" t="s">
        <v>371</v>
      </c>
      <c r="AY773" s="581"/>
      <c r="AZ773" s="318"/>
      <c r="BA773" s="318"/>
      <c r="BB773" s="318"/>
      <c r="BC773" s="318"/>
      <c r="BD773" s="318"/>
      <c r="BE773" s="318"/>
    </row>
    <row r="774" spans="1:57" ht="50.1" customHeight="1" x14ac:dyDescent="0.4">
      <c r="A774" s="3"/>
      <c r="B774" s="3"/>
      <c r="C774" s="316" t="s">
        <v>806</v>
      </c>
      <c r="D774" s="7"/>
      <c r="E774" s="7"/>
      <c r="F774" s="7"/>
      <c r="G774" s="7"/>
      <c r="H774" s="3"/>
      <c r="I774" s="8"/>
      <c r="J774" s="3"/>
      <c r="K774" s="3"/>
      <c r="L774" s="3"/>
      <c r="M774" s="5"/>
      <c r="N774" s="5"/>
      <c r="O774" s="5"/>
      <c r="P774" s="5"/>
      <c r="Q774" s="5"/>
      <c r="R774" s="3"/>
      <c r="S774" s="56">
        <v>1</v>
      </c>
      <c r="T774" s="3" t="s">
        <v>385</v>
      </c>
      <c r="U774" s="14"/>
      <c r="V774" s="4"/>
      <c r="W774" s="4"/>
      <c r="X774" s="4"/>
      <c r="Y774" s="1456">
        <v>420111000</v>
      </c>
      <c r="Z774" s="1456"/>
      <c r="AA774" s="1456"/>
      <c r="AB774" s="14"/>
      <c r="AC774" s="3">
        <v>45</v>
      </c>
      <c r="AD774" s="3">
        <v>1</v>
      </c>
      <c r="AE774" s="56">
        <f>S774*AD774</f>
        <v>1</v>
      </c>
      <c r="AF774" s="3" t="s">
        <v>385</v>
      </c>
      <c r="AG774" s="38" t="s">
        <v>8</v>
      </c>
      <c r="AH774" s="38" t="s">
        <v>8</v>
      </c>
      <c r="AI774" s="353">
        <v>0.89910000000000001</v>
      </c>
      <c r="AJ774" s="477"/>
      <c r="AK774" s="477"/>
      <c r="AL774" s="477"/>
      <c r="AM774" s="39">
        <f>AE$774*AI774+SUM(AJ774:AL774)</f>
        <v>0.89910000000000001</v>
      </c>
      <c r="AN774" s="39" t="s">
        <v>371</v>
      </c>
      <c r="AO774" s="39" t="s">
        <v>371</v>
      </c>
      <c r="AP774" s="318" t="s">
        <v>371</v>
      </c>
      <c r="AQ774" s="318" t="s">
        <v>371</v>
      </c>
      <c r="AR774" s="318" t="s">
        <v>371</v>
      </c>
      <c r="AS774" s="318" t="s">
        <v>371</v>
      </c>
      <c r="AT774" s="39" t="s">
        <v>371</v>
      </c>
      <c r="AU774" s="39" t="s">
        <v>92</v>
      </c>
      <c r="AV774" s="39" t="s">
        <v>92</v>
      </c>
      <c r="AW774" s="39" t="s">
        <v>92</v>
      </c>
      <c r="AX774" s="1441" t="s">
        <v>371</v>
      </c>
      <c r="AY774" s="39"/>
      <c r="AZ774" s="139"/>
      <c r="BA774" s="139"/>
      <c r="BB774" s="139"/>
      <c r="BC774" s="139"/>
      <c r="BD774" s="139"/>
      <c r="BE774" s="3"/>
    </row>
    <row r="775" spans="1:57" ht="20.100000000000001" customHeight="1" x14ac:dyDescent="0.4">
      <c r="A775" s="3"/>
      <c r="B775" s="3"/>
      <c r="C775" s="1415" t="s">
        <v>1993</v>
      </c>
      <c r="D775" s="871"/>
      <c r="E775" s="871"/>
      <c r="F775" s="871"/>
      <c r="G775" s="871"/>
      <c r="H775" s="219"/>
      <c r="I775" s="1407"/>
      <c r="J775" s="219"/>
      <c r="K775" s="219"/>
      <c r="L775" s="219"/>
      <c r="M775" s="874"/>
      <c r="N775" s="874"/>
      <c r="O775" s="874"/>
      <c r="P775" s="874"/>
      <c r="Q775" s="874"/>
      <c r="R775" s="219"/>
      <c r="S775" s="1416">
        <v>1</v>
      </c>
      <c r="T775" s="219" t="s">
        <v>385</v>
      </c>
      <c r="U775" s="1410"/>
      <c r="V775" s="870"/>
      <c r="W775" s="870"/>
      <c r="X775" s="870"/>
      <c r="Y775" s="1457">
        <v>440020028</v>
      </c>
      <c r="Z775" s="1457"/>
      <c r="AA775" s="1457"/>
      <c r="AB775" s="1410"/>
      <c r="AC775" s="219">
        <v>45</v>
      </c>
      <c r="AD775" s="219">
        <v>2</v>
      </c>
      <c r="AE775" s="1416">
        <f>S775*AD775</f>
        <v>2</v>
      </c>
      <c r="AF775" s="219" t="s">
        <v>385</v>
      </c>
      <c r="AG775" s="873" t="s">
        <v>8</v>
      </c>
      <c r="AH775" s="873" t="s">
        <v>8</v>
      </c>
      <c r="AI775" s="1437">
        <v>0.01</v>
      </c>
      <c r="AJ775" s="1411"/>
      <c r="AK775" s="1411"/>
      <c r="AL775" s="1411"/>
      <c r="AM775" s="1417">
        <f>AE$775*AI775+SUM(AJ775:AL775)</f>
        <v>0.02</v>
      </c>
      <c r="AN775" s="1417" t="s">
        <v>371</v>
      </c>
      <c r="AO775" s="1417" t="s">
        <v>371</v>
      </c>
      <c r="AP775" s="1138" t="s">
        <v>371</v>
      </c>
      <c r="AQ775" s="1138" t="s">
        <v>371</v>
      </c>
      <c r="AR775" s="1138" t="s">
        <v>371</v>
      </c>
      <c r="AS775" s="1138" t="s">
        <v>371</v>
      </c>
      <c r="AT775" s="1417" t="s">
        <v>371</v>
      </c>
      <c r="AU775" s="1417" t="s">
        <v>92</v>
      </c>
      <c r="AV775" s="1417" t="s">
        <v>92</v>
      </c>
      <c r="AW775" s="1417" t="s">
        <v>92</v>
      </c>
      <c r="AX775" s="1888" t="s">
        <v>371</v>
      </c>
      <c r="AY775" s="1417"/>
      <c r="AZ775" s="139"/>
      <c r="BA775" s="139"/>
      <c r="BB775" s="139"/>
      <c r="BC775" s="139"/>
      <c r="BD775" s="139"/>
      <c r="BE775" s="3"/>
    </row>
    <row r="776" spans="1:57" ht="16.2" x14ac:dyDescent="0.4">
      <c r="A776" s="3"/>
      <c r="B776" s="3"/>
      <c r="C776" s="320" t="s">
        <v>2207</v>
      </c>
      <c r="D776" s="7"/>
      <c r="E776" s="7"/>
      <c r="F776" s="7"/>
      <c r="G776" s="7"/>
      <c r="H776" s="3"/>
      <c r="I776" s="8"/>
      <c r="J776" s="3"/>
      <c r="K776" s="3"/>
      <c r="L776" s="3"/>
      <c r="M776" s="5"/>
      <c r="N776" s="5"/>
      <c r="O776" s="5"/>
      <c r="P776" s="5"/>
      <c r="Q776" s="5"/>
      <c r="R776" s="3"/>
      <c r="S776" s="56">
        <v>1</v>
      </c>
      <c r="T776" s="3" t="s">
        <v>385</v>
      </c>
      <c r="U776" s="14"/>
      <c r="V776" s="4"/>
      <c r="W776" s="4"/>
      <c r="X776" s="4"/>
      <c r="Y776" s="1458">
        <v>460045000</v>
      </c>
      <c r="Z776" s="1458"/>
      <c r="AA776" s="1458"/>
      <c r="AB776" s="14"/>
      <c r="AC776" s="3">
        <v>45</v>
      </c>
      <c r="AD776" s="3">
        <v>1</v>
      </c>
      <c r="AE776" s="56">
        <f>S776*AD776</f>
        <v>1</v>
      </c>
      <c r="AF776" s="3" t="s">
        <v>385</v>
      </c>
      <c r="AG776" s="38" t="s">
        <v>8</v>
      </c>
      <c r="AH776" s="38" t="s">
        <v>8</v>
      </c>
      <c r="AI776" s="353">
        <v>0.1186</v>
      </c>
      <c r="AJ776" s="477"/>
      <c r="AK776" s="477"/>
      <c r="AL776" s="477"/>
      <c r="AM776" s="39">
        <f>AE$776*AI776+SUM(AJ776:AL776)</f>
        <v>0.1186</v>
      </c>
      <c r="AN776" s="39" t="s">
        <v>371</v>
      </c>
      <c r="AO776" s="39" t="s">
        <v>371</v>
      </c>
      <c r="AP776" s="318" t="s">
        <v>371</v>
      </c>
      <c r="AQ776" s="318" t="s">
        <v>371</v>
      </c>
      <c r="AR776" s="318" t="s">
        <v>371</v>
      </c>
      <c r="AS776" s="318" t="s">
        <v>371</v>
      </c>
      <c r="AT776" s="39" t="s">
        <v>371</v>
      </c>
      <c r="AU776" s="39" t="s">
        <v>92</v>
      </c>
      <c r="AV776" s="39" t="s">
        <v>92</v>
      </c>
      <c r="AW776" s="39" t="s">
        <v>92</v>
      </c>
      <c r="AX776" s="1441" t="s">
        <v>371</v>
      </c>
      <c r="AY776" s="39"/>
      <c r="AZ776" s="139"/>
      <c r="BA776" s="139"/>
      <c r="BB776" s="139"/>
      <c r="BC776" s="139"/>
      <c r="BD776" s="139"/>
      <c r="BE776" s="3"/>
    </row>
    <row r="777" spans="1:57" ht="15" customHeight="1" x14ac:dyDescent="0.4">
      <c r="A777" s="3"/>
      <c r="B777" s="697"/>
      <c r="C777" s="3"/>
      <c r="D777" s="321" t="s">
        <v>2208</v>
      </c>
      <c r="E777" s="7"/>
      <c r="F777" s="7"/>
      <c r="G777" s="7"/>
      <c r="H777" s="3"/>
      <c r="I777" s="8"/>
      <c r="J777" s="3"/>
      <c r="K777" s="3"/>
      <c r="L777" s="3"/>
      <c r="M777" s="5"/>
      <c r="N777" s="5"/>
      <c r="O777" s="5"/>
      <c r="P777" s="5"/>
      <c r="Q777" s="5"/>
      <c r="R777" s="3"/>
      <c r="S777" s="56"/>
      <c r="T777" s="3"/>
      <c r="U777" s="14"/>
      <c r="V777" s="4"/>
      <c r="W777" s="4"/>
      <c r="X777" s="4"/>
      <c r="Y777" s="319"/>
      <c r="Z777" s="319"/>
      <c r="AA777" s="319"/>
      <c r="AB777" s="14"/>
      <c r="AC777" s="3"/>
      <c r="AD777" s="3"/>
      <c r="AE777" s="56"/>
      <c r="AF777" s="3"/>
      <c r="AG777" s="38"/>
      <c r="AH777" s="38"/>
      <c r="AI777" s="492"/>
      <c r="AJ777" s="477"/>
      <c r="AK777" s="477"/>
      <c r="AL777" s="477"/>
      <c r="AM777" s="39"/>
      <c r="AN777" s="39" t="s">
        <v>371</v>
      </c>
      <c r="AO777" s="39" t="s">
        <v>371</v>
      </c>
      <c r="AP777" s="318" t="s">
        <v>371</v>
      </c>
      <c r="AQ777" s="318" t="s">
        <v>371</v>
      </c>
      <c r="AR777" s="318" t="s">
        <v>371</v>
      </c>
      <c r="AS777" s="318" t="s">
        <v>371</v>
      </c>
      <c r="AT777" s="39" t="s">
        <v>371</v>
      </c>
      <c r="AU777" s="39" t="s">
        <v>92</v>
      </c>
      <c r="AV777" s="39" t="s">
        <v>92</v>
      </c>
      <c r="AW777" s="39" t="s">
        <v>92</v>
      </c>
      <c r="AX777" s="1441" t="s">
        <v>371</v>
      </c>
      <c r="AY777" s="39"/>
      <c r="AZ777" s="139"/>
      <c r="BA777" s="139"/>
      <c r="BB777" s="139"/>
      <c r="BC777" s="139"/>
      <c r="BD777" s="139"/>
      <c r="BE777" s="3"/>
    </row>
    <row r="778" spans="1:57" ht="15" customHeight="1" thickBot="1" x14ac:dyDescent="0.45">
      <c r="A778" s="3"/>
      <c r="B778" s="1207"/>
      <c r="C778" s="1208"/>
      <c r="D778" s="1208"/>
      <c r="E778" s="924"/>
      <c r="F778" s="924"/>
      <c r="G778" s="924"/>
      <c r="H778" s="889"/>
      <c r="I778" s="949"/>
      <c r="J778" s="889"/>
      <c r="K778" s="889"/>
      <c r="L778" s="889"/>
      <c r="M778" s="945"/>
      <c r="N778" s="945"/>
      <c r="O778" s="945"/>
      <c r="P778" s="945"/>
      <c r="Q778" s="945"/>
      <c r="R778" s="889"/>
      <c r="S778" s="1156"/>
      <c r="T778" s="889"/>
      <c r="U778" s="948"/>
      <c r="V778" s="968"/>
      <c r="W778" s="968"/>
      <c r="X778" s="968"/>
      <c r="Y778" s="1209"/>
      <c r="Z778" s="1209"/>
      <c r="AA778" s="1209"/>
      <c r="AB778" s="948"/>
      <c r="AC778" s="889"/>
      <c r="AD778" s="889"/>
      <c r="AE778" s="1156"/>
      <c r="AF778" s="889"/>
      <c r="AG778" s="888"/>
      <c r="AH778" s="888"/>
      <c r="AI778" s="942"/>
      <c r="AJ778" s="1157"/>
      <c r="AK778" s="1157"/>
      <c r="AL778" s="1157"/>
      <c r="AM778" s="947"/>
      <c r="AN778" s="947"/>
      <c r="AO778" s="947"/>
      <c r="AP778" s="1130"/>
      <c r="AQ778" s="1130"/>
      <c r="AR778" s="1130"/>
      <c r="AS778" s="1130"/>
      <c r="AT778" s="947"/>
      <c r="AU778" s="947"/>
      <c r="AV778" s="947"/>
      <c r="AW778" s="947"/>
      <c r="AX778" s="947"/>
      <c r="AY778" s="947"/>
      <c r="AZ778" s="139"/>
      <c r="BA778" s="139"/>
      <c r="BB778" s="139"/>
      <c r="BC778" s="139"/>
      <c r="BD778" s="139"/>
      <c r="BE778" s="3"/>
    </row>
    <row r="779" spans="1:57" ht="15" customHeight="1" x14ac:dyDescent="0.4">
      <c r="A779" s="3"/>
      <c r="B779" s="641" t="s">
        <v>807</v>
      </c>
      <c r="C779" s="642"/>
      <c r="D779" s="642"/>
      <c r="E779" s="642"/>
      <c r="F779" s="642"/>
      <c r="G779" s="642"/>
      <c r="H779" s="643"/>
      <c r="I779" s="643"/>
      <c r="J779" s="643"/>
      <c r="K779" s="643"/>
      <c r="L779" s="643"/>
      <c r="M779" s="644"/>
      <c r="N779" s="644"/>
      <c r="O779" s="644"/>
      <c r="P779" s="644"/>
      <c r="Q779" s="644"/>
      <c r="R779" s="643"/>
      <c r="S779" s="644"/>
      <c r="T779" s="643"/>
      <c r="U779" s="643"/>
      <c r="V779" s="642"/>
      <c r="W779" s="642"/>
      <c r="X779" s="642"/>
      <c r="Y779" s="645"/>
      <c r="Z779" s="645"/>
      <c r="AA779" s="645"/>
      <c r="AB779" s="643"/>
      <c r="AC779" s="645"/>
      <c r="AD779" s="643"/>
      <c r="AE779" s="644"/>
      <c r="AF779" s="643"/>
      <c r="AG779" s="643"/>
      <c r="AH779" s="643"/>
      <c r="AI779" s="646"/>
      <c r="AJ779" s="647"/>
      <c r="AK779" s="647"/>
      <c r="AL779" s="671" t="s">
        <v>808</v>
      </c>
      <c r="AM779" s="672">
        <f>SUBTOTAL(109,AM780:AM793)</f>
        <v>7.3812466537563566</v>
      </c>
      <c r="AN779" s="647"/>
      <c r="AO779" s="647"/>
      <c r="AP779" s="647"/>
      <c r="AQ779" s="647"/>
      <c r="AR779" s="647"/>
      <c r="AS779" s="647"/>
      <c r="AT779" s="647"/>
      <c r="AU779" s="647"/>
      <c r="AV779" s="647"/>
      <c r="AW779" s="647"/>
      <c r="AX779" s="647"/>
      <c r="AY779" s="647"/>
      <c r="AZ779" s="139"/>
      <c r="BA779" s="139"/>
      <c r="BB779" s="139"/>
      <c r="BC779" s="139"/>
      <c r="BD779" s="139"/>
      <c r="BE779" s="3"/>
    </row>
    <row r="780" spans="1:57" ht="15" customHeight="1" x14ac:dyDescent="0.4">
      <c r="A780" s="3" t="s">
        <v>809</v>
      </c>
      <c r="B780" s="573" t="s">
        <v>2065</v>
      </c>
      <c r="C780" s="694"/>
      <c r="D780" s="694"/>
      <c r="E780" s="694"/>
      <c r="F780" s="694"/>
      <c r="G780" s="577"/>
      <c r="H780" s="695"/>
      <c r="I780" s="698" t="s">
        <v>810</v>
      </c>
      <c r="J780" s="577"/>
      <c r="K780" s="577"/>
      <c r="L780" s="575"/>
      <c r="M780" s="575"/>
      <c r="N780" s="575"/>
      <c r="O780" s="575"/>
      <c r="P780" s="575"/>
      <c r="Q780" s="577"/>
      <c r="R780" s="575"/>
      <c r="S780" s="575">
        <f>((SHTGW*2)+(SHTGH*2))</f>
        <v>138.875</v>
      </c>
      <c r="T780" s="577" t="s">
        <v>366</v>
      </c>
      <c r="U780" s="574"/>
      <c r="V780" s="579" t="s">
        <v>8</v>
      </c>
      <c r="W780" s="577" t="s">
        <v>370</v>
      </c>
      <c r="X780" s="579" t="s">
        <v>8</v>
      </c>
      <c r="Y780" s="1446">
        <v>610009061</v>
      </c>
      <c r="Z780" s="1446"/>
      <c r="AA780" s="1446"/>
      <c r="AB780" s="574">
        <v>45</v>
      </c>
      <c r="AC780" s="577">
        <v>45</v>
      </c>
      <c r="AD780" s="575"/>
      <c r="AE780" s="575">
        <f>S780/12</f>
        <v>11.572916666666666</v>
      </c>
      <c r="AF780" s="577" t="s">
        <v>367</v>
      </c>
      <c r="AG780" s="579" t="s">
        <v>8</v>
      </c>
      <c r="AH780" s="579" t="s">
        <v>8</v>
      </c>
      <c r="AI780" s="1432">
        <v>1.4E-2</v>
      </c>
      <c r="AJ780" s="580"/>
      <c r="AK780" s="580"/>
      <c r="AL780" s="580"/>
      <c r="AM780" s="626">
        <f t="shared" ref="AM780" si="88">AE780*AI780+SUM(AJ780:AL780)</f>
        <v>0.16202083333333334</v>
      </c>
      <c r="AN780" s="577" t="s">
        <v>81</v>
      </c>
      <c r="AO780" s="577" t="s">
        <v>81</v>
      </c>
      <c r="AP780" s="577" t="s">
        <v>92</v>
      </c>
      <c r="AQ780" s="577" t="s">
        <v>81</v>
      </c>
      <c r="AR780" s="577" t="s">
        <v>92</v>
      </c>
      <c r="AS780" s="577" t="s">
        <v>92</v>
      </c>
      <c r="AT780" s="577" t="s">
        <v>81</v>
      </c>
      <c r="AU780" s="577" t="s">
        <v>92</v>
      </c>
      <c r="AV780" s="577" t="s">
        <v>92</v>
      </c>
      <c r="AW780" s="577" t="s">
        <v>92</v>
      </c>
      <c r="AX780" s="1881" t="s">
        <v>81</v>
      </c>
      <c r="AY780" s="577"/>
      <c r="AZ780" s="139"/>
      <c r="BA780" s="139"/>
      <c r="BB780" s="139"/>
      <c r="BC780" s="139"/>
      <c r="BD780" s="139"/>
      <c r="BE780" s="3"/>
    </row>
    <row r="781" spans="1:57" ht="15" customHeight="1" x14ac:dyDescent="0.4">
      <c r="A781" s="3"/>
      <c r="B781" s="573" t="s">
        <v>2209</v>
      </c>
      <c r="C781" s="694"/>
      <c r="D781" s="694"/>
      <c r="E781" s="694"/>
      <c r="F781" s="694"/>
      <c r="G781" s="577"/>
      <c r="H781" s="695"/>
      <c r="I781" s="577"/>
      <c r="J781" s="577"/>
      <c r="K781" s="577"/>
      <c r="L781" s="575"/>
      <c r="M781" s="575"/>
      <c r="N781" s="575"/>
      <c r="O781" s="575"/>
      <c r="P781" s="575"/>
      <c r="Q781" s="577"/>
      <c r="R781" s="575"/>
      <c r="S781" s="575">
        <v>1</v>
      </c>
      <c r="T781" s="577" t="s">
        <v>811</v>
      </c>
      <c r="U781" s="574"/>
      <c r="V781" s="573"/>
      <c r="W781" s="573"/>
      <c r="X781" s="576"/>
      <c r="Y781" s="1445">
        <v>610023014001</v>
      </c>
      <c r="Z781" s="577">
        <v>30359</v>
      </c>
      <c r="AA781" s="577"/>
      <c r="AB781" s="574"/>
      <c r="AC781" s="577">
        <v>45</v>
      </c>
      <c r="AD781" s="575"/>
      <c r="AE781" s="577">
        <v>4.0000000000000001E-3</v>
      </c>
      <c r="AF781" s="577" t="s">
        <v>811</v>
      </c>
      <c r="AG781" s="579" t="s">
        <v>8</v>
      </c>
      <c r="AH781" s="579" t="s">
        <v>8</v>
      </c>
      <c r="AI781" s="1432">
        <v>2.5501</v>
      </c>
      <c r="AJ781" s="580"/>
      <c r="AK781" s="580"/>
      <c r="AL781" s="580"/>
      <c r="AM781" s="626">
        <f t="shared" ref="AM781:AM788" si="89">AE781*AI781+SUM(AJ781:AL781)</f>
        <v>1.02004E-2</v>
      </c>
      <c r="AN781" s="577" t="s">
        <v>81</v>
      </c>
      <c r="AO781" s="577" t="s">
        <v>81</v>
      </c>
      <c r="AP781" s="577" t="s">
        <v>92</v>
      </c>
      <c r="AQ781" s="577" t="s">
        <v>81</v>
      </c>
      <c r="AR781" s="577" t="s">
        <v>92</v>
      </c>
      <c r="AS781" s="577" t="s">
        <v>92</v>
      </c>
      <c r="AT781" s="577" t="s">
        <v>81</v>
      </c>
      <c r="AU781" s="577" t="s">
        <v>92</v>
      </c>
      <c r="AV781" s="577" t="s">
        <v>92</v>
      </c>
      <c r="AW781" s="577" t="s">
        <v>92</v>
      </c>
      <c r="AX781" s="1881" t="s">
        <v>81</v>
      </c>
      <c r="AY781" s="577"/>
      <c r="AZ781" s="139"/>
      <c r="BA781" s="139"/>
      <c r="BB781" s="139"/>
      <c r="BC781" s="139"/>
      <c r="BD781" s="139"/>
      <c r="BE781" s="3"/>
    </row>
    <row r="782" spans="1:57" ht="15" customHeight="1" x14ac:dyDescent="0.4">
      <c r="A782" s="3"/>
      <c r="B782" s="870" t="s">
        <v>2066</v>
      </c>
      <c r="C782" s="1407"/>
      <c r="D782" s="1407"/>
      <c r="E782" s="1407"/>
      <c r="F782" s="1407"/>
      <c r="G782" s="219"/>
      <c r="H782" s="1408"/>
      <c r="I782" s="1409" t="s">
        <v>810</v>
      </c>
      <c r="J782" s="219"/>
      <c r="K782" s="219"/>
      <c r="L782" s="874"/>
      <c r="M782" s="874"/>
      <c r="N782" s="874"/>
      <c r="O782" s="874"/>
      <c r="P782" s="874"/>
      <c r="Q782" s="219"/>
      <c r="R782" s="874"/>
      <c r="S782" s="575">
        <f>((SHTGW*2)+(SHTGH*2))</f>
        <v>138.875</v>
      </c>
      <c r="T782" s="577" t="s">
        <v>366</v>
      </c>
      <c r="U782" s="1410"/>
      <c r="V782" s="873" t="s">
        <v>8</v>
      </c>
      <c r="W782" s="219" t="s">
        <v>812</v>
      </c>
      <c r="X782" s="873" t="s">
        <v>8</v>
      </c>
      <c r="Y782" s="1459">
        <v>610014012</v>
      </c>
      <c r="Z782" s="1459"/>
      <c r="AA782" s="1459"/>
      <c r="AB782" s="1410"/>
      <c r="AC782" s="219">
        <v>45</v>
      </c>
      <c r="AD782" s="874"/>
      <c r="AE782" s="575">
        <f>S782/12</f>
        <v>11.572916666666666</v>
      </c>
      <c r="AF782" s="219" t="s">
        <v>367</v>
      </c>
      <c r="AG782" s="873" t="s">
        <v>8</v>
      </c>
      <c r="AH782" s="873" t="s">
        <v>8</v>
      </c>
      <c r="AI782" s="1438">
        <v>3.3500000000000002E-2</v>
      </c>
      <c r="AJ782" s="1411"/>
      <c r="AK782" s="1411"/>
      <c r="AL782" s="1411"/>
      <c r="AM782" s="1412">
        <f t="shared" si="89"/>
        <v>0.38769270833333336</v>
      </c>
      <c r="AN782" s="219" t="s">
        <v>92</v>
      </c>
      <c r="AO782" s="219" t="s">
        <v>92</v>
      </c>
      <c r="AP782" s="219" t="s">
        <v>81</v>
      </c>
      <c r="AQ782" s="219" t="s">
        <v>92</v>
      </c>
      <c r="AR782" s="219" t="s">
        <v>81</v>
      </c>
      <c r="AS782" s="219" t="s">
        <v>81</v>
      </c>
      <c r="AT782" s="219" t="s">
        <v>92</v>
      </c>
      <c r="AU782" s="219" t="s">
        <v>92</v>
      </c>
      <c r="AV782" s="219" t="s">
        <v>92</v>
      </c>
      <c r="AW782" s="219" t="s">
        <v>92</v>
      </c>
      <c r="AX782" s="1889" t="s">
        <v>92</v>
      </c>
      <c r="AY782" s="219"/>
      <c r="AZ782" s="139"/>
      <c r="BA782" s="139"/>
      <c r="BB782" s="139"/>
      <c r="BC782" s="139"/>
      <c r="BD782" s="139"/>
      <c r="BE782" s="3"/>
    </row>
    <row r="783" spans="1:57" ht="15" customHeight="1" x14ac:dyDescent="0.4">
      <c r="A783" s="3"/>
      <c r="B783" s="870" t="s">
        <v>2067</v>
      </c>
      <c r="C783" s="1407"/>
      <c r="D783" s="1407"/>
      <c r="E783" s="1407"/>
      <c r="F783" s="1407"/>
      <c r="G783" s="219"/>
      <c r="H783" s="1408"/>
      <c r="I783" s="1409" t="s">
        <v>810</v>
      </c>
      <c r="J783" s="219"/>
      <c r="K783" s="219"/>
      <c r="L783" s="874"/>
      <c r="M783" s="874"/>
      <c r="N783" s="874"/>
      <c r="O783" s="874"/>
      <c r="P783" s="874"/>
      <c r="Q783" s="219"/>
      <c r="R783" s="874"/>
      <c r="S783" s="575">
        <f>((SHTGW*2)+(SHTGH*2))</f>
        <v>138.875</v>
      </c>
      <c r="T783" s="577" t="s">
        <v>366</v>
      </c>
      <c r="U783" s="1410"/>
      <c r="V783" s="579" t="s">
        <v>8</v>
      </c>
      <c r="W783" s="577" t="s">
        <v>370</v>
      </c>
      <c r="X783" s="579" t="s">
        <v>8</v>
      </c>
      <c r="Y783" s="1416"/>
      <c r="Z783" s="1416">
        <v>252240</v>
      </c>
      <c r="AA783" s="1416"/>
      <c r="AB783" s="1410"/>
      <c r="AC783" s="219">
        <v>45</v>
      </c>
      <c r="AD783" s="874"/>
      <c r="AE783" s="575">
        <f>S783/12</f>
        <v>11.572916666666666</v>
      </c>
      <c r="AF783" s="219" t="s">
        <v>367</v>
      </c>
      <c r="AG783" s="873" t="s">
        <v>8</v>
      </c>
      <c r="AH783" s="873" t="s">
        <v>8</v>
      </c>
      <c r="AI783" s="1438">
        <v>3.6499999999999998E-2</v>
      </c>
      <c r="AJ783" s="1411"/>
      <c r="AK783" s="1411"/>
      <c r="AL783" s="1411"/>
      <c r="AM783" s="1412">
        <f t="shared" si="89"/>
        <v>0.42241145833333327</v>
      </c>
      <c r="AN783" s="219" t="s">
        <v>92</v>
      </c>
      <c r="AO783" s="219" t="s">
        <v>92</v>
      </c>
      <c r="AP783" s="219" t="s">
        <v>371</v>
      </c>
      <c r="AQ783" s="219" t="s">
        <v>92</v>
      </c>
      <c r="AR783" s="219" t="s">
        <v>371</v>
      </c>
      <c r="AS783" s="219" t="s">
        <v>371</v>
      </c>
      <c r="AT783" s="219" t="s">
        <v>92</v>
      </c>
      <c r="AU783" s="219" t="s">
        <v>92</v>
      </c>
      <c r="AV783" s="219" t="s">
        <v>92</v>
      </c>
      <c r="AW783" s="219" t="s">
        <v>92</v>
      </c>
      <c r="AX783" s="1889" t="s">
        <v>92</v>
      </c>
      <c r="AY783" s="219"/>
      <c r="AZ783" s="139"/>
      <c r="BA783" s="139"/>
      <c r="BB783" s="139"/>
      <c r="BC783" s="139"/>
      <c r="BD783" s="139"/>
      <c r="BE783" s="3"/>
    </row>
    <row r="784" spans="1:57" ht="15" customHeight="1" x14ac:dyDescent="0.4">
      <c r="A784" s="3"/>
      <c r="B784" s="4" t="s">
        <v>813</v>
      </c>
      <c r="C784" s="8"/>
      <c r="D784" s="36"/>
      <c r="E784" s="36"/>
      <c r="F784" s="36"/>
      <c r="G784" s="500"/>
      <c r="H784" s="370"/>
      <c r="I784" s="47" t="s">
        <v>814</v>
      </c>
      <c r="J784" s="3"/>
      <c r="K784" s="3"/>
      <c r="L784" s="5"/>
      <c r="M784" s="5"/>
      <c r="N784" s="5"/>
      <c r="O784" s="5"/>
      <c r="P784" s="5"/>
      <c r="Q784" s="3"/>
      <c r="R784" s="5"/>
      <c r="S784" s="5">
        <f>((SHTGW*2)+(SHTGH*2))/12/392</f>
        <v>2.9522746598639453E-2</v>
      </c>
      <c r="T784" s="3" t="s">
        <v>815</v>
      </c>
      <c r="U784" s="14"/>
      <c r="V784" s="38" t="s">
        <v>8</v>
      </c>
      <c r="W784" s="3" t="s">
        <v>422</v>
      </c>
      <c r="X784" s="38" t="s">
        <v>8</v>
      </c>
      <c r="Y784" s="1443">
        <v>610027000</v>
      </c>
      <c r="Z784" s="56">
        <v>251924</v>
      </c>
      <c r="AA784" s="56"/>
      <c r="AB784" s="14"/>
      <c r="AC784" s="3">
        <v>45</v>
      </c>
      <c r="AD784" s="5"/>
      <c r="AE784" s="5">
        <f>S784</f>
        <v>2.9522746598639453E-2</v>
      </c>
      <c r="AF784" s="3" t="s">
        <v>815</v>
      </c>
      <c r="AG784" s="38" t="s">
        <v>8</v>
      </c>
      <c r="AH784" s="38" t="s">
        <v>8</v>
      </c>
      <c r="AI784" s="1427">
        <v>68.66</v>
      </c>
      <c r="AJ784" s="477"/>
      <c r="AK784" s="477"/>
      <c r="AL784" s="477"/>
      <c r="AM784" s="51">
        <f t="shared" si="89"/>
        <v>2.0270317814625849</v>
      </c>
      <c r="AN784" s="3" t="s">
        <v>92</v>
      </c>
      <c r="AO784" s="3" t="s">
        <v>92</v>
      </c>
      <c r="AP784" s="3" t="s">
        <v>92</v>
      </c>
      <c r="AQ784" s="3" t="s">
        <v>92</v>
      </c>
      <c r="AR784" s="3" t="s">
        <v>92</v>
      </c>
      <c r="AS784" s="3" t="s">
        <v>92</v>
      </c>
      <c r="AT784" s="3" t="s">
        <v>92</v>
      </c>
      <c r="AU784" s="3" t="s">
        <v>92</v>
      </c>
      <c r="AV784" s="3" t="s">
        <v>92</v>
      </c>
      <c r="AW784" s="3" t="s">
        <v>92</v>
      </c>
      <c r="AX784" s="1414" t="s">
        <v>92</v>
      </c>
      <c r="AY784" s="3"/>
      <c r="AZ784" s="139"/>
      <c r="BA784" s="139"/>
      <c r="BB784" s="139"/>
      <c r="BC784" s="139"/>
      <c r="BD784" s="139"/>
      <c r="BE784" s="3"/>
    </row>
    <row r="785" spans="1:57" ht="15" customHeight="1" x14ac:dyDescent="0.4">
      <c r="A785" s="3"/>
      <c r="B785" s="4" t="s">
        <v>2172</v>
      </c>
      <c r="C785" s="8"/>
      <c r="D785" s="36"/>
      <c r="E785" s="36"/>
      <c r="F785" s="36"/>
      <c r="G785" s="500"/>
      <c r="H785" s="370"/>
      <c r="I785" s="47" t="s">
        <v>814</v>
      </c>
      <c r="J785" s="3"/>
      <c r="K785" s="3"/>
      <c r="L785" s="5"/>
      <c r="M785" s="5"/>
      <c r="N785" s="5"/>
      <c r="O785" s="5"/>
      <c r="P785" s="5"/>
      <c r="Q785" s="3"/>
      <c r="R785" s="5"/>
      <c r="S785" s="5">
        <f>((SHTGW*2)+(SHTGH*2))/12/392</f>
        <v>2.9522746598639453E-2</v>
      </c>
      <c r="T785" s="3" t="s">
        <v>815</v>
      </c>
      <c r="U785" s="14"/>
      <c r="V785" s="38" t="s">
        <v>8</v>
      </c>
      <c r="W785" s="3" t="s">
        <v>422</v>
      </c>
      <c r="X785" s="38" t="s">
        <v>8</v>
      </c>
      <c r="Y785" s="1445">
        <v>610027000002</v>
      </c>
      <c r="Z785" s="56">
        <v>251931</v>
      </c>
      <c r="AA785" s="56"/>
      <c r="AB785" s="14"/>
      <c r="AC785" s="3">
        <v>45</v>
      </c>
      <c r="AD785" s="5"/>
      <c r="AE785" s="5">
        <f>S785</f>
        <v>2.9522746598639453E-2</v>
      </c>
      <c r="AF785" s="3" t="s">
        <v>815</v>
      </c>
      <c r="AG785" s="38" t="s">
        <v>8</v>
      </c>
      <c r="AH785" s="38" t="s">
        <v>8</v>
      </c>
      <c r="AI785" s="1427">
        <v>78.72</v>
      </c>
      <c r="AJ785" s="477"/>
      <c r="AK785" s="477"/>
      <c r="AL785" s="477"/>
      <c r="AM785" s="51">
        <f t="shared" si="89"/>
        <v>2.3240306122448975</v>
      </c>
      <c r="AN785" s="3" t="s">
        <v>92</v>
      </c>
      <c r="AO785" s="3" t="s">
        <v>92</v>
      </c>
      <c r="AP785" s="3" t="s">
        <v>92</v>
      </c>
      <c r="AQ785" s="3" t="s">
        <v>92</v>
      </c>
      <c r="AR785" s="3" t="s">
        <v>92</v>
      </c>
      <c r="AS785" s="3" t="s">
        <v>92</v>
      </c>
      <c r="AT785" s="3" t="s">
        <v>92</v>
      </c>
      <c r="AU785" s="3" t="s">
        <v>81</v>
      </c>
      <c r="AV785" s="3" t="s">
        <v>81</v>
      </c>
      <c r="AW785" s="3" t="s">
        <v>81</v>
      </c>
      <c r="AX785" s="1414" t="s">
        <v>92</v>
      </c>
      <c r="AY785" s="3"/>
      <c r="AZ785" s="139"/>
      <c r="BA785" s="139"/>
      <c r="BB785" s="139"/>
      <c r="BC785" s="139"/>
      <c r="BD785" s="139"/>
      <c r="BE785" s="3"/>
    </row>
    <row r="786" spans="1:57" ht="15" customHeight="1" x14ac:dyDescent="0.4">
      <c r="A786" s="3"/>
      <c r="B786" s="4" t="s">
        <v>816</v>
      </c>
      <c r="C786" s="8"/>
      <c r="D786" s="36"/>
      <c r="E786" s="36"/>
      <c r="F786" s="36"/>
      <c r="G786" s="500"/>
      <c r="H786" s="370"/>
      <c r="I786" s="47" t="s">
        <v>814</v>
      </c>
      <c r="J786" s="3"/>
      <c r="K786" s="3"/>
      <c r="L786" s="5"/>
      <c r="M786" s="5"/>
      <c r="N786" s="5"/>
      <c r="O786" s="5"/>
      <c r="P786" s="5"/>
      <c r="Q786" s="3"/>
      <c r="R786" s="5"/>
      <c r="S786" s="5">
        <f>((SHTGW*2)+(SHTGH*2))/12/392</f>
        <v>2.9522746598639453E-2</v>
      </c>
      <c r="T786" s="3" t="s">
        <v>815</v>
      </c>
      <c r="U786" s="14"/>
      <c r="V786" s="38" t="s">
        <v>8</v>
      </c>
      <c r="W786" s="3" t="s">
        <v>817</v>
      </c>
      <c r="X786" s="38" t="s">
        <v>8</v>
      </c>
      <c r="Y786" s="1445">
        <v>610007010001</v>
      </c>
      <c r="Z786" s="1445"/>
      <c r="AA786" s="1445"/>
      <c r="AB786" s="14"/>
      <c r="AC786" s="3">
        <v>45</v>
      </c>
      <c r="AD786" s="5"/>
      <c r="AE786" s="5">
        <f>S786/10.3*128</f>
        <v>0.36688461792483978</v>
      </c>
      <c r="AF786" s="3" t="s">
        <v>811</v>
      </c>
      <c r="AG786" s="38" t="s">
        <v>8</v>
      </c>
      <c r="AH786" s="38" t="s">
        <v>8</v>
      </c>
      <c r="AI786" s="1427">
        <v>5.47</v>
      </c>
      <c r="AJ786" s="477"/>
      <c r="AK786" s="477"/>
      <c r="AL786" s="477"/>
      <c r="AM786" s="51">
        <f t="shared" si="89"/>
        <v>2.0068588600488737</v>
      </c>
      <c r="AN786" s="3" t="s">
        <v>92</v>
      </c>
      <c r="AO786" s="3" t="s">
        <v>92</v>
      </c>
      <c r="AP786" s="3" t="s">
        <v>92</v>
      </c>
      <c r="AQ786" s="3" t="s">
        <v>92</v>
      </c>
      <c r="AR786" s="3" t="s">
        <v>92</v>
      </c>
      <c r="AS786" s="3" t="s">
        <v>92</v>
      </c>
      <c r="AT786" s="3" t="s">
        <v>92</v>
      </c>
      <c r="AU786" s="3" t="s">
        <v>92</v>
      </c>
      <c r="AV786" s="3" t="s">
        <v>92</v>
      </c>
      <c r="AW786" s="3" t="s">
        <v>92</v>
      </c>
      <c r="AX786" s="1414" t="s">
        <v>92</v>
      </c>
      <c r="AY786" s="3"/>
      <c r="AZ786" s="139"/>
      <c r="BA786" s="139"/>
      <c r="BB786" s="139"/>
      <c r="BC786" s="139"/>
      <c r="BD786" s="139"/>
      <c r="BE786" s="3"/>
    </row>
    <row r="787" spans="1:57" ht="15" customHeight="1" x14ac:dyDescent="0.4">
      <c r="A787" s="3"/>
      <c r="B787" s="573" t="s">
        <v>818</v>
      </c>
      <c r="C787" s="694"/>
      <c r="D787" s="622"/>
      <c r="E787" s="622"/>
      <c r="F787" s="622"/>
      <c r="G787" s="223"/>
      <c r="H787" s="695"/>
      <c r="I787" s="577"/>
      <c r="J787" s="577"/>
      <c r="K787" s="577"/>
      <c r="L787" s="575"/>
      <c r="M787" s="575"/>
      <c r="N787" s="575"/>
      <c r="O787" s="575"/>
      <c r="P787" s="575"/>
      <c r="Q787" s="577"/>
      <c r="R787" s="575"/>
      <c r="S787" s="575"/>
      <c r="T787" s="577" t="s">
        <v>815</v>
      </c>
      <c r="U787" s="574"/>
      <c r="V787" s="579" t="s">
        <v>8</v>
      </c>
      <c r="W787" s="577" t="s">
        <v>817</v>
      </c>
      <c r="X787" s="579" t="s">
        <v>8</v>
      </c>
      <c r="Y787" s="1460">
        <v>610007010002</v>
      </c>
      <c r="Z787" s="1460"/>
      <c r="AA787" s="1460"/>
      <c r="AB787" s="574"/>
      <c r="AC787" s="577">
        <v>45</v>
      </c>
      <c r="AD787" s="575"/>
      <c r="AE787" s="575"/>
      <c r="AF787" s="577" t="s">
        <v>815</v>
      </c>
      <c r="AG787" s="579" t="s">
        <v>8</v>
      </c>
      <c r="AH787" s="579" t="s">
        <v>8</v>
      </c>
      <c r="AI787" s="1000">
        <v>0</v>
      </c>
      <c r="AJ787" s="580"/>
      <c r="AK787" s="580"/>
      <c r="AL787" s="580"/>
      <c r="AM787" s="626">
        <f t="shared" si="89"/>
        <v>0</v>
      </c>
      <c r="AN787" s="577" t="s">
        <v>92</v>
      </c>
      <c r="AO787" s="577" t="s">
        <v>92</v>
      </c>
      <c r="AP787" s="577" t="s">
        <v>92</v>
      </c>
      <c r="AQ787" s="577" t="s">
        <v>92</v>
      </c>
      <c r="AR787" s="577" t="s">
        <v>92</v>
      </c>
      <c r="AS787" s="577" t="s">
        <v>92</v>
      </c>
      <c r="AT787" s="577" t="s">
        <v>92</v>
      </c>
      <c r="AU787" s="577" t="s">
        <v>92</v>
      </c>
      <c r="AV787" s="577" t="s">
        <v>92</v>
      </c>
      <c r="AW787" s="577" t="s">
        <v>92</v>
      </c>
      <c r="AX787" s="1881" t="s">
        <v>92</v>
      </c>
      <c r="AY787" s="577"/>
      <c r="AZ787" s="139"/>
      <c r="BA787" s="139"/>
      <c r="BB787" s="139"/>
      <c r="BC787" s="139"/>
      <c r="BD787" s="139"/>
      <c r="BE787" s="3"/>
    </row>
    <row r="788" spans="1:57" ht="15" customHeight="1" x14ac:dyDescent="0.4">
      <c r="A788" s="3"/>
      <c r="B788" s="4" t="s">
        <v>2068</v>
      </c>
      <c r="C788" s="8"/>
      <c r="D788" s="8"/>
      <c r="E788" s="8"/>
      <c r="F788" s="8"/>
      <c r="G788" s="3"/>
      <c r="H788" s="370"/>
      <c r="I788" s="8" t="s">
        <v>2071</v>
      </c>
      <c r="J788" s="495"/>
      <c r="K788" s="3"/>
      <c r="L788" s="5"/>
      <c r="M788" s="5"/>
      <c r="N788" s="5"/>
      <c r="O788" s="5"/>
      <c r="P788" s="5"/>
      <c r="Q788" s="3"/>
      <c r="R788" s="5"/>
      <c r="S788" s="56">
        <v>1</v>
      </c>
      <c r="T788" s="3" t="s">
        <v>385</v>
      </c>
      <c r="U788" s="14"/>
      <c r="V788" s="38" t="s">
        <v>8</v>
      </c>
      <c r="W788" s="3" t="s">
        <v>821</v>
      </c>
      <c r="X788" s="38" t="s">
        <v>8</v>
      </c>
      <c r="Y788" s="1443">
        <v>620001000</v>
      </c>
      <c r="Z788" s="1443"/>
      <c r="AA788" s="1443"/>
      <c r="AB788" s="14">
        <v>45</v>
      </c>
      <c r="AC788" s="3">
        <v>45</v>
      </c>
      <c r="AD788" s="5"/>
      <c r="AE788" s="56">
        <v>0</v>
      </c>
      <c r="AF788" s="3" t="s">
        <v>385</v>
      </c>
      <c r="AG788" s="38" t="s">
        <v>8</v>
      </c>
      <c r="AH788" s="38" t="s">
        <v>8</v>
      </c>
      <c r="AI788" s="1427">
        <v>1.01E-2</v>
      </c>
      <c r="AJ788" s="477"/>
      <c r="AK788" s="477"/>
      <c r="AL788" s="477"/>
      <c r="AM788" s="51">
        <f t="shared" si="89"/>
        <v>0</v>
      </c>
      <c r="AN788" s="3" t="s">
        <v>371</v>
      </c>
      <c r="AO788" s="3" t="s">
        <v>371</v>
      </c>
      <c r="AP788" s="3" t="s">
        <v>371</v>
      </c>
      <c r="AQ788" s="3" t="s">
        <v>371</v>
      </c>
      <c r="AR788" s="3" t="s">
        <v>371</v>
      </c>
      <c r="AS788" s="3" t="s">
        <v>371</v>
      </c>
      <c r="AT788" s="3" t="s">
        <v>371</v>
      </c>
      <c r="AU788" s="3" t="s">
        <v>371</v>
      </c>
      <c r="AV788" s="3" t="s">
        <v>371</v>
      </c>
      <c r="AW788" s="3" t="s">
        <v>371</v>
      </c>
      <c r="AX788" s="1414" t="s">
        <v>371</v>
      </c>
      <c r="AY788" s="3"/>
      <c r="AZ788" s="139"/>
      <c r="BA788" s="139"/>
      <c r="BB788" s="139"/>
      <c r="BC788" s="139"/>
      <c r="BD788" s="139"/>
      <c r="BE788" s="3"/>
    </row>
    <row r="789" spans="1:57" ht="15" customHeight="1" x14ac:dyDescent="0.4">
      <c r="A789" s="3"/>
      <c r="B789" s="4" t="s">
        <v>2069</v>
      </c>
      <c r="C789" s="8"/>
      <c r="D789" s="8"/>
      <c r="E789" s="3"/>
      <c r="F789" s="8"/>
      <c r="G789" s="3"/>
      <c r="H789" s="370"/>
      <c r="I789" s="8" t="s">
        <v>2071</v>
      </c>
      <c r="J789" s="3"/>
      <c r="K789" s="3"/>
      <c r="L789" s="5"/>
      <c r="M789" s="5"/>
      <c r="N789" s="5"/>
      <c r="O789" s="5"/>
      <c r="P789" s="5"/>
      <c r="Q789" s="3"/>
      <c r="R789" s="5"/>
      <c r="S789" s="56">
        <v>1</v>
      </c>
      <c r="T789" s="3" t="s">
        <v>385</v>
      </c>
      <c r="U789" s="14"/>
      <c r="V789" s="38" t="s">
        <v>8</v>
      </c>
      <c r="W789" s="3" t="s">
        <v>817</v>
      </c>
      <c r="X789" s="38" t="s">
        <v>8</v>
      </c>
      <c r="Y789" s="1443">
        <v>620007000</v>
      </c>
      <c r="Z789" s="1443"/>
      <c r="AA789" s="1443"/>
      <c r="AB789" s="14"/>
      <c r="AC789" s="3">
        <v>45</v>
      </c>
      <c r="AD789" s="5"/>
      <c r="AE789" s="56">
        <v>0</v>
      </c>
      <c r="AF789" s="3" t="s">
        <v>385</v>
      </c>
      <c r="AG789" s="38" t="s">
        <v>8</v>
      </c>
      <c r="AH789" s="38" t="s">
        <v>8</v>
      </c>
      <c r="AI789" s="1427">
        <v>1.3100000000000001E-2</v>
      </c>
      <c r="AJ789" s="477"/>
      <c r="AK789" s="477"/>
      <c r="AL789" s="477"/>
      <c r="AM789" s="51">
        <f t="shared" ref="AM789:AM791" si="90">AE789*AI789+SUM(AJ789:AL789)</f>
        <v>0</v>
      </c>
      <c r="AN789" s="3" t="s">
        <v>371</v>
      </c>
      <c r="AO789" s="3" t="s">
        <v>371</v>
      </c>
      <c r="AP789" s="3" t="s">
        <v>371</v>
      </c>
      <c r="AQ789" s="3" t="s">
        <v>371</v>
      </c>
      <c r="AR789" s="3" t="s">
        <v>371</v>
      </c>
      <c r="AS789" s="3" t="s">
        <v>371</v>
      </c>
      <c r="AT789" s="3" t="s">
        <v>371</v>
      </c>
      <c r="AU789" s="3" t="s">
        <v>371</v>
      </c>
      <c r="AV789" s="3" t="s">
        <v>371</v>
      </c>
      <c r="AW789" s="3" t="s">
        <v>371</v>
      </c>
      <c r="AX789" s="1414" t="s">
        <v>371</v>
      </c>
      <c r="AY789" s="3"/>
      <c r="AZ789" s="139"/>
      <c r="BA789" s="139"/>
      <c r="BB789" s="139"/>
      <c r="BC789" s="139"/>
      <c r="BD789" s="139"/>
      <c r="BE789" s="3"/>
    </row>
    <row r="790" spans="1:57" ht="15" customHeight="1" x14ac:dyDescent="0.4">
      <c r="A790" s="3"/>
      <c r="B790" s="4" t="s">
        <v>2070</v>
      </c>
      <c r="C790" s="8"/>
      <c r="D790" s="8"/>
      <c r="E790" s="8"/>
      <c r="F790" s="8"/>
      <c r="G790" s="3"/>
      <c r="H790" s="370"/>
      <c r="I790" s="8" t="s">
        <v>2071</v>
      </c>
      <c r="J790" s="3"/>
      <c r="K790" s="3"/>
      <c r="L790" s="5"/>
      <c r="M790" s="5"/>
      <c r="N790" s="5"/>
      <c r="O790" s="5"/>
      <c r="P790" s="5"/>
      <c r="Q790" s="3"/>
      <c r="R790" s="5"/>
      <c r="S790" s="56">
        <v>1</v>
      </c>
      <c r="T790" s="3" t="s">
        <v>385</v>
      </c>
      <c r="U790" s="14"/>
      <c r="V790" s="38" t="s">
        <v>8</v>
      </c>
      <c r="W790" s="3" t="s">
        <v>824</v>
      </c>
      <c r="X790" s="38" t="s">
        <v>8</v>
      </c>
      <c r="Y790" s="1443">
        <v>620002000</v>
      </c>
      <c r="Z790" s="1443"/>
      <c r="AA790" s="1443"/>
      <c r="AB790" s="14">
        <v>45</v>
      </c>
      <c r="AC790" s="3">
        <v>45</v>
      </c>
      <c r="AD790" s="5"/>
      <c r="AE790" s="56">
        <v>0</v>
      </c>
      <c r="AF790" s="3" t="s">
        <v>385</v>
      </c>
      <c r="AG790" s="38" t="s">
        <v>8</v>
      </c>
      <c r="AH790" s="38" t="s">
        <v>8</v>
      </c>
      <c r="AI790" s="1427">
        <v>1.55E-2</v>
      </c>
      <c r="AJ790" s="477"/>
      <c r="AK790" s="477"/>
      <c r="AL790" s="477"/>
      <c r="AM790" s="51">
        <f t="shared" si="90"/>
        <v>0</v>
      </c>
      <c r="AN790" s="3" t="s">
        <v>371</v>
      </c>
      <c r="AO790" s="3" t="s">
        <v>371</v>
      </c>
      <c r="AP790" s="3" t="s">
        <v>371</v>
      </c>
      <c r="AQ790" s="3" t="s">
        <v>371</v>
      </c>
      <c r="AR790" s="3" t="s">
        <v>371</v>
      </c>
      <c r="AS790" s="3" t="s">
        <v>371</v>
      </c>
      <c r="AT790" s="3" t="s">
        <v>371</v>
      </c>
      <c r="AU790" s="3" t="s">
        <v>371</v>
      </c>
      <c r="AV790" s="3" t="s">
        <v>371</v>
      </c>
      <c r="AW790" s="3" t="s">
        <v>371</v>
      </c>
      <c r="AX790" s="1414" t="s">
        <v>371</v>
      </c>
      <c r="AY790" s="3"/>
      <c r="AZ790" s="139"/>
      <c r="BA790" s="139"/>
      <c r="BB790" s="139"/>
      <c r="BC790" s="139"/>
      <c r="BD790" s="139"/>
      <c r="BE790" s="3"/>
    </row>
    <row r="791" spans="1:57" ht="15" customHeight="1" x14ac:dyDescent="0.4">
      <c r="A791" s="3"/>
      <c r="B791" s="4" t="s">
        <v>2077</v>
      </c>
      <c r="C791" s="8"/>
      <c r="D791" s="8"/>
      <c r="E791" s="8"/>
      <c r="F791" s="8"/>
      <c r="G791" s="3"/>
      <c r="H791" s="370"/>
      <c r="I791" s="8" t="s">
        <v>2071</v>
      </c>
      <c r="J791" s="3"/>
      <c r="K791" s="3"/>
      <c r="L791" s="5"/>
      <c r="M791" s="5"/>
      <c r="N791" s="5"/>
      <c r="O791" s="5"/>
      <c r="P791" s="5"/>
      <c r="Q791" s="3"/>
      <c r="R791" s="5"/>
      <c r="S791" s="56">
        <v>1</v>
      </c>
      <c r="T791" s="3" t="s">
        <v>385</v>
      </c>
      <c r="U791" s="14"/>
      <c r="V791" s="38" t="s">
        <v>8</v>
      </c>
      <c r="W791" s="3" t="s">
        <v>821</v>
      </c>
      <c r="X791" s="38" t="s">
        <v>8</v>
      </c>
      <c r="Y791" s="1443">
        <v>620003000</v>
      </c>
      <c r="Z791" s="1443"/>
      <c r="AA791" s="1443"/>
      <c r="AB791" s="14">
        <v>45</v>
      </c>
      <c r="AC791" s="3">
        <v>45</v>
      </c>
      <c r="AD791" s="5"/>
      <c r="AE791" s="56">
        <v>0</v>
      </c>
      <c r="AF791" s="3" t="s">
        <v>385</v>
      </c>
      <c r="AG791" s="38" t="s">
        <v>8</v>
      </c>
      <c r="AH791" s="38" t="s">
        <v>8</v>
      </c>
      <c r="AI791" s="1427">
        <v>1.38E-2</v>
      </c>
      <c r="AJ791" s="477"/>
      <c r="AK791" s="477"/>
      <c r="AL791" s="477"/>
      <c r="AM791" s="51">
        <f t="shared" si="90"/>
        <v>0</v>
      </c>
      <c r="AN791" s="3" t="s">
        <v>371</v>
      </c>
      <c r="AO791" s="3" t="s">
        <v>371</v>
      </c>
      <c r="AP791" s="3" t="s">
        <v>371</v>
      </c>
      <c r="AQ791" s="3" t="s">
        <v>371</v>
      </c>
      <c r="AR791" s="3" t="s">
        <v>371</v>
      </c>
      <c r="AS791" s="3" t="s">
        <v>371</v>
      </c>
      <c r="AT791" s="3" t="s">
        <v>371</v>
      </c>
      <c r="AU791" s="3" t="s">
        <v>371</v>
      </c>
      <c r="AV791" s="3" t="s">
        <v>371</v>
      </c>
      <c r="AW791" s="3" t="s">
        <v>371</v>
      </c>
      <c r="AX791" s="1414" t="s">
        <v>371</v>
      </c>
      <c r="AY791" s="3"/>
      <c r="AZ791" s="139"/>
      <c r="BA791" s="139"/>
      <c r="BB791" s="139"/>
      <c r="BC791" s="139"/>
      <c r="BD791" s="139"/>
      <c r="BE791" s="3"/>
    </row>
    <row r="792" spans="1:57" ht="15" customHeight="1" x14ac:dyDescent="0.4">
      <c r="A792" s="3"/>
      <c r="B792" s="4" t="s">
        <v>2078</v>
      </c>
      <c r="C792" s="8"/>
      <c r="D792" s="8"/>
      <c r="E792" s="3"/>
      <c r="F792" s="8"/>
      <c r="G792" s="3"/>
      <c r="H792" s="370"/>
      <c r="I792" s="8" t="s">
        <v>2071</v>
      </c>
      <c r="J792" s="3"/>
      <c r="K792" s="3"/>
      <c r="L792" s="5"/>
      <c r="M792" s="5"/>
      <c r="N792" s="5"/>
      <c r="O792" s="5"/>
      <c r="P792" s="5"/>
      <c r="Q792" s="3"/>
      <c r="R792" s="5"/>
      <c r="S792" s="56">
        <v>1</v>
      </c>
      <c r="T792" s="3" t="s">
        <v>385</v>
      </c>
      <c r="U792" s="14"/>
      <c r="V792" s="38" t="s">
        <v>8</v>
      </c>
      <c r="W792" s="3" t="s">
        <v>817</v>
      </c>
      <c r="X792" s="38" t="s">
        <v>8</v>
      </c>
      <c r="Y792" s="1443">
        <v>620008000</v>
      </c>
      <c r="Z792" s="1443"/>
      <c r="AA792" s="1443"/>
      <c r="AB792" s="14"/>
      <c r="AC792" s="3">
        <v>45</v>
      </c>
      <c r="AD792" s="5"/>
      <c r="AE792" s="56">
        <v>0</v>
      </c>
      <c r="AF792" s="3" t="s">
        <v>385</v>
      </c>
      <c r="AG792" s="38" t="s">
        <v>8</v>
      </c>
      <c r="AH792" s="38" t="s">
        <v>8</v>
      </c>
      <c r="AI792" s="1427">
        <v>1.54E-2</v>
      </c>
      <c r="AJ792" s="477"/>
      <c r="AK792" s="477"/>
      <c r="AL792" s="477"/>
      <c r="AM792" s="51">
        <f>AE792*AI792+SUM(AJ792:AL792)</f>
        <v>0</v>
      </c>
      <c r="AN792" s="3" t="s">
        <v>371</v>
      </c>
      <c r="AO792" s="3" t="s">
        <v>371</v>
      </c>
      <c r="AP792" s="3" t="s">
        <v>371</v>
      </c>
      <c r="AQ792" s="3" t="s">
        <v>371</v>
      </c>
      <c r="AR792" s="3" t="s">
        <v>371</v>
      </c>
      <c r="AS792" s="3" t="s">
        <v>371</v>
      </c>
      <c r="AT792" s="3" t="s">
        <v>371</v>
      </c>
      <c r="AU792" s="3" t="s">
        <v>371</v>
      </c>
      <c r="AV792" s="3" t="s">
        <v>371</v>
      </c>
      <c r="AW792" s="3" t="s">
        <v>371</v>
      </c>
      <c r="AX792" s="1414" t="s">
        <v>371</v>
      </c>
      <c r="AY792" s="3"/>
      <c r="AZ792" s="139"/>
      <c r="BA792" s="139"/>
      <c r="BB792" s="139"/>
      <c r="BC792" s="139"/>
      <c r="BD792" s="139"/>
      <c r="BE792" s="3"/>
    </row>
    <row r="793" spans="1:57" ht="15" customHeight="1" thickBot="1" x14ac:dyDescent="0.45">
      <c r="A793" s="3"/>
      <c r="B793" s="968" t="s">
        <v>2079</v>
      </c>
      <c r="C793" s="949"/>
      <c r="D793" s="949"/>
      <c r="E793" s="949"/>
      <c r="F793" s="949"/>
      <c r="G793" s="889"/>
      <c r="H793" s="1206"/>
      <c r="I793" s="949" t="s">
        <v>2210</v>
      </c>
      <c r="J793" s="889"/>
      <c r="K793" s="949"/>
      <c r="L793" s="945"/>
      <c r="M793" s="945"/>
      <c r="N793" s="945"/>
      <c r="O793" s="945"/>
      <c r="P793" s="945"/>
      <c r="Q793" s="889"/>
      <c r="R793" s="945"/>
      <c r="S793" s="1156">
        <v>1</v>
      </c>
      <c r="T793" s="889" t="s">
        <v>385</v>
      </c>
      <c r="U793" s="948"/>
      <c r="V793" s="888" t="s">
        <v>8</v>
      </c>
      <c r="W793" s="889" t="s">
        <v>824</v>
      </c>
      <c r="X793" s="888" t="s">
        <v>8</v>
      </c>
      <c r="Y793" s="1444">
        <v>620004000</v>
      </c>
      <c r="Z793" s="1444"/>
      <c r="AA793" s="1444"/>
      <c r="AB793" s="948">
        <v>45</v>
      </c>
      <c r="AC793" s="889">
        <v>45</v>
      </c>
      <c r="AD793" s="945"/>
      <c r="AE793" s="1156">
        <v>2</v>
      </c>
      <c r="AF793" s="889" t="s">
        <v>385</v>
      </c>
      <c r="AG793" s="888" t="s">
        <v>8</v>
      </c>
      <c r="AH793" s="888" t="s">
        <v>8</v>
      </c>
      <c r="AI793" s="1428">
        <v>2.0500000000000001E-2</v>
      </c>
      <c r="AJ793" s="1157"/>
      <c r="AK793" s="1157"/>
      <c r="AL793" s="1157"/>
      <c r="AM793" s="937">
        <f t="shared" ref="AM793" si="91">AI793*AE793</f>
        <v>4.1000000000000002E-2</v>
      </c>
      <c r="AN793" s="889" t="s">
        <v>81</v>
      </c>
      <c r="AO793" s="889" t="s">
        <v>81</v>
      </c>
      <c r="AP793" s="889" t="s">
        <v>81</v>
      </c>
      <c r="AQ793" s="889" t="s">
        <v>81</v>
      </c>
      <c r="AR793" s="889" t="s">
        <v>81</v>
      </c>
      <c r="AS793" s="889" t="s">
        <v>81</v>
      </c>
      <c r="AT793" s="889" t="s">
        <v>81</v>
      </c>
      <c r="AU793" s="889" t="s">
        <v>81</v>
      </c>
      <c r="AV793" s="889" t="s">
        <v>81</v>
      </c>
      <c r="AW793" s="889" t="s">
        <v>81</v>
      </c>
      <c r="AX793" s="1590" t="s">
        <v>81</v>
      </c>
      <c r="AY793" s="889"/>
      <c r="AZ793" s="139"/>
      <c r="BA793" s="139"/>
      <c r="BB793" s="139"/>
      <c r="BC793" s="139"/>
      <c r="BD793" s="139"/>
      <c r="BE793" s="3"/>
    </row>
    <row r="794" spans="1:57" ht="27" customHeight="1" thickBot="1" x14ac:dyDescent="0.45">
      <c r="A794" s="3"/>
      <c r="B794" s="700" t="str">
        <f>"Sash: "&amp;FIXED(SHSashW,3)&amp;" in x "&amp;FIXED(SHSashH,3)&amp;" in"</f>
        <v>Sash: 36.000 in x 36.000 in</v>
      </c>
      <c r="C794" s="701"/>
      <c r="D794" s="702"/>
      <c r="E794" s="702"/>
      <c r="F794" s="702"/>
      <c r="G794" s="702"/>
      <c r="H794" s="703"/>
      <c r="I794" s="703"/>
      <c r="J794" s="703"/>
      <c r="K794" s="703"/>
      <c r="L794" s="704"/>
      <c r="M794" s="704"/>
      <c r="N794" s="704"/>
      <c r="O794" s="704"/>
      <c r="P794" s="704"/>
      <c r="Q794" s="704"/>
      <c r="R794" s="703"/>
      <c r="S794" s="704"/>
      <c r="T794" s="703"/>
      <c r="U794" s="703"/>
      <c r="V794" s="705"/>
      <c r="W794" s="703"/>
      <c r="X794" s="705"/>
      <c r="Y794" s="703"/>
      <c r="Z794" s="703"/>
      <c r="AA794" s="703"/>
      <c r="AB794" s="703"/>
      <c r="AC794" s="703"/>
      <c r="AD794" s="703"/>
      <c r="AE794" s="704"/>
      <c r="AF794" s="703"/>
      <c r="AG794" s="703"/>
      <c r="AH794" s="703"/>
      <c r="AI794" s="706"/>
      <c r="AJ794" s="707"/>
      <c r="AK794" s="707"/>
      <c r="AL794" s="708" t="s">
        <v>829</v>
      </c>
      <c r="AM794" s="707">
        <f>AM797+AM908+AM949+AM956+AM1023</f>
        <v>102.25277144539002</v>
      </c>
      <c r="AN794" s="1466" t="s">
        <v>2001</v>
      </c>
      <c r="AO794" s="707"/>
      <c r="AP794" s="707"/>
      <c r="AQ794" s="707"/>
      <c r="AR794" s="707"/>
      <c r="AS794" s="707"/>
      <c r="AT794" s="707"/>
      <c r="AU794" s="707"/>
      <c r="AV794" s="707"/>
      <c r="AW794" s="707"/>
      <c r="AX794" s="1466" t="s">
        <v>2001</v>
      </c>
      <c r="AY794" s="707"/>
      <c r="AZ794" s="139"/>
      <c r="BA794" s="139"/>
      <c r="BB794" s="139"/>
      <c r="BC794" s="139"/>
      <c r="BD794" s="139"/>
      <c r="BE794" s="3"/>
    </row>
    <row r="795" spans="1:57" ht="15" customHeight="1" thickTop="1" x14ac:dyDescent="0.4">
      <c r="A795" s="3" t="s">
        <v>830</v>
      </c>
      <c r="B795" s="7" t="s">
        <v>830</v>
      </c>
      <c r="C795" s="7"/>
      <c r="D795" s="4" t="s">
        <v>831</v>
      </c>
      <c r="E795" s="7"/>
      <c r="F795" s="7"/>
      <c r="G795" s="7"/>
      <c r="H795" s="14"/>
      <c r="I795" s="3" t="s">
        <v>392</v>
      </c>
      <c r="J795" s="3"/>
      <c r="K795" s="3"/>
      <c r="L795" s="3" t="s">
        <v>348</v>
      </c>
      <c r="M795" s="5">
        <f>-2.3125-0.25</f>
        <v>-2.5625</v>
      </c>
      <c r="N795" s="5"/>
      <c r="O795" s="5"/>
      <c r="P795" s="3"/>
      <c r="Q795" s="5"/>
      <c r="R795" s="3" t="s">
        <v>352</v>
      </c>
      <c r="S795" s="5">
        <f>SHWidth+M795</f>
        <v>36</v>
      </c>
      <c r="T795" s="3" t="s">
        <v>366</v>
      </c>
      <c r="U795" s="14"/>
      <c r="V795" s="639"/>
      <c r="W795" s="3"/>
      <c r="X795" s="38"/>
      <c r="Y795" s="3"/>
      <c r="Z795" s="3"/>
      <c r="AA795" s="3"/>
      <c r="AB795" s="14"/>
      <c r="AC795" s="3"/>
      <c r="AD795" s="3"/>
      <c r="AE795" s="5"/>
      <c r="AF795" s="5"/>
      <c r="AG795" s="5"/>
      <c r="AH795" s="5"/>
      <c r="AI795" s="492"/>
      <c r="AJ795" s="477"/>
      <c r="AK795" s="477"/>
      <c r="AL795" s="477"/>
      <c r="AM795" s="477"/>
      <c r="AN795" s="3"/>
      <c r="AO795" s="3"/>
      <c r="AP795" s="3"/>
      <c r="AQ795" s="3"/>
      <c r="AR795" s="3"/>
      <c r="AS795" s="3"/>
      <c r="AT795" s="3"/>
      <c r="AU795" s="3"/>
      <c r="AV795" s="3"/>
      <c r="AW795" s="3"/>
      <c r="AX795" s="3"/>
      <c r="AY795" s="3"/>
      <c r="AZ795" s="139"/>
      <c r="BA795" s="139"/>
      <c r="BB795" s="139"/>
      <c r="BC795" s="139"/>
      <c r="BD795" s="139"/>
      <c r="BE795" s="3"/>
    </row>
    <row r="796" spans="1:57" ht="15" customHeight="1" thickBot="1" x14ac:dyDescent="0.45">
      <c r="A796" s="3" t="s">
        <v>832</v>
      </c>
      <c r="B796" s="7" t="s">
        <v>832</v>
      </c>
      <c r="C796" s="7"/>
      <c r="D796" s="4" t="s">
        <v>831</v>
      </c>
      <c r="E796" s="7"/>
      <c r="F796" s="7"/>
      <c r="G796" s="7"/>
      <c r="H796" s="14"/>
      <c r="I796" s="3" t="s">
        <v>365</v>
      </c>
      <c r="J796" s="3" t="s">
        <v>346</v>
      </c>
      <c r="K796" s="3">
        <v>2</v>
      </c>
      <c r="L796" s="3" t="s">
        <v>348</v>
      </c>
      <c r="M796" s="5">
        <v>-1</v>
      </c>
      <c r="N796" s="3" t="s">
        <v>348</v>
      </c>
      <c r="O796" s="5"/>
      <c r="P796" s="5" t="s">
        <v>2211</v>
      </c>
      <c r="Q796" s="5"/>
      <c r="R796" s="3" t="s">
        <v>352</v>
      </c>
      <c r="S796" s="77">
        <f>SHHeight/K796+M796+SHCORnd</f>
        <v>36</v>
      </c>
      <c r="T796" s="3" t="s">
        <v>366</v>
      </c>
      <c r="U796" s="14"/>
      <c r="V796" s="639"/>
      <c r="W796" s="3"/>
      <c r="X796" s="38"/>
      <c r="Y796" s="3"/>
      <c r="Z796" s="3"/>
      <c r="AA796" s="3"/>
      <c r="AB796" s="14"/>
      <c r="AC796" s="3"/>
      <c r="AD796" s="3"/>
      <c r="AE796" s="5"/>
      <c r="AF796" s="5"/>
      <c r="AG796" s="5"/>
      <c r="AH796" s="5"/>
      <c r="AI796" s="492"/>
      <c r="AJ796" s="477"/>
      <c r="AK796" s="477"/>
      <c r="AL796" s="1157"/>
      <c r="AM796" s="1157"/>
      <c r="AN796" s="3"/>
      <c r="AO796" s="3"/>
      <c r="AP796" s="3"/>
      <c r="AQ796" s="3"/>
      <c r="AR796" s="3"/>
      <c r="AS796" s="3"/>
      <c r="AT796" s="3"/>
      <c r="AU796" s="3"/>
      <c r="AV796" s="3"/>
      <c r="AW796" s="3"/>
      <c r="AX796" s="3"/>
      <c r="AY796" s="3"/>
      <c r="AZ796" s="139"/>
      <c r="BA796" s="139"/>
      <c r="BB796" s="139"/>
      <c r="BC796" s="139"/>
      <c r="BD796" s="139"/>
      <c r="BE796" s="3"/>
    </row>
    <row r="797" spans="1:57" ht="15" customHeight="1" thickBot="1" x14ac:dyDescent="0.45">
      <c r="A797" s="3"/>
      <c r="B797" s="653" t="s">
        <v>833</v>
      </c>
      <c r="C797" s="653"/>
      <c r="D797" s="653"/>
      <c r="E797" s="653"/>
      <c r="F797" s="653"/>
      <c r="G797" s="653"/>
      <c r="H797" s="654"/>
      <c r="I797" s="654"/>
      <c r="J797" s="654"/>
      <c r="K797" s="654"/>
      <c r="L797" s="654"/>
      <c r="M797" s="655"/>
      <c r="N797" s="655"/>
      <c r="O797" s="655"/>
      <c r="P797" s="655"/>
      <c r="Q797" s="655"/>
      <c r="R797" s="654"/>
      <c r="S797" s="655"/>
      <c r="T797" s="654"/>
      <c r="U797" s="654"/>
      <c r="V797" s="653"/>
      <c r="W797" s="653"/>
      <c r="X797" s="653"/>
      <c r="Y797" s="656"/>
      <c r="Z797" s="656"/>
      <c r="AA797" s="656"/>
      <c r="AB797" s="654"/>
      <c r="AC797" s="656"/>
      <c r="AD797" s="654"/>
      <c r="AE797" s="655"/>
      <c r="AF797" s="654"/>
      <c r="AG797" s="654"/>
      <c r="AH797" s="654"/>
      <c r="AI797" s="657"/>
      <c r="AJ797" s="658"/>
      <c r="AK797" s="658"/>
      <c r="AL797" s="1210" t="s">
        <v>834</v>
      </c>
      <c r="AM797" s="1211">
        <f>SUBTOTAL(109,AM798:AM907)</f>
        <v>47.982314687500015</v>
      </c>
      <c r="AN797" s="658"/>
      <c r="AO797" s="658"/>
      <c r="AP797" s="658"/>
      <c r="AQ797" s="658"/>
      <c r="AR797" s="658"/>
      <c r="AS797" s="658"/>
      <c r="AT797" s="658"/>
      <c r="AU797" s="658"/>
      <c r="AV797" s="658"/>
      <c r="AW797" s="658"/>
      <c r="AX797" s="658"/>
      <c r="AY797" s="658"/>
      <c r="AZ797" s="139"/>
      <c r="BA797" s="139"/>
      <c r="BB797" s="139"/>
      <c r="BC797" s="139"/>
      <c r="BD797" s="139"/>
      <c r="BE797" s="3"/>
    </row>
    <row r="798" spans="1:57" ht="15" customHeight="1" x14ac:dyDescent="0.4">
      <c r="A798" s="3" t="s">
        <v>835</v>
      </c>
      <c r="B798" s="181" t="s">
        <v>836</v>
      </c>
      <c r="C798" s="114"/>
      <c r="D798" s="138"/>
      <c r="E798" s="138"/>
      <c r="F798" s="138"/>
      <c r="G798" s="173"/>
      <c r="H798" s="193"/>
      <c r="I798" s="448" t="s">
        <v>461</v>
      </c>
      <c r="J798" s="179"/>
      <c r="K798" s="177" t="s">
        <v>392</v>
      </c>
      <c r="L798" s="177" t="s">
        <v>465</v>
      </c>
      <c r="M798" s="709">
        <v>25</v>
      </c>
      <c r="N798" s="5"/>
      <c r="O798" s="5"/>
      <c r="P798" s="3"/>
      <c r="Q798" s="5"/>
      <c r="R798" s="3"/>
      <c r="S798" s="5"/>
      <c r="T798" s="3"/>
      <c r="U798" s="20"/>
      <c r="V798" s="7"/>
      <c r="W798" s="116"/>
      <c r="X798" s="179"/>
      <c r="Y798" s="116"/>
      <c r="Z798" s="116"/>
      <c r="AA798" s="116"/>
      <c r="AB798" s="193"/>
      <c r="AC798" s="116"/>
      <c r="AD798" s="480"/>
      <c r="AE798" s="177"/>
      <c r="AF798" s="177"/>
      <c r="AG798" s="177"/>
      <c r="AH798" s="177"/>
      <c r="AI798" s="493"/>
      <c r="AJ798" s="481"/>
      <c r="AK798" s="481"/>
      <c r="AL798" s="481"/>
      <c r="AM798" s="481"/>
      <c r="AN798" s="3"/>
      <c r="AO798" s="3"/>
      <c r="AP798" s="3"/>
      <c r="AQ798" s="3"/>
      <c r="AR798" s="3"/>
      <c r="AS798" s="3"/>
      <c r="AT798" s="3"/>
      <c r="AU798" s="3"/>
      <c r="AV798" s="3"/>
      <c r="AW798" s="3"/>
      <c r="AX798" s="3"/>
      <c r="AY798" s="3"/>
      <c r="AZ798" s="139"/>
      <c r="BA798" s="139"/>
      <c r="BB798" s="139"/>
      <c r="BC798" s="139"/>
      <c r="BD798" s="139"/>
      <c r="BE798" s="3"/>
    </row>
    <row r="799" spans="1:57" ht="15" customHeight="1" x14ac:dyDescent="0.4">
      <c r="A799" s="3"/>
      <c r="B799" s="3"/>
      <c r="C799" s="651" t="s">
        <v>837</v>
      </c>
      <c r="D799" s="3"/>
      <c r="E799" s="3"/>
      <c r="F799" s="3"/>
      <c r="G799" s="7"/>
      <c r="H799" s="20"/>
      <c r="I799" s="577" t="s">
        <v>392</v>
      </c>
      <c r="J799" s="579" t="s">
        <v>346</v>
      </c>
      <c r="K799" s="577">
        <v>2</v>
      </c>
      <c r="L799" s="577" t="s">
        <v>348</v>
      </c>
      <c r="M799" s="575">
        <v>-2.157</v>
      </c>
      <c r="N799" s="575"/>
      <c r="O799" s="575"/>
      <c r="P799" s="577"/>
      <c r="Q799" s="575"/>
      <c r="R799" s="577" t="s">
        <v>352</v>
      </c>
      <c r="S799" s="625">
        <f>SHWidth/K799+M799</f>
        <v>17.12425</v>
      </c>
      <c r="T799" s="577" t="s">
        <v>366</v>
      </c>
      <c r="U799" s="624"/>
      <c r="V799" s="438" t="str">
        <f>IF(SHWidth&lt;SHTwoLockCutoff,"√","")</f>
        <v/>
      </c>
      <c r="W799" s="4" t="s">
        <v>838</v>
      </c>
      <c r="X799" s="7"/>
      <c r="Y799" s="3"/>
      <c r="Z799" s="3"/>
      <c r="AA799" s="3"/>
      <c r="AB799" s="20"/>
      <c r="AC799" s="3"/>
      <c r="AD799" s="3"/>
      <c r="AE799" s="5"/>
      <c r="AF799" s="3"/>
      <c r="AG799" s="38"/>
      <c r="AH799" s="3"/>
      <c r="AI799" s="51"/>
      <c r="AJ799" s="39"/>
      <c r="AK799" s="39"/>
      <c r="AL799" s="39"/>
      <c r="AM799" s="39"/>
      <c r="AN799" s="3"/>
      <c r="AO799" s="3"/>
      <c r="AP799" s="3"/>
      <c r="AQ799" s="3"/>
      <c r="AR799" s="3"/>
      <c r="AS799" s="3"/>
      <c r="AT799" s="3"/>
      <c r="AU799" s="3"/>
      <c r="AV799" s="3"/>
      <c r="AW799" s="3"/>
      <c r="AX799" s="3"/>
      <c r="AY799" s="3"/>
      <c r="AZ799" s="139"/>
      <c r="BA799" s="139"/>
      <c r="BB799" s="139"/>
      <c r="BC799" s="139"/>
      <c r="BD799" s="139"/>
      <c r="BE799" s="3"/>
    </row>
    <row r="800" spans="1:57" ht="15" customHeight="1" x14ac:dyDescent="0.4">
      <c r="A800" s="3"/>
      <c r="B800" s="3"/>
      <c r="C800" s="3"/>
      <c r="D800" s="3"/>
      <c r="E800" s="3"/>
      <c r="F800" s="3"/>
      <c r="G800" s="7"/>
      <c r="H800" s="20"/>
      <c r="I800" s="36" t="s">
        <v>464</v>
      </c>
      <c r="J800" s="38"/>
      <c r="K800" s="3" t="s">
        <v>392</v>
      </c>
      <c r="L800" s="3" t="s">
        <v>463</v>
      </c>
      <c r="M800" s="5">
        <f>SHTwoLockCutoff</f>
        <v>25</v>
      </c>
      <c r="N800" s="453" t="s">
        <v>839</v>
      </c>
      <c r="O800" s="5"/>
      <c r="P800" s="5"/>
      <c r="Q800" s="5"/>
      <c r="R800" s="3"/>
      <c r="S800" s="5"/>
      <c r="T800" s="3"/>
      <c r="U800" s="20"/>
      <c r="V800" s="7"/>
      <c r="W800" s="7"/>
      <c r="X800" s="7"/>
      <c r="Y800" s="3"/>
      <c r="Z800" s="3"/>
      <c r="AA800" s="3"/>
      <c r="AB800" s="20"/>
      <c r="AC800" s="3"/>
      <c r="AD800" s="3"/>
      <c r="AE800" s="5"/>
      <c r="AF800" s="3"/>
      <c r="AG800" s="38"/>
      <c r="AH800" s="3"/>
      <c r="AI800" s="51"/>
      <c r="AJ800" s="39"/>
      <c r="AK800" s="39"/>
      <c r="AL800" s="39"/>
      <c r="AM800" s="39"/>
      <c r="AN800" s="3"/>
      <c r="AO800" s="3"/>
      <c r="AP800" s="3"/>
      <c r="AQ800" s="3"/>
      <c r="AR800" s="3"/>
      <c r="AS800" s="3"/>
      <c r="AT800" s="3"/>
      <c r="AU800" s="3"/>
      <c r="AV800" s="3"/>
      <c r="AW800" s="3"/>
      <c r="AX800" s="3"/>
      <c r="AY800" s="3"/>
      <c r="AZ800" s="139"/>
      <c r="BA800" s="139"/>
      <c r="BB800" s="139"/>
      <c r="BC800" s="139"/>
      <c r="BD800" s="139"/>
      <c r="BE800" s="3"/>
    </row>
    <row r="801" spans="1:57" ht="15" customHeight="1" thickBot="1" x14ac:dyDescent="0.45">
      <c r="A801" s="3"/>
      <c r="B801" s="3"/>
      <c r="C801" s="3"/>
      <c r="D801" s="3"/>
      <c r="E801" s="3"/>
      <c r="F801" s="3"/>
      <c r="G801" s="7"/>
      <c r="H801" s="20"/>
      <c r="I801" s="3"/>
      <c r="J801" s="38"/>
      <c r="K801" s="3"/>
      <c r="L801" s="3"/>
      <c r="M801" s="5"/>
      <c r="N801" s="5"/>
      <c r="O801" s="5"/>
      <c r="P801" s="3"/>
      <c r="Q801" s="5"/>
      <c r="R801" s="3" t="s">
        <v>352</v>
      </c>
      <c r="S801" s="24">
        <v>7.25</v>
      </c>
      <c r="T801" s="3" t="s">
        <v>366</v>
      </c>
      <c r="U801" s="20"/>
      <c r="V801" s="438" t="str">
        <f>IF(SHWidth&gt;=SHTwoLockCutoff,"√","")</f>
        <v>√</v>
      </c>
      <c r="W801" s="4" t="str">
        <f>"two locks located at "&amp;S801&amp;" from end of lock rail before weld"</f>
        <v>two locks located at 7.25 from end of lock rail before weld</v>
      </c>
      <c r="X801" s="7"/>
      <c r="Y801" s="3"/>
      <c r="Z801" s="3"/>
      <c r="AA801" s="3"/>
      <c r="AB801" s="20"/>
      <c r="AC801" s="3"/>
      <c r="AD801" s="3"/>
      <c r="AE801" s="5"/>
      <c r="AF801" s="3"/>
      <c r="AG801" s="38"/>
      <c r="AH801" s="3"/>
      <c r="AI801" s="51"/>
      <c r="AJ801" s="39"/>
      <c r="AK801" s="39"/>
      <c r="AL801" s="39"/>
      <c r="AM801" s="39"/>
      <c r="AN801" s="889"/>
      <c r="AO801" s="889"/>
      <c r="AP801" s="889"/>
      <c r="AQ801" s="889"/>
      <c r="AR801" s="889"/>
      <c r="AS801" s="889"/>
      <c r="AT801" s="889"/>
      <c r="AU801" s="889"/>
      <c r="AV801" s="889"/>
      <c r="AW801" s="889"/>
      <c r="AX801" s="889"/>
      <c r="AY801" s="889"/>
      <c r="AZ801" s="139"/>
      <c r="BA801" s="139"/>
      <c r="BB801" s="139"/>
      <c r="BC801" s="139"/>
      <c r="BD801" s="139"/>
      <c r="BE801" s="3"/>
    </row>
    <row r="802" spans="1:57" ht="15" customHeight="1" x14ac:dyDescent="0.4">
      <c r="A802" s="3" t="s">
        <v>840</v>
      </c>
      <c r="B802" s="181" t="s">
        <v>2217</v>
      </c>
      <c r="C802" s="173"/>
      <c r="D802" s="138" t="s">
        <v>2214</v>
      </c>
      <c r="E802" s="173"/>
      <c r="F802" s="173"/>
      <c r="G802" s="173"/>
      <c r="H802" s="193"/>
      <c r="I802" s="116" t="s">
        <v>365</v>
      </c>
      <c r="J802" s="116" t="s">
        <v>346</v>
      </c>
      <c r="K802" s="116">
        <v>2</v>
      </c>
      <c r="L802" s="116" t="s">
        <v>348</v>
      </c>
      <c r="M802" s="177">
        <f>M796</f>
        <v>-1</v>
      </c>
      <c r="N802" s="177" t="s">
        <v>348</v>
      </c>
      <c r="O802" s="177">
        <v>0.25</v>
      </c>
      <c r="P802" s="116" t="s">
        <v>348</v>
      </c>
      <c r="Q802" s="628" t="s">
        <v>2211</v>
      </c>
      <c r="R802" s="116" t="s">
        <v>352</v>
      </c>
      <c r="S802" s="177">
        <f>SHHeight/K802+M802+O802+SHCORnd</f>
        <v>36.25</v>
      </c>
      <c r="T802" s="116" t="s">
        <v>366</v>
      </c>
      <c r="U802" s="193"/>
      <c r="V802" s="38"/>
      <c r="W802" s="116"/>
      <c r="X802" s="179"/>
      <c r="Y802" s="116"/>
      <c r="Z802" s="116"/>
      <c r="AA802" s="116"/>
      <c r="AB802" s="193"/>
      <c r="AC802" s="116">
        <v>45</v>
      </c>
      <c r="AD802" s="116">
        <v>2</v>
      </c>
      <c r="AE802" s="177">
        <f>S802*AD802/12</f>
        <v>6.041666666666667</v>
      </c>
      <c r="AF802" s="116" t="s">
        <v>367</v>
      </c>
      <c r="AG802" s="179">
        <v>0.39500000000000002</v>
      </c>
      <c r="AH802" s="177">
        <f>AG802*AtolbperftSH</f>
        <v>0.24983749999999999</v>
      </c>
      <c r="AI802" s="185"/>
      <c r="AJ802" s="185"/>
      <c r="AK802" s="185"/>
      <c r="AL802" s="185"/>
      <c r="AM802" s="180"/>
      <c r="AN802" s="3"/>
      <c r="AO802" s="3"/>
      <c r="AP802" s="3"/>
      <c r="AQ802" s="3"/>
      <c r="AR802" s="3"/>
      <c r="AS802" s="3"/>
      <c r="AT802" s="3"/>
      <c r="AU802" s="3"/>
      <c r="AV802" s="3"/>
      <c r="AW802" s="3"/>
      <c r="AX802" s="1414"/>
      <c r="AY802" s="3"/>
      <c r="AZ802" s="139"/>
      <c r="BA802" s="139"/>
      <c r="BB802" s="139"/>
      <c r="BC802" s="139"/>
      <c r="BD802" s="139"/>
      <c r="BE802" s="3"/>
    </row>
    <row r="803" spans="1:57" ht="15" customHeight="1" x14ac:dyDescent="0.4">
      <c r="A803" s="3"/>
      <c r="B803" s="1023" t="s">
        <v>2213</v>
      </c>
      <c r="C803" s="155"/>
      <c r="D803" s="155"/>
      <c r="E803" s="155"/>
      <c r="F803" s="155"/>
      <c r="G803" s="155"/>
      <c r="H803" s="14"/>
      <c r="I803" s="3"/>
      <c r="J803" s="3"/>
      <c r="K803" s="3"/>
      <c r="L803" s="3"/>
      <c r="M803" s="5"/>
      <c r="N803" s="5"/>
      <c r="O803" s="5"/>
      <c r="P803" s="5"/>
      <c r="Q803" s="5"/>
      <c r="R803" s="3"/>
      <c r="S803" s="5"/>
      <c r="T803" s="3"/>
      <c r="U803" s="14"/>
      <c r="V803" s="38" t="s">
        <v>369</v>
      </c>
      <c r="W803" s="3" t="s">
        <v>370</v>
      </c>
      <c r="X803" s="38" t="s">
        <v>369</v>
      </c>
      <c r="Y803" s="1443">
        <v>200130003</v>
      </c>
      <c r="Z803" s="1443"/>
      <c r="AA803" s="1443"/>
      <c r="AB803" s="14"/>
      <c r="AC803" s="3"/>
      <c r="AD803" s="3"/>
      <c r="AE803" s="5"/>
      <c r="AF803" s="3"/>
      <c r="AG803" s="38"/>
      <c r="AH803" s="5"/>
      <c r="AI803" s="51"/>
      <c r="AJ803" s="39"/>
      <c r="AK803" s="39"/>
      <c r="AL803" s="39"/>
      <c r="AM803" s="51"/>
      <c r="AN803" s="3" t="s">
        <v>371</v>
      </c>
      <c r="AO803" s="3" t="s">
        <v>371</v>
      </c>
      <c r="AP803" s="3" t="s">
        <v>371</v>
      </c>
      <c r="AQ803" s="3" t="s">
        <v>371</v>
      </c>
      <c r="AR803" s="3" t="s">
        <v>371</v>
      </c>
      <c r="AS803" s="3" t="s">
        <v>371</v>
      </c>
      <c r="AT803" s="3" t="s">
        <v>371</v>
      </c>
      <c r="AU803" s="3" t="s">
        <v>371</v>
      </c>
      <c r="AV803" s="3" t="s">
        <v>371</v>
      </c>
      <c r="AW803" s="3" t="s">
        <v>371</v>
      </c>
      <c r="AX803" s="1414" t="s">
        <v>371</v>
      </c>
      <c r="AY803" s="3"/>
      <c r="AZ803" s="139"/>
      <c r="BA803" s="139"/>
      <c r="BB803" s="139"/>
      <c r="BC803" s="139"/>
      <c r="BD803" s="139"/>
      <c r="BE803" s="3"/>
    </row>
    <row r="804" spans="1:57" ht="15" customHeight="1" x14ac:dyDescent="0.4">
      <c r="A804" s="3"/>
      <c r="B804" s="36"/>
      <c r="C804" s="155"/>
      <c r="D804" s="155"/>
      <c r="E804" s="155"/>
      <c r="F804" s="155"/>
      <c r="G804" s="155"/>
      <c r="H804" s="14"/>
      <c r="I804" s="3"/>
      <c r="J804" s="3"/>
      <c r="K804" s="3"/>
      <c r="L804" s="3"/>
      <c r="M804" s="5"/>
      <c r="N804" s="5"/>
      <c r="O804" s="5"/>
      <c r="P804" s="3"/>
      <c r="Q804" s="5"/>
      <c r="R804" s="3"/>
      <c r="S804" s="5"/>
      <c r="T804" s="3"/>
      <c r="U804" s="14"/>
      <c r="V804" s="38" t="s">
        <v>369</v>
      </c>
      <c r="W804" s="3" t="s">
        <v>372</v>
      </c>
      <c r="X804" s="38" t="s">
        <v>369</v>
      </c>
      <c r="Y804" s="1443">
        <v>200130021</v>
      </c>
      <c r="Z804" s="1443"/>
      <c r="AA804" s="1443"/>
      <c r="AB804" s="14"/>
      <c r="AC804" s="3"/>
      <c r="AD804" s="3"/>
      <c r="AE804" s="5"/>
      <c r="AF804" s="3"/>
      <c r="AG804" s="3"/>
      <c r="AH804" s="5"/>
      <c r="AI804" s="51"/>
      <c r="AJ804" s="39"/>
      <c r="AK804" s="39"/>
      <c r="AL804" s="39"/>
      <c r="AM804" s="51"/>
      <c r="AN804" s="3" t="s">
        <v>371</v>
      </c>
      <c r="AO804" s="3" t="s">
        <v>371</v>
      </c>
      <c r="AP804" s="3" t="s">
        <v>371</v>
      </c>
      <c r="AQ804" s="3" t="s">
        <v>371</v>
      </c>
      <c r="AR804" s="3" t="s">
        <v>371</v>
      </c>
      <c r="AS804" s="3" t="s">
        <v>371</v>
      </c>
      <c r="AT804" s="3" t="s">
        <v>371</v>
      </c>
      <c r="AU804" s="3" t="s">
        <v>371</v>
      </c>
      <c r="AV804" s="3" t="s">
        <v>371</v>
      </c>
      <c r="AW804" s="3" t="s">
        <v>371</v>
      </c>
      <c r="AX804" s="1414" t="s">
        <v>371</v>
      </c>
      <c r="AY804" s="3"/>
      <c r="AZ804" s="139"/>
      <c r="BA804" s="139"/>
      <c r="BB804" s="139"/>
      <c r="BC804" s="139"/>
      <c r="BD804" s="139"/>
      <c r="BE804" s="3"/>
    </row>
    <row r="805" spans="1:57" ht="15" customHeight="1" x14ac:dyDescent="0.4">
      <c r="A805" s="3"/>
      <c r="B805" s="36"/>
      <c r="C805" s="155"/>
      <c r="D805" s="155"/>
      <c r="E805" s="155"/>
      <c r="F805" s="155"/>
      <c r="G805" s="155"/>
      <c r="H805" s="14"/>
      <c r="I805" s="3"/>
      <c r="J805" s="3"/>
      <c r="K805" s="500"/>
      <c r="L805" s="3"/>
      <c r="M805" s="3"/>
      <c r="N805" s="3"/>
      <c r="O805" s="24"/>
      <c r="P805" s="3"/>
      <c r="Q805" s="5"/>
      <c r="R805" s="3"/>
      <c r="S805" s="5"/>
      <c r="T805" s="3"/>
      <c r="U805" s="14"/>
      <c r="V805" s="38" t="s">
        <v>369</v>
      </c>
      <c r="W805" s="3" t="s">
        <v>373</v>
      </c>
      <c r="X805" s="38" t="s">
        <v>369</v>
      </c>
      <c r="Y805" s="1443">
        <v>200130033</v>
      </c>
      <c r="Z805" s="1443"/>
      <c r="AA805" s="1443"/>
      <c r="AB805" s="14"/>
      <c r="AC805" s="3"/>
      <c r="AD805" s="3"/>
      <c r="AE805" s="5"/>
      <c r="AF805" s="3"/>
      <c r="AG805" s="3"/>
      <c r="AH805" s="5"/>
      <c r="AI805" s="51"/>
      <c r="AJ805" s="39"/>
      <c r="AK805" s="39"/>
      <c r="AL805" s="39"/>
      <c r="AM805" s="51"/>
      <c r="AN805" s="3" t="s">
        <v>371</v>
      </c>
      <c r="AO805" s="3" t="s">
        <v>371</v>
      </c>
      <c r="AP805" s="3" t="s">
        <v>371</v>
      </c>
      <c r="AQ805" s="3" t="s">
        <v>371</v>
      </c>
      <c r="AR805" s="3" t="s">
        <v>371</v>
      </c>
      <c r="AS805" s="3" t="s">
        <v>371</v>
      </c>
      <c r="AT805" s="3" t="s">
        <v>371</v>
      </c>
      <c r="AU805" s="3" t="s">
        <v>371</v>
      </c>
      <c r="AV805" s="3" t="s">
        <v>371</v>
      </c>
      <c r="AW805" s="3" t="s">
        <v>371</v>
      </c>
      <c r="AX805" s="1414" t="s">
        <v>371</v>
      </c>
      <c r="AY805" s="3"/>
      <c r="AZ805" s="139"/>
      <c r="BA805" s="139"/>
      <c r="BB805" s="139"/>
      <c r="BC805" s="139"/>
      <c r="BD805" s="139"/>
      <c r="BE805" s="3"/>
    </row>
    <row r="806" spans="1:57" ht="15" customHeight="1" x14ac:dyDescent="0.4">
      <c r="A806" s="3"/>
      <c r="B806" s="36"/>
      <c r="C806" s="155"/>
      <c r="D806" s="155"/>
      <c r="E806" s="155"/>
      <c r="F806" s="155"/>
      <c r="G806" s="155"/>
      <c r="H806" s="14"/>
      <c r="I806" s="3"/>
      <c r="J806" s="3"/>
      <c r="K806" s="3"/>
      <c r="L806" s="3"/>
      <c r="M806" s="5"/>
      <c r="N806" s="5"/>
      <c r="O806" s="5"/>
      <c r="P806" s="3"/>
      <c r="Q806" s="5"/>
      <c r="R806" s="3"/>
      <c r="S806" s="5"/>
      <c r="T806" s="3"/>
      <c r="U806" s="14"/>
      <c r="V806" s="3" t="s">
        <v>2363</v>
      </c>
      <c r="W806" s="3" t="s">
        <v>370</v>
      </c>
      <c r="X806" s="38" t="s">
        <v>369</v>
      </c>
      <c r="Y806" s="1443">
        <v>200130127</v>
      </c>
      <c r="Z806" s="1443"/>
      <c r="AA806" s="1443"/>
      <c r="AB806" s="14"/>
      <c r="AC806" s="3"/>
      <c r="AD806" s="3"/>
      <c r="AE806" s="5"/>
      <c r="AF806" s="3"/>
      <c r="AG806" s="3"/>
      <c r="AH806" s="5"/>
      <c r="AI806" s="51"/>
      <c r="AJ806" s="39"/>
      <c r="AK806" s="39"/>
      <c r="AL806" s="39"/>
      <c r="AM806" s="51"/>
      <c r="AN806" s="3" t="s">
        <v>371</v>
      </c>
      <c r="AO806" s="3" t="s">
        <v>371</v>
      </c>
      <c r="AP806" s="3" t="s">
        <v>371</v>
      </c>
      <c r="AQ806" s="3" t="s">
        <v>371</v>
      </c>
      <c r="AR806" s="3" t="s">
        <v>371</v>
      </c>
      <c r="AS806" s="3" t="s">
        <v>371</v>
      </c>
      <c r="AT806" s="3" t="s">
        <v>371</v>
      </c>
      <c r="AU806" s="3" t="s">
        <v>371</v>
      </c>
      <c r="AV806" s="3" t="s">
        <v>371</v>
      </c>
      <c r="AW806" s="3" t="s">
        <v>371</v>
      </c>
      <c r="AX806" s="1414" t="s">
        <v>371</v>
      </c>
      <c r="AY806" s="3"/>
      <c r="AZ806" s="139"/>
      <c r="BA806" s="139"/>
      <c r="BB806" s="139"/>
      <c r="BC806" s="139"/>
      <c r="BD806" s="139"/>
      <c r="BE806" s="3"/>
    </row>
    <row r="807" spans="1:57" ht="15" customHeight="1" x14ac:dyDescent="0.4">
      <c r="A807" s="3"/>
      <c r="B807" s="36"/>
      <c r="C807" s="155"/>
      <c r="D807" s="155"/>
      <c r="E807" s="155"/>
      <c r="F807" s="155"/>
      <c r="G807" s="155"/>
      <c r="H807" s="14"/>
      <c r="I807" s="3"/>
      <c r="J807" s="3"/>
      <c r="K807" s="3"/>
      <c r="L807" s="3"/>
      <c r="M807" s="5"/>
      <c r="N807" s="5"/>
      <c r="O807" s="5"/>
      <c r="P807" s="3"/>
      <c r="Q807" s="5"/>
      <c r="R807" s="3"/>
      <c r="S807" s="5"/>
      <c r="T807" s="3"/>
      <c r="U807" s="14"/>
      <c r="V807" s="572" t="s">
        <v>2366</v>
      </c>
      <c r="W807" s="572" t="s">
        <v>370</v>
      </c>
      <c r="X807" s="571" t="s">
        <v>369</v>
      </c>
      <c r="Y807" s="1447">
        <v>200130128</v>
      </c>
      <c r="Z807" s="1443"/>
      <c r="AA807" s="1443"/>
      <c r="AB807" s="14"/>
      <c r="AC807" s="3"/>
      <c r="AD807" s="3"/>
      <c r="AE807" s="5"/>
      <c r="AF807" s="3"/>
      <c r="AG807" s="3"/>
      <c r="AH807" s="5"/>
      <c r="AI807" s="51"/>
      <c r="AJ807" s="39"/>
      <c r="AK807" s="39"/>
      <c r="AL807" s="39"/>
      <c r="AM807" s="51"/>
      <c r="AN807" s="3" t="s">
        <v>371</v>
      </c>
      <c r="AO807" s="3" t="s">
        <v>371</v>
      </c>
      <c r="AP807" s="3" t="s">
        <v>371</v>
      </c>
      <c r="AQ807" s="3" t="s">
        <v>371</v>
      </c>
      <c r="AR807" s="3" t="s">
        <v>371</v>
      </c>
      <c r="AS807" s="3" t="s">
        <v>371</v>
      </c>
      <c r="AT807" s="3" t="s">
        <v>371</v>
      </c>
      <c r="AU807" s="3" t="s">
        <v>371</v>
      </c>
      <c r="AV807" s="3" t="s">
        <v>371</v>
      </c>
      <c r="AW807" s="3" t="s">
        <v>371</v>
      </c>
      <c r="AX807" s="1414" t="s">
        <v>371</v>
      </c>
      <c r="AY807" s="3"/>
      <c r="AZ807" s="139"/>
      <c r="BA807" s="139"/>
      <c r="BB807" s="139"/>
      <c r="BC807" s="139"/>
      <c r="BD807" s="139"/>
      <c r="BE807" s="3"/>
    </row>
    <row r="808" spans="1:57" ht="15" customHeight="1" x14ac:dyDescent="0.4">
      <c r="A808" s="3"/>
      <c r="B808" s="36"/>
      <c r="C808" s="155"/>
      <c r="D808" s="155"/>
      <c r="E808" s="155"/>
      <c r="F808" s="155"/>
      <c r="G808" s="155"/>
      <c r="H808" s="14"/>
      <c r="I808" s="3"/>
      <c r="J808" s="3"/>
      <c r="K808" s="3"/>
      <c r="L808" s="3"/>
      <c r="M808" s="5"/>
      <c r="N808" s="5"/>
      <c r="O808" s="5"/>
      <c r="P808" s="3"/>
      <c r="Q808" s="5"/>
      <c r="R808" s="3"/>
      <c r="S808" s="5"/>
      <c r="T808" s="3"/>
      <c r="U808" s="14"/>
      <c r="V808" s="3" t="s">
        <v>2364</v>
      </c>
      <c r="W808" s="3" t="s">
        <v>370</v>
      </c>
      <c r="X808" s="38" t="s">
        <v>369</v>
      </c>
      <c r="Y808" s="1443">
        <v>200130129</v>
      </c>
      <c r="Z808" s="1443"/>
      <c r="AA808" s="1443"/>
      <c r="AB808" s="14"/>
      <c r="AC808" s="3"/>
      <c r="AD808" s="3"/>
      <c r="AE808" s="5"/>
      <c r="AF808" s="3"/>
      <c r="AG808" s="3"/>
      <c r="AH808" s="5"/>
      <c r="AI808" s="51"/>
      <c r="AJ808" s="39"/>
      <c r="AK808" s="39"/>
      <c r="AL808" s="39"/>
      <c r="AM808" s="51"/>
      <c r="AN808" s="3" t="s">
        <v>371</v>
      </c>
      <c r="AO808" s="3" t="s">
        <v>371</v>
      </c>
      <c r="AP808" s="3" t="s">
        <v>371</v>
      </c>
      <c r="AQ808" s="3" t="s">
        <v>371</v>
      </c>
      <c r="AR808" s="3" t="s">
        <v>371</v>
      </c>
      <c r="AS808" s="3" t="s">
        <v>371</v>
      </c>
      <c r="AT808" s="3" t="s">
        <v>371</v>
      </c>
      <c r="AU808" s="3" t="s">
        <v>371</v>
      </c>
      <c r="AV808" s="3" t="s">
        <v>371</v>
      </c>
      <c r="AW808" s="3" t="s">
        <v>371</v>
      </c>
      <c r="AX808" s="1414" t="s">
        <v>371</v>
      </c>
      <c r="AY808" s="3"/>
      <c r="AZ808" s="139"/>
      <c r="BA808" s="139"/>
      <c r="BB808" s="139"/>
      <c r="BC808" s="139"/>
      <c r="BD808" s="139"/>
      <c r="BE808" s="3"/>
    </row>
    <row r="809" spans="1:57" ht="15" customHeight="1" x14ac:dyDescent="0.4">
      <c r="A809" s="3"/>
      <c r="B809" s="36"/>
      <c r="C809" s="155"/>
      <c r="D809" s="155"/>
      <c r="E809" s="155"/>
      <c r="F809" s="155"/>
      <c r="G809" s="155"/>
      <c r="H809" s="14"/>
      <c r="I809" s="3"/>
      <c r="J809" s="3"/>
      <c r="K809" s="3"/>
      <c r="L809" s="3"/>
      <c r="M809" s="5"/>
      <c r="N809" s="5"/>
      <c r="O809" s="5"/>
      <c r="P809" s="3"/>
      <c r="Q809" s="5"/>
      <c r="R809" s="3"/>
      <c r="S809" s="5"/>
      <c r="T809" s="3"/>
      <c r="U809" s="14"/>
      <c r="V809" s="3" t="s">
        <v>2365</v>
      </c>
      <c r="W809" s="3" t="s">
        <v>370</v>
      </c>
      <c r="X809" s="38" t="s">
        <v>369</v>
      </c>
      <c r="Y809" s="1443">
        <v>200130134</v>
      </c>
      <c r="Z809" s="1443"/>
      <c r="AA809" s="1443"/>
      <c r="AB809" s="14"/>
      <c r="AC809" s="3"/>
      <c r="AD809" s="3"/>
      <c r="AE809" s="5"/>
      <c r="AF809" s="3"/>
      <c r="AG809" s="3"/>
      <c r="AH809" s="5"/>
      <c r="AI809" s="51"/>
      <c r="AJ809" s="39"/>
      <c r="AK809" s="39"/>
      <c r="AL809" s="39"/>
      <c r="AM809" s="51"/>
      <c r="AN809" s="3" t="s">
        <v>371</v>
      </c>
      <c r="AO809" s="3" t="s">
        <v>371</v>
      </c>
      <c r="AP809" s="3" t="s">
        <v>371</v>
      </c>
      <c r="AQ809" s="3" t="s">
        <v>371</v>
      </c>
      <c r="AR809" s="3" t="s">
        <v>371</v>
      </c>
      <c r="AS809" s="3" t="s">
        <v>371</v>
      </c>
      <c r="AT809" s="3" t="s">
        <v>371</v>
      </c>
      <c r="AU809" s="3" t="s">
        <v>371</v>
      </c>
      <c r="AV809" s="3" t="s">
        <v>371</v>
      </c>
      <c r="AW809" s="3" t="s">
        <v>371</v>
      </c>
      <c r="AX809" s="1414" t="s">
        <v>371</v>
      </c>
      <c r="AY809" s="3"/>
      <c r="AZ809" s="139"/>
      <c r="BA809" s="139"/>
      <c r="BB809" s="139"/>
      <c r="BC809" s="139"/>
      <c r="BD809" s="139"/>
      <c r="BE809" s="3"/>
    </row>
    <row r="810" spans="1:57" ht="15" customHeight="1" x14ac:dyDescent="0.4">
      <c r="A810" s="3"/>
      <c r="B810" s="36"/>
      <c r="C810" s="155"/>
      <c r="D810" s="155"/>
      <c r="E810" s="155"/>
      <c r="F810" s="155"/>
      <c r="G810" s="155"/>
      <c r="H810" s="14"/>
      <c r="I810" s="3"/>
      <c r="J810" s="3"/>
      <c r="K810" s="3"/>
      <c r="L810" s="3"/>
      <c r="M810" s="5"/>
      <c r="N810" s="5"/>
      <c r="O810" s="5"/>
      <c r="P810" s="5"/>
      <c r="Q810" s="5"/>
      <c r="R810" s="3"/>
      <c r="S810" s="5"/>
      <c r="T810" s="3"/>
      <c r="U810" s="14"/>
      <c r="V810" s="112" t="s">
        <v>2367</v>
      </c>
      <c r="W810" s="112" t="s">
        <v>370</v>
      </c>
      <c r="X810" s="279" t="s">
        <v>369</v>
      </c>
      <c r="Y810" s="1871">
        <v>200130152</v>
      </c>
      <c r="Z810" s="1443"/>
      <c r="AA810" s="1443"/>
      <c r="AB810" s="14"/>
      <c r="AC810" s="3"/>
      <c r="AD810" s="3"/>
      <c r="AE810" s="5"/>
      <c r="AF810" s="3"/>
      <c r="AG810" s="3"/>
      <c r="AH810" s="5"/>
      <c r="AI810" s="51"/>
      <c r="AJ810" s="39"/>
      <c r="AK810" s="39"/>
      <c r="AL810" s="39"/>
      <c r="AM810" s="51"/>
      <c r="AN810" s="3" t="s">
        <v>371</v>
      </c>
      <c r="AO810" s="3" t="s">
        <v>371</v>
      </c>
      <c r="AP810" s="3" t="s">
        <v>371</v>
      </c>
      <c r="AQ810" s="3" t="s">
        <v>371</v>
      </c>
      <c r="AR810" s="3" t="s">
        <v>371</v>
      </c>
      <c r="AS810" s="3" t="s">
        <v>371</v>
      </c>
      <c r="AT810" s="3" t="s">
        <v>371</v>
      </c>
      <c r="AU810" s="3" t="s">
        <v>371</v>
      </c>
      <c r="AV810" s="3" t="s">
        <v>371</v>
      </c>
      <c r="AW810" s="3" t="s">
        <v>371</v>
      </c>
      <c r="AX810" s="1414" t="s">
        <v>371</v>
      </c>
      <c r="AY810" s="3"/>
      <c r="AZ810" s="139"/>
      <c r="BA810" s="139"/>
      <c r="BB810" s="139"/>
      <c r="BC810" s="139"/>
      <c r="BD810" s="139"/>
      <c r="BE810" s="3"/>
    </row>
    <row r="811" spans="1:57" ht="15" customHeight="1" thickBot="1" x14ac:dyDescent="0.45">
      <c r="A811" s="3"/>
      <c r="B811" s="943"/>
      <c r="C811" s="925"/>
      <c r="D811" s="925"/>
      <c r="E811" s="925"/>
      <c r="F811" s="925"/>
      <c r="G811" s="925"/>
      <c r="H811" s="948"/>
      <c r="I811" s="889"/>
      <c r="J811" s="889"/>
      <c r="K811" s="889"/>
      <c r="L811" s="889"/>
      <c r="M811" s="945"/>
      <c r="N811" s="945"/>
      <c r="O811" s="945"/>
      <c r="P811" s="945"/>
      <c r="Q811" s="945"/>
      <c r="R811" s="889"/>
      <c r="S811" s="945"/>
      <c r="T811" s="889"/>
      <c r="U811" s="948"/>
      <c r="V811" s="889" t="s">
        <v>2365</v>
      </c>
      <c r="W811" s="889" t="s">
        <v>370</v>
      </c>
      <c r="X811" s="888" t="s">
        <v>2365</v>
      </c>
      <c r="Y811" s="1892">
        <v>200130181</v>
      </c>
      <c r="Z811" s="1444"/>
      <c r="AA811" s="1444"/>
      <c r="AB811" s="948"/>
      <c r="AC811" s="889"/>
      <c r="AD811" s="889"/>
      <c r="AE811" s="945"/>
      <c r="AF811" s="889"/>
      <c r="AG811" s="889"/>
      <c r="AH811" s="945"/>
      <c r="AI811" s="937"/>
      <c r="AJ811" s="947"/>
      <c r="AK811" s="947"/>
      <c r="AL811" s="947"/>
      <c r="AM811" s="937"/>
      <c r="AN811" s="889" t="s">
        <v>371</v>
      </c>
      <c r="AO811" s="889" t="s">
        <v>371</v>
      </c>
      <c r="AP811" s="889" t="s">
        <v>371</v>
      </c>
      <c r="AQ811" s="889" t="s">
        <v>371</v>
      </c>
      <c r="AR811" s="889" t="s">
        <v>371</v>
      </c>
      <c r="AS811" s="889" t="s">
        <v>371</v>
      </c>
      <c r="AT811" s="889" t="s">
        <v>371</v>
      </c>
      <c r="AU811" s="889" t="s">
        <v>371</v>
      </c>
      <c r="AV811" s="889" t="s">
        <v>371</v>
      </c>
      <c r="AW811" s="889" t="s">
        <v>371</v>
      </c>
      <c r="AX811" s="1590" t="s">
        <v>371</v>
      </c>
      <c r="AY811" s="889"/>
      <c r="AZ811" s="139"/>
      <c r="BA811" s="139"/>
      <c r="BB811" s="139"/>
      <c r="BC811" s="139"/>
      <c r="BD811" s="139"/>
      <c r="BE811" s="3"/>
    </row>
    <row r="812" spans="1:57" ht="15" customHeight="1" x14ac:dyDescent="0.4">
      <c r="A812" s="3"/>
      <c r="B812" s="1023" t="s">
        <v>2212</v>
      </c>
      <c r="C812" s="447"/>
      <c r="D812" s="3"/>
      <c r="E812" s="155"/>
      <c r="F812" s="155"/>
      <c r="G812" s="7"/>
      <c r="H812" s="20"/>
      <c r="I812" s="3"/>
      <c r="J812" s="3"/>
      <c r="K812" s="3"/>
      <c r="L812" s="3"/>
      <c r="M812" s="5"/>
      <c r="N812" s="5"/>
      <c r="O812" s="5"/>
      <c r="P812" s="3"/>
      <c r="Q812" s="5"/>
      <c r="R812" s="3"/>
      <c r="S812" s="5"/>
      <c r="T812" s="3"/>
      <c r="U812" s="20"/>
      <c r="V812" s="38" t="s">
        <v>369</v>
      </c>
      <c r="W812" s="3" t="s">
        <v>370</v>
      </c>
      <c r="X812" s="38" t="s">
        <v>369</v>
      </c>
      <c r="Y812" s="1445">
        <v>200130003001</v>
      </c>
      <c r="Z812" s="1445"/>
      <c r="AA812" s="1445"/>
      <c r="AB812" s="20"/>
      <c r="AC812" s="3"/>
      <c r="AD812" s="3"/>
      <c r="AE812" s="5"/>
      <c r="AF812" s="3"/>
      <c r="AG812" s="3"/>
      <c r="AH812" s="3"/>
      <c r="AI812" s="353">
        <v>0.32379999999999998</v>
      </c>
      <c r="AJ812" s="39"/>
      <c r="AK812" s="39"/>
      <c r="AL812" s="39"/>
      <c r="AM812" s="51">
        <f>AE$802*AI812+SUM(AJ812:AL812)</f>
        <v>1.9562916666666665</v>
      </c>
      <c r="AN812" s="3" t="s">
        <v>81</v>
      </c>
      <c r="AO812" s="3" t="s">
        <v>81</v>
      </c>
      <c r="AP812" s="3" t="s">
        <v>81</v>
      </c>
      <c r="AQ812" s="3" t="s">
        <v>81</v>
      </c>
      <c r="AR812" s="3" t="s">
        <v>81</v>
      </c>
      <c r="AS812" s="3" t="s">
        <v>81</v>
      </c>
      <c r="AT812" s="3" t="s">
        <v>371</v>
      </c>
      <c r="AU812" s="3" t="s">
        <v>81</v>
      </c>
      <c r="AV812" s="3" t="s">
        <v>371</v>
      </c>
      <c r="AW812" s="3" t="s">
        <v>81</v>
      </c>
      <c r="AX812" s="1414" t="s">
        <v>92</v>
      </c>
      <c r="AY812" s="3"/>
      <c r="AZ812" s="140"/>
      <c r="BA812" s="140"/>
      <c r="BB812" s="139"/>
      <c r="BC812" s="139"/>
      <c r="BD812" s="139"/>
      <c r="BE812" s="3"/>
    </row>
    <row r="813" spans="1:57" ht="15" customHeight="1" x14ac:dyDescent="0.4">
      <c r="A813" s="3"/>
      <c r="B813" s="1023"/>
      <c r="C813" s="447"/>
      <c r="D813" s="3"/>
      <c r="E813" s="155"/>
      <c r="F813" s="155"/>
      <c r="G813" s="7"/>
      <c r="H813" s="20"/>
      <c r="I813" s="3"/>
      <c r="J813" s="3"/>
      <c r="K813" s="3"/>
      <c r="L813" s="3"/>
      <c r="M813" s="5"/>
      <c r="N813" s="5"/>
      <c r="O813" s="5"/>
      <c r="P813" s="3"/>
      <c r="Q813" s="5"/>
      <c r="R813" s="3"/>
      <c r="S813" s="5"/>
      <c r="T813" s="3"/>
      <c r="U813" s="20"/>
      <c r="V813" s="38" t="s">
        <v>369</v>
      </c>
      <c r="W813" s="3" t="s">
        <v>372</v>
      </c>
      <c r="X813" s="38" t="s">
        <v>369</v>
      </c>
      <c r="Y813" s="1445">
        <v>200130021001</v>
      </c>
      <c r="Z813" s="1445"/>
      <c r="AA813" s="1445"/>
      <c r="AB813" s="20"/>
      <c r="AC813" s="3"/>
      <c r="AD813" s="3"/>
      <c r="AE813" s="5"/>
      <c r="AF813" s="3"/>
      <c r="AG813" s="3"/>
      <c r="AH813" s="3"/>
      <c r="AI813" s="353">
        <v>0.33960000000000001</v>
      </c>
      <c r="AJ813" s="39"/>
      <c r="AK813" s="39"/>
      <c r="AL813" s="39"/>
      <c r="AM813" s="51">
        <f t="shared" ref="AM813:AM818" si="92">AE$802*AI813+SUM(AJ813:AL813)</f>
        <v>2.0517500000000002</v>
      </c>
      <c r="AN813" s="3" t="s">
        <v>371</v>
      </c>
      <c r="AO813" s="3" t="s">
        <v>371</v>
      </c>
      <c r="AP813" s="3" t="s">
        <v>371</v>
      </c>
      <c r="AQ813" s="3" t="s">
        <v>371</v>
      </c>
      <c r="AR813" s="3" t="s">
        <v>371</v>
      </c>
      <c r="AS813" s="3" t="s">
        <v>371</v>
      </c>
      <c r="AT813" s="3" t="s">
        <v>371</v>
      </c>
      <c r="AU813" s="3" t="s">
        <v>371</v>
      </c>
      <c r="AV813" s="3" t="s">
        <v>371</v>
      </c>
      <c r="AW813" s="3" t="s">
        <v>371</v>
      </c>
      <c r="AX813" s="1414" t="s">
        <v>92</v>
      </c>
      <c r="AY813" s="3"/>
      <c r="AZ813" s="140"/>
      <c r="BA813" s="140"/>
      <c r="BB813" s="139"/>
      <c r="BC813" s="139"/>
      <c r="BD813" s="139"/>
      <c r="BE813" s="3"/>
    </row>
    <row r="814" spans="1:57" ht="15" customHeight="1" x14ac:dyDescent="0.4">
      <c r="A814" s="3"/>
      <c r="B814" s="1023"/>
      <c r="C814" s="447"/>
      <c r="D814" s="3"/>
      <c r="E814" s="155"/>
      <c r="F814" s="155"/>
      <c r="G814" s="7"/>
      <c r="H814" s="20"/>
      <c r="I814" s="3"/>
      <c r="J814" s="3"/>
      <c r="K814" s="3"/>
      <c r="L814" s="3"/>
      <c r="M814" s="5"/>
      <c r="N814" s="5"/>
      <c r="O814" s="5"/>
      <c r="P814" s="3"/>
      <c r="Q814" s="5"/>
      <c r="R814" s="3"/>
      <c r="S814" s="5"/>
      <c r="T814" s="3"/>
      <c r="U814" s="20"/>
      <c r="V814" s="38" t="s">
        <v>369</v>
      </c>
      <c r="W814" s="3" t="s">
        <v>373</v>
      </c>
      <c r="X814" s="38" t="s">
        <v>369</v>
      </c>
      <c r="Y814" s="1445">
        <v>200130033001</v>
      </c>
      <c r="Z814" s="1445"/>
      <c r="AA814" s="1445"/>
      <c r="AB814" s="20"/>
      <c r="AC814" s="3"/>
      <c r="AD814" s="3"/>
      <c r="AE814" s="5"/>
      <c r="AF814" s="3"/>
      <c r="AG814" s="3"/>
      <c r="AH814" s="3"/>
      <c r="AI814" s="353">
        <v>0.35849999999999999</v>
      </c>
      <c r="AJ814" s="39"/>
      <c r="AK814" s="39"/>
      <c r="AL814" s="39"/>
      <c r="AM814" s="51">
        <f t="shared" si="92"/>
        <v>2.1659375000000001</v>
      </c>
      <c r="AN814" s="3" t="s">
        <v>371</v>
      </c>
      <c r="AO814" s="3" t="s">
        <v>371</v>
      </c>
      <c r="AP814" s="3" t="s">
        <v>371</v>
      </c>
      <c r="AQ814" s="3" t="s">
        <v>371</v>
      </c>
      <c r="AR814" s="3" t="s">
        <v>371</v>
      </c>
      <c r="AS814" s="3" t="s">
        <v>371</v>
      </c>
      <c r="AT814" s="3" t="s">
        <v>371</v>
      </c>
      <c r="AU814" s="3" t="s">
        <v>371</v>
      </c>
      <c r="AV814" s="3" t="s">
        <v>81</v>
      </c>
      <c r="AW814" s="3" t="s">
        <v>371</v>
      </c>
      <c r="AX814" s="1414" t="s">
        <v>92</v>
      </c>
      <c r="AY814" s="3"/>
      <c r="AZ814" s="140"/>
      <c r="BA814" s="140"/>
      <c r="BB814" s="139"/>
      <c r="BC814" s="139"/>
      <c r="BD814" s="139"/>
      <c r="BE814" s="3"/>
    </row>
    <row r="815" spans="1:57" ht="15" customHeight="1" x14ac:dyDescent="0.4">
      <c r="A815" s="3"/>
      <c r="B815" s="1023"/>
      <c r="C815" s="447"/>
      <c r="D815" s="3"/>
      <c r="E815" s="155"/>
      <c r="F815" s="155"/>
      <c r="G815" s="7"/>
      <c r="H815" s="20"/>
      <c r="I815" s="3"/>
      <c r="J815" s="3"/>
      <c r="K815" s="3"/>
      <c r="L815" s="3"/>
      <c r="M815" s="5"/>
      <c r="N815" s="5"/>
      <c r="O815" s="5"/>
      <c r="P815" s="3"/>
      <c r="Q815" s="5"/>
      <c r="R815" s="3"/>
      <c r="S815" s="5"/>
      <c r="T815" s="3"/>
      <c r="U815" s="20"/>
      <c r="V815" s="3" t="s">
        <v>2363</v>
      </c>
      <c r="W815" s="3" t="s">
        <v>370</v>
      </c>
      <c r="X815" s="38" t="s">
        <v>369</v>
      </c>
      <c r="Y815" s="1445">
        <v>200130127001</v>
      </c>
      <c r="Z815" s="1445"/>
      <c r="AA815" s="1445"/>
      <c r="AB815" s="20"/>
      <c r="AC815" s="3"/>
      <c r="AD815" s="3"/>
      <c r="AE815" s="5"/>
      <c r="AF815" s="3"/>
      <c r="AG815" s="3"/>
      <c r="AH815" s="3"/>
      <c r="AI815" s="353">
        <v>0.36299999999999999</v>
      </c>
      <c r="AJ815" s="39"/>
      <c r="AK815" s="39"/>
      <c r="AL815" s="39"/>
      <c r="AM815" s="51">
        <f t="shared" si="92"/>
        <v>2.1931250000000002</v>
      </c>
      <c r="AN815" s="3" t="s">
        <v>371</v>
      </c>
      <c r="AO815" s="3" t="s">
        <v>371</v>
      </c>
      <c r="AP815" s="3" t="s">
        <v>371</v>
      </c>
      <c r="AQ815" s="3" t="s">
        <v>371</v>
      </c>
      <c r="AR815" s="3" t="s">
        <v>371</v>
      </c>
      <c r="AS815" s="3" t="s">
        <v>371</v>
      </c>
      <c r="AT815" s="3" t="s">
        <v>81</v>
      </c>
      <c r="AU815" s="3" t="s">
        <v>371</v>
      </c>
      <c r="AV815" s="3" t="s">
        <v>371</v>
      </c>
      <c r="AW815" s="3" t="s">
        <v>371</v>
      </c>
      <c r="AX815" s="1414" t="s">
        <v>92</v>
      </c>
      <c r="AY815" s="3"/>
      <c r="AZ815" s="140"/>
      <c r="BA815" s="140"/>
      <c r="BB815" s="139"/>
      <c r="BC815" s="139"/>
      <c r="BD815" s="139"/>
      <c r="BE815" s="3"/>
    </row>
    <row r="816" spans="1:57" ht="15" customHeight="1" x14ac:dyDescent="0.4">
      <c r="A816" s="3"/>
      <c r="B816" s="1023"/>
      <c r="C816" s="447"/>
      <c r="D816" s="3"/>
      <c r="E816" s="155"/>
      <c r="F816" s="155"/>
      <c r="G816" s="7"/>
      <c r="H816" s="20"/>
      <c r="I816" s="3"/>
      <c r="J816" s="3"/>
      <c r="K816" s="3"/>
      <c r="L816" s="3"/>
      <c r="M816" s="5"/>
      <c r="N816" s="5"/>
      <c r="O816" s="5"/>
      <c r="P816" s="3"/>
      <c r="Q816" s="5"/>
      <c r="R816" s="3"/>
      <c r="S816" s="5"/>
      <c r="T816" s="3"/>
      <c r="U816" s="20"/>
      <c r="V816" s="3" t="s">
        <v>2364</v>
      </c>
      <c r="W816" s="3" t="s">
        <v>370</v>
      </c>
      <c r="X816" s="38" t="s">
        <v>369</v>
      </c>
      <c r="Y816" s="1445">
        <v>200130129001</v>
      </c>
      <c r="Z816" s="1445"/>
      <c r="AA816" s="1445"/>
      <c r="AB816" s="20"/>
      <c r="AC816" s="3"/>
      <c r="AD816" s="3"/>
      <c r="AE816" s="5"/>
      <c r="AF816" s="3"/>
      <c r="AG816" s="3"/>
      <c r="AH816" s="3"/>
      <c r="AI816" s="353">
        <v>0.35909999999999997</v>
      </c>
      <c r="AJ816" s="39"/>
      <c r="AK816" s="39"/>
      <c r="AL816" s="39"/>
      <c r="AM816" s="51">
        <f>AE$802*AI816+SUM(AJ816:AL816)</f>
        <v>2.1695625000000001</v>
      </c>
      <c r="AN816" s="3" t="s">
        <v>371</v>
      </c>
      <c r="AO816" s="3" t="s">
        <v>371</v>
      </c>
      <c r="AP816" s="3" t="s">
        <v>371</v>
      </c>
      <c r="AQ816" s="3" t="s">
        <v>371</v>
      </c>
      <c r="AR816" s="3" t="s">
        <v>371</v>
      </c>
      <c r="AS816" s="3" t="s">
        <v>371</v>
      </c>
      <c r="AT816" s="3" t="s">
        <v>371</v>
      </c>
      <c r="AU816" s="3" t="s">
        <v>371</v>
      </c>
      <c r="AV816" s="3" t="s">
        <v>371</v>
      </c>
      <c r="AW816" s="3" t="s">
        <v>371</v>
      </c>
      <c r="AX816" s="1414" t="s">
        <v>92</v>
      </c>
      <c r="AY816" s="3"/>
      <c r="AZ816" s="140"/>
      <c r="BA816" s="140"/>
      <c r="BB816" s="139"/>
      <c r="BC816" s="139"/>
      <c r="BD816" s="139"/>
      <c r="BE816" s="3"/>
    </row>
    <row r="817" spans="1:57" ht="15" customHeight="1" x14ac:dyDescent="0.4">
      <c r="A817" s="3"/>
      <c r="B817" s="1023"/>
      <c r="C817" s="447"/>
      <c r="D817" s="3"/>
      <c r="E817" s="155"/>
      <c r="F817" s="155"/>
      <c r="G817" s="7"/>
      <c r="H817" s="20"/>
      <c r="I817" s="3"/>
      <c r="J817" s="3"/>
      <c r="K817" s="3"/>
      <c r="L817" s="3"/>
      <c r="M817" s="5"/>
      <c r="N817" s="5"/>
      <c r="O817" s="5"/>
      <c r="P817" s="3"/>
      <c r="Q817" s="5"/>
      <c r="R817" s="3"/>
      <c r="S817" s="5"/>
      <c r="T817" s="3"/>
      <c r="U817" s="20"/>
      <c r="V817" s="3" t="s">
        <v>2365</v>
      </c>
      <c r="W817" s="3" t="s">
        <v>370</v>
      </c>
      <c r="X817" s="38" t="s">
        <v>369</v>
      </c>
      <c r="Y817" s="1445">
        <v>200130134001</v>
      </c>
      <c r="Z817" s="1445"/>
      <c r="AA817" s="1445"/>
      <c r="AB817" s="20"/>
      <c r="AC817" s="3"/>
      <c r="AD817" s="3"/>
      <c r="AE817" s="5"/>
      <c r="AF817" s="3"/>
      <c r="AG817" s="3"/>
      <c r="AH817" s="3"/>
      <c r="AI817" s="353">
        <v>0.37459999999999999</v>
      </c>
      <c r="AJ817" s="39"/>
      <c r="AK817" s="39"/>
      <c r="AL817" s="39"/>
      <c r="AM817" s="51">
        <f t="shared" si="92"/>
        <v>2.2632083333333335</v>
      </c>
      <c r="AN817" s="3" t="s">
        <v>371</v>
      </c>
      <c r="AO817" s="3" t="s">
        <v>371</v>
      </c>
      <c r="AP817" s="3" t="s">
        <v>371</v>
      </c>
      <c r="AQ817" s="3" t="s">
        <v>371</v>
      </c>
      <c r="AR817" s="3" t="s">
        <v>371</v>
      </c>
      <c r="AS817" s="3" t="s">
        <v>371</v>
      </c>
      <c r="AT817" s="3" t="s">
        <v>371</v>
      </c>
      <c r="AU817" s="3" t="s">
        <v>371</v>
      </c>
      <c r="AV817" s="3" t="s">
        <v>371</v>
      </c>
      <c r="AW817" s="3" t="s">
        <v>371</v>
      </c>
      <c r="AX817" s="1414" t="s">
        <v>92</v>
      </c>
      <c r="AY817" s="3"/>
      <c r="AZ817" s="140"/>
      <c r="BA817" s="140"/>
      <c r="BB817" s="139"/>
      <c r="BC817" s="139"/>
      <c r="BD817" s="139"/>
      <c r="BE817" s="3"/>
    </row>
    <row r="818" spans="1:57" ht="15" customHeight="1" x14ac:dyDescent="0.4">
      <c r="A818" s="3"/>
      <c r="B818" s="1023"/>
      <c r="C818" s="447"/>
      <c r="D818" s="3"/>
      <c r="E818" s="155"/>
      <c r="F818" s="155"/>
      <c r="G818" s="7"/>
      <c r="H818" s="20"/>
      <c r="I818" s="3"/>
      <c r="J818" s="3"/>
      <c r="K818" s="3"/>
      <c r="L818" s="3"/>
      <c r="M818" s="5"/>
      <c r="N818" s="5"/>
      <c r="O818" s="5"/>
      <c r="P818" s="3"/>
      <c r="Q818" s="5"/>
      <c r="R818" s="3"/>
      <c r="S818" s="5"/>
      <c r="T818" s="3"/>
      <c r="U818" s="20"/>
      <c r="V818" s="112" t="s">
        <v>2367</v>
      </c>
      <c r="W818" s="112" t="s">
        <v>370</v>
      </c>
      <c r="X818" s="279" t="s">
        <v>369</v>
      </c>
      <c r="Y818" s="1872">
        <v>200130152001</v>
      </c>
      <c r="Z818" s="1445"/>
      <c r="AA818" s="1445"/>
      <c r="AB818" s="20"/>
      <c r="AC818" s="3"/>
      <c r="AD818" s="3"/>
      <c r="AE818" s="5"/>
      <c r="AF818" s="3"/>
      <c r="AG818" s="3"/>
      <c r="AH818" s="3"/>
      <c r="AI818" s="353">
        <v>0.36230000000000001</v>
      </c>
      <c r="AJ818" s="39"/>
      <c r="AK818" s="39"/>
      <c r="AL818" s="39"/>
      <c r="AM818" s="51">
        <f t="shared" si="92"/>
        <v>2.1888958333333335</v>
      </c>
      <c r="AN818" s="3" t="s">
        <v>371</v>
      </c>
      <c r="AO818" s="3" t="s">
        <v>371</v>
      </c>
      <c r="AP818" s="3" t="s">
        <v>371</v>
      </c>
      <c r="AQ818" s="3" t="s">
        <v>371</v>
      </c>
      <c r="AR818" s="3" t="s">
        <v>371</v>
      </c>
      <c r="AS818" s="3" t="s">
        <v>371</v>
      </c>
      <c r="AT818" s="3" t="s">
        <v>371</v>
      </c>
      <c r="AU818" s="3" t="s">
        <v>371</v>
      </c>
      <c r="AV818" s="3" t="s">
        <v>371</v>
      </c>
      <c r="AW818" s="3" t="s">
        <v>371</v>
      </c>
      <c r="AX818" s="1414" t="s">
        <v>92</v>
      </c>
      <c r="AY818" s="3"/>
      <c r="AZ818" s="140"/>
      <c r="BA818" s="140"/>
      <c r="BB818" s="139"/>
      <c r="BC818" s="139"/>
      <c r="BD818" s="139"/>
      <c r="BE818" s="3"/>
    </row>
    <row r="819" spans="1:57" ht="15" customHeight="1" x14ac:dyDescent="0.4">
      <c r="A819" s="3"/>
      <c r="B819" s="1891"/>
      <c r="C819" s="789"/>
      <c r="D819" s="577"/>
      <c r="E819" s="623"/>
      <c r="F819" s="623"/>
      <c r="G819" s="221"/>
      <c r="H819" s="624"/>
      <c r="I819" s="577"/>
      <c r="J819" s="577"/>
      <c r="K819" s="577"/>
      <c r="L819" s="577"/>
      <c r="M819" s="575"/>
      <c r="N819" s="575"/>
      <c r="O819" s="575"/>
      <c r="P819" s="577"/>
      <c r="Q819" s="575"/>
      <c r="R819" s="577"/>
      <c r="S819" s="575"/>
      <c r="T819" s="577"/>
      <c r="U819" s="624"/>
      <c r="V819" s="577" t="s">
        <v>2365</v>
      </c>
      <c r="W819" s="577" t="s">
        <v>370</v>
      </c>
      <c r="X819" s="579" t="s">
        <v>2365</v>
      </c>
      <c r="Y819" s="1460">
        <v>200130181191</v>
      </c>
      <c r="Z819" s="1460"/>
      <c r="AA819" s="1460"/>
      <c r="AB819" s="624"/>
      <c r="AC819" s="577"/>
      <c r="AD819" s="577"/>
      <c r="AE819" s="575"/>
      <c r="AF819" s="577"/>
      <c r="AG819" s="577"/>
      <c r="AH819" s="577"/>
      <c r="AI819" s="1425"/>
      <c r="AJ819" s="581"/>
      <c r="AK819" s="581"/>
      <c r="AL819" s="581"/>
      <c r="AM819" s="626"/>
      <c r="AN819" s="577" t="s">
        <v>92</v>
      </c>
      <c r="AO819" s="577" t="s">
        <v>92</v>
      </c>
      <c r="AP819" s="577" t="s">
        <v>92</v>
      </c>
      <c r="AQ819" s="577" t="s">
        <v>92</v>
      </c>
      <c r="AR819" s="577" t="s">
        <v>92</v>
      </c>
      <c r="AS819" s="577" t="s">
        <v>92</v>
      </c>
      <c r="AT819" s="577" t="s">
        <v>92</v>
      </c>
      <c r="AU819" s="577" t="s">
        <v>92</v>
      </c>
      <c r="AV819" s="577" t="s">
        <v>92</v>
      </c>
      <c r="AW819" s="577" t="s">
        <v>92</v>
      </c>
      <c r="AX819" s="1881" t="s">
        <v>81</v>
      </c>
      <c r="AY819" s="577"/>
      <c r="AZ819" s="140"/>
      <c r="BA819" s="140"/>
      <c r="BB819" s="139"/>
      <c r="BC819" s="139"/>
      <c r="BD819" s="139"/>
      <c r="BE819" s="3"/>
    </row>
    <row r="820" spans="1:57" ht="15" customHeight="1" x14ac:dyDescent="0.4">
      <c r="A820" s="3"/>
      <c r="B820" s="1023" t="s">
        <v>842</v>
      </c>
      <c r="C820" s="447"/>
      <c r="D820" s="155"/>
      <c r="E820" s="155"/>
      <c r="F820" s="155"/>
      <c r="G820" s="155"/>
      <c r="H820" s="14"/>
      <c r="I820" s="3" t="s">
        <v>365</v>
      </c>
      <c r="J820" s="3" t="s">
        <v>346</v>
      </c>
      <c r="K820" s="3">
        <v>2</v>
      </c>
      <c r="L820" s="3" t="s">
        <v>348</v>
      </c>
      <c r="M820" s="5">
        <v>-1</v>
      </c>
      <c r="N820" s="5" t="s">
        <v>348</v>
      </c>
      <c r="O820" s="5">
        <v>0.25</v>
      </c>
      <c r="P820" s="3" t="s">
        <v>348</v>
      </c>
      <c r="Q820" s="453" t="s">
        <v>2211</v>
      </c>
      <c r="R820" s="3" t="s">
        <v>352</v>
      </c>
      <c r="S820" s="5">
        <f>SHHeight/K820+M820+O820+SHCORnd</f>
        <v>36.25</v>
      </c>
      <c r="T820" s="3" t="s">
        <v>366</v>
      </c>
      <c r="U820" s="14"/>
      <c r="V820" s="3" t="s">
        <v>369</v>
      </c>
      <c r="W820" s="3" t="s">
        <v>405</v>
      </c>
      <c r="X820" s="38" t="s">
        <v>369</v>
      </c>
      <c r="Y820" s="1443">
        <v>600042010</v>
      </c>
      <c r="Z820" s="1443"/>
      <c r="AA820" s="1443"/>
      <c r="AB820" s="14"/>
      <c r="AC820" s="3">
        <v>45</v>
      </c>
      <c r="AD820" s="3">
        <v>2</v>
      </c>
      <c r="AE820" s="5">
        <f>S820*AD820/12</f>
        <v>6.041666666666667</v>
      </c>
      <c r="AF820" s="3" t="s">
        <v>367</v>
      </c>
      <c r="AG820" s="3"/>
      <c r="AH820" s="5"/>
      <c r="AI820" s="51">
        <f>AI139</f>
        <v>2.0199999999999999E-2</v>
      </c>
      <c r="AJ820" s="39"/>
      <c r="AK820" s="39"/>
      <c r="AL820" s="39"/>
      <c r="AM820" s="51"/>
      <c r="AN820" s="3" t="s">
        <v>92</v>
      </c>
      <c r="AO820" s="3" t="s">
        <v>92</v>
      </c>
      <c r="AP820" s="3" t="s">
        <v>92</v>
      </c>
      <c r="AQ820" s="3" t="s">
        <v>92</v>
      </c>
      <c r="AR820" s="3" t="s">
        <v>92</v>
      </c>
      <c r="AS820" s="3" t="s">
        <v>92</v>
      </c>
      <c r="AT820" s="3" t="s">
        <v>92</v>
      </c>
      <c r="AU820" s="3" t="s">
        <v>92</v>
      </c>
      <c r="AV820" s="3" t="s">
        <v>92</v>
      </c>
      <c r="AW820" s="3" t="s">
        <v>92</v>
      </c>
      <c r="AX820" s="1414" t="s">
        <v>92</v>
      </c>
      <c r="AY820" s="3"/>
      <c r="AZ820" s="139"/>
      <c r="BA820" s="139"/>
      <c r="BB820" s="139"/>
      <c r="BC820" s="139"/>
      <c r="BD820" s="139"/>
      <c r="BE820" s="3"/>
    </row>
    <row r="821" spans="1:57" ht="15" customHeight="1" x14ac:dyDescent="0.4">
      <c r="A821" s="3"/>
      <c r="B821" s="1023" t="s">
        <v>843</v>
      </c>
      <c r="C821" s="447"/>
      <c r="D821" s="3"/>
      <c r="E821" s="155"/>
      <c r="F821" s="155"/>
      <c r="G821" s="7"/>
      <c r="H821" s="20"/>
      <c r="I821" s="3" t="s">
        <v>365</v>
      </c>
      <c r="J821" s="3" t="s">
        <v>346</v>
      </c>
      <c r="K821" s="3">
        <v>2</v>
      </c>
      <c r="L821" s="3" t="s">
        <v>348</v>
      </c>
      <c r="M821" s="5">
        <v>-1</v>
      </c>
      <c r="N821" s="5" t="s">
        <v>348</v>
      </c>
      <c r="O821" s="5">
        <v>0.25</v>
      </c>
      <c r="P821" s="3" t="s">
        <v>348</v>
      </c>
      <c r="Q821" s="453" t="s">
        <v>2211</v>
      </c>
      <c r="R821" s="3" t="s">
        <v>352</v>
      </c>
      <c r="S821" s="5">
        <f>SHHeight/K821+M821+O821+SHCORnd</f>
        <v>36.25</v>
      </c>
      <c r="T821" s="3" t="s">
        <v>366</v>
      </c>
      <c r="U821" s="20"/>
      <c r="V821" s="38" t="s">
        <v>369</v>
      </c>
      <c r="W821" s="3" t="s">
        <v>405</v>
      </c>
      <c r="X821" s="38" t="s">
        <v>369</v>
      </c>
      <c r="Y821" s="1443">
        <v>600065010</v>
      </c>
      <c r="Z821" s="1443"/>
      <c r="AA821" s="1443"/>
      <c r="AB821" s="20"/>
      <c r="AC821" s="3">
        <v>45</v>
      </c>
      <c r="AD821" s="3">
        <v>2</v>
      </c>
      <c r="AE821" s="5">
        <f>S821*AD821/12</f>
        <v>6.041666666666667</v>
      </c>
      <c r="AF821" s="3" t="s">
        <v>367</v>
      </c>
      <c r="AG821" s="3"/>
      <c r="AH821" s="3"/>
      <c r="AI821" s="353">
        <v>2.7300000000000001E-2</v>
      </c>
      <c r="AJ821" s="39"/>
      <c r="AK821" s="39"/>
      <c r="AL821" s="39"/>
      <c r="AM821" s="51"/>
      <c r="AN821" s="3" t="s">
        <v>92</v>
      </c>
      <c r="AO821" s="3" t="s">
        <v>92</v>
      </c>
      <c r="AP821" s="3" t="s">
        <v>92</v>
      </c>
      <c r="AQ821" s="3" t="s">
        <v>92</v>
      </c>
      <c r="AR821" s="3" t="s">
        <v>92</v>
      </c>
      <c r="AS821" s="3" t="s">
        <v>92</v>
      </c>
      <c r="AT821" s="3" t="s">
        <v>92</v>
      </c>
      <c r="AU821" s="3" t="s">
        <v>92</v>
      </c>
      <c r="AV821" s="3" t="s">
        <v>92</v>
      </c>
      <c r="AW821" s="3" t="s">
        <v>92</v>
      </c>
      <c r="AX821" s="1414" t="s">
        <v>92</v>
      </c>
      <c r="AY821" s="3"/>
      <c r="AZ821" s="140"/>
      <c r="BA821" s="140"/>
      <c r="BB821" s="139"/>
      <c r="BC821" s="139"/>
      <c r="BD821" s="139"/>
      <c r="BE821" s="3"/>
    </row>
    <row r="822" spans="1:57" ht="15" customHeight="1" x14ac:dyDescent="0.4">
      <c r="A822" s="3"/>
      <c r="B822" s="1023" t="s">
        <v>844</v>
      </c>
      <c r="C822" s="447"/>
      <c r="D822" s="3"/>
      <c r="E822" s="155"/>
      <c r="F822" s="155"/>
      <c r="G822" s="7"/>
      <c r="H822" s="20"/>
      <c r="I822" s="3" t="s">
        <v>365</v>
      </c>
      <c r="J822" s="3" t="s">
        <v>346</v>
      </c>
      <c r="K822" s="3">
        <v>2</v>
      </c>
      <c r="L822" s="3" t="s">
        <v>348</v>
      </c>
      <c r="M822" s="5">
        <v>-1</v>
      </c>
      <c r="N822" s="5" t="s">
        <v>348</v>
      </c>
      <c r="O822" s="5">
        <v>0.25</v>
      </c>
      <c r="P822" s="3" t="s">
        <v>348</v>
      </c>
      <c r="Q822" s="453" t="s">
        <v>2211</v>
      </c>
      <c r="R822" s="3" t="s">
        <v>352</v>
      </c>
      <c r="S822" s="5">
        <f>SHHeight/K822+M822+O822+SHCORnd</f>
        <v>36.25</v>
      </c>
      <c r="T822" s="3" t="s">
        <v>366</v>
      </c>
      <c r="U822" s="20"/>
      <c r="V822" s="38" t="s">
        <v>369</v>
      </c>
      <c r="W822" s="3" t="s">
        <v>405</v>
      </c>
      <c r="X822" s="38" t="s">
        <v>369</v>
      </c>
      <c r="Y822" s="1443">
        <v>600050010</v>
      </c>
      <c r="Z822" s="1443"/>
      <c r="AA822" s="1443"/>
      <c r="AB822" s="20"/>
      <c r="AC822" s="3">
        <v>45</v>
      </c>
      <c r="AD822" s="3"/>
      <c r="AE822" s="5"/>
      <c r="AF822" s="3"/>
      <c r="AG822" s="3"/>
      <c r="AH822" s="3"/>
      <c r="AI822" s="51">
        <f>AI140</f>
        <v>2.7799999999999998E-2</v>
      </c>
      <c r="AJ822" s="39"/>
      <c r="AK822" s="39"/>
      <c r="AL822" s="39"/>
      <c r="AM822" s="39"/>
      <c r="AN822" s="3" t="s">
        <v>92</v>
      </c>
      <c r="AO822" s="3" t="s">
        <v>92</v>
      </c>
      <c r="AP822" s="3" t="s">
        <v>92</v>
      </c>
      <c r="AQ822" s="3" t="s">
        <v>92</v>
      </c>
      <c r="AR822" s="3" t="s">
        <v>92</v>
      </c>
      <c r="AS822" s="3" t="s">
        <v>92</v>
      </c>
      <c r="AT822" s="3" t="s">
        <v>92</v>
      </c>
      <c r="AU822" s="3" t="s">
        <v>92</v>
      </c>
      <c r="AV822" s="3" t="s">
        <v>92</v>
      </c>
      <c r="AW822" s="3" t="s">
        <v>92</v>
      </c>
      <c r="AX822" s="1414" t="s">
        <v>92</v>
      </c>
      <c r="AY822" s="3"/>
      <c r="AZ822" s="140"/>
      <c r="BA822" s="140"/>
      <c r="BB822" s="139"/>
      <c r="BC822" s="139"/>
      <c r="BD822" s="139"/>
      <c r="BE822" s="3"/>
    </row>
    <row r="823" spans="1:57" ht="15" customHeight="1" thickBot="1" x14ac:dyDescent="0.45">
      <c r="A823" s="3"/>
      <c r="B823" s="1024" t="s">
        <v>845</v>
      </c>
      <c r="C823" s="944"/>
      <c r="D823" s="889"/>
      <c r="E823" s="925"/>
      <c r="F823" s="925"/>
      <c r="G823" s="924"/>
      <c r="H823" s="887"/>
      <c r="I823" s="889" t="s">
        <v>365</v>
      </c>
      <c r="J823" s="889" t="s">
        <v>346</v>
      </c>
      <c r="K823" s="889">
        <v>2</v>
      </c>
      <c r="L823" s="889" t="s">
        <v>348</v>
      </c>
      <c r="M823" s="945">
        <v>-1</v>
      </c>
      <c r="N823" s="945" t="s">
        <v>348</v>
      </c>
      <c r="O823" s="945">
        <v>0.25</v>
      </c>
      <c r="P823" s="889" t="s">
        <v>348</v>
      </c>
      <c r="Q823" s="1589" t="s">
        <v>2211</v>
      </c>
      <c r="R823" s="889" t="s">
        <v>352</v>
      </c>
      <c r="S823" s="945">
        <f>SHHeight/K823+M823+O823+SHCORnd</f>
        <v>36.25</v>
      </c>
      <c r="T823" s="889" t="s">
        <v>366</v>
      </c>
      <c r="U823" s="887"/>
      <c r="V823" s="888" t="s">
        <v>369</v>
      </c>
      <c r="W823" s="889" t="s">
        <v>405</v>
      </c>
      <c r="X823" s="888" t="s">
        <v>369</v>
      </c>
      <c r="Y823" s="1444">
        <v>600066010</v>
      </c>
      <c r="Z823" s="1444"/>
      <c r="AA823" s="1444"/>
      <c r="AB823" s="887"/>
      <c r="AC823" s="889">
        <v>45</v>
      </c>
      <c r="AD823" s="889"/>
      <c r="AE823" s="945"/>
      <c r="AF823" s="889"/>
      <c r="AG823" s="889"/>
      <c r="AH823" s="889"/>
      <c r="AI823" s="1424">
        <v>2.76E-2</v>
      </c>
      <c r="AJ823" s="947"/>
      <c r="AK823" s="947"/>
      <c r="AL823" s="947"/>
      <c r="AM823" s="947"/>
      <c r="AN823" s="889" t="s">
        <v>92</v>
      </c>
      <c r="AO823" s="889" t="s">
        <v>92</v>
      </c>
      <c r="AP823" s="889" t="s">
        <v>92</v>
      </c>
      <c r="AQ823" s="889" t="s">
        <v>92</v>
      </c>
      <c r="AR823" s="889" t="s">
        <v>92</v>
      </c>
      <c r="AS823" s="889" t="s">
        <v>92</v>
      </c>
      <c r="AT823" s="889" t="s">
        <v>92</v>
      </c>
      <c r="AU823" s="889" t="s">
        <v>92</v>
      </c>
      <c r="AV823" s="889" t="s">
        <v>92</v>
      </c>
      <c r="AW823" s="889" t="s">
        <v>92</v>
      </c>
      <c r="AX823" s="1590" t="s">
        <v>92</v>
      </c>
      <c r="AY823" s="889"/>
      <c r="AZ823" s="140"/>
      <c r="BA823" s="140"/>
      <c r="BB823" s="139"/>
      <c r="BC823" s="139"/>
      <c r="BD823" s="139"/>
      <c r="BE823" s="3"/>
    </row>
    <row r="824" spans="1:57" ht="15" customHeight="1" x14ac:dyDescent="0.4">
      <c r="A824" s="3" t="s">
        <v>846</v>
      </c>
      <c r="B824" s="36" t="s">
        <v>2218</v>
      </c>
      <c r="C824" s="7"/>
      <c r="D824" s="138" t="s">
        <v>2214</v>
      </c>
      <c r="E824" s="7"/>
      <c r="F824" s="7"/>
      <c r="G824" s="7"/>
      <c r="H824" s="14"/>
      <c r="I824" s="3" t="s">
        <v>392</v>
      </c>
      <c r="J824" s="3"/>
      <c r="K824" s="3"/>
      <c r="L824" s="3" t="s">
        <v>348</v>
      </c>
      <c r="M824" s="5">
        <f>M795</f>
        <v>-2.5625</v>
      </c>
      <c r="N824" s="5" t="s">
        <v>348</v>
      </c>
      <c r="O824" s="5">
        <v>0.25</v>
      </c>
      <c r="P824" s="5"/>
      <c r="Q824" s="5"/>
      <c r="R824" s="376" t="s">
        <v>352</v>
      </c>
      <c r="S824" s="5">
        <f>SHWidth+M824+O824</f>
        <v>36.25</v>
      </c>
      <c r="T824" s="376" t="s">
        <v>366</v>
      </c>
      <c r="U824" s="14"/>
      <c r="V824" s="38"/>
      <c r="W824" s="3"/>
      <c r="X824" s="38"/>
      <c r="Y824" s="3"/>
      <c r="Z824" s="3"/>
      <c r="AA824" s="3"/>
      <c r="AB824" s="14"/>
      <c r="AC824" s="3">
        <v>45</v>
      </c>
      <c r="AD824" s="3">
        <v>1</v>
      </c>
      <c r="AE824" s="5">
        <f>S824*AD824/12</f>
        <v>3.0208333333333335</v>
      </c>
      <c r="AF824" s="3" t="s">
        <v>367</v>
      </c>
      <c r="AG824" s="38">
        <v>0.49199999999999999</v>
      </c>
      <c r="AH824" s="5">
        <f>AG824*AtolbperftSH</f>
        <v>0.31118999999999997</v>
      </c>
      <c r="AI824" s="51"/>
      <c r="AJ824" s="51"/>
      <c r="AK824" s="51"/>
      <c r="AL824" s="51"/>
      <c r="AM824" s="39"/>
      <c r="AN824" s="3"/>
      <c r="AO824" s="3"/>
      <c r="AP824" s="3"/>
      <c r="AQ824" s="3"/>
      <c r="AR824" s="3"/>
      <c r="AS824" s="3"/>
      <c r="AT824" s="3"/>
      <c r="AU824" s="3"/>
      <c r="AV824" s="3"/>
      <c r="AW824" s="3"/>
      <c r="AX824" s="1414"/>
      <c r="AY824" s="3"/>
      <c r="AZ824" s="139"/>
      <c r="BA824" s="139"/>
      <c r="BB824" s="139"/>
      <c r="BC824" s="139"/>
      <c r="BD824" s="139"/>
      <c r="BE824" s="3"/>
    </row>
    <row r="825" spans="1:57" ht="15" customHeight="1" x14ac:dyDescent="0.4">
      <c r="A825" s="3"/>
      <c r="B825" s="1023" t="s">
        <v>2213</v>
      </c>
      <c r="C825" s="7"/>
      <c r="D825" s="7"/>
      <c r="E825" s="7"/>
      <c r="F825" s="7"/>
      <c r="G825" s="7"/>
      <c r="H825" s="14"/>
      <c r="I825" s="3"/>
      <c r="J825" s="3"/>
      <c r="K825" s="3"/>
      <c r="L825" s="3"/>
      <c r="M825" s="5"/>
      <c r="N825" s="5"/>
      <c r="O825" s="5"/>
      <c r="P825" s="5"/>
      <c r="Q825" s="5"/>
      <c r="R825" s="376"/>
      <c r="S825" s="5"/>
      <c r="T825" s="376"/>
      <c r="U825" s="14"/>
      <c r="V825" s="38" t="s">
        <v>369</v>
      </c>
      <c r="W825" s="3" t="s">
        <v>370</v>
      </c>
      <c r="X825" s="38" t="s">
        <v>369</v>
      </c>
      <c r="Y825" s="1443">
        <v>200131003</v>
      </c>
      <c r="Z825" s="1443"/>
      <c r="AA825" s="1443"/>
      <c r="AB825" s="14"/>
      <c r="AC825" s="3"/>
      <c r="AD825" s="3"/>
      <c r="AE825" s="5"/>
      <c r="AF825" s="3"/>
      <c r="AG825" s="38"/>
      <c r="AH825" s="5"/>
      <c r="AI825" s="51"/>
      <c r="AJ825" s="39"/>
      <c r="AK825" s="39"/>
      <c r="AL825" s="39"/>
      <c r="AM825" s="51"/>
      <c r="AN825" s="3" t="s">
        <v>371</v>
      </c>
      <c r="AO825" s="3" t="s">
        <v>371</v>
      </c>
      <c r="AP825" s="3" t="s">
        <v>371</v>
      </c>
      <c r="AQ825" s="3" t="s">
        <v>371</v>
      </c>
      <c r="AR825" s="3" t="s">
        <v>371</v>
      </c>
      <c r="AS825" s="3" t="s">
        <v>371</v>
      </c>
      <c r="AT825" s="3" t="s">
        <v>371</v>
      </c>
      <c r="AU825" s="3" t="s">
        <v>371</v>
      </c>
      <c r="AV825" s="3" t="s">
        <v>371</v>
      </c>
      <c r="AW825" s="3" t="s">
        <v>371</v>
      </c>
      <c r="AX825" s="1414" t="s">
        <v>371</v>
      </c>
      <c r="AY825" s="3"/>
      <c r="AZ825" s="139"/>
      <c r="BA825" s="139"/>
      <c r="BB825" s="139"/>
      <c r="BC825" s="139"/>
      <c r="BD825" s="139"/>
      <c r="BE825" s="3"/>
    </row>
    <row r="826" spans="1:57" ht="15" customHeight="1" x14ac:dyDescent="0.4">
      <c r="A826" s="3"/>
      <c r="B826" s="36"/>
      <c r="C826" s="7"/>
      <c r="D826" s="7"/>
      <c r="E826" s="7"/>
      <c r="F826" s="7"/>
      <c r="G826" s="7"/>
      <c r="H826" s="14"/>
      <c r="I826" s="3"/>
      <c r="J826" s="3"/>
      <c r="K826" s="3"/>
      <c r="L826" s="3"/>
      <c r="M826" s="5"/>
      <c r="N826" s="5"/>
      <c r="O826" s="5"/>
      <c r="P826" s="5"/>
      <c r="Q826" s="5"/>
      <c r="R826" s="376"/>
      <c r="S826" s="5"/>
      <c r="T826" s="376"/>
      <c r="U826" s="14"/>
      <c r="V826" s="38" t="s">
        <v>369</v>
      </c>
      <c r="W826" s="3" t="s">
        <v>372</v>
      </c>
      <c r="X826" s="38" t="s">
        <v>369</v>
      </c>
      <c r="Y826" s="1443">
        <v>200131021</v>
      </c>
      <c r="Z826" s="1443"/>
      <c r="AA826" s="1443"/>
      <c r="AB826" s="14"/>
      <c r="AC826" s="3"/>
      <c r="AD826" s="3"/>
      <c r="AE826" s="5"/>
      <c r="AF826" s="3"/>
      <c r="AG826" s="3"/>
      <c r="AH826" s="5"/>
      <c r="AI826" s="51"/>
      <c r="AJ826" s="39"/>
      <c r="AK826" s="39"/>
      <c r="AL826" s="39"/>
      <c r="AM826" s="51"/>
      <c r="AN826" s="3" t="s">
        <v>371</v>
      </c>
      <c r="AO826" s="3" t="s">
        <v>371</v>
      </c>
      <c r="AP826" s="3" t="s">
        <v>371</v>
      </c>
      <c r="AQ826" s="3" t="s">
        <v>371</v>
      </c>
      <c r="AR826" s="3" t="s">
        <v>371</v>
      </c>
      <c r="AS826" s="3" t="s">
        <v>371</v>
      </c>
      <c r="AT826" s="3" t="s">
        <v>371</v>
      </c>
      <c r="AU826" s="3" t="s">
        <v>371</v>
      </c>
      <c r="AV826" s="3" t="s">
        <v>371</v>
      </c>
      <c r="AW826" s="3" t="s">
        <v>371</v>
      </c>
      <c r="AX826" s="1414" t="s">
        <v>371</v>
      </c>
      <c r="AY826" s="3"/>
      <c r="AZ826" s="139"/>
      <c r="BA826" s="139"/>
      <c r="BB826" s="139"/>
      <c r="BC826" s="139"/>
      <c r="BD826" s="139"/>
      <c r="BE826" s="3"/>
    </row>
    <row r="827" spans="1:57" ht="15" customHeight="1" x14ac:dyDescent="0.4">
      <c r="A827" s="3"/>
      <c r="B827" s="36"/>
      <c r="C827" s="3"/>
      <c r="D827" s="3"/>
      <c r="E827" s="3"/>
      <c r="F827" s="3"/>
      <c r="G827" s="7"/>
      <c r="H827" s="14"/>
      <c r="I827" s="3"/>
      <c r="J827" s="3"/>
      <c r="K827" s="3"/>
      <c r="L827" s="3"/>
      <c r="M827" s="5"/>
      <c r="N827" s="5"/>
      <c r="O827" s="5"/>
      <c r="P827" s="5"/>
      <c r="Q827" s="5"/>
      <c r="R827" s="376"/>
      <c r="S827" s="5"/>
      <c r="T827" s="376"/>
      <c r="U827" s="14"/>
      <c r="V827" s="38" t="s">
        <v>369</v>
      </c>
      <c r="W827" s="3" t="s">
        <v>373</v>
      </c>
      <c r="X827" s="38" t="s">
        <v>369</v>
      </c>
      <c r="Y827" s="1443">
        <v>200131033</v>
      </c>
      <c r="Z827" s="1443"/>
      <c r="AA827" s="1443"/>
      <c r="AB827" s="14"/>
      <c r="AC827" s="3"/>
      <c r="AD827" s="3"/>
      <c r="AE827" s="5"/>
      <c r="AF827" s="3"/>
      <c r="AG827" s="3"/>
      <c r="AH827" s="5"/>
      <c r="AI827" s="51"/>
      <c r="AJ827" s="39"/>
      <c r="AK827" s="39"/>
      <c r="AL827" s="39"/>
      <c r="AM827" s="51"/>
      <c r="AN827" s="3" t="s">
        <v>371</v>
      </c>
      <c r="AO827" s="3" t="s">
        <v>371</v>
      </c>
      <c r="AP827" s="3" t="s">
        <v>371</v>
      </c>
      <c r="AQ827" s="3" t="s">
        <v>371</v>
      </c>
      <c r="AR827" s="3" t="s">
        <v>371</v>
      </c>
      <c r="AS827" s="3" t="s">
        <v>371</v>
      </c>
      <c r="AT827" s="3" t="s">
        <v>371</v>
      </c>
      <c r="AU827" s="3" t="s">
        <v>371</v>
      </c>
      <c r="AV827" s="3" t="s">
        <v>371</v>
      </c>
      <c r="AW827" s="3" t="s">
        <v>371</v>
      </c>
      <c r="AX827" s="1414" t="s">
        <v>371</v>
      </c>
      <c r="AY827" s="3"/>
      <c r="AZ827" s="139"/>
      <c r="BA827" s="139"/>
      <c r="BB827" s="139"/>
      <c r="BC827" s="139"/>
      <c r="BD827" s="139"/>
      <c r="BE827" s="3"/>
    </row>
    <row r="828" spans="1:57" ht="15" customHeight="1" x14ac:dyDescent="0.4">
      <c r="A828" s="3"/>
      <c r="B828" s="36"/>
      <c r="C828" s="3"/>
      <c r="D828" s="3"/>
      <c r="E828" s="3"/>
      <c r="F828" s="3"/>
      <c r="G828" s="7"/>
      <c r="H828" s="14"/>
      <c r="I828" s="3"/>
      <c r="J828" s="3"/>
      <c r="K828" s="3"/>
      <c r="L828" s="3"/>
      <c r="M828" s="5"/>
      <c r="N828" s="5"/>
      <c r="O828" s="5"/>
      <c r="P828" s="5"/>
      <c r="Q828" s="5"/>
      <c r="R828" s="376"/>
      <c r="S828" s="5"/>
      <c r="T828" s="376"/>
      <c r="U828" s="14"/>
      <c r="V828" s="3" t="s">
        <v>2363</v>
      </c>
      <c r="W828" s="3" t="s">
        <v>370</v>
      </c>
      <c r="X828" s="38" t="s">
        <v>369</v>
      </c>
      <c r="Y828" s="1443">
        <v>200131127</v>
      </c>
      <c r="Z828" s="1443"/>
      <c r="AA828" s="1443"/>
      <c r="AB828" s="14"/>
      <c r="AC828" s="3"/>
      <c r="AD828" s="3"/>
      <c r="AE828" s="5"/>
      <c r="AF828" s="3"/>
      <c r="AG828" s="3"/>
      <c r="AH828" s="5"/>
      <c r="AI828" s="51"/>
      <c r="AJ828" s="39"/>
      <c r="AK828" s="39"/>
      <c r="AL828" s="39"/>
      <c r="AM828" s="51"/>
      <c r="AN828" s="3" t="s">
        <v>371</v>
      </c>
      <c r="AO828" s="3" t="s">
        <v>371</v>
      </c>
      <c r="AP828" s="3" t="s">
        <v>371</v>
      </c>
      <c r="AQ828" s="3" t="s">
        <v>371</v>
      </c>
      <c r="AR828" s="3" t="s">
        <v>371</v>
      </c>
      <c r="AS828" s="3" t="s">
        <v>371</v>
      </c>
      <c r="AT828" s="3" t="s">
        <v>371</v>
      </c>
      <c r="AU828" s="3" t="s">
        <v>371</v>
      </c>
      <c r="AV828" s="3" t="s">
        <v>371</v>
      </c>
      <c r="AW828" s="3" t="s">
        <v>371</v>
      </c>
      <c r="AX828" s="1414" t="s">
        <v>371</v>
      </c>
      <c r="AY828" s="3"/>
      <c r="AZ828" s="139"/>
      <c r="BA828" s="139"/>
      <c r="BB828" s="139"/>
      <c r="BC828" s="139"/>
      <c r="BD828" s="139"/>
      <c r="BE828" s="3"/>
    </row>
    <row r="829" spans="1:57" ht="15" customHeight="1" x14ac:dyDescent="0.4">
      <c r="A829" s="3"/>
      <c r="B829" s="36"/>
      <c r="C829" s="3"/>
      <c r="D829" s="3"/>
      <c r="E829" s="3"/>
      <c r="F829" s="3"/>
      <c r="G829" s="7"/>
      <c r="H829" s="14"/>
      <c r="I829" s="3"/>
      <c r="J829" s="3"/>
      <c r="K829" s="3"/>
      <c r="L829" s="3"/>
      <c r="M829" s="5"/>
      <c r="N829" s="5"/>
      <c r="O829" s="5"/>
      <c r="P829" s="5"/>
      <c r="Q829" s="5"/>
      <c r="R829" s="376"/>
      <c r="S829" s="5"/>
      <c r="T829" s="376"/>
      <c r="U829" s="14"/>
      <c r="V829" s="572" t="s">
        <v>2366</v>
      </c>
      <c r="W829" s="572" t="s">
        <v>370</v>
      </c>
      <c r="X829" s="571" t="s">
        <v>369</v>
      </c>
      <c r="Y829" s="1447">
        <v>200131128</v>
      </c>
      <c r="Z829" s="1443"/>
      <c r="AA829" s="1443"/>
      <c r="AB829" s="14"/>
      <c r="AC829" s="3"/>
      <c r="AD829" s="3"/>
      <c r="AE829" s="5"/>
      <c r="AF829" s="3"/>
      <c r="AG829" s="3"/>
      <c r="AH829" s="5"/>
      <c r="AI829" s="51"/>
      <c r="AJ829" s="39"/>
      <c r="AK829" s="39"/>
      <c r="AL829" s="39"/>
      <c r="AM829" s="51"/>
      <c r="AN829" s="3" t="s">
        <v>371</v>
      </c>
      <c r="AO829" s="3" t="s">
        <v>371</v>
      </c>
      <c r="AP829" s="3" t="s">
        <v>371</v>
      </c>
      <c r="AQ829" s="3" t="s">
        <v>371</v>
      </c>
      <c r="AR829" s="3" t="s">
        <v>371</v>
      </c>
      <c r="AS829" s="3" t="s">
        <v>371</v>
      </c>
      <c r="AT829" s="3" t="s">
        <v>371</v>
      </c>
      <c r="AU829" s="3" t="s">
        <v>371</v>
      </c>
      <c r="AV829" s="3" t="s">
        <v>371</v>
      </c>
      <c r="AW829" s="3" t="s">
        <v>371</v>
      </c>
      <c r="AX829" s="1414" t="s">
        <v>371</v>
      </c>
      <c r="AY829" s="3"/>
      <c r="AZ829" s="139"/>
      <c r="BA829" s="139"/>
      <c r="BB829" s="139"/>
      <c r="BC829" s="139"/>
      <c r="BD829" s="139"/>
      <c r="BE829" s="3"/>
    </row>
    <row r="830" spans="1:57" ht="15" customHeight="1" x14ac:dyDescent="0.4">
      <c r="A830" s="3"/>
      <c r="B830" s="36"/>
      <c r="C830" s="3"/>
      <c r="D830" s="3"/>
      <c r="E830" s="3"/>
      <c r="F830" s="3"/>
      <c r="G830" s="7"/>
      <c r="H830" s="14"/>
      <c r="I830" s="3"/>
      <c r="J830" s="3"/>
      <c r="K830" s="3"/>
      <c r="L830" s="3"/>
      <c r="M830" s="5"/>
      <c r="N830" s="5"/>
      <c r="O830" s="5"/>
      <c r="P830" s="5"/>
      <c r="Q830" s="5"/>
      <c r="R830" s="376"/>
      <c r="S830" s="5"/>
      <c r="T830" s="376"/>
      <c r="U830" s="14"/>
      <c r="V830" s="3" t="s">
        <v>2364</v>
      </c>
      <c r="W830" s="3" t="s">
        <v>370</v>
      </c>
      <c r="X830" s="38" t="s">
        <v>369</v>
      </c>
      <c r="Y830" s="1443">
        <v>200131129</v>
      </c>
      <c r="Z830" s="1443"/>
      <c r="AA830" s="1443"/>
      <c r="AB830" s="14"/>
      <c r="AC830" s="3"/>
      <c r="AD830" s="3"/>
      <c r="AE830" s="5"/>
      <c r="AF830" s="3"/>
      <c r="AG830" s="3"/>
      <c r="AH830" s="5"/>
      <c r="AI830" s="51"/>
      <c r="AJ830" s="39"/>
      <c r="AK830" s="39"/>
      <c r="AL830" s="39"/>
      <c r="AM830" s="51"/>
      <c r="AN830" s="3" t="s">
        <v>371</v>
      </c>
      <c r="AO830" s="3" t="s">
        <v>371</v>
      </c>
      <c r="AP830" s="3" t="s">
        <v>371</v>
      </c>
      <c r="AQ830" s="3" t="s">
        <v>371</v>
      </c>
      <c r="AR830" s="3" t="s">
        <v>371</v>
      </c>
      <c r="AS830" s="3" t="s">
        <v>371</v>
      </c>
      <c r="AT830" s="3" t="s">
        <v>371</v>
      </c>
      <c r="AU830" s="3" t="s">
        <v>371</v>
      </c>
      <c r="AV830" s="3" t="s">
        <v>371</v>
      </c>
      <c r="AW830" s="3" t="s">
        <v>371</v>
      </c>
      <c r="AX830" s="1414" t="s">
        <v>371</v>
      </c>
      <c r="AY830" s="3"/>
      <c r="AZ830" s="139"/>
      <c r="BA830" s="139"/>
      <c r="BB830" s="139"/>
      <c r="BC830" s="139"/>
      <c r="BD830" s="139"/>
      <c r="BE830" s="3"/>
    </row>
    <row r="831" spans="1:57" ht="15" customHeight="1" x14ac:dyDescent="0.4">
      <c r="A831" s="3"/>
      <c r="B831" s="36"/>
      <c r="C831" s="3"/>
      <c r="D831" s="3"/>
      <c r="E831" s="3"/>
      <c r="F831" s="3"/>
      <c r="G831" s="7"/>
      <c r="H831" s="14"/>
      <c r="I831" s="3"/>
      <c r="J831" s="3"/>
      <c r="K831" s="3"/>
      <c r="L831" s="3"/>
      <c r="M831" s="5"/>
      <c r="N831" s="5"/>
      <c r="O831" s="5"/>
      <c r="P831" s="5"/>
      <c r="Q831" s="5"/>
      <c r="R831" s="376"/>
      <c r="S831" s="5"/>
      <c r="T831" s="376"/>
      <c r="U831" s="14"/>
      <c r="V831" s="3" t="s">
        <v>2365</v>
      </c>
      <c r="W831" s="3" t="s">
        <v>370</v>
      </c>
      <c r="X831" s="38" t="s">
        <v>369</v>
      </c>
      <c r="Y831" s="1443">
        <v>200131134</v>
      </c>
      <c r="Z831" s="1443"/>
      <c r="AA831" s="1443"/>
      <c r="AB831" s="14"/>
      <c r="AC831" s="3"/>
      <c r="AD831" s="3"/>
      <c r="AE831" s="5"/>
      <c r="AF831" s="3"/>
      <c r="AG831" s="3"/>
      <c r="AH831" s="5"/>
      <c r="AI831" s="51"/>
      <c r="AJ831" s="39"/>
      <c r="AK831" s="39"/>
      <c r="AL831" s="39"/>
      <c r="AM831" s="51"/>
      <c r="AN831" s="3" t="s">
        <v>371</v>
      </c>
      <c r="AO831" s="3" t="s">
        <v>371</v>
      </c>
      <c r="AP831" s="3" t="s">
        <v>371</v>
      </c>
      <c r="AQ831" s="3" t="s">
        <v>371</v>
      </c>
      <c r="AR831" s="3" t="s">
        <v>371</v>
      </c>
      <c r="AS831" s="3" t="s">
        <v>371</v>
      </c>
      <c r="AT831" s="3" t="s">
        <v>371</v>
      </c>
      <c r="AU831" s="3" t="s">
        <v>371</v>
      </c>
      <c r="AV831" s="3" t="s">
        <v>371</v>
      </c>
      <c r="AW831" s="3" t="s">
        <v>371</v>
      </c>
      <c r="AX831" s="1414" t="s">
        <v>371</v>
      </c>
      <c r="AY831" s="3"/>
      <c r="AZ831" s="139"/>
      <c r="BA831" s="139"/>
      <c r="BB831" s="139"/>
      <c r="BC831" s="139"/>
      <c r="BD831" s="139"/>
      <c r="BE831" s="3"/>
    </row>
    <row r="832" spans="1:57" ht="15" customHeight="1" x14ac:dyDescent="0.4">
      <c r="A832" s="3"/>
      <c r="B832" s="36"/>
      <c r="C832" s="3"/>
      <c r="D832" s="3"/>
      <c r="E832" s="3"/>
      <c r="F832" s="3"/>
      <c r="G832" s="7"/>
      <c r="H832" s="14"/>
      <c r="I832" s="3"/>
      <c r="J832" s="3"/>
      <c r="K832" s="3"/>
      <c r="L832" s="3"/>
      <c r="M832" s="5"/>
      <c r="N832" s="5"/>
      <c r="O832" s="5"/>
      <c r="P832" s="5"/>
      <c r="Q832" s="5"/>
      <c r="R832" s="376"/>
      <c r="S832" s="5"/>
      <c r="T832" s="376"/>
      <c r="U832" s="14"/>
      <c r="V832" s="112" t="s">
        <v>2367</v>
      </c>
      <c r="W832" s="112" t="s">
        <v>370</v>
      </c>
      <c r="X832" s="279" t="s">
        <v>369</v>
      </c>
      <c r="Y832" s="1871">
        <v>200131152</v>
      </c>
      <c r="Z832" s="1443"/>
      <c r="AA832" s="1443"/>
      <c r="AB832" s="14"/>
      <c r="AC832" s="3"/>
      <c r="AD832" s="3"/>
      <c r="AE832" s="5"/>
      <c r="AF832" s="3"/>
      <c r="AG832" s="3"/>
      <c r="AH832" s="5"/>
      <c r="AI832" s="51"/>
      <c r="AJ832" s="39"/>
      <c r="AK832" s="39"/>
      <c r="AL832" s="39"/>
      <c r="AM832" s="51"/>
      <c r="AN832" s="3" t="s">
        <v>371</v>
      </c>
      <c r="AO832" s="3" t="s">
        <v>371</v>
      </c>
      <c r="AP832" s="3" t="s">
        <v>371</v>
      </c>
      <c r="AQ832" s="3" t="s">
        <v>371</v>
      </c>
      <c r="AR832" s="3" t="s">
        <v>371</v>
      </c>
      <c r="AS832" s="3" t="s">
        <v>371</v>
      </c>
      <c r="AT832" s="3" t="s">
        <v>371</v>
      </c>
      <c r="AU832" s="3" t="s">
        <v>371</v>
      </c>
      <c r="AV832" s="3" t="s">
        <v>371</v>
      </c>
      <c r="AW832" s="3" t="s">
        <v>371</v>
      </c>
      <c r="AX832" s="1414" t="s">
        <v>371</v>
      </c>
      <c r="AY832" s="3"/>
      <c r="AZ832" s="139"/>
      <c r="BA832" s="139"/>
      <c r="BB832" s="139"/>
      <c r="BC832" s="139"/>
      <c r="BD832" s="139"/>
      <c r="BE832" s="3"/>
    </row>
    <row r="833" spans="1:57" ht="15" customHeight="1" thickBot="1" x14ac:dyDescent="0.45">
      <c r="A833" s="3"/>
      <c r="B833" s="943"/>
      <c r="C833" s="889"/>
      <c r="D833" s="889"/>
      <c r="E833" s="889"/>
      <c r="F833" s="889"/>
      <c r="G833" s="924"/>
      <c r="H833" s="948"/>
      <c r="I833" s="889"/>
      <c r="J833" s="889"/>
      <c r="K833" s="889"/>
      <c r="L833" s="889"/>
      <c r="M833" s="945"/>
      <c r="N833" s="945"/>
      <c r="O833" s="945"/>
      <c r="P833" s="945"/>
      <c r="Q833" s="945"/>
      <c r="R833" s="970"/>
      <c r="S833" s="945"/>
      <c r="T833" s="970"/>
      <c r="U833" s="948"/>
      <c r="V833" s="889" t="s">
        <v>2365</v>
      </c>
      <c r="W833" s="889" t="s">
        <v>370</v>
      </c>
      <c r="X833" s="888" t="s">
        <v>2365</v>
      </c>
      <c r="Y833" s="1892">
        <v>200131181</v>
      </c>
      <c r="Z833" s="1444"/>
      <c r="AA833" s="1444"/>
      <c r="AB833" s="948"/>
      <c r="AC833" s="889"/>
      <c r="AD833" s="889"/>
      <c r="AE833" s="945"/>
      <c r="AF833" s="889"/>
      <c r="AG833" s="889"/>
      <c r="AH833" s="945"/>
      <c r="AI833" s="937"/>
      <c r="AJ833" s="947"/>
      <c r="AK833" s="947"/>
      <c r="AL833" s="947"/>
      <c r="AM833" s="937"/>
      <c r="AN833" s="889" t="s">
        <v>371</v>
      </c>
      <c r="AO833" s="889" t="s">
        <v>371</v>
      </c>
      <c r="AP833" s="889" t="s">
        <v>371</v>
      </c>
      <c r="AQ833" s="889" t="s">
        <v>371</v>
      </c>
      <c r="AR833" s="889" t="s">
        <v>371</v>
      </c>
      <c r="AS833" s="889" t="s">
        <v>371</v>
      </c>
      <c r="AT833" s="889" t="s">
        <v>371</v>
      </c>
      <c r="AU833" s="889" t="s">
        <v>371</v>
      </c>
      <c r="AV833" s="889" t="s">
        <v>371</v>
      </c>
      <c r="AW833" s="889" t="s">
        <v>371</v>
      </c>
      <c r="AX833" s="1590" t="s">
        <v>371</v>
      </c>
      <c r="AY833" s="889"/>
      <c r="AZ833" s="139"/>
      <c r="BA833" s="139"/>
      <c r="BB833" s="139"/>
      <c r="BC833" s="139"/>
      <c r="BD833" s="139"/>
      <c r="BE833" s="3"/>
    </row>
    <row r="834" spans="1:57" ht="15" customHeight="1" x14ac:dyDescent="0.4">
      <c r="A834" s="3"/>
      <c r="B834" s="1023" t="s">
        <v>2215</v>
      </c>
      <c r="C834" s="447"/>
      <c r="D834" s="3"/>
      <c r="E834" s="155"/>
      <c r="F834" s="155"/>
      <c r="G834" s="7"/>
      <c r="H834" s="20"/>
      <c r="I834" s="3"/>
      <c r="J834" s="3"/>
      <c r="K834" s="3"/>
      <c r="L834" s="3"/>
      <c r="M834" s="5"/>
      <c r="N834" s="5"/>
      <c r="O834" s="5"/>
      <c r="P834" s="3"/>
      <c r="Q834" s="5"/>
      <c r="R834" s="3"/>
      <c r="S834" s="5"/>
      <c r="T834" s="3"/>
      <c r="U834" s="20"/>
      <c r="V834" s="38" t="s">
        <v>369</v>
      </c>
      <c r="W834" s="3" t="s">
        <v>370</v>
      </c>
      <c r="X834" s="38" t="s">
        <v>369</v>
      </c>
      <c r="Y834" s="1445">
        <v>200131003001</v>
      </c>
      <c r="Z834" s="1445"/>
      <c r="AA834" s="1445"/>
      <c r="AB834" s="20"/>
      <c r="AC834" s="3"/>
      <c r="AD834" s="3"/>
      <c r="AE834" s="5"/>
      <c r="AF834" s="3"/>
      <c r="AG834" s="3"/>
      <c r="AH834" s="3"/>
      <c r="AI834" s="353">
        <v>0.30780000000000002</v>
      </c>
      <c r="AJ834" s="39"/>
      <c r="AK834" s="39"/>
      <c r="AL834" s="39"/>
      <c r="AM834" s="51">
        <f>AE$824*AI834+SUM(AJ834:AL834)</f>
        <v>0.92981250000000015</v>
      </c>
      <c r="AN834" s="3" t="s">
        <v>81</v>
      </c>
      <c r="AO834" s="3" t="s">
        <v>81</v>
      </c>
      <c r="AP834" s="3" t="s">
        <v>81</v>
      </c>
      <c r="AQ834" s="3" t="s">
        <v>81</v>
      </c>
      <c r="AR834" s="3" t="s">
        <v>81</v>
      </c>
      <c r="AS834" s="3" t="s">
        <v>81</v>
      </c>
      <c r="AT834" s="3" t="s">
        <v>371</v>
      </c>
      <c r="AU834" s="3" t="s">
        <v>81</v>
      </c>
      <c r="AV834" s="3" t="s">
        <v>371</v>
      </c>
      <c r="AW834" s="3" t="s">
        <v>81</v>
      </c>
      <c r="AX834" s="1414" t="s">
        <v>81</v>
      </c>
      <c r="AY834" s="3"/>
      <c r="AZ834" s="140"/>
      <c r="BA834" s="140"/>
      <c r="BB834" s="139"/>
      <c r="BC834" s="139"/>
      <c r="BD834" s="139"/>
      <c r="BE834" s="3"/>
    </row>
    <row r="835" spans="1:57" ht="15" customHeight="1" x14ac:dyDescent="0.4">
      <c r="A835" s="3"/>
      <c r="B835" s="1023"/>
      <c r="C835" s="447"/>
      <c r="D835" s="3"/>
      <c r="E835" s="155"/>
      <c r="F835" s="155"/>
      <c r="G835" s="7"/>
      <c r="H835" s="20"/>
      <c r="I835" s="3"/>
      <c r="J835" s="3"/>
      <c r="K835" s="3"/>
      <c r="L835" s="3"/>
      <c r="M835" s="5"/>
      <c r="N835" s="5"/>
      <c r="O835" s="5"/>
      <c r="P835" s="3"/>
      <c r="Q835" s="5"/>
      <c r="R835" s="3"/>
      <c r="S835" s="5"/>
      <c r="T835" s="3"/>
      <c r="U835" s="20"/>
      <c r="V835" s="38" t="s">
        <v>369</v>
      </c>
      <c r="W835" s="3" t="s">
        <v>372</v>
      </c>
      <c r="X835" s="38" t="s">
        <v>369</v>
      </c>
      <c r="Y835" s="1445">
        <v>200131021001</v>
      </c>
      <c r="Z835" s="1445"/>
      <c r="AA835" s="1445"/>
      <c r="AB835" s="20"/>
      <c r="AC835" s="3"/>
      <c r="AD835" s="3"/>
      <c r="AE835" s="5"/>
      <c r="AF835" s="3"/>
      <c r="AG835" s="3"/>
      <c r="AH835" s="3"/>
      <c r="AI835" s="353">
        <v>0.32679999999999998</v>
      </c>
      <c r="AJ835" s="39"/>
      <c r="AK835" s="39"/>
      <c r="AL835" s="39"/>
      <c r="AM835" s="51">
        <f t="shared" ref="AM835:AM840" si="93">AE$824*AI835+SUM(AJ835:AL835)</f>
        <v>0.98720833333333335</v>
      </c>
      <c r="AN835" s="3" t="s">
        <v>371</v>
      </c>
      <c r="AO835" s="3" t="s">
        <v>371</v>
      </c>
      <c r="AP835" s="3" t="s">
        <v>371</v>
      </c>
      <c r="AQ835" s="3" t="s">
        <v>371</v>
      </c>
      <c r="AR835" s="3" t="s">
        <v>371</v>
      </c>
      <c r="AS835" s="3" t="s">
        <v>371</v>
      </c>
      <c r="AT835" s="3" t="s">
        <v>371</v>
      </c>
      <c r="AU835" s="3" t="s">
        <v>371</v>
      </c>
      <c r="AV835" s="3" t="s">
        <v>371</v>
      </c>
      <c r="AW835" s="3" t="s">
        <v>371</v>
      </c>
      <c r="AX835" s="1414" t="s">
        <v>371</v>
      </c>
      <c r="AY835" s="3"/>
      <c r="AZ835" s="140"/>
      <c r="BA835" s="140"/>
      <c r="BB835" s="139"/>
      <c r="BC835" s="139"/>
      <c r="BD835" s="139"/>
      <c r="BE835" s="3"/>
    </row>
    <row r="836" spans="1:57" ht="15" customHeight="1" x14ac:dyDescent="0.4">
      <c r="A836" s="3"/>
      <c r="B836" s="1023"/>
      <c r="C836" s="447"/>
      <c r="D836" s="3"/>
      <c r="E836" s="155"/>
      <c r="F836" s="155"/>
      <c r="G836" s="7"/>
      <c r="H836" s="20"/>
      <c r="I836" s="3"/>
      <c r="J836" s="3"/>
      <c r="K836" s="3"/>
      <c r="L836" s="3"/>
      <c r="M836" s="5"/>
      <c r="N836" s="5"/>
      <c r="O836" s="5"/>
      <c r="P836" s="3"/>
      <c r="Q836" s="5"/>
      <c r="R836" s="3"/>
      <c r="S836" s="5"/>
      <c r="T836" s="3"/>
      <c r="U836" s="20"/>
      <c r="V836" s="38" t="s">
        <v>369</v>
      </c>
      <c r="W836" s="3" t="s">
        <v>373</v>
      </c>
      <c r="X836" s="38" t="s">
        <v>369</v>
      </c>
      <c r="Y836" s="1445">
        <v>200131033001</v>
      </c>
      <c r="Z836" s="1445"/>
      <c r="AA836" s="1445"/>
      <c r="AB836" s="20"/>
      <c r="AC836" s="3"/>
      <c r="AD836" s="3"/>
      <c r="AE836" s="5"/>
      <c r="AF836" s="3"/>
      <c r="AG836" s="3"/>
      <c r="AH836" s="3"/>
      <c r="AI836" s="353">
        <v>0.34960000000000002</v>
      </c>
      <c r="AJ836" s="39"/>
      <c r="AK836" s="39"/>
      <c r="AL836" s="39"/>
      <c r="AM836" s="51">
        <f t="shared" si="93"/>
        <v>1.0560833333333335</v>
      </c>
      <c r="AN836" s="3" t="s">
        <v>371</v>
      </c>
      <c r="AO836" s="3" t="s">
        <v>371</v>
      </c>
      <c r="AP836" s="3" t="s">
        <v>371</v>
      </c>
      <c r="AQ836" s="3" t="s">
        <v>371</v>
      </c>
      <c r="AR836" s="3" t="s">
        <v>371</v>
      </c>
      <c r="AS836" s="3" t="s">
        <v>371</v>
      </c>
      <c r="AT836" s="3" t="s">
        <v>371</v>
      </c>
      <c r="AU836" s="3" t="s">
        <v>371</v>
      </c>
      <c r="AV836" s="3" t="s">
        <v>81</v>
      </c>
      <c r="AW836" s="3" t="s">
        <v>371</v>
      </c>
      <c r="AX836" s="1414" t="s">
        <v>371</v>
      </c>
      <c r="AY836" s="3"/>
      <c r="AZ836" s="140"/>
      <c r="BA836" s="140"/>
      <c r="BB836" s="139"/>
      <c r="BC836" s="139"/>
      <c r="BD836" s="139"/>
      <c r="BE836" s="3"/>
    </row>
    <row r="837" spans="1:57" ht="15" customHeight="1" x14ac:dyDescent="0.4">
      <c r="A837" s="3"/>
      <c r="B837" s="1023"/>
      <c r="C837" s="447"/>
      <c r="D837" s="3"/>
      <c r="E837" s="155"/>
      <c r="F837" s="155"/>
      <c r="G837" s="7"/>
      <c r="H837" s="20"/>
      <c r="I837" s="3"/>
      <c r="J837" s="3"/>
      <c r="K837" s="3"/>
      <c r="L837" s="3"/>
      <c r="M837" s="5"/>
      <c r="N837" s="5"/>
      <c r="O837" s="5"/>
      <c r="P837" s="3"/>
      <c r="Q837" s="5"/>
      <c r="R837" s="3"/>
      <c r="S837" s="5"/>
      <c r="T837" s="3"/>
      <c r="U837" s="20"/>
      <c r="V837" s="3" t="s">
        <v>2363</v>
      </c>
      <c r="W837" s="3" t="s">
        <v>370</v>
      </c>
      <c r="X837" s="38" t="s">
        <v>369</v>
      </c>
      <c r="Y837" s="1445">
        <v>200131127001</v>
      </c>
      <c r="Z837" s="1445"/>
      <c r="AA837" s="1445"/>
      <c r="AB837" s="20"/>
      <c r="AC837" s="3"/>
      <c r="AD837" s="3"/>
      <c r="AE837" s="5"/>
      <c r="AF837" s="3"/>
      <c r="AG837" s="3"/>
      <c r="AH837" s="3"/>
      <c r="AI837" s="353">
        <v>0.36049999999999999</v>
      </c>
      <c r="AJ837" s="39"/>
      <c r="AK837" s="39"/>
      <c r="AL837" s="39"/>
      <c r="AM837" s="51">
        <f t="shared" si="93"/>
        <v>1.0890104166666668</v>
      </c>
      <c r="AN837" s="3" t="s">
        <v>371</v>
      </c>
      <c r="AO837" s="3" t="s">
        <v>371</v>
      </c>
      <c r="AP837" s="3" t="s">
        <v>371</v>
      </c>
      <c r="AQ837" s="3" t="s">
        <v>371</v>
      </c>
      <c r="AR837" s="3" t="s">
        <v>371</v>
      </c>
      <c r="AS837" s="3" t="s">
        <v>371</v>
      </c>
      <c r="AT837" s="3" t="s">
        <v>81</v>
      </c>
      <c r="AU837" s="3" t="s">
        <v>371</v>
      </c>
      <c r="AV837" s="3" t="s">
        <v>371</v>
      </c>
      <c r="AW837" s="3" t="s">
        <v>371</v>
      </c>
      <c r="AX837" s="1414" t="s">
        <v>371</v>
      </c>
      <c r="AY837" s="3"/>
      <c r="AZ837" s="140"/>
      <c r="BA837" s="140"/>
      <c r="BB837" s="139"/>
      <c r="BC837" s="139"/>
      <c r="BD837" s="139"/>
      <c r="BE837" s="3"/>
    </row>
    <row r="838" spans="1:57" ht="15" customHeight="1" x14ac:dyDescent="0.4">
      <c r="A838" s="3"/>
      <c r="B838" s="1023"/>
      <c r="C838" s="447"/>
      <c r="D838" s="3"/>
      <c r="E838" s="155"/>
      <c r="F838" s="155"/>
      <c r="G838" s="7"/>
      <c r="H838" s="20"/>
      <c r="I838" s="3"/>
      <c r="J838" s="3"/>
      <c r="K838" s="3"/>
      <c r="L838" s="3"/>
      <c r="M838" s="5"/>
      <c r="N838" s="5"/>
      <c r="O838" s="5"/>
      <c r="P838" s="3"/>
      <c r="Q838" s="5"/>
      <c r="R838" s="3"/>
      <c r="S838" s="5"/>
      <c r="T838" s="3"/>
      <c r="U838" s="20"/>
      <c r="V838" s="3" t="s">
        <v>2364</v>
      </c>
      <c r="W838" s="3" t="s">
        <v>370</v>
      </c>
      <c r="X838" s="38" t="s">
        <v>369</v>
      </c>
      <c r="Y838" s="1445">
        <v>200131129001</v>
      </c>
      <c r="Z838" s="1445"/>
      <c r="AA838" s="1445"/>
      <c r="AB838" s="20"/>
      <c r="AC838" s="3"/>
      <c r="AD838" s="3"/>
      <c r="AE838" s="5"/>
      <c r="AF838" s="3"/>
      <c r="AG838" s="3"/>
      <c r="AH838" s="3"/>
      <c r="AI838" s="353">
        <v>0.35599999999999998</v>
      </c>
      <c r="AJ838" s="39"/>
      <c r="AK838" s="39"/>
      <c r="AL838" s="39"/>
      <c r="AM838" s="51">
        <f>AE$824*AI838+SUM(AJ838:AL838)</f>
        <v>1.0754166666666667</v>
      </c>
      <c r="AN838" s="3" t="s">
        <v>371</v>
      </c>
      <c r="AO838" s="3" t="s">
        <v>371</v>
      </c>
      <c r="AP838" s="3" t="s">
        <v>371</v>
      </c>
      <c r="AQ838" s="3" t="s">
        <v>371</v>
      </c>
      <c r="AR838" s="3" t="s">
        <v>371</v>
      </c>
      <c r="AS838" s="3" t="s">
        <v>371</v>
      </c>
      <c r="AT838" s="3" t="s">
        <v>371</v>
      </c>
      <c r="AU838" s="3" t="s">
        <v>371</v>
      </c>
      <c r="AV838" s="3" t="s">
        <v>371</v>
      </c>
      <c r="AW838" s="3" t="s">
        <v>371</v>
      </c>
      <c r="AX838" s="1414" t="s">
        <v>371</v>
      </c>
      <c r="AY838" s="3"/>
      <c r="AZ838" s="140"/>
      <c r="BA838" s="140"/>
      <c r="BB838" s="139"/>
      <c r="BC838" s="139"/>
      <c r="BD838" s="139"/>
      <c r="BE838" s="3"/>
    </row>
    <row r="839" spans="1:57" ht="15" customHeight="1" x14ac:dyDescent="0.4">
      <c r="A839" s="3"/>
      <c r="B839" s="1023"/>
      <c r="C839" s="447"/>
      <c r="D839" s="3"/>
      <c r="E839" s="155"/>
      <c r="F839" s="155"/>
      <c r="G839" s="7"/>
      <c r="H839" s="20"/>
      <c r="I839" s="3"/>
      <c r="J839" s="3"/>
      <c r="K839" s="3"/>
      <c r="L839" s="3"/>
      <c r="M839" s="5"/>
      <c r="N839" s="5"/>
      <c r="O839" s="5"/>
      <c r="P839" s="3"/>
      <c r="Q839" s="5"/>
      <c r="R839" s="3"/>
      <c r="S839" s="5"/>
      <c r="T839" s="3"/>
      <c r="U839" s="20"/>
      <c r="V839" s="3" t="s">
        <v>2365</v>
      </c>
      <c r="W839" s="3" t="s">
        <v>370</v>
      </c>
      <c r="X839" s="38" t="s">
        <v>369</v>
      </c>
      <c r="Y839" s="1445">
        <v>200131134001</v>
      </c>
      <c r="Z839" s="1445"/>
      <c r="AA839" s="1445"/>
      <c r="AB839" s="20"/>
      <c r="AC839" s="3"/>
      <c r="AD839" s="3"/>
      <c r="AE839" s="5"/>
      <c r="AF839" s="3"/>
      <c r="AG839" s="3"/>
      <c r="AH839" s="3"/>
      <c r="AI839" s="353">
        <v>0.37419999999999998</v>
      </c>
      <c r="AJ839" s="39"/>
      <c r="AK839" s="39"/>
      <c r="AL839" s="39"/>
      <c r="AM839" s="51">
        <f t="shared" si="93"/>
        <v>1.1303958333333333</v>
      </c>
      <c r="AN839" s="3" t="s">
        <v>371</v>
      </c>
      <c r="AO839" s="3" t="s">
        <v>371</v>
      </c>
      <c r="AP839" s="3" t="s">
        <v>371</v>
      </c>
      <c r="AQ839" s="3" t="s">
        <v>371</v>
      </c>
      <c r="AR839" s="3" t="s">
        <v>371</v>
      </c>
      <c r="AS839" s="3" t="s">
        <v>371</v>
      </c>
      <c r="AT839" s="3" t="s">
        <v>371</v>
      </c>
      <c r="AU839" s="3" t="s">
        <v>371</v>
      </c>
      <c r="AV839" s="3" t="s">
        <v>371</v>
      </c>
      <c r="AW839" s="3" t="s">
        <v>371</v>
      </c>
      <c r="AX839" s="1414" t="s">
        <v>371</v>
      </c>
      <c r="AY839" s="3"/>
      <c r="AZ839" s="140"/>
      <c r="BA839" s="140"/>
      <c r="BB839" s="139"/>
      <c r="BC839" s="139"/>
      <c r="BD839" s="139"/>
      <c r="BE839" s="3"/>
    </row>
    <row r="840" spans="1:57" ht="15" customHeight="1" x14ac:dyDescent="0.4">
      <c r="A840" s="3"/>
      <c r="B840" s="1023"/>
      <c r="C840" s="447"/>
      <c r="D840" s="3"/>
      <c r="E840" s="155"/>
      <c r="F840" s="155"/>
      <c r="G840" s="7"/>
      <c r="H840" s="20"/>
      <c r="I840" s="3"/>
      <c r="J840" s="3"/>
      <c r="K840" s="3"/>
      <c r="L840" s="3"/>
      <c r="M840" s="5"/>
      <c r="N840" s="5"/>
      <c r="O840" s="5"/>
      <c r="P840" s="3"/>
      <c r="Q840" s="5"/>
      <c r="R840" s="3"/>
      <c r="S840" s="5"/>
      <c r="T840" s="3"/>
      <c r="U840" s="20"/>
      <c r="V840" s="112" t="s">
        <v>2367</v>
      </c>
      <c r="W840" s="112" t="s">
        <v>370</v>
      </c>
      <c r="X840" s="279" t="s">
        <v>369</v>
      </c>
      <c r="Y840" s="1872">
        <v>200131152001</v>
      </c>
      <c r="Z840" s="1445"/>
      <c r="AA840" s="1445"/>
      <c r="AB840" s="20"/>
      <c r="AC840" s="3"/>
      <c r="AD840" s="3"/>
      <c r="AE840" s="5"/>
      <c r="AF840" s="3"/>
      <c r="AG840" s="3"/>
      <c r="AH840" s="3"/>
      <c r="AI840" s="353">
        <v>0.35970000000000002</v>
      </c>
      <c r="AJ840" s="39"/>
      <c r="AK840" s="39"/>
      <c r="AL840" s="39"/>
      <c r="AM840" s="51">
        <f t="shared" si="93"/>
        <v>1.08659375</v>
      </c>
      <c r="AN840" s="3" t="s">
        <v>371</v>
      </c>
      <c r="AO840" s="3" t="s">
        <v>371</v>
      </c>
      <c r="AP840" s="3" t="s">
        <v>371</v>
      </c>
      <c r="AQ840" s="3" t="s">
        <v>371</v>
      </c>
      <c r="AR840" s="3" t="s">
        <v>371</v>
      </c>
      <c r="AS840" s="3" t="s">
        <v>371</v>
      </c>
      <c r="AT840" s="3" t="s">
        <v>371</v>
      </c>
      <c r="AU840" s="3" t="s">
        <v>371</v>
      </c>
      <c r="AV840" s="3" t="s">
        <v>371</v>
      </c>
      <c r="AW840" s="3" t="s">
        <v>371</v>
      </c>
      <c r="AX840" s="1414" t="s">
        <v>371</v>
      </c>
      <c r="AY840" s="3"/>
      <c r="AZ840" s="140"/>
      <c r="BA840" s="140"/>
      <c r="BB840" s="139"/>
      <c r="BC840" s="139"/>
      <c r="BD840" s="139"/>
      <c r="BE840" s="3"/>
    </row>
    <row r="841" spans="1:57" ht="15" customHeight="1" x14ac:dyDescent="0.4">
      <c r="A841" s="3"/>
      <c r="B841" s="1023"/>
      <c r="C841" s="789"/>
      <c r="D841" s="577"/>
      <c r="E841" s="623"/>
      <c r="F841" s="623"/>
      <c r="G841" s="221"/>
      <c r="H841" s="624"/>
      <c r="I841" s="577"/>
      <c r="J841" s="577"/>
      <c r="K841" s="577"/>
      <c r="L841" s="577"/>
      <c r="M841" s="575"/>
      <c r="N841" s="575"/>
      <c r="O841" s="575"/>
      <c r="P841" s="577"/>
      <c r="Q841" s="575"/>
      <c r="R841" s="577"/>
      <c r="S841" s="575"/>
      <c r="T841" s="577"/>
      <c r="U841" s="624"/>
      <c r="V841" s="577" t="s">
        <v>2365</v>
      </c>
      <c r="W841" s="577" t="s">
        <v>370</v>
      </c>
      <c r="X841" s="579" t="s">
        <v>2365</v>
      </c>
      <c r="Y841" s="1460">
        <v>200131181177</v>
      </c>
      <c r="Z841" s="1460"/>
      <c r="AA841" s="1460"/>
      <c r="AB841" s="624"/>
      <c r="AC841" s="577"/>
      <c r="AD841" s="577"/>
      <c r="AE841" s="575"/>
      <c r="AF841" s="577"/>
      <c r="AG841" s="577"/>
      <c r="AH841" s="577"/>
      <c r="AI841" s="1425"/>
      <c r="AJ841" s="581"/>
      <c r="AK841" s="581"/>
      <c r="AL841" s="581"/>
      <c r="AM841" s="626"/>
      <c r="AN841" s="577" t="s">
        <v>92</v>
      </c>
      <c r="AO841" s="577" t="s">
        <v>92</v>
      </c>
      <c r="AP841" s="577" t="s">
        <v>92</v>
      </c>
      <c r="AQ841" s="577" t="s">
        <v>92</v>
      </c>
      <c r="AR841" s="577" t="s">
        <v>92</v>
      </c>
      <c r="AS841" s="577" t="s">
        <v>92</v>
      </c>
      <c r="AT841" s="577" t="s">
        <v>92</v>
      </c>
      <c r="AU841" s="577" t="s">
        <v>92</v>
      </c>
      <c r="AV841" s="577" t="s">
        <v>92</v>
      </c>
      <c r="AW841" s="577" t="s">
        <v>92</v>
      </c>
      <c r="AX841" s="1881" t="s">
        <v>81</v>
      </c>
      <c r="AY841" s="577"/>
      <c r="AZ841" s="140"/>
      <c r="BA841" s="140"/>
      <c r="BB841" s="139"/>
      <c r="BC841" s="139"/>
      <c r="BD841" s="139"/>
      <c r="BE841" s="3"/>
    </row>
    <row r="842" spans="1:57" ht="15" customHeight="1" thickBot="1" x14ac:dyDescent="0.45">
      <c r="A842" s="3"/>
      <c r="B842" s="36"/>
      <c r="C842" s="447" t="s">
        <v>849</v>
      </c>
      <c r="D842" s="3"/>
      <c r="E842" s="155"/>
      <c r="F842" s="155"/>
      <c r="G842" s="7"/>
      <c r="H842" s="20"/>
      <c r="I842" s="3" t="s">
        <v>392</v>
      </c>
      <c r="J842" s="3"/>
      <c r="K842" s="3"/>
      <c r="L842" s="3" t="s">
        <v>348</v>
      </c>
      <c r="M842" s="5">
        <f>M824</f>
        <v>-2.5625</v>
      </c>
      <c r="N842" s="5" t="s">
        <v>348</v>
      </c>
      <c r="O842" s="5">
        <v>0.25</v>
      </c>
      <c r="P842" s="5"/>
      <c r="Q842" s="5"/>
      <c r="R842" s="376" t="s">
        <v>352</v>
      </c>
      <c r="S842" s="5">
        <f>SHWidth+M842+O842</f>
        <v>36.25</v>
      </c>
      <c r="T842" s="376" t="s">
        <v>366</v>
      </c>
      <c r="U842" s="20"/>
      <c r="V842" s="38" t="s">
        <v>369</v>
      </c>
      <c r="W842" s="3" t="s">
        <v>405</v>
      </c>
      <c r="X842" s="38" t="s">
        <v>369</v>
      </c>
      <c r="Y842" s="1443">
        <v>600041010</v>
      </c>
      <c r="Z842" s="1443"/>
      <c r="AA842" s="1443"/>
      <c r="AB842" s="20"/>
      <c r="AC842" s="3">
        <v>45</v>
      </c>
      <c r="AD842" s="3">
        <v>1</v>
      </c>
      <c r="AE842" s="5">
        <f>S842*AD842/12</f>
        <v>3.0208333333333335</v>
      </c>
      <c r="AF842" s="3" t="s">
        <v>367</v>
      </c>
      <c r="AG842" s="3"/>
      <c r="AH842" s="3"/>
      <c r="AI842" s="353">
        <v>1.9400000000000001E-2</v>
      </c>
      <c r="AJ842" s="39"/>
      <c r="AK842" s="39"/>
      <c r="AL842" s="39"/>
      <c r="AM842" s="937">
        <f>AE$842*AI842+SUM(AJ842:AL842)</f>
        <v>5.8604166666666672E-2</v>
      </c>
      <c r="AN842" s="889" t="s">
        <v>81</v>
      </c>
      <c r="AO842" s="889" t="s">
        <v>81</v>
      </c>
      <c r="AP842" s="889" t="s">
        <v>81</v>
      </c>
      <c r="AQ842" s="889" t="s">
        <v>81</v>
      </c>
      <c r="AR842" s="889" t="s">
        <v>81</v>
      </c>
      <c r="AS842" s="889" t="s">
        <v>81</v>
      </c>
      <c r="AT842" s="889" t="s">
        <v>81</v>
      </c>
      <c r="AU842" s="889" t="s">
        <v>81</v>
      </c>
      <c r="AV842" s="889" t="s">
        <v>81</v>
      </c>
      <c r="AW842" s="889" t="s">
        <v>81</v>
      </c>
      <c r="AX842" s="1590" t="s">
        <v>81</v>
      </c>
      <c r="AY842" s="889"/>
      <c r="AZ842" s="140"/>
      <c r="BA842" s="140"/>
      <c r="BB842" s="139"/>
      <c r="BC842" s="139"/>
      <c r="BD842" s="139"/>
      <c r="BE842" s="3"/>
    </row>
    <row r="843" spans="1:57" ht="15" customHeight="1" x14ac:dyDescent="0.4">
      <c r="A843" s="3" t="s">
        <v>850</v>
      </c>
      <c r="B843" s="173" t="s">
        <v>2216</v>
      </c>
      <c r="C843" s="173"/>
      <c r="D843" s="138" t="s">
        <v>2214</v>
      </c>
      <c r="E843" s="173"/>
      <c r="F843" s="173"/>
      <c r="G843" s="173"/>
      <c r="H843" s="193"/>
      <c r="I843" s="116" t="s">
        <v>392</v>
      </c>
      <c r="J843" s="116"/>
      <c r="K843" s="116"/>
      <c r="L843" s="116" t="s">
        <v>348</v>
      </c>
      <c r="M843" s="177">
        <f>M795</f>
        <v>-2.5625</v>
      </c>
      <c r="N843" s="177"/>
      <c r="O843" s="177">
        <v>0.25</v>
      </c>
      <c r="P843" s="177"/>
      <c r="Q843" s="177"/>
      <c r="R843" s="116" t="s">
        <v>352</v>
      </c>
      <c r="S843" s="177">
        <f>SHWidth+M843+O843</f>
        <v>36.25</v>
      </c>
      <c r="T843" s="116" t="s">
        <v>366</v>
      </c>
      <c r="U843" s="193"/>
      <c r="V843" s="179"/>
      <c r="W843" s="179"/>
      <c r="X843" s="179"/>
      <c r="Y843" s="116"/>
      <c r="Z843" s="116"/>
      <c r="AA843" s="116"/>
      <c r="AB843" s="193"/>
      <c r="AC843" s="116">
        <v>45</v>
      </c>
      <c r="AD843" s="116">
        <v>1</v>
      </c>
      <c r="AE843" s="177">
        <f>S843*AD843/12</f>
        <v>3.0208333333333335</v>
      </c>
      <c r="AF843" s="116" t="s">
        <v>367</v>
      </c>
      <c r="AG843" s="179">
        <v>0.47599999999999998</v>
      </c>
      <c r="AH843" s="177">
        <f>AG843*AtolbperftSH</f>
        <v>0.30106999999999995</v>
      </c>
      <c r="AI843" s="185"/>
      <c r="AJ843" s="185"/>
      <c r="AK843" s="185"/>
      <c r="AL843" s="185"/>
      <c r="AM843" s="180"/>
      <c r="AN843" s="3"/>
      <c r="AO843" s="3"/>
      <c r="AP843" s="3"/>
      <c r="AQ843" s="3"/>
      <c r="AR843" s="3"/>
      <c r="AS843" s="3"/>
      <c r="AT843" s="3"/>
      <c r="AU843" s="3"/>
      <c r="AV843" s="3"/>
      <c r="AW843" s="3"/>
      <c r="AX843" s="1414"/>
      <c r="AY843" s="3"/>
      <c r="AZ843" s="139"/>
      <c r="BA843" s="139"/>
      <c r="BB843" s="139"/>
      <c r="BC843" s="139"/>
      <c r="BD843" s="139"/>
      <c r="BE843" s="3"/>
    </row>
    <row r="844" spans="1:57" ht="15" customHeight="1" x14ac:dyDescent="0.4">
      <c r="A844" s="3"/>
      <c r="B844" s="1023" t="s">
        <v>2213</v>
      </c>
      <c r="C844" s="7"/>
      <c r="D844" s="7"/>
      <c r="E844" s="7"/>
      <c r="F844" s="7"/>
      <c r="G844" s="7"/>
      <c r="H844" s="14"/>
      <c r="I844" s="3"/>
      <c r="J844" s="3"/>
      <c r="K844" s="3"/>
      <c r="L844" s="3"/>
      <c r="M844" s="350"/>
      <c r="N844" s="350"/>
      <c r="O844" s="350"/>
      <c r="P844" s="5"/>
      <c r="Q844" s="5"/>
      <c r="R844" s="3"/>
      <c r="S844" s="5"/>
      <c r="T844" s="3"/>
      <c r="U844" s="14"/>
      <c r="V844" s="38" t="s">
        <v>369</v>
      </c>
      <c r="W844" s="3" t="s">
        <v>370</v>
      </c>
      <c r="X844" s="38" t="s">
        <v>369</v>
      </c>
      <c r="Y844" s="1443">
        <v>200132003</v>
      </c>
      <c r="Z844" s="1443"/>
      <c r="AA844" s="1443"/>
      <c r="AB844" s="14"/>
      <c r="AC844" s="3"/>
      <c r="AD844" s="3"/>
      <c r="AE844" s="5"/>
      <c r="AF844" s="3"/>
      <c r="AG844" s="38"/>
      <c r="AH844" s="5"/>
      <c r="AI844" s="51"/>
      <c r="AJ844" s="39"/>
      <c r="AK844" s="39"/>
      <c r="AL844" s="39"/>
      <c r="AM844" s="51"/>
      <c r="AN844" s="3" t="s">
        <v>371</v>
      </c>
      <c r="AO844" s="3" t="s">
        <v>371</v>
      </c>
      <c r="AP844" s="3" t="s">
        <v>371</v>
      </c>
      <c r="AQ844" s="3" t="s">
        <v>371</v>
      </c>
      <c r="AR844" s="3" t="s">
        <v>371</v>
      </c>
      <c r="AS844" s="3" t="s">
        <v>371</v>
      </c>
      <c r="AT844" s="3" t="s">
        <v>371</v>
      </c>
      <c r="AU844" s="3" t="s">
        <v>371</v>
      </c>
      <c r="AV844" s="3" t="s">
        <v>371</v>
      </c>
      <c r="AW844" s="3" t="s">
        <v>371</v>
      </c>
      <c r="AX844" s="1414" t="s">
        <v>371</v>
      </c>
      <c r="AY844" s="3"/>
      <c r="AZ844" s="139"/>
      <c r="BA844" s="139"/>
      <c r="BB844" s="139"/>
      <c r="BC844" s="139"/>
      <c r="BD844" s="139"/>
      <c r="BE844" s="3"/>
    </row>
    <row r="845" spans="1:57" ht="15" customHeight="1" x14ac:dyDescent="0.4">
      <c r="A845" s="3"/>
      <c r="B845" s="8"/>
      <c r="C845" s="7"/>
      <c r="D845" s="7"/>
      <c r="E845" s="7"/>
      <c r="F845" s="7"/>
      <c r="G845" s="7"/>
      <c r="H845" s="14"/>
      <c r="I845" s="3"/>
      <c r="J845" s="3"/>
      <c r="K845" s="3"/>
      <c r="L845" s="3"/>
      <c r="M845" s="350"/>
      <c r="N845" s="350"/>
      <c r="O845" s="350"/>
      <c r="P845" s="5"/>
      <c r="Q845" s="5"/>
      <c r="R845" s="3"/>
      <c r="S845" s="5"/>
      <c r="T845" s="3"/>
      <c r="U845" s="14"/>
      <c r="V845" s="38" t="s">
        <v>369</v>
      </c>
      <c r="W845" s="3" t="s">
        <v>372</v>
      </c>
      <c r="X845" s="38" t="s">
        <v>369</v>
      </c>
      <c r="Y845" s="1443">
        <v>200132021</v>
      </c>
      <c r="Z845" s="1443"/>
      <c r="AA845" s="1443"/>
      <c r="AB845" s="14"/>
      <c r="AC845" s="3"/>
      <c r="AD845" s="3"/>
      <c r="AE845" s="5"/>
      <c r="AF845" s="3"/>
      <c r="AG845" s="3"/>
      <c r="AH845" s="5"/>
      <c r="AI845" s="51"/>
      <c r="AJ845" s="39"/>
      <c r="AK845" s="39"/>
      <c r="AL845" s="39"/>
      <c r="AM845" s="51"/>
      <c r="AN845" s="3" t="s">
        <v>371</v>
      </c>
      <c r="AO845" s="3" t="s">
        <v>371</v>
      </c>
      <c r="AP845" s="3" t="s">
        <v>371</v>
      </c>
      <c r="AQ845" s="3" t="s">
        <v>371</v>
      </c>
      <c r="AR845" s="3" t="s">
        <v>371</v>
      </c>
      <c r="AS845" s="3" t="s">
        <v>371</v>
      </c>
      <c r="AT845" s="3" t="s">
        <v>371</v>
      </c>
      <c r="AU845" s="3" t="s">
        <v>371</v>
      </c>
      <c r="AV845" s="3" t="s">
        <v>371</v>
      </c>
      <c r="AW845" s="3" t="s">
        <v>371</v>
      </c>
      <c r="AX845" s="1414" t="s">
        <v>371</v>
      </c>
      <c r="AY845" s="3"/>
      <c r="AZ845" s="139"/>
      <c r="BA845" s="139"/>
      <c r="BB845" s="139"/>
      <c r="BC845" s="139"/>
      <c r="BD845" s="139"/>
      <c r="BE845" s="3"/>
    </row>
    <row r="846" spans="1:57" ht="15" customHeight="1" x14ac:dyDescent="0.4">
      <c r="A846" s="3"/>
      <c r="B846" s="8"/>
      <c r="C846" s="7"/>
      <c r="D846" s="7"/>
      <c r="E846" s="7"/>
      <c r="F846" s="7"/>
      <c r="G846" s="7"/>
      <c r="H846" s="14"/>
      <c r="I846" s="3"/>
      <c r="J846" s="3"/>
      <c r="K846" s="3"/>
      <c r="L846" s="3"/>
      <c r="M846" s="350"/>
      <c r="N846" s="350"/>
      <c r="O846" s="350"/>
      <c r="P846" s="5"/>
      <c r="Q846" s="5"/>
      <c r="R846" s="3"/>
      <c r="S846" s="5"/>
      <c r="T846" s="3"/>
      <c r="U846" s="14"/>
      <c r="V846" s="38" t="s">
        <v>369</v>
      </c>
      <c r="W846" s="3" t="s">
        <v>373</v>
      </c>
      <c r="X846" s="38" t="s">
        <v>369</v>
      </c>
      <c r="Y846" s="1443">
        <v>200132033</v>
      </c>
      <c r="Z846" s="1443"/>
      <c r="AA846" s="1443"/>
      <c r="AB846" s="14"/>
      <c r="AC846" s="3"/>
      <c r="AD846" s="3"/>
      <c r="AE846" s="5"/>
      <c r="AF846" s="3"/>
      <c r="AG846" s="3"/>
      <c r="AH846" s="5"/>
      <c r="AI846" s="51"/>
      <c r="AJ846" s="39"/>
      <c r="AK846" s="39"/>
      <c r="AL846" s="39"/>
      <c r="AM846" s="51"/>
      <c r="AN846" s="3" t="s">
        <v>371</v>
      </c>
      <c r="AO846" s="3" t="s">
        <v>371</v>
      </c>
      <c r="AP846" s="3" t="s">
        <v>371</v>
      </c>
      <c r="AQ846" s="3" t="s">
        <v>371</v>
      </c>
      <c r="AR846" s="3" t="s">
        <v>371</v>
      </c>
      <c r="AS846" s="3" t="s">
        <v>371</v>
      </c>
      <c r="AT846" s="3" t="s">
        <v>371</v>
      </c>
      <c r="AU846" s="3" t="s">
        <v>371</v>
      </c>
      <c r="AV846" s="3" t="s">
        <v>371</v>
      </c>
      <c r="AW846" s="3" t="s">
        <v>371</v>
      </c>
      <c r="AX846" s="1414" t="s">
        <v>371</v>
      </c>
      <c r="AY846" s="3"/>
      <c r="AZ846" s="139"/>
      <c r="BA846" s="139"/>
      <c r="BB846" s="139"/>
      <c r="BC846" s="139"/>
      <c r="BD846" s="139"/>
      <c r="BE846" s="3"/>
    </row>
    <row r="847" spans="1:57" ht="15" customHeight="1" x14ac:dyDescent="0.4">
      <c r="A847" s="3"/>
      <c r="B847" s="8"/>
      <c r="C847" s="7"/>
      <c r="D847" s="7"/>
      <c r="E847" s="7"/>
      <c r="F847" s="7"/>
      <c r="G847" s="7"/>
      <c r="H847" s="14"/>
      <c r="I847" s="3"/>
      <c r="J847" s="3"/>
      <c r="K847" s="3"/>
      <c r="L847" s="3"/>
      <c r="M847" s="350"/>
      <c r="N847" s="350"/>
      <c r="O847" s="350"/>
      <c r="P847" s="5"/>
      <c r="Q847" s="5"/>
      <c r="R847" s="3"/>
      <c r="S847" s="5"/>
      <c r="T847" s="3"/>
      <c r="U847" s="14"/>
      <c r="V847" s="3" t="s">
        <v>2363</v>
      </c>
      <c r="W847" s="3" t="s">
        <v>370</v>
      </c>
      <c r="X847" s="38" t="s">
        <v>369</v>
      </c>
      <c r="Y847" s="1443">
        <v>200132127</v>
      </c>
      <c r="Z847" s="1443"/>
      <c r="AA847" s="1443"/>
      <c r="AB847" s="14"/>
      <c r="AC847" s="3"/>
      <c r="AD847" s="3"/>
      <c r="AE847" s="5"/>
      <c r="AF847" s="3"/>
      <c r="AG847" s="3"/>
      <c r="AH847" s="5"/>
      <c r="AI847" s="51"/>
      <c r="AJ847" s="39"/>
      <c r="AK847" s="39"/>
      <c r="AL847" s="39"/>
      <c r="AM847" s="51"/>
      <c r="AN847" s="3" t="s">
        <v>371</v>
      </c>
      <c r="AO847" s="3" t="s">
        <v>371</v>
      </c>
      <c r="AP847" s="3" t="s">
        <v>371</v>
      </c>
      <c r="AQ847" s="3" t="s">
        <v>371</v>
      </c>
      <c r="AR847" s="3" t="s">
        <v>371</v>
      </c>
      <c r="AS847" s="3" t="s">
        <v>371</v>
      </c>
      <c r="AT847" s="3" t="s">
        <v>371</v>
      </c>
      <c r="AU847" s="3" t="s">
        <v>371</v>
      </c>
      <c r="AV847" s="3" t="s">
        <v>371</v>
      </c>
      <c r="AW847" s="3" t="s">
        <v>371</v>
      </c>
      <c r="AX847" s="1414" t="s">
        <v>371</v>
      </c>
      <c r="AY847" s="3"/>
      <c r="AZ847" s="139"/>
      <c r="BA847" s="139"/>
      <c r="BB847" s="139"/>
      <c r="BC847" s="139"/>
      <c r="BD847" s="139"/>
      <c r="BE847" s="3"/>
    </row>
    <row r="848" spans="1:57" ht="15" customHeight="1" x14ac:dyDescent="0.4">
      <c r="A848" s="3"/>
      <c r="B848" s="8"/>
      <c r="C848" s="7"/>
      <c r="D848" s="7"/>
      <c r="E848" s="7"/>
      <c r="F848" s="7"/>
      <c r="G848" s="7"/>
      <c r="H848" s="14"/>
      <c r="I848" s="3"/>
      <c r="J848" s="3"/>
      <c r="K848" s="3"/>
      <c r="L848" s="3"/>
      <c r="M848" s="350"/>
      <c r="N848" s="350"/>
      <c r="O848" s="350"/>
      <c r="P848" s="5"/>
      <c r="Q848" s="5"/>
      <c r="R848" s="3"/>
      <c r="S848" s="5"/>
      <c r="T848" s="3"/>
      <c r="U848" s="14"/>
      <c r="V848" s="572" t="s">
        <v>2366</v>
      </c>
      <c r="W848" s="572" t="s">
        <v>370</v>
      </c>
      <c r="X848" s="571" t="s">
        <v>369</v>
      </c>
      <c r="Y848" s="1447">
        <v>200132128</v>
      </c>
      <c r="Z848" s="1443"/>
      <c r="AA848" s="1443"/>
      <c r="AB848" s="14"/>
      <c r="AC848" s="3"/>
      <c r="AD848" s="3"/>
      <c r="AE848" s="5"/>
      <c r="AF848" s="3"/>
      <c r="AG848" s="3"/>
      <c r="AH848" s="5"/>
      <c r="AI848" s="51"/>
      <c r="AJ848" s="39"/>
      <c r="AK848" s="39"/>
      <c r="AL848" s="39"/>
      <c r="AM848" s="51"/>
      <c r="AN848" s="3" t="s">
        <v>371</v>
      </c>
      <c r="AO848" s="3" t="s">
        <v>371</v>
      </c>
      <c r="AP848" s="3" t="s">
        <v>371</v>
      </c>
      <c r="AQ848" s="3" t="s">
        <v>371</v>
      </c>
      <c r="AR848" s="3" t="s">
        <v>371</v>
      </c>
      <c r="AS848" s="3" t="s">
        <v>371</v>
      </c>
      <c r="AT848" s="3" t="s">
        <v>371</v>
      </c>
      <c r="AU848" s="3" t="s">
        <v>371</v>
      </c>
      <c r="AV848" s="3" t="s">
        <v>371</v>
      </c>
      <c r="AW848" s="3" t="s">
        <v>371</v>
      </c>
      <c r="AX848" s="1414" t="s">
        <v>371</v>
      </c>
      <c r="AY848" s="3"/>
      <c r="AZ848" s="139"/>
      <c r="BA848" s="139"/>
      <c r="BB848" s="139"/>
      <c r="BC848" s="139"/>
      <c r="BD848" s="139"/>
      <c r="BE848" s="3"/>
    </row>
    <row r="849" spans="1:57" ht="15" customHeight="1" x14ac:dyDescent="0.4">
      <c r="A849" s="3"/>
      <c r="B849" s="8"/>
      <c r="C849" s="7"/>
      <c r="D849" s="7"/>
      <c r="E849" s="7"/>
      <c r="F849" s="7"/>
      <c r="G849" s="7"/>
      <c r="H849" s="14"/>
      <c r="I849" s="3"/>
      <c r="J849" s="3"/>
      <c r="K849" s="3"/>
      <c r="L849" s="3"/>
      <c r="M849" s="350"/>
      <c r="N849" s="350"/>
      <c r="O849" s="350"/>
      <c r="P849" s="5"/>
      <c r="Q849" s="5"/>
      <c r="R849" s="3"/>
      <c r="S849" s="5"/>
      <c r="T849" s="3"/>
      <c r="U849" s="14"/>
      <c r="V849" s="3" t="s">
        <v>2364</v>
      </c>
      <c r="W849" s="3" t="s">
        <v>370</v>
      </c>
      <c r="X849" s="38" t="s">
        <v>369</v>
      </c>
      <c r="Y849" s="1443">
        <v>200132129</v>
      </c>
      <c r="Z849" s="1443"/>
      <c r="AA849" s="1443"/>
      <c r="AB849" s="14"/>
      <c r="AC849" s="3"/>
      <c r="AD849" s="3"/>
      <c r="AE849" s="5"/>
      <c r="AF849" s="3"/>
      <c r="AG849" s="3"/>
      <c r="AH849" s="5"/>
      <c r="AI849" s="51"/>
      <c r="AJ849" s="39"/>
      <c r="AK849" s="39"/>
      <c r="AL849" s="39"/>
      <c r="AM849" s="51"/>
      <c r="AN849" s="3" t="s">
        <v>371</v>
      </c>
      <c r="AO849" s="3" t="s">
        <v>371</v>
      </c>
      <c r="AP849" s="3" t="s">
        <v>371</v>
      </c>
      <c r="AQ849" s="3" t="s">
        <v>371</v>
      </c>
      <c r="AR849" s="3" t="s">
        <v>371</v>
      </c>
      <c r="AS849" s="3" t="s">
        <v>371</v>
      </c>
      <c r="AT849" s="3" t="s">
        <v>371</v>
      </c>
      <c r="AU849" s="3" t="s">
        <v>371</v>
      </c>
      <c r="AV849" s="3" t="s">
        <v>371</v>
      </c>
      <c r="AW849" s="3" t="s">
        <v>371</v>
      </c>
      <c r="AX849" s="1414" t="s">
        <v>371</v>
      </c>
      <c r="AY849" s="3"/>
      <c r="AZ849" s="139"/>
      <c r="BA849" s="139"/>
      <c r="BB849" s="139"/>
      <c r="BC849" s="139"/>
      <c r="BD849" s="139"/>
      <c r="BE849" s="3"/>
    </row>
    <row r="850" spans="1:57" ht="15" customHeight="1" x14ac:dyDescent="0.4">
      <c r="A850" s="3"/>
      <c r="B850" s="8"/>
      <c r="C850" s="7"/>
      <c r="D850" s="7"/>
      <c r="E850" s="7"/>
      <c r="F850" s="7"/>
      <c r="G850" s="7"/>
      <c r="H850" s="14"/>
      <c r="I850" s="3"/>
      <c r="J850" s="3"/>
      <c r="K850" s="3"/>
      <c r="L850" s="3"/>
      <c r="M850" s="350"/>
      <c r="N850" s="350"/>
      <c r="O850" s="350"/>
      <c r="P850" s="5"/>
      <c r="Q850" s="5"/>
      <c r="R850" s="3"/>
      <c r="S850" s="5"/>
      <c r="T850" s="3"/>
      <c r="U850" s="14"/>
      <c r="V850" s="3" t="s">
        <v>2365</v>
      </c>
      <c r="W850" s="3" t="s">
        <v>370</v>
      </c>
      <c r="X850" s="38" t="s">
        <v>369</v>
      </c>
      <c r="Y850" s="1443">
        <v>200132134</v>
      </c>
      <c r="Z850" s="1443"/>
      <c r="AA850" s="1443"/>
      <c r="AB850" s="14"/>
      <c r="AC850" s="3"/>
      <c r="AD850" s="3"/>
      <c r="AE850" s="5"/>
      <c r="AF850" s="3"/>
      <c r="AG850" s="3"/>
      <c r="AH850" s="5"/>
      <c r="AI850" s="51"/>
      <c r="AJ850" s="39"/>
      <c r="AK850" s="39"/>
      <c r="AL850" s="39"/>
      <c r="AM850" s="51"/>
      <c r="AN850" s="3" t="s">
        <v>371</v>
      </c>
      <c r="AO850" s="3" t="s">
        <v>371</v>
      </c>
      <c r="AP850" s="3" t="s">
        <v>371</v>
      </c>
      <c r="AQ850" s="3" t="s">
        <v>371</v>
      </c>
      <c r="AR850" s="3" t="s">
        <v>371</v>
      </c>
      <c r="AS850" s="3" t="s">
        <v>371</v>
      </c>
      <c r="AT850" s="3" t="s">
        <v>371</v>
      </c>
      <c r="AU850" s="3" t="s">
        <v>371</v>
      </c>
      <c r="AV850" s="3" t="s">
        <v>371</v>
      </c>
      <c r="AW850" s="3" t="s">
        <v>371</v>
      </c>
      <c r="AX850" s="1414" t="s">
        <v>371</v>
      </c>
      <c r="AY850" s="3"/>
      <c r="AZ850" s="139"/>
      <c r="BA850" s="139"/>
      <c r="BB850" s="139"/>
      <c r="BC850" s="139"/>
      <c r="BD850" s="139"/>
      <c r="BE850" s="3"/>
    </row>
    <row r="851" spans="1:57" ht="15" customHeight="1" x14ac:dyDescent="0.4">
      <c r="A851" s="3"/>
      <c r="B851" s="8"/>
      <c r="C851" s="7"/>
      <c r="D851" s="7"/>
      <c r="E851" s="7"/>
      <c r="F851" s="7"/>
      <c r="G851" s="7"/>
      <c r="H851" s="14"/>
      <c r="I851" s="3"/>
      <c r="J851" s="3"/>
      <c r="K851" s="3"/>
      <c r="L851" s="3"/>
      <c r="M851" s="350"/>
      <c r="N851" s="350"/>
      <c r="O851" s="350"/>
      <c r="P851" s="5"/>
      <c r="Q851" s="5"/>
      <c r="R851" s="3"/>
      <c r="S851" s="5"/>
      <c r="T851" s="3"/>
      <c r="U851" s="14"/>
      <c r="V851" s="112" t="s">
        <v>2367</v>
      </c>
      <c r="W851" s="112" t="s">
        <v>370</v>
      </c>
      <c r="X851" s="279" t="s">
        <v>369</v>
      </c>
      <c r="Y851" s="1871">
        <v>200132152</v>
      </c>
      <c r="Z851" s="1443"/>
      <c r="AA851" s="1443"/>
      <c r="AB851" s="14"/>
      <c r="AC851" s="3"/>
      <c r="AD851" s="3"/>
      <c r="AE851" s="5"/>
      <c r="AF851" s="3"/>
      <c r="AG851" s="3"/>
      <c r="AH851" s="5"/>
      <c r="AI851" s="51"/>
      <c r="AJ851" s="39"/>
      <c r="AK851" s="39"/>
      <c r="AL851" s="39"/>
      <c r="AM851" s="51"/>
      <c r="AN851" s="3" t="s">
        <v>371</v>
      </c>
      <c r="AO851" s="3" t="s">
        <v>371</v>
      </c>
      <c r="AP851" s="3" t="s">
        <v>371</v>
      </c>
      <c r="AQ851" s="3" t="s">
        <v>371</v>
      </c>
      <c r="AR851" s="3" t="s">
        <v>371</v>
      </c>
      <c r="AS851" s="3" t="s">
        <v>371</v>
      </c>
      <c r="AT851" s="3" t="s">
        <v>371</v>
      </c>
      <c r="AU851" s="3" t="s">
        <v>371</v>
      </c>
      <c r="AV851" s="3" t="s">
        <v>371</v>
      </c>
      <c r="AW851" s="3" t="s">
        <v>371</v>
      </c>
      <c r="AX851" s="1414" t="s">
        <v>371</v>
      </c>
      <c r="AY851" s="3"/>
      <c r="AZ851" s="139"/>
      <c r="BA851" s="139"/>
      <c r="BB851" s="139"/>
      <c r="BC851" s="139"/>
      <c r="BD851" s="139"/>
      <c r="BE851" s="3"/>
    </row>
    <row r="852" spans="1:57" ht="15" customHeight="1" thickBot="1" x14ac:dyDescent="0.45">
      <c r="A852" s="3"/>
      <c r="B852" s="8"/>
      <c r="C852" s="7"/>
      <c r="D852" s="7"/>
      <c r="E852" s="7"/>
      <c r="F852" s="7"/>
      <c r="G852" s="7"/>
      <c r="H852" s="14"/>
      <c r="I852" s="3"/>
      <c r="J852" s="3"/>
      <c r="K852" s="3"/>
      <c r="L852" s="3"/>
      <c r="M852" s="350"/>
      <c r="N852" s="350"/>
      <c r="O852" s="350"/>
      <c r="P852" s="5"/>
      <c r="Q852" s="5"/>
      <c r="R852" s="3"/>
      <c r="S852" s="5"/>
      <c r="T852" s="3"/>
      <c r="U852" s="14"/>
      <c r="V852" s="3" t="s">
        <v>2365</v>
      </c>
      <c r="W852" s="3" t="s">
        <v>370</v>
      </c>
      <c r="X852" s="38" t="s">
        <v>2365</v>
      </c>
      <c r="Y852" s="1893">
        <v>200132181</v>
      </c>
      <c r="Z852" s="1443"/>
      <c r="AA852" s="1443"/>
      <c r="AB852" s="14"/>
      <c r="AC852" s="3"/>
      <c r="AD852" s="3"/>
      <c r="AE852" s="5"/>
      <c r="AF852" s="3"/>
      <c r="AG852" s="3"/>
      <c r="AH852" s="5"/>
      <c r="AI852" s="937"/>
      <c r="AJ852" s="947"/>
      <c r="AK852" s="947"/>
      <c r="AL852" s="947"/>
      <c r="AM852" s="937"/>
      <c r="AN852" s="889" t="s">
        <v>371</v>
      </c>
      <c r="AO852" s="889" t="s">
        <v>371</v>
      </c>
      <c r="AP852" s="889" t="s">
        <v>371</v>
      </c>
      <c r="AQ852" s="889" t="s">
        <v>371</v>
      </c>
      <c r="AR852" s="889" t="s">
        <v>371</v>
      </c>
      <c r="AS852" s="889" t="s">
        <v>371</v>
      </c>
      <c r="AT852" s="889" t="s">
        <v>371</v>
      </c>
      <c r="AU852" s="889" t="s">
        <v>371</v>
      </c>
      <c r="AV852" s="889" t="s">
        <v>371</v>
      </c>
      <c r="AW852" s="889" t="s">
        <v>371</v>
      </c>
      <c r="AX852" s="1590" t="s">
        <v>371</v>
      </c>
      <c r="AY852" s="889"/>
      <c r="AZ852" s="139"/>
      <c r="BA852" s="139"/>
      <c r="BB852" s="139"/>
      <c r="BC852" s="139"/>
      <c r="BD852" s="139"/>
      <c r="BE852" s="3"/>
    </row>
    <row r="853" spans="1:57" ht="15" customHeight="1" x14ac:dyDescent="0.4">
      <c r="A853" s="3"/>
      <c r="B853" s="1023" t="s">
        <v>2215</v>
      </c>
      <c r="C853" s="964"/>
      <c r="D853" s="116"/>
      <c r="E853" s="182"/>
      <c r="F853" s="182"/>
      <c r="G853" s="173"/>
      <c r="H853" s="175"/>
      <c r="I853" s="116"/>
      <c r="J853" s="116"/>
      <c r="K853" s="116"/>
      <c r="L853" s="116"/>
      <c r="M853" s="177"/>
      <c r="N853" s="177"/>
      <c r="O853" s="177"/>
      <c r="P853" s="116"/>
      <c r="Q853" s="177"/>
      <c r="R853" s="116"/>
      <c r="S853" s="177"/>
      <c r="T853" s="116"/>
      <c r="U853" s="175"/>
      <c r="V853" s="179" t="s">
        <v>369</v>
      </c>
      <c r="W853" s="116" t="s">
        <v>370</v>
      </c>
      <c r="X853" s="179" t="s">
        <v>369</v>
      </c>
      <c r="Y853" s="1450">
        <v>200132003001</v>
      </c>
      <c r="Z853" s="1450"/>
      <c r="AA853" s="1450"/>
      <c r="AB853" s="175"/>
      <c r="AC853" s="116"/>
      <c r="AD853" s="116"/>
      <c r="AE853" s="177"/>
      <c r="AF853" s="116"/>
      <c r="AG853" s="116"/>
      <c r="AH853" s="116"/>
      <c r="AI853" s="353">
        <v>0.31659999999999999</v>
      </c>
      <c r="AJ853" s="39"/>
      <c r="AK853" s="39"/>
      <c r="AL853" s="39"/>
      <c r="AM853" s="51">
        <f>AE$843*AI853+SUM(AJ853:AL853)</f>
        <v>0.95639583333333333</v>
      </c>
      <c r="AN853" s="3" t="s">
        <v>81</v>
      </c>
      <c r="AO853" s="3" t="s">
        <v>81</v>
      </c>
      <c r="AP853" s="3" t="s">
        <v>81</v>
      </c>
      <c r="AQ853" s="3" t="s">
        <v>81</v>
      </c>
      <c r="AR853" s="3" t="s">
        <v>81</v>
      </c>
      <c r="AS853" s="3" t="s">
        <v>81</v>
      </c>
      <c r="AT853" s="3" t="s">
        <v>371</v>
      </c>
      <c r="AU853" s="3" t="s">
        <v>81</v>
      </c>
      <c r="AV853" s="3" t="s">
        <v>371</v>
      </c>
      <c r="AW853" s="3" t="s">
        <v>81</v>
      </c>
      <c r="AX853" s="1414" t="s">
        <v>81</v>
      </c>
      <c r="AY853" s="3"/>
      <c r="AZ853" s="140"/>
      <c r="BA853" s="140"/>
      <c r="BB853" s="139"/>
      <c r="BC853" s="139"/>
      <c r="BD853" s="139"/>
      <c r="BE853" s="3"/>
    </row>
    <row r="854" spans="1:57" ht="15" customHeight="1" x14ac:dyDescent="0.4">
      <c r="A854" s="3"/>
      <c r="B854" s="1023"/>
      <c r="C854" s="447"/>
      <c r="D854" s="3"/>
      <c r="E854" s="155"/>
      <c r="F854" s="155"/>
      <c r="G854" s="7"/>
      <c r="H854" s="20"/>
      <c r="I854" s="3"/>
      <c r="J854" s="3"/>
      <c r="K854" s="3"/>
      <c r="L854" s="3"/>
      <c r="M854" s="5"/>
      <c r="N854" s="5"/>
      <c r="O854" s="5"/>
      <c r="P854" s="3"/>
      <c r="Q854" s="5"/>
      <c r="R854" s="3"/>
      <c r="S854" s="5"/>
      <c r="T854" s="3"/>
      <c r="U854" s="20"/>
      <c r="V854" s="38" t="s">
        <v>369</v>
      </c>
      <c r="W854" s="3" t="s">
        <v>372</v>
      </c>
      <c r="X854" s="38" t="s">
        <v>369</v>
      </c>
      <c r="Y854" s="1445">
        <v>200132021001</v>
      </c>
      <c r="Z854" s="1445"/>
      <c r="AA854" s="1445"/>
      <c r="AB854" s="20"/>
      <c r="AC854" s="3"/>
      <c r="AD854" s="3"/>
      <c r="AE854" s="5"/>
      <c r="AF854" s="3"/>
      <c r="AG854" s="3"/>
      <c r="AH854" s="3"/>
      <c r="AI854" s="353">
        <v>0.3352</v>
      </c>
      <c r="AJ854" s="39"/>
      <c r="AK854" s="39"/>
      <c r="AL854" s="39"/>
      <c r="AM854" s="51">
        <f t="shared" ref="AM854:AM859" si="94">AE$843*AI854+SUM(AJ854:AL854)</f>
        <v>1.0125833333333334</v>
      </c>
      <c r="AN854" s="3" t="s">
        <v>371</v>
      </c>
      <c r="AO854" s="3" t="s">
        <v>371</v>
      </c>
      <c r="AP854" s="3" t="s">
        <v>371</v>
      </c>
      <c r="AQ854" s="3" t="s">
        <v>371</v>
      </c>
      <c r="AR854" s="3" t="s">
        <v>371</v>
      </c>
      <c r="AS854" s="3" t="s">
        <v>371</v>
      </c>
      <c r="AT854" s="3" t="s">
        <v>371</v>
      </c>
      <c r="AU854" s="3" t="s">
        <v>371</v>
      </c>
      <c r="AV854" s="3" t="s">
        <v>371</v>
      </c>
      <c r="AW854" s="3" t="s">
        <v>371</v>
      </c>
      <c r="AX854" s="1414" t="s">
        <v>371</v>
      </c>
      <c r="AY854" s="3"/>
      <c r="AZ854" s="140"/>
      <c r="BA854" s="140"/>
      <c r="BB854" s="139"/>
      <c r="BC854" s="139"/>
      <c r="BD854" s="139"/>
      <c r="BE854" s="3"/>
    </row>
    <row r="855" spans="1:57" ht="15" customHeight="1" x14ac:dyDescent="0.4">
      <c r="A855" s="3"/>
      <c r="B855" s="1023"/>
      <c r="C855" s="447"/>
      <c r="D855" s="3"/>
      <c r="E855" s="155"/>
      <c r="F855" s="155"/>
      <c r="G855" s="7"/>
      <c r="H855" s="20"/>
      <c r="I855" s="3"/>
      <c r="J855" s="3"/>
      <c r="K855" s="3"/>
      <c r="L855" s="3"/>
      <c r="M855" s="5"/>
      <c r="N855" s="5"/>
      <c r="O855" s="5"/>
      <c r="P855" s="3"/>
      <c r="Q855" s="5"/>
      <c r="R855" s="3"/>
      <c r="S855" s="5"/>
      <c r="T855" s="3"/>
      <c r="U855" s="20"/>
      <c r="V855" s="38" t="s">
        <v>369</v>
      </c>
      <c r="W855" s="3" t="s">
        <v>373</v>
      </c>
      <c r="X855" s="38" t="s">
        <v>369</v>
      </c>
      <c r="Y855" s="1445">
        <v>200132033001</v>
      </c>
      <c r="Z855" s="1445"/>
      <c r="AA855" s="1445"/>
      <c r="AB855" s="20"/>
      <c r="AC855" s="3"/>
      <c r="AD855" s="3"/>
      <c r="AE855" s="5"/>
      <c r="AF855" s="3"/>
      <c r="AG855" s="3"/>
      <c r="AH855" s="3"/>
      <c r="AI855" s="353">
        <v>0.35749999999999998</v>
      </c>
      <c r="AJ855" s="39"/>
      <c r="AK855" s="39"/>
      <c r="AL855" s="39"/>
      <c r="AM855" s="51">
        <f t="shared" si="94"/>
        <v>1.0799479166666666</v>
      </c>
      <c r="AN855" s="3" t="s">
        <v>371</v>
      </c>
      <c r="AO855" s="3" t="s">
        <v>371</v>
      </c>
      <c r="AP855" s="3" t="s">
        <v>371</v>
      </c>
      <c r="AQ855" s="3" t="s">
        <v>371</v>
      </c>
      <c r="AR855" s="3" t="s">
        <v>371</v>
      </c>
      <c r="AS855" s="3" t="s">
        <v>371</v>
      </c>
      <c r="AT855" s="3" t="s">
        <v>371</v>
      </c>
      <c r="AU855" s="3" t="s">
        <v>371</v>
      </c>
      <c r="AV855" s="3" t="s">
        <v>81</v>
      </c>
      <c r="AW855" s="3" t="s">
        <v>371</v>
      </c>
      <c r="AX855" s="1414" t="s">
        <v>371</v>
      </c>
      <c r="AY855" s="3"/>
      <c r="AZ855" s="140"/>
      <c r="BA855" s="140"/>
      <c r="BB855" s="139"/>
      <c r="BC855" s="139"/>
      <c r="BD855" s="139"/>
      <c r="BE855" s="3"/>
    </row>
    <row r="856" spans="1:57" ht="15" customHeight="1" x14ac:dyDescent="0.4">
      <c r="A856" s="3"/>
      <c r="B856" s="1023"/>
      <c r="C856" s="447"/>
      <c r="D856" s="3"/>
      <c r="E856" s="155"/>
      <c r="F856" s="155"/>
      <c r="G856" s="7"/>
      <c r="H856" s="20"/>
      <c r="I856" s="3"/>
      <c r="J856" s="3"/>
      <c r="K856" s="3"/>
      <c r="L856" s="3"/>
      <c r="M856" s="5"/>
      <c r="N856" s="5"/>
      <c r="O856" s="5"/>
      <c r="P856" s="3"/>
      <c r="Q856" s="5"/>
      <c r="R856" s="3"/>
      <c r="S856" s="5"/>
      <c r="T856" s="3"/>
      <c r="U856" s="20"/>
      <c r="V856" s="3" t="s">
        <v>2363</v>
      </c>
      <c r="W856" s="3" t="s">
        <v>370</v>
      </c>
      <c r="X856" s="38" t="s">
        <v>369</v>
      </c>
      <c r="Y856" s="1445">
        <v>200132127001</v>
      </c>
      <c r="Z856" s="1445"/>
      <c r="AA856" s="1445"/>
      <c r="AB856" s="20"/>
      <c r="AC856" s="3"/>
      <c r="AD856" s="3"/>
      <c r="AE856" s="5"/>
      <c r="AF856" s="3"/>
      <c r="AG856" s="3"/>
      <c r="AH856" s="3"/>
      <c r="AI856" s="353">
        <v>0.40570000000000001</v>
      </c>
      <c r="AJ856" s="39"/>
      <c r="AK856" s="39"/>
      <c r="AL856" s="39"/>
      <c r="AM856" s="51">
        <f t="shared" si="94"/>
        <v>1.2255520833333333</v>
      </c>
      <c r="AN856" s="3" t="s">
        <v>371</v>
      </c>
      <c r="AO856" s="3" t="s">
        <v>371</v>
      </c>
      <c r="AP856" s="3" t="s">
        <v>371</v>
      </c>
      <c r="AQ856" s="3" t="s">
        <v>371</v>
      </c>
      <c r="AR856" s="3" t="s">
        <v>371</v>
      </c>
      <c r="AS856" s="3" t="s">
        <v>371</v>
      </c>
      <c r="AT856" s="3" t="s">
        <v>81</v>
      </c>
      <c r="AU856" s="3" t="s">
        <v>371</v>
      </c>
      <c r="AV856" s="3" t="s">
        <v>371</v>
      </c>
      <c r="AW856" s="3" t="s">
        <v>371</v>
      </c>
      <c r="AX856" s="1414" t="s">
        <v>371</v>
      </c>
      <c r="AY856" s="3"/>
      <c r="AZ856" s="140"/>
      <c r="BA856" s="140"/>
      <c r="BB856" s="139"/>
      <c r="BC856" s="139"/>
      <c r="BD856" s="139"/>
      <c r="BE856" s="3"/>
    </row>
    <row r="857" spans="1:57" ht="15" customHeight="1" x14ac:dyDescent="0.4">
      <c r="A857" s="3"/>
      <c r="B857" s="1023"/>
      <c r="C857" s="447"/>
      <c r="D857" s="3"/>
      <c r="E857" s="155"/>
      <c r="F857" s="155"/>
      <c r="G857" s="7"/>
      <c r="H857" s="20"/>
      <c r="I857" s="3"/>
      <c r="J857" s="3"/>
      <c r="K857" s="3"/>
      <c r="L857" s="3"/>
      <c r="M857" s="5"/>
      <c r="N857" s="5"/>
      <c r="O857" s="5"/>
      <c r="P857" s="3"/>
      <c r="Q857" s="5"/>
      <c r="R857" s="3"/>
      <c r="S857" s="5"/>
      <c r="T857" s="3"/>
      <c r="U857" s="20"/>
      <c r="V857" s="3" t="s">
        <v>2364</v>
      </c>
      <c r="W857" s="3" t="s">
        <v>370</v>
      </c>
      <c r="X857" s="38" t="s">
        <v>369</v>
      </c>
      <c r="Y857" s="1445">
        <v>200132129001</v>
      </c>
      <c r="Z857" s="1445"/>
      <c r="AA857" s="1445"/>
      <c r="AB857" s="20"/>
      <c r="AC857" s="3"/>
      <c r="AD857" s="3"/>
      <c r="AE857" s="5"/>
      <c r="AF857" s="3"/>
      <c r="AG857" s="3"/>
      <c r="AH857" s="3"/>
      <c r="AI857" s="353">
        <v>0.39760000000000001</v>
      </c>
      <c r="AJ857" s="39"/>
      <c r="AK857" s="39"/>
      <c r="AL857" s="39"/>
      <c r="AM857" s="51">
        <f>AE$843*AI857+SUM(AJ857:AL857)</f>
        <v>1.2010833333333335</v>
      </c>
      <c r="AN857" s="3" t="s">
        <v>371</v>
      </c>
      <c r="AO857" s="3" t="s">
        <v>371</v>
      </c>
      <c r="AP857" s="3" t="s">
        <v>371</v>
      </c>
      <c r="AQ857" s="3" t="s">
        <v>371</v>
      </c>
      <c r="AR857" s="3" t="s">
        <v>371</v>
      </c>
      <c r="AS857" s="3" t="s">
        <v>371</v>
      </c>
      <c r="AT857" s="3" t="s">
        <v>371</v>
      </c>
      <c r="AU857" s="3" t="s">
        <v>371</v>
      </c>
      <c r="AV857" s="3" t="s">
        <v>371</v>
      </c>
      <c r="AW857" s="3" t="s">
        <v>371</v>
      </c>
      <c r="AX857" s="1414" t="s">
        <v>371</v>
      </c>
      <c r="AY857" s="3"/>
      <c r="AZ857" s="140"/>
      <c r="BA857" s="140"/>
      <c r="BB857" s="139"/>
      <c r="BC857" s="139"/>
      <c r="BD857" s="139"/>
      <c r="BE857" s="3"/>
    </row>
    <row r="858" spans="1:57" ht="15" customHeight="1" x14ac:dyDescent="0.4">
      <c r="A858" s="3"/>
      <c r="B858" s="1023"/>
      <c r="C858" s="447"/>
      <c r="D858" s="3"/>
      <c r="E858" s="155"/>
      <c r="F858" s="155"/>
      <c r="G858" s="7"/>
      <c r="H858" s="20"/>
      <c r="I858" s="3"/>
      <c r="J858" s="3"/>
      <c r="K858" s="3"/>
      <c r="L858" s="3"/>
      <c r="M858" s="5"/>
      <c r="N858" s="5"/>
      <c r="O858" s="5"/>
      <c r="P858" s="3"/>
      <c r="Q858" s="5"/>
      <c r="R858" s="3"/>
      <c r="S858" s="5"/>
      <c r="T858" s="3"/>
      <c r="U858" s="20"/>
      <c r="V858" s="3" t="s">
        <v>2365</v>
      </c>
      <c r="W858" s="3" t="s">
        <v>370</v>
      </c>
      <c r="X858" s="38" t="s">
        <v>369</v>
      </c>
      <c r="Y858" s="1445">
        <v>200132134001</v>
      </c>
      <c r="Z858" s="1445"/>
      <c r="AA858" s="1445"/>
      <c r="AB858" s="20"/>
      <c r="AC858" s="3"/>
      <c r="AD858" s="3"/>
      <c r="AE858" s="5"/>
      <c r="AF858" s="3"/>
      <c r="AG858" s="3"/>
      <c r="AH858" s="3"/>
      <c r="AI858" s="353">
        <v>0.42980000000000002</v>
      </c>
      <c r="AJ858" s="39"/>
      <c r="AK858" s="39"/>
      <c r="AL858" s="39"/>
      <c r="AM858" s="51">
        <f t="shared" si="94"/>
        <v>1.2983541666666667</v>
      </c>
      <c r="AN858" s="3" t="s">
        <v>371</v>
      </c>
      <c r="AO858" s="3" t="s">
        <v>371</v>
      </c>
      <c r="AP858" s="3" t="s">
        <v>371</v>
      </c>
      <c r="AQ858" s="3" t="s">
        <v>371</v>
      </c>
      <c r="AR858" s="3" t="s">
        <v>371</v>
      </c>
      <c r="AS858" s="3" t="s">
        <v>371</v>
      </c>
      <c r="AT858" s="3" t="s">
        <v>371</v>
      </c>
      <c r="AU858" s="3" t="s">
        <v>371</v>
      </c>
      <c r="AV858" s="3" t="s">
        <v>371</v>
      </c>
      <c r="AW858" s="3" t="s">
        <v>371</v>
      </c>
      <c r="AX858" s="1414" t="s">
        <v>371</v>
      </c>
      <c r="AY858" s="3"/>
      <c r="AZ858" s="140"/>
      <c r="BA858" s="140"/>
      <c r="BB858" s="139"/>
      <c r="BC858" s="139"/>
      <c r="BD858" s="139"/>
      <c r="BE858" s="3"/>
    </row>
    <row r="859" spans="1:57" ht="15" customHeight="1" x14ac:dyDescent="0.4">
      <c r="A859" s="3"/>
      <c r="B859" s="1023"/>
      <c r="C859" s="447"/>
      <c r="D859" s="3"/>
      <c r="E859" s="155"/>
      <c r="F859" s="155"/>
      <c r="G859" s="7"/>
      <c r="H859" s="20"/>
      <c r="I859" s="3"/>
      <c r="J859" s="3"/>
      <c r="K859" s="3"/>
      <c r="L859" s="3"/>
      <c r="M859" s="5"/>
      <c r="N859" s="5"/>
      <c r="O859" s="5"/>
      <c r="P859" s="3"/>
      <c r="Q859" s="5"/>
      <c r="R859" s="3"/>
      <c r="S859" s="5"/>
      <c r="T859" s="3"/>
      <c r="U859" s="20"/>
      <c r="V859" s="112" t="s">
        <v>2367</v>
      </c>
      <c r="W859" s="112" t="s">
        <v>370</v>
      </c>
      <c r="X859" s="279" t="s">
        <v>369</v>
      </c>
      <c r="Y859" s="1872">
        <v>200132152001</v>
      </c>
      <c r="Z859" s="1445"/>
      <c r="AA859" s="1445"/>
      <c r="AB859" s="20"/>
      <c r="AC859" s="3"/>
      <c r="AD859" s="3"/>
      <c r="AE859" s="5"/>
      <c r="AF859" s="3"/>
      <c r="AG859" s="3"/>
      <c r="AH859" s="3"/>
      <c r="AI859" s="353">
        <v>0.40429999999999999</v>
      </c>
      <c r="AJ859" s="39"/>
      <c r="AK859" s="39"/>
      <c r="AL859" s="39"/>
      <c r="AM859" s="51">
        <f t="shared" si="94"/>
        <v>1.2213229166666668</v>
      </c>
      <c r="AN859" s="3" t="s">
        <v>371</v>
      </c>
      <c r="AO859" s="3" t="s">
        <v>371</v>
      </c>
      <c r="AP859" s="3" t="s">
        <v>371</v>
      </c>
      <c r="AQ859" s="3" t="s">
        <v>371</v>
      </c>
      <c r="AR859" s="3" t="s">
        <v>371</v>
      </c>
      <c r="AS859" s="3" t="s">
        <v>371</v>
      </c>
      <c r="AT859" s="3" t="s">
        <v>371</v>
      </c>
      <c r="AU859" s="3" t="s">
        <v>371</v>
      </c>
      <c r="AV859" s="3" t="s">
        <v>371</v>
      </c>
      <c r="AW859" s="3" t="s">
        <v>371</v>
      </c>
      <c r="AX859" s="1414" t="s">
        <v>371</v>
      </c>
      <c r="AY859" s="3"/>
      <c r="AZ859" s="140"/>
      <c r="BA859" s="140"/>
      <c r="BB859" s="139"/>
      <c r="BC859" s="139"/>
      <c r="BD859" s="139"/>
      <c r="BE859" s="3"/>
    </row>
    <row r="860" spans="1:57" ht="15" customHeight="1" thickBot="1" x14ac:dyDescent="0.45">
      <c r="A860" s="3"/>
      <c r="B860" s="1023"/>
      <c r="C860" s="447"/>
      <c r="D860" s="3"/>
      <c r="E860" s="155"/>
      <c r="F860" s="155"/>
      <c r="G860" s="7"/>
      <c r="H860" s="20"/>
      <c r="I860" s="3"/>
      <c r="J860" s="3"/>
      <c r="K860" s="3"/>
      <c r="L860" s="3"/>
      <c r="M860" s="5"/>
      <c r="N860" s="5"/>
      <c r="O860" s="5"/>
      <c r="P860" s="3"/>
      <c r="Q860" s="5"/>
      <c r="R860" s="3"/>
      <c r="S860" s="5"/>
      <c r="T860" s="3"/>
      <c r="U860" s="20"/>
      <c r="V860" s="889" t="s">
        <v>2365</v>
      </c>
      <c r="W860" s="889" t="s">
        <v>370</v>
      </c>
      <c r="X860" s="888" t="s">
        <v>2365</v>
      </c>
      <c r="Y860" s="1451">
        <v>200132181177</v>
      </c>
      <c r="Z860" s="1445"/>
      <c r="AA860" s="1445"/>
      <c r="AB860" s="20"/>
      <c r="AC860" s="3"/>
      <c r="AD860" s="3"/>
      <c r="AE860" s="5"/>
      <c r="AF860" s="3"/>
      <c r="AG860" s="3"/>
      <c r="AH860" s="3"/>
      <c r="AI860" s="353"/>
      <c r="AJ860" s="39"/>
      <c r="AK860" s="39"/>
      <c r="AL860" s="39"/>
      <c r="AM860" s="51"/>
      <c r="AN860" s="889" t="s">
        <v>92</v>
      </c>
      <c r="AO860" s="889" t="s">
        <v>92</v>
      </c>
      <c r="AP860" s="889" t="s">
        <v>92</v>
      </c>
      <c r="AQ860" s="889" t="s">
        <v>92</v>
      </c>
      <c r="AR860" s="889" t="s">
        <v>92</v>
      </c>
      <c r="AS860" s="889" t="s">
        <v>92</v>
      </c>
      <c r="AT860" s="889" t="s">
        <v>92</v>
      </c>
      <c r="AU860" s="889" t="s">
        <v>92</v>
      </c>
      <c r="AV860" s="889" t="s">
        <v>92</v>
      </c>
      <c r="AW860" s="889" t="s">
        <v>92</v>
      </c>
      <c r="AX860" s="1590" t="s">
        <v>81</v>
      </c>
      <c r="AY860" s="889"/>
      <c r="AZ860" s="140"/>
      <c r="BA860" s="140"/>
      <c r="BB860" s="139"/>
      <c r="BC860" s="139"/>
      <c r="BD860" s="139"/>
      <c r="BE860" s="3"/>
    </row>
    <row r="861" spans="1:57" ht="15" customHeight="1" x14ac:dyDescent="0.4">
      <c r="A861" s="3"/>
      <c r="B861" s="173" t="s">
        <v>2219</v>
      </c>
      <c r="C861" s="116"/>
      <c r="D861" s="116"/>
      <c r="E861" s="116"/>
      <c r="F861" s="116"/>
      <c r="G861" s="173"/>
      <c r="H861" s="193"/>
      <c r="I861" s="116" t="s">
        <v>392</v>
      </c>
      <c r="J861" s="116"/>
      <c r="K861" s="116"/>
      <c r="L861" s="116" t="s">
        <v>348</v>
      </c>
      <c r="M861" s="177">
        <v>-2.4380000000000002</v>
      </c>
      <c r="N861" s="177"/>
      <c r="O861" s="177"/>
      <c r="P861" s="177"/>
      <c r="Q861" s="177"/>
      <c r="R861" s="381" t="s">
        <v>352</v>
      </c>
      <c r="S861" s="177">
        <f>SHWidth+M861+O861</f>
        <v>36.124499999999998</v>
      </c>
      <c r="T861" s="381" t="s">
        <v>366</v>
      </c>
      <c r="U861" s="193"/>
      <c r="V861" s="179"/>
      <c r="W861" s="116"/>
      <c r="X861" s="179"/>
      <c r="Y861" s="116"/>
      <c r="Z861" s="116"/>
      <c r="AA861" s="116"/>
      <c r="AB861" s="193"/>
      <c r="AC861" s="116">
        <v>45</v>
      </c>
      <c r="AD861" s="116">
        <v>1</v>
      </c>
      <c r="AE861" s="177">
        <f>S861*AD861/12</f>
        <v>3.0103749999999998</v>
      </c>
      <c r="AF861" s="116" t="s">
        <v>367</v>
      </c>
      <c r="AG861" s="179" t="s">
        <v>8</v>
      </c>
      <c r="AH861" s="179" t="s">
        <v>8</v>
      </c>
      <c r="AI861" s="185"/>
      <c r="AJ861" s="185"/>
      <c r="AK861" s="185"/>
      <c r="AL861" s="185"/>
      <c r="AM861" s="180"/>
      <c r="AN861" s="3"/>
      <c r="AO861" s="3"/>
      <c r="AP861" s="3"/>
      <c r="AQ861" s="3"/>
      <c r="AR861" s="3"/>
      <c r="AS861" s="3"/>
      <c r="AT861" s="3"/>
      <c r="AU861" s="3"/>
      <c r="AV861" s="3"/>
      <c r="AW861" s="3"/>
      <c r="AX861" s="1414"/>
      <c r="AY861" s="3"/>
      <c r="AZ861" s="139"/>
      <c r="BA861" s="139"/>
      <c r="BB861" s="139"/>
      <c r="BC861" s="139"/>
      <c r="BD861" s="139"/>
      <c r="BE861" s="3"/>
    </row>
    <row r="862" spans="1:57" ht="15" customHeight="1" x14ac:dyDescent="0.4">
      <c r="A862" s="3"/>
      <c r="B862" s="36"/>
      <c r="C862" s="7"/>
      <c r="D862" s="7"/>
      <c r="E862" s="7"/>
      <c r="F862" s="7"/>
      <c r="G862" s="7"/>
      <c r="H862" s="14"/>
      <c r="I862" s="3"/>
      <c r="J862" s="3"/>
      <c r="K862" s="3"/>
      <c r="L862" s="3"/>
      <c r="M862" s="5"/>
      <c r="N862" s="5"/>
      <c r="O862" s="5"/>
      <c r="P862" s="5"/>
      <c r="Q862" s="5"/>
      <c r="R862" s="376"/>
      <c r="S862" s="5"/>
      <c r="T862" s="376"/>
      <c r="U862" s="14"/>
      <c r="V862" s="38" t="s">
        <v>369</v>
      </c>
      <c r="W862" s="3" t="s">
        <v>370</v>
      </c>
      <c r="X862" s="38" t="s">
        <v>369</v>
      </c>
      <c r="Y862" s="1443">
        <v>600067003</v>
      </c>
      <c r="Z862" s="1443"/>
      <c r="AA862" s="1443"/>
      <c r="AB862" s="14"/>
      <c r="AC862" s="3"/>
      <c r="AD862" s="3"/>
      <c r="AE862" s="5"/>
      <c r="AF862" s="3"/>
      <c r="AG862" s="38"/>
      <c r="AH862" s="5"/>
      <c r="AI862" s="353">
        <v>0.107</v>
      </c>
      <c r="AJ862" s="39"/>
      <c r="AK862" s="39"/>
      <c r="AL862" s="39"/>
      <c r="AM862" s="51">
        <f>AE$861*AI862+SUM(AJ862:AL862)</f>
        <v>0.32211012499999997</v>
      </c>
      <c r="AN862" s="3" t="s">
        <v>81</v>
      </c>
      <c r="AO862" s="3" t="s">
        <v>81</v>
      </c>
      <c r="AP862" s="3" t="s">
        <v>81</v>
      </c>
      <c r="AQ862" s="3" t="s">
        <v>81</v>
      </c>
      <c r="AR862" s="3" t="s">
        <v>81</v>
      </c>
      <c r="AS862" s="3" t="s">
        <v>81</v>
      </c>
      <c r="AT862" s="3" t="s">
        <v>371</v>
      </c>
      <c r="AU862" s="3" t="s">
        <v>81</v>
      </c>
      <c r="AV862" s="3" t="s">
        <v>371</v>
      </c>
      <c r="AW862" s="3" t="s">
        <v>81</v>
      </c>
      <c r="AX862" s="1414" t="s">
        <v>81</v>
      </c>
      <c r="AY862" s="3"/>
      <c r="AZ862" s="139"/>
      <c r="BA862" s="139"/>
      <c r="BB862" s="139"/>
      <c r="BC862" s="139"/>
      <c r="BD862" s="139"/>
      <c r="BE862" s="3"/>
    </row>
    <row r="863" spans="1:57" ht="15" customHeight="1" x14ac:dyDescent="0.4">
      <c r="A863" s="3"/>
      <c r="B863" s="36"/>
      <c r="C863" s="7"/>
      <c r="D863" s="7"/>
      <c r="E863" s="7"/>
      <c r="F863" s="7"/>
      <c r="G863" s="7"/>
      <c r="H863" s="14"/>
      <c r="I863" s="3"/>
      <c r="J863" s="3"/>
      <c r="K863" s="3"/>
      <c r="L863" s="3"/>
      <c r="M863" s="5"/>
      <c r="N863" s="5"/>
      <c r="O863" s="5"/>
      <c r="P863" s="5"/>
      <c r="Q863" s="5"/>
      <c r="R863" s="376"/>
      <c r="S863" s="5"/>
      <c r="T863" s="376"/>
      <c r="U863" s="14"/>
      <c r="V863" s="38" t="s">
        <v>369</v>
      </c>
      <c r="W863" s="3" t="s">
        <v>372</v>
      </c>
      <c r="X863" s="38" t="s">
        <v>369</v>
      </c>
      <c r="Y863" s="1443">
        <v>600067021</v>
      </c>
      <c r="Z863" s="1443"/>
      <c r="AA863" s="1443"/>
      <c r="AB863" s="14"/>
      <c r="AC863" s="3"/>
      <c r="AD863" s="3"/>
      <c r="AE863" s="5"/>
      <c r="AF863" s="3"/>
      <c r="AG863" s="3"/>
      <c r="AH863" s="5"/>
      <c r="AI863" s="353">
        <v>0.1095</v>
      </c>
      <c r="AJ863" s="39"/>
      <c r="AK863" s="39"/>
      <c r="AL863" s="39"/>
      <c r="AM863" s="51">
        <f t="shared" ref="AM863:AM865" si="95">AE$861*AI863+SUM(AJ863:AL863)</f>
        <v>0.32963606249999999</v>
      </c>
      <c r="AN863" s="3" t="s">
        <v>371</v>
      </c>
      <c r="AO863" s="3" t="s">
        <v>371</v>
      </c>
      <c r="AP863" s="3" t="s">
        <v>371</v>
      </c>
      <c r="AQ863" s="3" t="s">
        <v>371</v>
      </c>
      <c r="AR863" s="3" t="s">
        <v>371</v>
      </c>
      <c r="AS863" s="3" t="s">
        <v>371</v>
      </c>
      <c r="AT863" s="3" t="s">
        <v>371</v>
      </c>
      <c r="AU863" s="3" t="s">
        <v>371</v>
      </c>
      <c r="AV863" s="3" t="s">
        <v>371</v>
      </c>
      <c r="AW863" s="3" t="s">
        <v>371</v>
      </c>
      <c r="AX863" s="1414" t="s">
        <v>371</v>
      </c>
      <c r="AY863" s="3"/>
      <c r="AZ863" s="139"/>
      <c r="BA863" s="139"/>
      <c r="BB863" s="139"/>
      <c r="BC863" s="139"/>
      <c r="BD863" s="139"/>
      <c r="BE863" s="3"/>
    </row>
    <row r="864" spans="1:57" ht="15" customHeight="1" x14ac:dyDescent="0.4">
      <c r="A864" s="3"/>
      <c r="B864" s="36"/>
      <c r="C864" s="7"/>
      <c r="D864" s="7"/>
      <c r="E864" s="7"/>
      <c r="F864" s="7"/>
      <c r="G864" s="7"/>
      <c r="H864" s="14"/>
      <c r="I864" s="3"/>
      <c r="J864" s="3"/>
      <c r="K864" s="3"/>
      <c r="L864" s="3"/>
      <c r="M864" s="5"/>
      <c r="N864" s="5"/>
      <c r="O864" s="5"/>
      <c r="P864" s="5"/>
      <c r="Q864" s="5"/>
      <c r="R864" s="376"/>
      <c r="S864" s="5"/>
      <c r="T864" s="376"/>
      <c r="U864" s="14"/>
      <c r="V864" s="38" t="s">
        <v>369</v>
      </c>
      <c r="W864" s="3" t="s">
        <v>373</v>
      </c>
      <c r="X864" s="38" t="s">
        <v>369</v>
      </c>
      <c r="Y864" s="1443">
        <v>600067033</v>
      </c>
      <c r="Z864" s="1443"/>
      <c r="AA864" s="1443"/>
      <c r="AB864" s="14"/>
      <c r="AC864" s="3"/>
      <c r="AD864" s="3"/>
      <c r="AE864" s="5"/>
      <c r="AF864" s="3"/>
      <c r="AG864" s="3"/>
      <c r="AH864" s="5"/>
      <c r="AI864" s="353">
        <v>0.10829999999999999</v>
      </c>
      <c r="AJ864" s="39"/>
      <c r="AK864" s="39"/>
      <c r="AL864" s="39"/>
      <c r="AM864" s="51">
        <f t="shared" si="95"/>
        <v>0.32602361249999995</v>
      </c>
      <c r="AN864" s="3" t="s">
        <v>371</v>
      </c>
      <c r="AO864" s="3" t="s">
        <v>371</v>
      </c>
      <c r="AP864" s="3" t="s">
        <v>371</v>
      </c>
      <c r="AQ864" s="3" t="s">
        <v>371</v>
      </c>
      <c r="AR864" s="3" t="s">
        <v>371</v>
      </c>
      <c r="AS864" s="3" t="s">
        <v>371</v>
      </c>
      <c r="AT864" s="3" t="s">
        <v>371</v>
      </c>
      <c r="AU864" s="3" t="s">
        <v>371</v>
      </c>
      <c r="AV864" s="3" t="s">
        <v>81</v>
      </c>
      <c r="AW864" s="3" t="s">
        <v>371</v>
      </c>
      <c r="AX864" s="1414" t="s">
        <v>371</v>
      </c>
      <c r="AY864" s="3"/>
      <c r="AZ864" s="139"/>
      <c r="BA864" s="139"/>
      <c r="BB864" s="139"/>
      <c r="BC864" s="139"/>
      <c r="BD864" s="139"/>
      <c r="BE864" s="3"/>
    </row>
    <row r="865" spans="1:57" ht="15" customHeight="1" thickBot="1" x14ac:dyDescent="0.45">
      <c r="A865" s="3"/>
      <c r="B865" s="36"/>
      <c r="C865" s="7"/>
      <c r="D865" s="7"/>
      <c r="E865" s="7"/>
      <c r="F865" s="7"/>
      <c r="G865" s="7"/>
      <c r="H865" s="14"/>
      <c r="I865" s="3"/>
      <c r="J865" s="3"/>
      <c r="K865" s="3"/>
      <c r="L865" s="3"/>
      <c r="M865" s="5"/>
      <c r="N865" s="5"/>
      <c r="O865" s="5"/>
      <c r="P865" s="5"/>
      <c r="Q865" s="5"/>
      <c r="R865" s="376"/>
      <c r="S865" s="5"/>
      <c r="T865" s="42" t="s">
        <v>852</v>
      </c>
      <c r="U865" s="14"/>
      <c r="V865" s="888" t="s">
        <v>369</v>
      </c>
      <c r="W865" s="889" t="s">
        <v>375</v>
      </c>
      <c r="X865" s="888" t="s">
        <v>369</v>
      </c>
      <c r="Y865" s="1444">
        <v>600067012</v>
      </c>
      <c r="Z865" s="1443"/>
      <c r="AA865" s="1443"/>
      <c r="AB865" s="14"/>
      <c r="AC865" s="3"/>
      <c r="AD865" s="3"/>
      <c r="AE865" s="5"/>
      <c r="AF865" s="3"/>
      <c r="AG865" s="3"/>
      <c r="AH865" s="5"/>
      <c r="AI865" s="353">
        <v>0.1095</v>
      </c>
      <c r="AJ865" s="39"/>
      <c r="AK865" s="39"/>
      <c r="AL865" s="39"/>
      <c r="AM865" s="51">
        <f t="shared" si="95"/>
        <v>0.32963606249999999</v>
      </c>
      <c r="AN865" s="889" t="s">
        <v>371</v>
      </c>
      <c r="AO865" s="889" t="s">
        <v>371</v>
      </c>
      <c r="AP865" s="889" t="s">
        <v>371</v>
      </c>
      <c r="AQ865" s="889" t="s">
        <v>371</v>
      </c>
      <c r="AR865" s="889" t="s">
        <v>371</v>
      </c>
      <c r="AS865" s="889" t="s">
        <v>371</v>
      </c>
      <c r="AT865" s="1844" t="s">
        <v>81</v>
      </c>
      <c r="AU865" s="889" t="s">
        <v>371</v>
      </c>
      <c r="AV865" s="889" t="s">
        <v>371</v>
      </c>
      <c r="AW865" s="889" t="s">
        <v>371</v>
      </c>
      <c r="AX865" s="1590" t="s">
        <v>371</v>
      </c>
      <c r="AY865" s="889"/>
      <c r="AZ865" s="139"/>
      <c r="BA865" s="139"/>
      <c r="BB865" s="139"/>
      <c r="BC865" s="139"/>
      <c r="BD865" s="139"/>
      <c r="BE865" s="3"/>
    </row>
    <row r="866" spans="1:57" ht="15" customHeight="1" x14ac:dyDescent="0.4">
      <c r="A866" s="3" t="s">
        <v>503</v>
      </c>
      <c r="B866" s="173" t="s">
        <v>856</v>
      </c>
      <c r="C866" s="138"/>
      <c r="D866" s="138"/>
      <c r="E866" s="138"/>
      <c r="F866" s="138"/>
      <c r="G866" s="173"/>
      <c r="H866" s="193"/>
      <c r="I866" s="116" t="s">
        <v>392</v>
      </c>
      <c r="J866" s="116"/>
      <c r="K866" s="116"/>
      <c r="L866" s="116" t="s">
        <v>348</v>
      </c>
      <c r="M866" s="177">
        <v>-4.8129999999999997</v>
      </c>
      <c r="N866" s="177"/>
      <c r="O866" s="177"/>
      <c r="P866" s="177"/>
      <c r="Q866" s="177"/>
      <c r="R866" s="116" t="s">
        <v>352</v>
      </c>
      <c r="S866" s="177">
        <f>SHWidth+M866</f>
        <v>33.749499999999998</v>
      </c>
      <c r="T866" s="116" t="s">
        <v>366</v>
      </c>
      <c r="U866" s="193"/>
      <c r="V866" s="138"/>
      <c r="W866" s="138"/>
      <c r="X866" s="138"/>
      <c r="Y866" s="1449"/>
      <c r="Z866" s="1449"/>
      <c r="AA866" s="1449"/>
      <c r="AB866" s="193"/>
      <c r="AC866" s="116">
        <v>45</v>
      </c>
      <c r="AD866" s="116">
        <v>2</v>
      </c>
      <c r="AE866" s="177">
        <f>S866*AD866/12</f>
        <v>5.6249166666666666</v>
      </c>
      <c r="AF866" s="116" t="s">
        <v>367</v>
      </c>
      <c r="AG866" s="179">
        <f>AG887</f>
        <v>2.8000000000000001E-2</v>
      </c>
      <c r="AH866" s="177">
        <f>AG866*AtolbperftSH</f>
        <v>1.771E-2</v>
      </c>
      <c r="AI866" s="185"/>
      <c r="AJ866" s="185"/>
      <c r="AK866" s="185"/>
      <c r="AL866" s="185"/>
      <c r="AM866" s="180"/>
      <c r="AN866" s="3"/>
      <c r="AO866" s="3"/>
      <c r="AP866" s="3"/>
      <c r="AQ866" s="3"/>
      <c r="AR866" s="3"/>
      <c r="AS866" s="3"/>
      <c r="AT866" s="3"/>
      <c r="AU866" s="3"/>
      <c r="AV866" s="3"/>
      <c r="AW866" s="3"/>
      <c r="AX866" s="1414"/>
      <c r="AY866" s="3"/>
      <c r="AZ866" s="139"/>
      <c r="BA866" s="139"/>
      <c r="BB866" s="139"/>
      <c r="BC866" s="139"/>
      <c r="BD866" s="139"/>
      <c r="BE866" s="3"/>
    </row>
    <row r="867" spans="1:57" ht="15" customHeight="1" x14ac:dyDescent="0.4">
      <c r="A867" s="3"/>
      <c r="B867" s="1023" t="s">
        <v>2220</v>
      </c>
      <c r="C867" s="7"/>
      <c r="D867" s="7"/>
      <c r="E867" s="7"/>
      <c r="F867" s="7"/>
      <c r="G867" s="7"/>
      <c r="H867" s="14"/>
      <c r="I867" s="3"/>
      <c r="J867" s="3"/>
      <c r="K867" s="3"/>
      <c r="L867" s="3"/>
      <c r="M867" s="5"/>
      <c r="N867" s="5"/>
      <c r="O867" s="5"/>
      <c r="P867" s="5"/>
      <c r="Q867" s="5"/>
      <c r="R867" s="3"/>
      <c r="S867" s="5"/>
      <c r="T867" s="3"/>
      <c r="U867" s="14"/>
      <c r="V867" s="38" t="s">
        <v>369</v>
      </c>
      <c r="W867" s="3" t="s">
        <v>370</v>
      </c>
      <c r="X867" s="38" t="s">
        <v>369</v>
      </c>
      <c r="Y867" s="1443">
        <v>200170003</v>
      </c>
      <c r="Z867" s="1443"/>
      <c r="AA867" s="1443"/>
      <c r="AB867" s="14"/>
      <c r="AC867" s="3"/>
      <c r="AD867" s="3"/>
      <c r="AE867" s="5"/>
      <c r="AF867" s="3"/>
      <c r="AG867" s="38"/>
      <c r="AH867" s="5"/>
      <c r="AI867" s="51">
        <f>AI888</f>
        <v>5.4600000000000003E-2</v>
      </c>
      <c r="AJ867" s="39"/>
      <c r="AK867" s="39"/>
      <c r="AL867" s="39"/>
      <c r="AM867" s="51">
        <f>AE$866*AI867+SUM(AJ867:AL867)</f>
        <v>0.30712044999999999</v>
      </c>
      <c r="AN867" s="3" t="s">
        <v>81</v>
      </c>
      <c r="AO867" s="3" t="s">
        <v>81</v>
      </c>
      <c r="AP867" s="3" t="s">
        <v>81</v>
      </c>
      <c r="AQ867" s="3" t="s">
        <v>81</v>
      </c>
      <c r="AR867" s="3" t="s">
        <v>81</v>
      </c>
      <c r="AS867" s="3" t="s">
        <v>81</v>
      </c>
      <c r="AT867" s="3" t="s">
        <v>371</v>
      </c>
      <c r="AU867" s="3" t="s">
        <v>81</v>
      </c>
      <c r="AV867" s="3" t="s">
        <v>371</v>
      </c>
      <c r="AW867" s="3" t="s">
        <v>81</v>
      </c>
      <c r="AX867" s="1414" t="s">
        <v>92</v>
      </c>
      <c r="AY867" s="3"/>
      <c r="AZ867" s="139"/>
      <c r="BA867" s="139"/>
      <c r="BB867" s="139"/>
      <c r="BC867" s="139"/>
      <c r="BD867" s="139"/>
      <c r="BE867" s="3"/>
    </row>
    <row r="868" spans="1:57" ht="15" customHeight="1" x14ac:dyDescent="0.4">
      <c r="A868" s="3"/>
      <c r="B868" s="36"/>
      <c r="C868" s="7"/>
      <c r="D868" s="7"/>
      <c r="E868" s="7"/>
      <c r="F868" s="7"/>
      <c r="G868" s="7"/>
      <c r="H868" s="14"/>
      <c r="I868" s="3"/>
      <c r="J868" s="3"/>
      <c r="K868" s="3"/>
      <c r="L868" s="3"/>
      <c r="M868" s="5"/>
      <c r="N868" s="5"/>
      <c r="O868" s="5"/>
      <c r="P868" s="5"/>
      <c r="Q868" s="5"/>
      <c r="R868" s="3"/>
      <c r="S868" s="5"/>
      <c r="T868" s="3"/>
      <c r="U868" s="14"/>
      <c r="V868" s="38" t="s">
        <v>369</v>
      </c>
      <c r="W868" s="3" t="s">
        <v>372</v>
      </c>
      <c r="X868" s="38" t="s">
        <v>369</v>
      </c>
      <c r="Y868" s="1443">
        <v>200170021</v>
      </c>
      <c r="Z868" s="1443"/>
      <c r="AA868" s="1443"/>
      <c r="AB868" s="14"/>
      <c r="AC868" s="3"/>
      <c r="AD868" s="3"/>
      <c r="AE868" s="5"/>
      <c r="AF868" s="3"/>
      <c r="AG868" s="38"/>
      <c r="AH868" s="5"/>
      <c r="AI868" s="51">
        <f>AI889</f>
        <v>5.74E-2</v>
      </c>
      <c r="AJ868" s="39"/>
      <c r="AK868" s="39"/>
      <c r="AL868" s="39"/>
      <c r="AM868" s="51">
        <f>AE$866*AI868+SUM(AJ868:AL868)</f>
        <v>0.32287021666666665</v>
      </c>
      <c r="AN868" s="3" t="s">
        <v>371</v>
      </c>
      <c r="AO868" s="3" t="s">
        <v>371</v>
      </c>
      <c r="AP868" s="3" t="s">
        <v>371</v>
      </c>
      <c r="AQ868" s="3" t="s">
        <v>371</v>
      </c>
      <c r="AR868" s="3" t="s">
        <v>371</v>
      </c>
      <c r="AS868" s="3" t="s">
        <v>371</v>
      </c>
      <c r="AT868" s="3" t="s">
        <v>371</v>
      </c>
      <c r="AU868" s="3" t="s">
        <v>371</v>
      </c>
      <c r="AV868" s="3" t="s">
        <v>371</v>
      </c>
      <c r="AW868" s="3" t="s">
        <v>371</v>
      </c>
      <c r="AX868" s="1414" t="s">
        <v>92</v>
      </c>
      <c r="AY868" s="3"/>
      <c r="AZ868" s="139"/>
      <c r="BA868" s="139"/>
      <c r="BB868" s="139"/>
      <c r="BC868" s="139"/>
      <c r="BD868" s="139"/>
      <c r="BE868" s="3"/>
    </row>
    <row r="869" spans="1:57" ht="15" customHeight="1" x14ac:dyDescent="0.4">
      <c r="A869" s="3"/>
      <c r="B869" s="1947" t="s">
        <v>2393</v>
      </c>
      <c r="C869" s="7"/>
      <c r="D869" s="7"/>
      <c r="E869" s="7"/>
      <c r="F869" s="7"/>
      <c r="G869" s="7"/>
      <c r="H869" s="14"/>
      <c r="I869" s="3"/>
      <c r="J869" s="3"/>
      <c r="K869" s="3"/>
      <c r="L869" s="3"/>
      <c r="M869" s="350"/>
      <c r="N869" s="350"/>
      <c r="O869" s="350"/>
      <c r="P869" s="5"/>
      <c r="Q869" s="5"/>
      <c r="R869" s="3"/>
      <c r="S869" s="5"/>
      <c r="T869" s="3"/>
      <c r="U869" s="14"/>
      <c r="V869" s="38" t="s">
        <v>369</v>
      </c>
      <c r="W869" s="3" t="s">
        <v>373</v>
      </c>
      <c r="X869" s="38" t="s">
        <v>369</v>
      </c>
      <c r="Y869" s="1443">
        <v>200170033</v>
      </c>
      <c r="Z869" s="1443"/>
      <c r="AA869" s="1443"/>
      <c r="AB869" s="14"/>
      <c r="AC869" s="3"/>
      <c r="AD869" s="3"/>
      <c r="AE869" s="5"/>
      <c r="AF869" s="3"/>
      <c r="AG869" s="38"/>
      <c r="AH869" s="5"/>
      <c r="AI869" s="51">
        <f>AI890</f>
        <v>5.8000000000000003E-2</v>
      </c>
      <c r="AJ869" s="39"/>
      <c r="AK869" s="39"/>
      <c r="AL869" s="39"/>
      <c r="AM869" s="51">
        <f>AE$866*AI869+SUM(AJ869:AL869)</f>
        <v>0.3262451666666667</v>
      </c>
      <c r="AN869" s="3" t="s">
        <v>371</v>
      </c>
      <c r="AO869" s="3" t="s">
        <v>371</v>
      </c>
      <c r="AP869" s="3" t="s">
        <v>371</v>
      </c>
      <c r="AQ869" s="3" t="s">
        <v>371</v>
      </c>
      <c r="AR869" s="3" t="s">
        <v>371</v>
      </c>
      <c r="AS869" s="3" t="s">
        <v>371</v>
      </c>
      <c r="AT869" s="3" t="s">
        <v>371</v>
      </c>
      <c r="AU869" s="3" t="s">
        <v>371</v>
      </c>
      <c r="AV869" s="3" t="s">
        <v>81</v>
      </c>
      <c r="AW869" s="3" t="s">
        <v>371</v>
      </c>
      <c r="AX869" s="1414" t="s">
        <v>92</v>
      </c>
      <c r="AY869" s="3"/>
      <c r="AZ869" s="139"/>
      <c r="BA869" s="139"/>
      <c r="BB869" s="139"/>
      <c r="BC869" s="139"/>
      <c r="BD869" s="139"/>
      <c r="BE869" s="3"/>
    </row>
    <row r="870" spans="1:57" ht="15" customHeight="1" x14ac:dyDescent="0.4">
      <c r="A870" s="3"/>
      <c r="B870" s="8"/>
      <c r="C870" s="7"/>
      <c r="D870" s="7"/>
      <c r="E870" s="7"/>
      <c r="F870" s="7"/>
      <c r="G870" s="7"/>
      <c r="H870" s="14"/>
      <c r="I870" s="3"/>
      <c r="J870" s="3"/>
      <c r="K870" s="3"/>
      <c r="L870" s="3"/>
      <c r="M870" s="350"/>
      <c r="N870" s="350"/>
      <c r="O870" s="350"/>
      <c r="P870" s="5"/>
      <c r="Q870" s="5"/>
      <c r="R870" s="3"/>
      <c r="S870" s="5"/>
      <c r="T870" s="3"/>
      <c r="U870" s="14"/>
      <c r="V870" s="38" t="s">
        <v>369</v>
      </c>
      <c r="W870" s="3" t="s">
        <v>374</v>
      </c>
      <c r="X870" s="38" t="s">
        <v>369</v>
      </c>
      <c r="Y870" s="1443">
        <v>200170090</v>
      </c>
      <c r="Z870" s="1443"/>
      <c r="AA870" s="1443"/>
      <c r="AB870" s="14"/>
      <c r="AC870" s="3"/>
      <c r="AD870" s="3"/>
      <c r="AE870" s="5"/>
      <c r="AF870" s="3"/>
      <c r="AG870" s="38"/>
      <c r="AH870" s="5"/>
      <c r="AI870" s="51">
        <f>AI891</f>
        <v>0.10829999999999999</v>
      </c>
      <c r="AJ870" s="39"/>
      <c r="AK870" s="39"/>
      <c r="AL870" s="39"/>
      <c r="AM870" s="51">
        <f>AE$866*AI870+SUM(AJ870:AL870)</f>
        <v>0.609178475</v>
      </c>
      <c r="AN870" s="3" t="s">
        <v>371</v>
      </c>
      <c r="AO870" s="3" t="s">
        <v>371</v>
      </c>
      <c r="AP870" s="3" t="s">
        <v>371</v>
      </c>
      <c r="AQ870" s="3" t="s">
        <v>371</v>
      </c>
      <c r="AR870" s="3" t="s">
        <v>371</v>
      </c>
      <c r="AS870" s="3" t="s">
        <v>371</v>
      </c>
      <c r="AT870" s="3" t="s">
        <v>81</v>
      </c>
      <c r="AU870" s="3" t="s">
        <v>371</v>
      </c>
      <c r="AV870" s="3" t="s">
        <v>371</v>
      </c>
      <c r="AW870" s="3" t="s">
        <v>371</v>
      </c>
      <c r="AX870" s="1414" t="s">
        <v>92</v>
      </c>
      <c r="AY870" s="3"/>
      <c r="AZ870" s="139"/>
      <c r="BA870" s="139"/>
      <c r="BB870" s="139"/>
      <c r="BC870" s="139"/>
      <c r="BD870" s="139"/>
      <c r="BE870" s="3"/>
    </row>
    <row r="871" spans="1:57" ht="15" customHeight="1" x14ac:dyDescent="0.4">
      <c r="A871" s="3"/>
      <c r="B871" s="8"/>
      <c r="C871" s="7"/>
      <c r="D871" s="7"/>
      <c r="E871" s="7"/>
      <c r="F871" s="7"/>
      <c r="G871" s="7"/>
      <c r="H871" s="14"/>
      <c r="I871" s="3"/>
      <c r="J871" s="3"/>
      <c r="K871" s="3"/>
      <c r="L871" s="3"/>
      <c r="M871" s="350"/>
      <c r="N871" s="350"/>
      <c r="O871" s="350"/>
      <c r="P871" s="5"/>
      <c r="Q871" s="5"/>
      <c r="R871" s="3"/>
      <c r="S871" s="39"/>
      <c r="T871" s="842"/>
      <c r="U871" s="14"/>
      <c r="V871" s="279" t="s">
        <v>369</v>
      </c>
      <c r="W871" s="112" t="s">
        <v>375</v>
      </c>
      <c r="X871" s="279" t="s">
        <v>369</v>
      </c>
      <c r="Y871" s="1871">
        <v>200170133</v>
      </c>
      <c r="Z871" s="1443"/>
      <c r="AA871" s="1443"/>
      <c r="AB871" s="14"/>
      <c r="AC871" s="3"/>
      <c r="AD871" s="3"/>
      <c r="AE871" s="5"/>
      <c r="AF871" s="3"/>
      <c r="AG871" s="38"/>
      <c r="AH871" s="5"/>
      <c r="AI871" s="51"/>
      <c r="AJ871" s="39"/>
      <c r="AK871" s="39"/>
      <c r="AL871" s="39"/>
      <c r="AM871" s="51"/>
      <c r="AN871" s="3" t="s">
        <v>92</v>
      </c>
      <c r="AO871" s="3" t="s">
        <v>92</v>
      </c>
      <c r="AP871" s="3" t="s">
        <v>92</v>
      </c>
      <c r="AQ871" s="3" t="s">
        <v>92</v>
      </c>
      <c r="AR871" s="3" t="s">
        <v>92</v>
      </c>
      <c r="AS871" s="3" t="s">
        <v>92</v>
      </c>
      <c r="AT871" s="3" t="s">
        <v>92</v>
      </c>
      <c r="AU871" s="3" t="s">
        <v>92</v>
      </c>
      <c r="AV871" s="3" t="s">
        <v>92</v>
      </c>
      <c r="AW871" s="3" t="s">
        <v>92</v>
      </c>
      <c r="AX871" s="1414" t="s">
        <v>92</v>
      </c>
      <c r="AY871" s="3"/>
      <c r="AZ871" s="139"/>
      <c r="BA871" s="139"/>
      <c r="BB871" s="139"/>
      <c r="BC871" s="139"/>
      <c r="BD871" s="139"/>
      <c r="BE871" s="3"/>
    </row>
    <row r="872" spans="1:57" ht="15" customHeight="1" thickBot="1" x14ac:dyDescent="0.45">
      <c r="A872" s="3"/>
      <c r="B872" s="8"/>
      <c r="C872" s="7"/>
      <c r="D872" s="7"/>
      <c r="E872" s="7"/>
      <c r="F872" s="7"/>
      <c r="G872" s="7"/>
      <c r="H872" s="14"/>
      <c r="I872" s="3"/>
      <c r="J872" s="3"/>
      <c r="K872" s="3"/>
      <c r="L872" s="3"/>
      <c r="M872" s="350"/>
      <c r="N872" s="350"/>
      <c r="O872" s="350"/>
      <c r="P872" s="5"/>
      <c r="Q872" s="5"/>
      <c r="R872" s="3"/>
      <c r="S872" s="5"/>
      <c r="T872" s="889"/>
      <c r="U872" s="948"/>
      <c r="V872" s="888" t="s">
        <v>369</v>
      </c>
      <c r="W872" s="1877" t="s">
        <v>1849</v>
      </c>
      <c r="X872" s="1876" t="s">
        <v>369</v>
      </c>
      <c r="Y872" s="1878">
        <v>200170143</v>
      </c>
      <c r="Z872" s="1444"/>
      <c r="AA872" s="1444"/>
      <c r="AB872" s="948"/>
      <c r="AC872" s="889"/>
      <c r="AD872" s="889"/>
      <c r="AE872" s="945"/>
      <c r="AF872" s="889"/>
      <c r="AG872" s="888"/>
      <c r="AH872" s="945"/>
      <c r="AI872" s="51">
        <f>AI893</f>
        <v>0</v>
      </c>
      <c r="AJ872" s="947"/>
      <c r="AK872" s="947"/>
      <c r="AL872" s="947"/>
      <c r="AM872" s="937">
        <f>AE$866*AI872+SUM(AJ872:AL872)</f>
        <v>0</v>
      </c>
      <c r="AN872" s="889" t="s">
        <v>371</v>
      </c>
      <c r="AO872" s="889" t="s">
        <v>371</v>
      </c>
      <c r="AP872" s="889" t="s">
        <v>371</v>
      </c>
      <c r="AQ872" s="889" t="s">
        <v>371</v>
      </c>
      <c r="AR872" s="889" t="s">
        <v>371</v>
      </c>
      <c r="AS872" s="889" t="s">
        <v>371</v>
      </c>
      <c r="AT872" s="889" t="s">
        <v>371</v>
      </c>
      <c r="AU872" s="889" t="s">
        <v>371</v>
      </c>
      <c r="AV872" s="889" t="s">
        <v>371</v>
      </c>
      <c r="AW872" s="889" t="s">
        <v>371</v>
      </c>
      <c r="AX872" s="1590" t="s">
        <v>92</v>
      </c>
      <c r="AY872" s="889"/>
      <c r="AZ872" s="139"/>
      <c r="BA872" s="139"/>
      <c r="BB872" s="139"/>
      <c r="BC872" s="139"/>
      <c r="BD872" s="139"/>
      <c r="BE872" s="3"/>
    </row>
    <row r="873" spans="1:57" ht="15" customHeight="1" x14ac:dyDescent="0.4">
      <c r="A873" s="3" t="s">
        <v>508</v>
      </c>
      <c r="B873" s="173" t="s">
        <v>2195</v>
      </c>
      <c r="C873" s="138"/>
      <c r="D873" s="138"/>
      <c r="E873" s="138"/>
      <c r="F873" s="138"/>
      <c r="G873" s="173"/>
      <c r="H873" s="193"/>
      <c r="I873" s="116" t="s">
        <v>392</v>
      </c>
      <c r="J873" s="116"/>
      <c r="K873" s="116"/>
      <c r="L873" s="116" t="s">
        <v>348</v>
      </c>
      <c r="M873" s="177">
        <v>-4.75</v>
      </c>
      <c r="N873" s="177"/>
      <c r="O873" s="177"/>
      <c r="P873" s="177"/>
      <c r="Q873" s="177"/>
      <c r="R873" s="116" t="s">
        <v>352</v>
      </c>
      <c r="S873" s="177">
        <f>SHWidth+M873</f>
        <v>33.8125</v>
      </c>
      <c r="T873" s="116" t="s">
        <v>366</v>
      </c>
      <c r="U873" s="193"/>
      <c r="V873" s="138"/>
      <c r="W873" s="138"/>
      <c r="X873" s="138"/>
      <c r="Y873" s="1449"/>
      <c r="Z873" s="1449"/>
      <c r="AA873" s="1449"/>
      <c r="AB873" s="193"/>
      <c r="AC873" s="116">
        <v>45</v>
      </c>
      <c r="AD873" s="116">
        <v>2</v>
      </c>
      <c r="AE873" s="177">
        <f>S873*AD873/12</f>
        <v>5.635416666666667</v>
      </c>
      <c r="AF873" s="116" t="s">
        <v>367</v>
      </c>
      <c r="AG873" s="179">
        <f>AG894</f>
        <v>4.3999999999999997E-2</v>
      </c>
      <c r="AH873" s="177">
        <f>AG873*AtolbperftSH</f>
        <v>2.7829999999999997E-2</v>
      </c>
      <c r="AI873" s="185"/>
      <c r="AJ873" s="185"/>
      <c r="AK873" s="185"/>
      <c r="AL873" s="185"/>
      <c r="AM873" s="180"/>
      <c r="AN873" s="3" t="s">
        <v>371</v>
      </c>
      <c r="AO873" s="3" t="s">
        <v>371</v>
      </c>
      <c r="AP873" s="3" t="s">
        <v>371</v>
      </c>
      <c r="AQ873" s="3" t="s">
        <v>371</v>
      </c>
      <c r="AR873" s="3" t="s">
        <v>371</v>
      </c>
      <c r="AS873" s="3" t="s">
        <v>371</v>
      </c>
      <c r="AT873" s="3" t="s">
        <v>371</v>
      </c>
      <c r="AU873" s="3" t="s">
        <v>371</v>
      </c>
      <c r="AV873" s="3" t="s">
        <v>371</v>
      </c>
      <c r="AW873" s="3" t="s">
        <v>371</v>
      </c>
      <c r="AX873" s="1414" t="s">
        <v>92</v>
      </c>
      <c r="AY873" s="3"/>
      <c r="AZ873" s="139"/>
      <c r="BA873" s="139"/>
      <c r="BB873" s="139"/>
      <c r="BC873" s="139"/>
      <c r="BD873" s="139"/>
      <c r="BE873" s="3"/>
    </row>
    <row r="874" spans="1:57" ht="15" customHeight="1" x14ac:dyDescent="0.4">
      <c r="A874" s="3"/>
      <c r="B874" s="36"/>
      <c r="C874" s="7"/>
      <c r="D874" s="7"/>
      <c r="E874" s="7"/>
      <c r="F874" s="7"/>
      <c r="G874" s="7"/>
      <c r="H874" s="14"/>
      <c r="I874" s="3"/>
      <c r="J874" s="3"/>
      <c r="K874" s="3"/>
      <c r="L874" s="3"/>
      <c r="M874" s="5"/>
      <c r="N874" s="5"/>
      <c r="O874" s="5"/>
      <c r="P874" s="5"/>
      <c r="Q874" s="5"/>
      <c r="R874" s="3"/>
      <c r="S874" s="5"/>
      <c r="T874" s="3"/>
      <c r="U874" s="14"/>
      <c r="V874" s="38" t="s">
        <v>369</v>
      </c>
      <c r="W874" s="3" t="s">
        <v>370</v>
      </c>
      <c r="X874" s="38" t="s">
        <v>369</v>
      </c>
      <c r="Y874" s="1443">
        <v>200171003</v>
      </c>
      <c r="Z874" s="1443"/>
      <c r="AA874" s="1443"/>
      <c r="AB874" s="14"/>
      <c r="AC874" s="3"/>
      <c r="AD874" s="3"/>
      <c r="AE874" s="5"/>
      <c r="AF874" s="3"/>
      <c r="AG874" s="38"/>
      <c r="AH874" s="5"/>
      <c r="AI874" s="51">
        <f t="shared" ref="AI874:AI879" si="96">AI895</f>
        <v>5.7099999999999998E-2</v>
      </c>
      <c r="AJ874" s="39"/>
      <c r="AK874" s="39"/>
      <c r="AL874" s="39"/>
      <c r="AM874" s="51">
        <f t="shared" ref="AM874:AM879" si="97">AE$873*AI874+SUM(AJ874:AL874)</f>
        <v>0.32178229166666666</v>
      </c>
      <c r="AN874" s="3" t="s">
        <v>371</v>
      </c>
      <c r="AO874" s="3" t="s">
        <v>371</v>
      </c>
      <c r="AP874" s="3" t="s">
        <v>371</v>
      </c>
      <c r="AQ874" s="3" t="s">
        <v>371</v>
      </c>
      <c r="AR874" s="3" t="s">
        <v>371</v>
      </c>
      <c r="AS874" s="3" t="s">
        <v>371</v>
      </c>
      <c r="AT874" s="3" t="s">
        <v>371</v>
      </c>
      <c r="AU874" s="3" t="s">
        <v>371</v>
      </c>
      <c r="AV874" s="3" t="s">
        <v>371</v>
      </c>
      <c r="AW874" s="3" t="s">
        <v>371</v>
      </c>
      <c r="AX874" s="1414" t="s">
        <v>92</v>
      </c>
      <c r="AY874" s="3"/>
      <c r="AZ874" s="139"/>
      <c r="BA874" s="139"/>
      <c r="BB874" s="139"/>
      <c r="BC874" s="139"/>
      <c r="BD874" s="139"/>
      <c r="BE874" s="3"/>
    </row>
    <row r="875" spans="1:57" ht="15" customHeight="1" x14ac:dyDescent="0.4">
      <c r="A875" s="3"/>
      <c r="B875" s="36"/>
      <c r="C875" s="7"/>
      <c r="D875" s="7"/>
      <c r="E875" s="7"/>
      <c r="F875" s="7"/>
      <c r="G875" s="7"/>
      <c r="H875" s="14"/>
      <c r="I875" s="3"/>
      <c r="J875" s="3"/>
      <c r="K875" s="3"/>
      <c r="L875" s="3"/>
      <c r="M875" s="5"/>
      <c r="N875" s="5"/>
      <c r="O875" s="5"/>
      <c r="P875" s="5"/>
      <c r="Q875" s="5"/>
      <c r="R875" s="3"/>
      <c r="S875" s="5"/>
      <c r="T875" s="3"/>
      <c r="U875" s="14"/>
      <c r="V875" s="38" t="s">
        <v>369</v>
      </c>
      <c r="W875" s="3" t="s">
        <v>372</v>
      </c>
      <c r="X875" s="38" t="s">
        <v>369</v>
      </c>
      <c r="Y875" s="1443">
        <v>200171021</v>
      </c>
      <c r="Z875" s="1443"/>
      <c r="AA875" s="1443"/>
      <c r="AB875" s="14"/>
      <c r="AC875" s="3"/>
      <c r="AD875" s="3"/>
      <c r="AE875" s="5"/>
      <c r="AF875" s="3"/>
      <c r="AG875" s="38"/>
      <c r="AH875" s="5"/>
      <c r="AI875" s="51">
        <f t="shared" si="96"/>
        <v>6.1199999999999997E-2</v>
      </c>
      <c r="AJ875" s="39"/>
      <c r="AK875" s="39"/>
      <c r="AL875" s="39"/>
      <c r="AM875" s="51">
        <f t="shared" si="97"/>
        <v>0.34488750000000001</v>
      </c>
      <c r="AN875" s="3" t="s">
        <v>371</v>
      </c>
      <c r="AO875" s="3" t="s">
        <v>371</v>
      </c>
      <c r="AP875" s="3" t="s">
        <v>371</v>
      </c>
      <c r="AQ875" s="3" t="s">
        <v>371</v>
      </c>
      <c r="AR875" s="3" t="s">
        <v>371</v>
      </c>
      <c r="AS875" s="3" t="s">
        <v>371</v>
      </c>
      <c r="AT875" s="3" t="s">
        <v>371</v>
      </c>
      <c r="AU875" s="3" t="s">
        <v>371</v>
      </c>
      <c r="AV875" s="3" t="s">
        <v>371</v>
      </c>
      <c r="AW875" s="3" t="s">
        <v>371</v>
      </c>
      <c r="AX875" s="1414" t="s">
        <v>92</v>
      </c>
      <c r="AY875" s="3"/>
      <c r="AZ875" s="139"/>
      <c r="BA875" s="139"/>
      <c r="BB875" s="139"/>
      <c r="BC875" s="139"/>
      <c r="BD875" s="139"/>
      <c r="BE875" s="3"/>
    </row>
    <row r="876" spans="1:57" ht="15" customHeight="1" x14ac:dyDescent="0.4">
      <c r="A876" s="3"/>
      <c r="B876" s="1490" t="s">
        <v>2086</v>
      </c>
      <c r="C876" s="7"/>
      <c r="D876" s="7"/>
      <c r="E876" s="7"/>
      <c r="F876" s="4"/>
      <c r="G876" s="7"/>
      <c r="H876" s="14"/>
      <c r="I876" s="3"/>
      <c r="J876" s="3"/>
      <c r="K876" s="3"/>
      <c r="L876" s="3"/>
      <c r="M876" s="350"/>
      <c r="N876" s="350"/>
      <c r="O876" s="350"/>
      <c r="P876" s="5"/>
      <c r="Q876" s="5"/>
      <c r="R876" s="3"/>
      <c r="S876" s="5"/>
      <c r="T876" s="3"/>
      <c r="U876" s="14"/>
      <c r="V876" s="38" t="s">
        <v>369</v>
      </c>
      <c r="W876" s="3" t="s">
        <v>373</v>
      </c>
      <c r="X876" s="38" t="s">
        <v>369</v>
      </c>
      <c r="Y876" s="1443">
        <v>200171033</v>
      </c>
      <c r="Z876" s="1443"/>
      <c r="AA876" s="1443"/>
      <c r="AB876" s="14"/>
      <c r="AC876" s="3"/>
      <c r="AD876" s="3"/>
      <c r="AE876" s="5"/>
      <c r="AF876" s="3"/>
      <c r="AG876" s="38"/>
      <c r="AH876" s="5"/>
      <c r="AI876" s="51">
        <f t="shared" si="96"/>
        <v>6.2199999999999998E-2</v>
      </c>
      <c r="AJ876" s="39"/>
      <c r="AK876" s="39"/>
      <c r="AL876" s="39"/>
      <c r="AM876" s="51">
        <f t="shared" si="97"/>
        <v>0.35052291666666668</v>
      </c>
      <c r="AN876" s="3" t="s">
        <v>371</v>
      </c>
      <c r="AO876" s="3" t="s">
        <v>371</v>
      </c>
      <c r="AP876" s="3" t="s">
        <v>371</v>
      </c>
      <c r="AQ876" s="3" t="s">
        <v>371</v>
      </c>
      <c r="AR876" s="3" t="s">
        <v>371</v>
      </c>
      <c r="AS876" s="3" t="s">
        <v>371</v>
      </c>
      <c r="AT876" s="3" t="s">
        <v>371</v>
      </c>
      <c r="AU876" s="3" t="s">
        <v>371</v>
      </c>
      <c r="AV876" s="3" t="s">
        <v>371</v>
      </c>
      <c r="AW876" s="3" t="s">
        <v>371</v>
      </c>
      <c r="AX876" s="1414" t="s">
        <v>92</v>
      </c>
      <c r="AY876" s="3"/>
      <c r="AZ876" s="139"/>
      <c r="BA876" s="139"/>
      <c r="BB876" s="139"/>
      <c r="BC876" s="139"/>
      <c r="BD876" s="139"/>
      <c r="BE876" s="3"/>
    </row>
    <row r="877" spans="1:57" ht="15" customHeight="1" x14ac:dyDescent="0.4">
      <c r="A877" s="3"/>
      <c r="B877" s="8"/>
      <c r="C877" s="7"/>
      <c r="D877" s="7"/>
      <c r="E877" s="7"/>
      <c r="F877" s="7"/>
      <c r="G877" s="7"/>
      <c r="H877" s="14"/>
      <c r="I877" s="3"/>
      <c r="J877" s="3"/>
      <c r="K877" s="3"/>
      <c r="L877" s="3"/>
      <c r="M877" s="350"/>
      <c r="N877" s="350"/>
      <c r="O877" s="350"/>
      <c r="P877" s="5"/>
      <c r="Q877" s="5"/>
      <c r="R877" s="3"/>
      <c r="S877" s="5"/>
      <c r="T877" s="3"/>
      <c r="U877" s="14"/>
      <c r="V877" s="38" t="s">
        <v>369</v>
      </c>
      <c r="W877" s="3" t="s">
        <v>374</v>
      </c>
      <c r="X877" s="38" t="s">
        <v>369</v>
      </c>
      <c r="Y877" s="1443">
        <v>200171090</v>
      </c>
      <c r="Z877" s="1443"/>
      <c r="AA877" s="1443"/>
      <c r="AB877" s="14"/>
      <c r="AC877" s="3"/>
      <c r="AD877" s="3"/>
      <c r="AE877" s="5"/>
      <c r="AF877" s="3"/>
      <c r="AG877" s="38"/>
      <c r="AH877" s="5"/>
      <c r="AI877" s="51">
        <f t="shared" si="96"/>
        <v>0.1129</v>
      </c>
      <c r="AJ877" s="39"/>
      <c r="AK877" s="39"/>
      <c r="AL877" s="39"/>
      <c r="AM877" s="51">
        <f t="shared" si="97"/>
        <v>0.63623854166666671</v>
      </c>
      <c r="AN877" s="3" t="s">
        <v>371</v>
      </c>
      <c r="AO877" s="3" t="s">
        <v>371</v>
      </c>
      <c r="AP877" s="3" t="s">
        <v>371</v>
      </c>
      <c r="AQ877" s="3" t="s">
        <v>371</v>
      </c>
      <c r="AR877" s="3" t="s">
        <v>371</v>
      </c>
      <c r="AS877" s="3" t="s">
        <v>371</v>
      </c>
      <c r="AT877" s="3" t="s">
        <v>371</v>
      </c>
      <c r="AU877" s="3" t="s">
        <v>371</v>
      </c>
      <c r="AV877" s="3" t="s">
        <v>371</v>
      </c>
      <c r="AW877" s="3" t="s">
        <v>371</v>
      </c>
      <c r="AX877" s="1414" t="s">
        <v>92</v>
      </c>
      <c r="AY877" s="3"/>
      <c r="AZ877" s="139"/>
      <c r="BA877" s="139"/>
      <c r="BB877" s="139"/>
      <c r="BC877" s="139"/>
      <c r="BD877" s="139"/>
      <c r="BE877" s="3"/>
    </row>
    <row r="878" spans="1:57" ht="15" customHeight="1" x14ac:dyDescent="0.4">
      <c r="A878" s="3"/>
      <c r="B878" s="8"/>
      <c r="C878" s="7"/>
      <c r="D878" s="7"/>
      <c r="E878" s="7"/>
      <c r="F878" s="7"/>
      <c r="G878" s="7"/>
      <c r="H878" s="14"/>
      <c r="I878" s="3"/>
      <c r="J878" s="3"/>
      <c r="K878" s="3"/>
      <c r="L878" s="3"/>
      <c r="M878" s="350"/>
      <c r="N878" s="350"/>
      <c r="O878" s="350"/>
      <c r="P878" s="5"/>
      <c r="Q878" s="5"/>
      <c r="R878" s="3"/>
      <c r="S878" s="5"/>
      <c r="T878" s="842"/>
      <c r="U878" s="14"/>
      <c r="V878" s="38" t="s">
        <v>369</v>
      </c>
      <c r="W878" s="3" t="s">
        <v>375</v>
      </c>
      <c r="X878" s="38" t="s">
        <v>369</v>
      </c>
      <c r="Y878" s="1443">
        <v>200171133</v>
      </c>
      <c r="Z878" s="1443"/>
      <c r="AA878" s="1443"/>
      <c r="AB878" s="14"/>
      <c r="AC878" s="3"/>
      <c r="AD878" s="3"/>
      <c r="AE878" s="5"/>
      <c r="AF878" s="3"/>
      <c r="AG878" s="38"/>
      <c r="AH878" s="5"/>
      <c r="AI878" s="51">
        <f t="shared" si="96"/>
        <v>0.1469</v>
      </c>
      <c r="AJ878" s="39"/>
      <c r="AK878" s="39"/>
      <c r="AL878" s="39"/>
      <c r="AM878" s="51">
        <f t="shared" si="97"/>
        <v>0.8278427083333334</v>
      </c>
      <c r="AN878" s="3" t="s">
        <v>371</v>
      </c>
      <c r="AO878" s="3" t="s">
        <v>371</v>
      </c>
      <c r="AP878" s="3" t="s">
        <v>371</v>
      </c>
      <c r="AQ878" s="3" t="s">
        <v>371</v>
      </c>
      <c r="AR878" s="3" t="s">
        <v>371</v>
      </c>
      <c r="AS878" s="3" t="s">
        <v>371</v>
      </c>
      <c r="AT878" s="3" t="s">
        <v>371</v>
      </c>
      <c r="AU878" s="3" t="s">
        <v>371</v>
      </c>
      <c r="AV878" s="3" t="s">
        <v>371</v>
      </c>
      <c r="AW878" s="3" t="s">
        <v>371</v>
      </c>
      <c r="AX878" s="1414" t="s">
        <v>92</v>
      </c>
      <c r="AY878" s="3"/>
      <c r="AZ878" s="139"/>
      <c r="BA878" s="139"/>
      <c r="BB878" s="139"/>
      <c r="BC878" s="139"/>
      <c r="BD878" s="139"/>
      <c r="BE878" s="3"/>
    </row>
    <row r="879" spans="1:57" ht="15" customHeight="1" thickBot="1" x14ac:dyDescent="0.45">
      <c r="A879" s="3"/>
      <c r="B879" s="949"/>
      <c r="C879" s="924"/>
      <c r="D879" s="924"/>
      <c r="E879" s="924"/>
      <c r="F879" s="924"/>
      <c r="G879" s="924"/>
      <c r="H879" s="948"/>
      <c r="I879" s="889"/>
      <c r="J879" s="889"/>
      <c r="K879" s="889"/>
      <c r="L879" s="889"/>
      <c r="M879" s="950"/>
      <c r="N879" s="950"/>
      <c r="O879" s="950"/>
      <c r="P879" s="945"/>
      <c r="Q879" s="945"/>
      <c r="R879" s="889"/>
      <c r="S879" s="945"/>
      <c r="T879" s="889"/>
      <c r="U879" s="948"/>
      <c r="V879" s="888" t="s">
        <v>369</v>
      </c>
      <c r="W879" s="1877" t="s">
        <v>1849</v>
      </c>
      <c r="X879" s="1876" t="s">
        <v>369</v>
      </c>
      <c r="Y879" s="1878">
        <v>200171148</v>
      </c>
      <c r="Z879" s="1444"/>
      <c r="AA879" s="1444"/>
      <c r="AB879" s="948"/>
      <c r="AC879" s="889"/>
      <c r="AD879" s="889"/>
      <c r="AE879" s="945"/>
      <c r="AF879" s="889"/>
      <c r="AG879" s="888"/>
      <c r="AH879" s="945"/>
      <c r="AI879" s="937">
        <f t="shared" si="96"/>
        <v>0.15210000000000001</v>
      </c>
      <c r="AJ879" s="947"/>
      <c r="AK879" s="947"/>
      <c r="AL879" s="947"/>
      <c r="AM879" s="937">
        <f t="shared" si="97"/>
        <v>0.85714687500000009</v>
      </c>
      <c r="AN879" s="889" t="s">
        <v>92</v>
      </c>
      <c r="AO879" s="889" t="s">
        <v>92</v>
      </c>
      <c r="AP879" s="889" t="s">
        <v>92</v>
      </c>
      <c r="AQ879" s="889" t="s">
        <v>92</v>
      </c>
      <c r="AR879" s="889" t="s">
        <v>92</v>
      </c>
      <c r="AS879" s="889" t="s">
        <v>92</v>
      </c>
      <c r="AT879" s="889" t="s">
        <v>92</v>
      </c>
      <c r="AU879" s="889" t="s">
        <v>92</v>
      </c>
      <c r="AV879" s="889" t="s">
        <v>92</v>
      </c>
      <c r="AW879" s="889" t="s">
        <v>92</v>
      </c>
      <c r="AX879" s="1590" t="s">
        <v>81</v>
      </c>
      <c r="AY879" s="889"/>
      <c r="AZ879" s="139"/>
      <c r="BA879" s="139"/>
      <c r="BB879" s="139"/>
      <c r="BC879" s="139"/>
      <c r="BD879" s="139"/>
      <c r="BE879" s="3"/>
    </row>
    <row r="880" spans="1:57" ht="15" customHeight="1" x14ac:dyDescent="0.4">
      <c r="A880" s="3"/>
      <c r="B880" s="7" t="s">
        <v>2196</v>
      </c>
      <c r="C880" s="7"/>
      <c r="D880" s="7"/>
      <c r="E880" s="7"/>
      <c r="F880" s="7"/>
      <c r="G880" s="7"/>
      <c r="H880" s="14"/>
      <c r="I880" s="3" t="s">
        <v>392</v>
      </c>
      <c r="J880" s="3"/>
      <c r="K880" s="3"/>
      <c r="L880" s="3" t="s">
        <v>348</v>
      </c>
      <c r="M880" s="5">
        <v>-4.75</v>
      </c>
      <c r="N880" s="5"/>
      <c r="O880" s="5"/>
      <c r="P880" s="5"/>
      <c r="Q880" s="5"/>
      <c r="R880" s="3" t="s">
        <v>352</v>
      </c>
      <c r="S880" s="5">
        <f>SHWidth+M880</f>
        <v>33.8125</v>
      </c>
      <c r="T880" s="3" t="s">
        <v>366</v>
      </c>
      <c r="U880" s="14"/>
      <c r="V880" s="38"/>
      <c r="W880" s="3"/>
      <c r="X880" s="38"/>
      <c r="Y880" s="1443"/>
      <c r="Z880" s="1443"/>
      <c r="AA880" s="1443"/>
      <c r="AB880" s="14"/>
      <c r="AC880" s="3">
        <v>45</v>
      </c>
      <c r="AD880" s="3">
        <v>2</v>
      </c>
      <c r="AE880" s="5">
        <f>S880*AD880/12</f>
        <v>5.635416666666667</v>
      </c>
      <c r="AF880" s="3" t="s">
        <v>367</v>
      </c>
      <c r="AG880" s="38">
        <f>AG901</f>
        <v>4.1000000000000002E-2</v>
      </c>
      <c r="AH880" s="5">
        <f>AG880*AtolbperftSH</f>
        <v>2.5932500000000001E-2</v>
      </c>
      <c r="AI880" s="51"/>
      <c r="AJ880" s="39"/>
      <c r="AK880" s="39"/>
      <c r="AL880" s="39"/>
      <c r="AM880" s="39"/>
      <c r="AN880" s="3" t="s">
        <v>371</v>
      </c>
      <c r="AO880" s="3" t="s">
        <v>371</v>
      </c>
      <c r="AP880" s="3" t="s">
        <v>371</v>
      </c>
      <c r="AQ880" s="3" t="s">
        <v>371</v>
      </c>
      <c r="AR880" s="3" t="s">
        <v>371</v>
      </c>
      <c r="AS880" s="3" t="s">
        <v>371</v>
      </c>
      <c r="AT880" s="3" t="s">
        <v>371</v>
      </c>
      <c r="AU880" s="3" t="s">
        <v>371</v>
      </c>
      <c r="AV880" s="3" t="s">
        <v>371</v>
      </c>
      <c r="AW880" s="3" t="s">
        <v>371</v>
      </c>
      <c r="AX880" s="1414" t="s">
        <v>92</v>
      </c>
      <c r="AY880" s="3"/>
      <c r="AZ880" s="139"/>
      <c r="BA880" s="139"/>
      <c r="BB880" s="139"/>
      <c r="BC880" s="139"/>
      <c r="BD880" s="139"/>
      <c r="BE880" s="3"/>
    </row>
    <row r="881" spans="1:57" ht="15" customHeight="1" x14ac:dyDescent="0.4">
      <c r="A881" s="3"/>
      <c r="B881" s="8"/>
      <c r="C881" s="7"/>
      <c r="D881" s="7"/>
      <c r="E881" s="7"/>
      <c r="F881" s="7"/>
      <c r="G881" s="7"/>
      <c r="H881" s="14"/>
      <c r="I881" s="3"/>
      <c r="J881" s="3"/>
      <c r="K881" s="3"/>
      <c r="L881" s="3"/>
      <c r="M881" s="350"/>
      <c r="N881" s="350"/>
      <c r="O881" s="350"/>
      <c r="P881" s="5"/>
      <c r="Q881" s="5"/>
      <c r="R881" s="3"/>
      <c r="S881" s="5"/>
      <c r="T881" s="3"/>
      <c r="U881" s="14"/>
      <c r="V881" s="38" t="s">
        <v>369</v>
      </c>
      <c r="W881" s="3" t="s">
        <v>370</v>
      </c>
      <c r="X881" s="38" t="s">
        <v>369</v>
      </c>
      <c r="Y881" s="1443">
        <v>200190003</v>
      </c>
      <c r="Z881" s="1443"/>
      <c r="AA881" s="1443"/>
      <c r="AB881" s="14"/>
      <c r="AC881" s="3"/>
      <c r="AD881" s="3"/>
      <c r="AE881" s="5"/>
      <c r="AF881" s="3"/>
      <c r="AG881" s="38"/>
      <c r="AH881" s="5"/>
      <c r="AI881" s="51">
        <f t="shared" ref="AI881:AI886" si="98">AI902</f>
        <v>5.0599999999999999E-2</v>
      </c>
      <c r="AJ881" s="39"/>
      <c r="AK881" s="39"/>
      <c r="AL881" s="39"/>
      <c r="AM881" s="51">
        <f t="shared" ref="AM881:AM886" si="99">AE$880*AI881+SUM(AJ881:AL881)</f>
        <v>0.28515208333333336</v>
      </c>
      <c r="AN881" s="3" t="s">
        <v>371</v>
      </c>
      <c r="AO881" s="3" t="s">
        <v>371</v>
      </c>
      <c r="AP881" s="3" t="s">
        <v>371</v>
      </c>
      <c r="AQ881" s="3" t="s">
        <v>371</v>
      </c>
      <c r="AR881" s="3" t="s">
        <v>371</v>
      </c>
      <c r="AS881" s="3" t="s">
        <v>371</v>
      </c>
      <c r="AT881" s="3" t="s">
        <v>371</v>
      </c>
      <c r="AU881" s="3" t="s">
        <v>371</v>
      </c>
      <c r="AV881" s="3" t="s">
        <v>371</v>
      </c>
      <c r="AW881" s="3" t="s">
        <v>371</v>
      </c>
      <c r="AX881" s="1414" t="s">
        <v>92</v>
      </c>
      <c r="AY881" s="3"/>
      <c r="AZ881" s="139"/>
      <c r="BA881" s="139"/>
      <c r="BB881" s="139"/>
      <c r="BC881" s="139"/>
      <c r="BD881" s="139"/>
      <c r="BE881" s="3"/>
    </row>
    <row r="882" spans="1:57" ht="15" customHeight="1" x14ac:dyDescent="0.4">
      <c r="A882" s="3"/>
      <c r="B882" s="8"/>
      <c r="C882" s="7"/>
      <c r="D882" s="7"/>
      <c r="E882" s="7"/>
      <c r="F882" s="7"/>
      <c r="G882" s="7"/>
      <c r="H882" s="14"/>
      <c r="I882" s="3"/>
      <c r="J882" s="3"/>
      <c r="K882" s="3"/>
      <c r="L882" s="3"/>
      <c r="M882" s="350"/>
      <c r="N882" s="350"/>
      <c r="O882" s="350"/>
      <c r="P882" s="5"/>
      <c r="Q882" s="5"/>
      <c r="R882" s="3"/>
      <c r="S882" s="5"/>
      <c r="T882" s="3"/>
      <c r="U882" s="14"/>
      <c r="V882" s="38" t="s">
        <v>369</v>
      </c>
      <c r="W882" s="3" t="s">
        <v>372</v>
      </c>
      <c r="X882" s="38" t="s">
        <v>369</v>
      </c>
      <c r="Y882" s="1443">
        <v>200190021</v>
      </c>
      <c r="Z882" s="1443"/>
      <c r="AA882" s="1443"/>
      <c r="AB882" s="14"/>
      <c r="AC882" s="3"/>
      <c r="AD882" s="3"/>
      <c r="AE882" s="5"/>
      <c r="AF882" s="3"/>
      <c r="AG882" s="38"/>
      <c r="AH882" s="5"/>
      <c r="AI882" s="51">
        <f t="shared" si="98"/>
        <v>5.6800000000000003E-2</v>
      </c>
      <c r="AJ882" s="39"/>
      <c r="AK882" s="39"/>
      <c r="AL882" s="39"/>
      <c r="AM882" s="51">
        <f t="shared" si="99"/>
        <v>0.32009166666666672</v>
      </c>
      <c r="AN882" s="3" t="s">
        <v>371</v>
      </c>
      <c r="AO882" s="3" t="s">
        <v>371</v>
      </c>
      <c r="AP882" s="3" t="s">
        <v>371</v>
      </c>
      <c r="AQ882" s="3" t="s">
        <v>371</v>
      </c>
      <c r="AR882" s="3" t="s">
        <v>371</v>
      </c>
      <c r="AS882" s="3" t="s">
        <v>371</v>
      </c>
      <c r="AT882" s="3" t="s">
        <v>371</v>
      </c>
      <c r="AU882" s="3" t="s">
        <v>371</v>
      </c>
      <c r="AV882" s="3" t="s">
        <v>371</v>
      </c>
      <c r="AW882" s="3" t="s">
        <v>371</v>
      </c>
      <c r="AX882" s="1414" t="s">
        <v>92</v>
      </c>
      <c r="AY882" s="3"/>
      <c r="AZ882" s="139"/>
      <c r="BA882" s="139"/>
      <c r="BB882" s="139"/>
      <c r="BC882" s="139"/>
      <c r="BD882" s="139"/>
      <c r="BE882" s="3"/>
    </row>
    <row r="883" spans="1:57" ht="15" customHeight="1" x14ac:dyDescent="0.4">
      <c r="A883" s="3"/>
      <c r="B883" s="8"/>
      <c r="C883" s="7"/>
      <c r="D883" s="7"/>
      <c r="E883" s="7"/>
      <c r="F883" s="7"/>
      <c r="G883" s="7"/>
      <c r="H883" s="14"/>
      <c r="I883" s="3"/>
      <c r="J883" s="3"/>
      <c r="K883" s="3"/>
      <c r="L883" s="3"/>
      <c r="M883" s="350"/>
      <c r="N883" s="350"/>
      <c r="O883" s="350"/>
      <c r="P883" s="5"/>
      <c r="Q883" s="5"/>
      <c r="R883" s="3"/>
      <c r="S883" s="5"/>
      <c r="T883" s="3"/>
      <c r="U883" s="14"/>
      <c r="V883" s="38" t="s">
        <v>369</v>
      </c>
      <c r="W883" s="3" t="s">
        <v>373</v>
      </c>
      <c r="X883" s="38" t="s">
        <v>369</v>
      </c>
      <c r="Y883" s="1443">
        <v>200190033</v>
      </c>
      <c r="Z883" s="1443"/>
      <c r="AA883" s="1443"/>
      <c r="AB883" s="14"/>
      <c r="AC883" s="3"/>
      <c r="AD883" s="3"/>
      <c r="AE883" s="5"/>
      <c r="AF883" s="3"/>
      <c r="AG883" s="38"/>
      <c r="AH883" s="5"/>
      <c r="AI883" s="51">
        <f t="shared" si="98"/>
        <v>6.1600000000000002E-2</v>
      </c>
      <c r="AJ883" s="39"/>
      <c r="AK883" s="39"/>
      <c r="AL883" s="39"/>
      <c r="AM883" s="51">
        <f t="shared" si="99"/>
        <v>0.34714166666666668</v>
      </c>
      <c r="AN883" s="3" t="s">
        <v>371</v>
      </c>
      <c r="AO883" s="3" t="s">
        <v>371</v>
      </c>
      <c r="AP883" s="3" t="s">
        <v>371</v>
      </c>
      <c r="AQ883" s="3" t="s">
        <v>371</v>
      </c>
      <c r="AR883" s="3" t="s">
        <v>371</v>
      </c>
      <c r="AS883" s="3" t="s">
        <v>371</v>
      </c>
      <c r="AT883" s="3" t="s">
        <v>371</v>
      </c>
      <c r="AU883" s="3" t="s">
        <v>371</v>
      </c>
      <c r="AV883" s="3" t="s">
        <v>371</v>
      </c>
      <c r="AW883" s="3" t="s">
        <v>371</v>
      </c>
      <c r="AX883" s="1414" t="s">
        <v>92</v>
      </c>
      <c r="AY883" s="3"/>
      <c r="AZ883" s="139"/>
      <c r="BA883" s="139"/>
      <c r="BB883" s="139"/>
      <c r="BC883" s="139"/>
      <c r="BD883" s="139"/>
      <c r="BE883" s="3"/>
    </row>
    <row r="884" spans="1:57" ht="15" customHeight="1" x14ac:dyDescent="0.4">
      <c r="A884" s="3"/>
      <c r="B884" s="8"/>
      <c r="C884" s="7"/>
      <c r="D884" s="7"/>
      <c r="E884" s="7"/>
      <c r="F884" s="7"/>
      <c r="G884" s="7"/>
      <c r="H884" s="14"/>
      <c r="I884" s="3"/>
      <c r="J884" s="3"/>
      <c r="K884" s="3"/>
      <c r="L884" s="3"/>
      <c r="M884" s="350"/>
      <c r="N884" s="350"/>
      <c r="O884" s="350"/>
      <c r="P884" s="5"/>
      <c r="Q884" s="5"/>
      <c r="R884" s="3"/>
      <c r="S884" s="5"/>
      <c r="T884" s="3"/>
      <c r="U884" s="14"/>
      <c r="V884" s="38" t="s">
        <v>369</v>
      </c>
      <c r="W884" s="3" t="s">
        <v>374</v>
      </c>
      <c r="X884" s="38" t="s">
        <v>369</v>
      </c>
      <c r="Y884" s="1443">
        <v>200190090</v>
      </c>
      <c r="Z884" s="1443"/>
      <c r="AA884" s="1443"/>
      <c r="AB884" s="14"/>
      <c r="AC884" s="3"/>
      <c r="AD884" s="3"/>
      <c r="AE884" s="5"/>
      <c r="AF884" s="3"/>
      <c r="AG884" s="38"/>
      <c r="AH884" s="5"/>
      <c r="AI884" s="51">
        <f t="shared" si="98"/>
        <v>0.1077</v>
      </c>
      <c r="AJ884" s="39"/>
      <c r="AK884" s="39"/>
      <c r="AL884" s="39"/>
      <c r="AM884" s="51">
        <f t="shared" si="99"/>
        <v>0.60693437500000003</v>
      </c>
      <c r="AN884" s="3" t="s">
        <v>371</v>
      </c>
      <c r="AO884" s="3" t="s">
        <v>371</v>
      </c>
      <c r="AP884" s="3" t="s">
        <v>371</v>
      </c>
      <c r="AQ884" s="3" t="s">
        <v>371</v>
      </c>
      <c r="AR884" s="3" t="s">
        <v>371</v>
      </c>
      <c r="AS884" s="3" t="s">
        <v>371</v>
      </c>
      <c r="AT884" s="3" t="s">
        <v>371</v>
      </c>
      <c r="AU884" s="3" t="s">
        <v>371</v>
      </c>
      <c r="AV884" s="3" t="s">
        <v>371</v>
      </c>
      <c r="AW884" s="3" t="s">
        <v>371</v>
      </c>
      <c r="AX884" s="1414" t="s">
        <v>92</v>
      </c>
      <c r="AY884" s="3"/>
      <c r="AZ884" s="139"/>
      <c r="BA884" s="139"/>
      <c r="BB884" s="139"/>
      <c r="BC884" s="139"/>
      <c r="BD884" s="139"/>
      <c r="BE884" s="3"/>
    </row>
    <row r="885" spans="1:57" ht="15" customHeight="1" x14ac:dyDescent="0.4">
      <c r="A885" s="3"/>
      <c r="B885" s="8"/>
      <c r="C885" s="7"/>
      <c r="D885" s="7"/>
      <c r="E885" s="7"/>
      <c r="F885" s="7"/>
      <c r="G885" s="7"/>
      <c r="H885" s="14"/>
      <c r="I885" s="3"/>
      <c r="J885" s="3"/>
      <c r="K885" s="3"/>
      <c r="L885" s="3"/>
      <c r="M885" s="350"/>
      <c r="N885" s="350"/>
      <c r="O885" s="350"/>
      <c r="P885" s="5"/>
      <c r="Q885" s="5"/>
      <c r="R885" s="3"/>
      <c r="S885" s="5"/>
      <c r="T885" s="3"/>
      <c r="U885" s="14"/>
      <c r="V885" s="38" t="s">
        <v>369</v>
      </c>
      <c r="W885" s="3" t="s">
        <v>375</v>
      </c>
      <c r="X885" s="38" t="s">
        <v>369</v>
      </c>
      <c r="Y885" s="1443">
        <v>200190133</v>
      </c>
      <c r="Z885" s="1443"/>
      <c r="AA885" s="1443"/>
      <c r="AB885" s="14"/>
      <c r="AC885" s="3"/>
      <c r="AD885" s="3"/>
      <c r="AE885" s="5"/>
      <c r="AF885" s="3"/>
      <c r="AG885" s="38"/>
      <c r="AH885" s="5"/>
      <c r="AI885" s="51">
        <f t="shared" si="98"/>
        <v>0.14069999999999999</v>
      </c>
      <c r="AJ885" s="39"/>
      <c r="AK885" s="39"/>
      <c r="AL885" s="39"/>
      <c r="AM885" s="51">
        <f t="shared" si="99"/>
        <v>0.79290312500000004</v>
      </c>
      <c r="AN885" s="3" t="s">
        <v>371</v>
      </c>
      <c r="AO885" s="3" t="s">
        <v>371</v>
      </c>
      <c r="AP885" s="3" t="s">
        <v>371</v>
      </c>
      <c r="AQ885" s="3" t="s">
        <v>371</v>
      </c>
      <c r="AR885" s="3" t="s">
        <v>371</v>
      </c>
      <c r="AS885" s="3" t="s">
        <v>371</v>
      </c>
      <c r="AT885" s="3" t="s">
        <v>371</v>
      </c>
      <c r="AU885" s="3" t="s">
        <v>371</v>
      </c>
      <c r="AV885" s="3" t="s">
        <v>371</v>
      </c>
      <c r="AW885" s="3" t="s">
        <v>371</v>
      </c>
      <c r="AX885" s="1414" t="s">
        <v>92</v>
      </c>
      <c r="AY885" s="3"/>
      <c r="AZ885" s="139"/>
      <c r="BA885" s="139"/>
      <c r="BB885" s="139"/>
      <c r="BC885" s="139"/>
      <c r="BD885" s="139"/>
      <c r="BE885" s="3"/>
    </row>
    <row r="886" spans="1:57" ht="15" customHeight="1" thickBot="1" x14ac:dyDescent="0.45">
      <c r="A886" s="3"/>
      <c r="B886" s="949"/>
      <c r="C886" s="924"/>
      <c r="D886" s="924"/>
      <c r="E886" s="924"/>
      <c r="F886" s="924"/>
      <c r="G886" s="924"/>
      <c r="H886" s="948"/>
      <c r="I886" s="889"/>
      <c r="J886" s="889"/>
      <c r="K886" s="889"/>
      <c r="L886" s="889"/>
      <c r="M886" s="950"/>
      <c r="N886" s="950"/>
      <c r="O886" s="950"/>
      <c r="P886" s="945"/>
      <c r="Q886" s="945"/>
      <c r="R886" s="889"/>
      <c r="S886" s="945"/>
      <c r="T886" s="889"/>
      <c r="U886" s="948"/>
      <c r="V886" s="1876" t="s">
        <v>369</v>
      </c>
      <c r="W886" s="1877" t="s">
        <v>1849</v>
      </c>
      <c r="X886" s="1876" t="s">
        <v>369</v>
      </c>
      <c r="Y886" s="1878">
        <v>200190148</v>
      </c>
      <c r="Z886" s="1444"/>
      <c r="AA886" s="1444"/>
      <c r="AB886" s="948"/>
      <c r="AC886" s="889"/>
      <c r="AD886" s="889"/>
      <c r="AE886" s="945"/>
      <c r="AF886" s="889"/>
      <c r="AG886" s="888"/>
      <c r="AH886" s="945"/>
      <c r="AI886" s="937">
        <f t="shared" si="98"/>
        <v>0.15640000000000001</v>
      </c>
      <c r="AJ886" s="947"/>
      <c r="AK886" s="947"/>
      <c r="AL886" s="947"/>
      <c r="AM886" s="937">
        <f t="shared" si="99"/>
        <v>0.88137916666666682</v>
      </c>
      <c r="AN886" s="889" t="s">
        <v>92</v>
      </c>
      <c r="AO886" s="889" t="s">
        <v>92</v>
      </c>
      <c r="AP886" s="889" t="s">
        <v>92</v>
      </c>
      <c r="AQ886" s="889" t="s">
        <v>92</v>
      </c>
      <c r="AR886" s="889" t="s">
        <v>92</v>
      </c>
      <c r="AS886" s="889" t="s">
        <v>92</v>
      </c>
      <c r="AT886" s="889" t="s">
        <v>92</v>
      </c>
      <c r="AU886" s="889" t="s">
        <v>92</v>
      </c>
      <c r="AV886" s="889" t="s">
        <v>92</v>
      </c>
      <c r="AW886" s="889" t="s">
        <v>92</v>
      </c>
      <c r="AX886" s="1590" t="s">
        <v>92</v>
      </c>
      <c r="AY886" s="889"/>
      <c r="AZ886" s="139"/>
      <c r="BA886" s="139"/>
      <c r="BB886" s="139"/>
      <c r="BC886" s="139"/>
      <c r="BD886" s="139"/>
      <c r="BE886" s="3"/>
    </row>
    <row r="887" spans="1:57" ht="15" customHeight="1" x14ac:dyDescent="0.4">
      <c r="A887" s="3" t="s">
        <v>496</v>
      </c>
      <c r="B887" s="173" t="s">
        <v>853</v>
      </c>
      <c r="C887" s="173"/>
      <c r="D887" s="173"/>
      <c r="E887" s="173"/>
      <c r="F887" s="173"/>
      <c r="G887" s="173"/>
      <c r="H887" s="193"/>
      <c r="I887" s="116" t="s">
        <v>365</v>
      </c>
      <c r="J887" s="116" t="s">
        <v>346</v>
      </c>
      <c r="K887" s="116">
        <v>2</v>
      </c>
      <c r="L887" s="116" t="s">
        <v>348</v>
      </c>
      <c r="M887" s="177">
        <v>-3.1880000000000002</v>
      </c>
      <c r="N887" s="497"/>
      <c r="O887" s="497"/>
      <c r="P887" s="177" t="s">
        <v>348</v>
      </c>
      <c r="Q887" s="177" t="s">
        <v>2211</v>
      </c>
      <c r="R887" s="116" t="s">
        <v>352</v>
      </c>
      <c r="S887" s="177">
        <f>SHHeight/K887+M887+SHCORnd</f>
        <v>33.811999999999998</v>
      </c>
      <c r="T887" s="116" t="s">
        <v>366</v>
      </c>
      <c r="U887" s="193"/>
      <c r="V887" s="138"/>
      <c r="W887" s="138"/>
      <c r="X887" s="138"/>
      <c r="Y887" s="116"/>
      <c r="Z887" s="116"/>
      <c r="AA887" s="116"/>
      <c r="AB887" s="193"/>
      <c r="AC887" s="116">
        <v>45</v>
      </c>
      <c r="AD887" s="116">
        <v>2</v>
      </c>
      <c r="AE887" s="177">
        <f>S887*AD887/12</f>
        <v>5.6353333333333326</v>
      </c>
      <c r="AF887" s="116" t="s">
        <v>367</v>
      </c>
      <c r="AG887" s="179">
        <f>AG427</f>
        <v>2.8000000000000001E-2</v>
      </c>
      <c r="AH887" s="177">
        <f>AG887*AtolbperftSH</f>
        <v>1.771E-2</v>
      </c>
      <c r="AI887" s="185"/>
      <c r="AJ887" s="185"/>
      <c r="AK887" s="185"/>
      <c r="AL887" s="185"/>
      <c r="AM887" s="180"/>
      <c r="AN887" s="3"/>
      <c r="AO887" s="3"/>
      <c r="AP887" s="3"/>
      <c r="AQ887" s="3"/>
      <c r="AR887" s="3"/>
      <c r="AS887" s="3"/>
      <c r="AT887" s="3"/>
      <c r="AU887" s="3"/>
      <c r="AV887" s="3"/>
      <c r="AW887" s="3"/>
      <c r="AX887" s="1414"/>
      <c r="AY887" s="3"/>
      <c r="AZ887" s="139"/>
      <c r="BA887" s="139"/>
      <c r="BB887" s="139"/>
      <c r="BC887" s="139"/>
      <c r="BD887" s="139"/>
      <c r="BE887" s="3"/>
    </row>
    <row r="888" spans="1:57" ht="15" customHeight="1" x14ac:dyDescent="0.4">
      <c r="A888" s="3"/>
      <c r="B888" s="1023" t="s">
        <v>2220</v>
      </c>
      <c r="C888" s="7"/>
      <c r="D888" s="7"/>
      <c r="E888" s="7"/>
      <c r="F888" s="7"/>
      <c r="G888" s="7"/>
      <c r="H888" s="14"/>
      <c r="I888" s="3"/>
      <c r="J888" s="3"/>
      <c r="K888" s="3"/>
      <c r="L888" s="3"/>
      <c r="M888" s="5"/>
      <c r="N888" s="5"/>
      <c r="O888" s="5"/>
      <c r="P888" s="5"/>
      <c r="Q888" s="5"/>
      <c r="R888" s="3"/>
      <c r="S888" s="5"/>
      <c r="T888" s="3"/>
      <c r="U888" s="14"/>
      <c r="V888" s="38" t="s">
        <v>369</v>
      </c>
      <c r="W888" s="3" t="s">
        <v>370</v>
      </c>
      <c r="X888" s="38" t="s">
        <v>369</v>
      </c>
      <c r="Y888" s="1443">
        <v>200170003</v>
      </c>
      <c r="Z888" s="1443"/>
      <c r="AA888" s="1443"/>
      <c r="AB888" s="14"/>
      <c r="AC888" s="3"/>
      <c r="AD888" s="3"/>
      <c r="AE888" s="5"/>
      <c r="AF888" s="3"/>
      <c r="AG888" s="38"/>
      <c r="AH888" s="5"/>
      <c r="AI888" s="51">
        <f>AI428</f>
        <v>5.4600000000000003E-2</v>
      </c>
      <c r="AJ888" s="39"/>
      <c r="AK888" s="39"/>
      <c r="AL888" s="39"/>
      <c r="AM888" s="51">
        <f>AE$887*AI888+SUM(AJ888:AL888)</f>
        <v>0.3076892</v>
      </c>
      <c r="AN888" s="3" t="s">
        <v>81</v>
      </c>
      <c r="AO888" s="3" t="s">
        <v>81</v>
      </c>
      <c r="AP888" s="3" t="s">
        <v>81</v>
      </c>
      <c r="AQ888" s="3" t="s">
        <v>81</v>
      </c>
      <c r="AR888" s="3" t="s">
        <v>81</v>
      </c>
      <c r="AS888" s="3" t="s">
        <v>81</v>
      </c>
      <c r="AT888" s="3" t="s">
        <v>371</v>
      </c>
      <c r="AU888" s="3" t="s">
        <v>81</v>
      </c>
      <c r="AV888" s="3" t="s">
        <v>371</v>
      </c>
      <c r="AW888" s="3" t="s">
        <v>81</v>
      </c>
      <c r="AX888" s="1414" t="s">
        <v>92</v>
      </c>
      <c r="AY888" s="3"/>
      <c r="AZ888" s="139"/>
      <c r="BA888" s="139"/>
      <c r="BB888" s="139"/>
      <c r="BC888" s="139"/>
      <c r="BD888" s="139"/>
      <c r="BE888" s="3"/>
    </row>
    <row r="889" spans="1:57" ht="15" customHeight="1" x14ac:dyDescent="0.4">
      <c r="A889" s="3"/>
      <c r="B889" s="7"/>
      <c r="C889" s="7"/>
      <c r="D889" s="7"/>
      <c r="E889" s="7"/>
      <c r="F889" s="7"/>
      <c r="G889" s="7"/>
      <c r="H889" s="14"/>
      <c r="I889" s="3"/>
      <c r="J889" s="3"/>
      <c r="K889" s="3"/>
      <c r="L889" s="3"/>
      <c r="M889" s="5"/>
      <c r="N889" s="5"/>
      <c r="O889" s="5"/>
      <c r="P889" s="5"/>
      <c r="Q889" s="5"/>
      <c r="R889" s="3"/>
      <c r="S889" s="5"/>
      <c r="T889" s="3"/>
      <c r="U889" s="14"/>
      <c r="V889" s="38" t="s">
        <v>369</v>
      </c>
      <c r="W889" s="3" t="s">
        <v>372</v>
      </c>
      <c r="X889" s="38" t="s">
        <v>369</v>
      </c>
      <c r="Y889" s="1443">
        <v>200170021</v>
      </c>
      <c r="Z889" s="1443"/>
      <c r="AA889" s="1443"/>
      <c r="AB889" s="14"/>
      <c r="AC889" s="3"/>
      <c r="AD889" s="3"/>
      <c r="AE889" s="5"/>
      <c r="AF889" s="3"/>
      <c r="AG889" s="38"/>
      <c r="AH889" s="5"/>
      <c r="AI889" s="51">
        <f>AI429</f>
        <v>5.74E-2</v>
      </c>
      <c r="AJ889" s="39"/>
      <c r="AK889" s="39"/>
      <c r="AL889" s="39"/>
      <c r="AM889" s="51">
        <f t="shared" ref="AM889:AM890" si="100">AE$887*AI889+SUM(AJ889:AL889)</f>
        <v>0.3234681333333333</v>
      </c>
      <c r="AN889" s="3" t="s">
        <v>371</v>
      </c>
      <c r="AO889" s="3" t="s">
        <v>371</v>
      </c>
      <c r="AP889" s="3" t="s">
        <v>371</v>
      </c>
      <c r="AQ889" s="3" t="s">
        <v>371</v>
      </c>
      <c r="AR889" s="3" t="s">
        <v>371</v>
      </c>
      <c r="AS889" s="3" t="s">
        <v>371</v>
      </c>
      <c r="AT889" s="3" t="s">
        <v>371</v>
      </c>
      <c r="AU889" s="3" t="s">
        <v>371</v>
      </c>
      <c r="AV889" s="3" t="s">
        <v>371</v>
      </c>
      <c r="AW889" s="3" t="s">
        <v>371</v>
      </c>
      <c r="AX889" s="1414" t="s">
        <v>92</v>
      </c>
      <c r="AY889" s="3"/>
      <c r="AZ889" s="139"/>
      <c r="BA889" s="139"/>
      <c r="BB889" s="139"/>
      <c r="BC889" s="139"/>
      <c r="BD889" s="139"/>
      <c r="BE889" s="3"/>
    </row>
    <row r="890" spans="1:57" ht="15" customHeight="1" x14ac:dyDescent="0.4">
      <c r="A890" s="3"/>
      <c r="B890" s="1947" t="s">
        <v>2393</v>
      </c>
      <c r="C890" s="7"/>
      <c r="D890" s="7"/>
      <c r="E890" s="7"/>
      <c r="F890" s="7"/>
      <c r="G890" s="7"/>
      <c r="H890" s="14"/>
      <c r="I890" s="3"/>
      <c r="J890" s="3"/>
      <c r="K890" s="3"/>
      <c r="L890" s="3"/>
      <c r="M890" s="350"/>
      <c r="N890" s="350"/>
      <c r="O890" s="350"/>
      <c r="P890" s="5"/>
      <c r="Q890" s="5"/>
      <c r="R890" s="3"/>
      <c r="S890" s="5"/>
      <c r="T890" s="3"/>
      <c r="U890" s="14"/>
      <c r="V890" s="38" t="s">
        <v>369</v>
      </c>
      <c r="W890" s="3" t="s">
        <v>373</v>
      </c>
      <c r="X890" s="38" t="s">
        <v>369</v>
      </c>
      <c r="Y890" s="1443">
        <v>200170033</v>
      </c>
      <c r="Z890" s="1443"/>
      <c r="AA890" s="1443"/>
      <c r="AB890" s="14"/>
      <c r="AC890" s="3"/>
      <c r="AD890" s="3"/>
      <c r="AE890" s="5"/>
      <c r="AF890" s="3"/>
      <c r="AG890" s="38"/>
      <c r="AH890" s="5"/>
      <c r="AI890" s="51">
        <f>AI430</f>
        <v>5.8000000000000003E-2</v>
      </c>
      <c r="AJ890" s="39"/>
      <c r="AK890" s="39"/>
      <c r="AL890" s="39"/>
      <c r="AM890" s="51">
        <f t="shared" si="100"/>
        <v>0.32684933333333333</v>
      </c>
      <c r="AN890" s="3" t="s">
        <v>371</v>
      </c>
      <c r="AO890" s="3" t="s">
        <v>371</v>
      </c>
      <c r="AP890" s="3" t="s">
        <v>371</v>
      </c>
      <c r="AQ890" s="3" t="s">
        <v>371</v>
      </c>
      <c r="AR890" s="3" t="s">
        <v>371</v>
      </c>
      <c r="AS890" s="3" t="s">
        <v>371</v>
      </c>
      <c r="AT890" s="3" t="s">
        <v>371</v>
      </c>
      <c r="AU890" s="3" t="s">
        <v>371</v>
      </c>
      <c r="AV890" s="3" t="s">
        <v>81</v>
      </c>
      <c r="AW890" s="3" t="s">
        <v>371</v>
      </c>
      <c r="AX890" s="1414" t="s">
        <v>92</v>
      </c>
      <c r="AY890" s="3"/>
      <c r="AZ890" s="139"/>
      <c r="BA890" s="139"/>
      <c r="BB890" s="139"/>
      <c r="BC890" s="139"/>
      <c r="BD890" s="139"/>
      <c r="BE890" s="3"/>
    </row>
    <row r="891" spans="1:57" ht="15" customHeight="1" x14ac:dyDescent="0.4">
      <c r="A891" s="3"/>
      <c r="B891" s="8"/>
      <c r="C891" s="7"/>
      <c r="D891" s="7"/>
      <c r="E891" s="7"/>
      <c r="F891" s="7"/>
      <c r="G891" s="7"/>
      <c r="H891" s="14"/>
      <c r="I891" s="3"/>
      <c r="J891" s="3"/>
      <c r="K891" s="3"/>
      <c r="L891" s="3"/>
      <c r="M891" s="350"/>
      <c r="N891" s="350"/>
      <c r="O891" s="350"/>
      <c r="P891" s="5"/>
      <c r="Q891" s="5"/>
      <c r="R891" s="3"/>
      <c r="S891" s="5"/>
      <c r="T891" s="3"/>
      <c r="U891" s="14"/>
      <c r="V891" s="38" t="s">
        <v>369</v>
      </c>
      <c r="W891" s="3" t="s">
        <v>374</v>
      </c>
      <c r="X891" s="38" t="s">
        <v>369</v>
      </c>
      <c r="Y891" s="1443">
        <v>200170090</v>
      </c>
      <c r="Z891" s="1443"/>
      <c r="AA891" s="1443"/>
      <c r="AB891" s="14"/>
      <c r="AC891" s="3"/>
      <c r="AD891" s="3"/>
      <c r="AE891" s="5"/>
      <c r="AF891" s="3"/>
      <c r="AG891" s="38"/>
      <c r="AH891" s="5"/>
      <c r="AI891" s="51">
        <v>0.10829999999999999</v>
      </c>
      <c r="AJ891" s="39"/>
      <c r="AK891" s="39"/>
      <c r="AL891" s="39"/>
      <c r="AM891" s="51">
        <f>AE$887*AI891+SUM(AJ891:AL891)</f>
        <v>0.61030659999999992</v>
      </c>
      <c r="AN891" s="3" t="s">
        <v>371</v>
      </c>
      <c r="AO891" s="3" t="s">
        <v>371</v>
      </c>
      <c r="AP891" s="3" t="s">
        <v>371</v>
      </c>
      <c r="AQ891" s="3" t="s">
        <v>371</v>
      </c>
      <c r="AR891" s="3" t="s">
        <v>371</v>
      </c>
      <c r="AS891" s="3" t="s">
        <v>371</v>
      </c>
      <c r="AT891" s="3" t="s">
        <v>81</v>
      </c>
      <c r="AU891" s="3" t="s">
        <v>371</v>
      </c>
      <c r="AV891" s="3" t="s">
        <v>371</v>
      </c>
      <c r="AW891" s="3" t="s">
        <v>371</v>
      </c>
      <c r="AX891" s="1414" t="s">
        <v>92</v>
      </c>
      <c r="AY891" s="3"/>
      <c r="AZ891" s="139"/>
      <c r="BA891" s="139"/>
      <c r="BB891" s="139"/>
      <c r="BC891" s="139"/>
      <c r="BD891" s="139"/>
      <c r="BE891" s="3"/>
    </row>
    <row r="892" spans="1:57" ht="15" customHeight="1" x14ac:dyDescent="0.4">
      <c r="A892" s="3"/>
      <c r="B892" s="8"/>
      <c r="C892" s="7"/>
      <c r="D892" s="7"/>
      <c r="E892" s="7"/>
      <c r="F892" s="7"/>
      <c r="G892" s="7"/>
      <c r="H892" s="14"/>
      <c r="I892" s="3"/>
      <c r="J892" s="3"/>
      <c r="K892" s="3"/>
      <c r="L892" s="3"/>
      <c r="M892" s="350"/>
      <c r="N892" s="350"/>
      <c r="O892" s="350"/>
      <c r="P892" s="5"/>
      <c r="Q892" s="5"/>
      <c r="R892" s="3"/>
      <c r="S892" s="5"/>
      <c r="T892" s="842"/>
      <c r="U892" s="14"/>
      <c r="V892" s="279" t="s">
        <v>369</v>
      </c>
      <c r="W892" s="112" t="s">
        <v>375</v>
      </c>
      <c r="X892" s="279" t="s">
        <v>369</v>
      </c>
      <c r="Y892" s="1871">
        <v>200170133</v>
      </c>
      <c r="Z892" s="3"/>
      <c r="AA892" s="1443"/>
      <c r="AB892" s="14"/>
      <c r="AC892" s="3"/>
      <c r="AD892" s="3"/>
      <c r="AE892" s="5"/>
      <c r="AF892" s="3"/>
      <c r="AG892" s="38"/>
      <c r="AH892" s="5"/>
      <c r="AI892" s="844"/>
      <c r="AJ892" s="51"/>
      <c r="AK892" s="39"/>
      <c r="AL892" s="39"/>
      <c r="AM892" s="51"/>
      <c r="AN892" s="3" t="s">
        <v>92</v>
      </c>
      <c r="AO892" s="3" t="s">
        <v>92</v>
      </c>
      <c r="AP892" s="3" t="s">
        <v>92</v>
      </c>
      <c r="AQ892" s="3" t="s">
        <v>92</v>
      </c>
      <c r="AR892" s="3" t="s">
        <v>92</v>
      </c>
      <c r="AS892" s="3" t="s">
        <v>92</v>
      </c>
      <c r="AT892" s="3" t="s">
        <v>92</v>
      </c>
      <c r="AU892" s="3" t="s">
        <v>92</v>
      </c>
      <c r="AV892" s="3" t="s">
        <v>92</v>
      </c>
      <c r="AW892" s="3" t="s">
        <v>92</v>
      </c>
      <c r="AX892" s="1414" t="s">
        <v>92</v>
      </c>
      <c r="AY892" s="3"/>
      <c r="AZ892" s="139"/>
      <c r="BA892" s="139"/>
      <c r="BB892" s="139"/>
      <c r="BC892" s="139"/>
      <c r="BD892" s="139"/>
      <c r="BE892" s="3"/>
    </row>
    <row r="893" spans="1:57" ht="15" customHeight="1" thickBot="1" x14ac:dyDescent="0.45">
      <c r="A893" s="3"/>
      <c r="B893" s="949"/>
      <c r="C893" s="924"/>
      <c r="D893" s="924"/>
      <c r="E893" s="924"/>
      <c r="F893" s="924"/>
      <c r="G893" s="924"/>
      <c r="H893" s="948"/>
      <c r="I893" s="889"/>
      <c r="J893" s="889"/>
      <c r="K893" s="889"/>
      <c r="L893" s="889"/>
      <c r="M893" s="950"/>
      <c r="N893" s="950"/>
      <c r="O893" s="950"/>
      <c r="P893" s="945"/>
      <c r="Q893" s="945"/>
      <c r="R893" s="889"/>
      <c r="S893" s="945"/>
      <c r="T893" s="889"/>
      <c r="U893" s="948"/>
      <c r="V893" s="888" t="s">
        <v>369</v>
      </c>
      <c r="W893" s="1877" t="s">
        <v>1849</v>
      </c>
      <c r="X893" s="1876" t="s">
        <v>369</v>
      </c>
      <c r="Y893" s="1878">
        <v>200170148</v>
      </c>
      <c r="Z893" s="1444"/>
      <c r="AA893" s="1444"/>
      <c r="AB893" s="948"/>
      <c r="AC893" s="889"/>
      <c r="AD893" s="889"/>
      <c r="AE893" s="945"/>
      <c r="AF893" s="889"/>
      <c r="AG893" s="888"/>
      <c r="AH893" s="945"/>
      <c r="AI893" s="51">
        <f>AI432</f>
        <v>0</v>
      </c>
      <c r="AJ893" s="947"/>
      <c r="AK893" s="947"/>
      <c r="AL893" s="947"/>
      <c r="AM893" s="937">
        <f>AE$887*AI893+SUM(AJ893:AL893)</f>
        <v>0</v>
      </c>
      <c r="AN893" s="889" t="s">
        <v>92</v>
      </c>
      <c r="AO893" s="889" t="s">
        <v>92</v>
      </c>
      <c r="AP893" s="889" t="s">
        <v>92</v>
      </c>
      <c r="AQ893" s="889" t="s">
        <v>92</v>
      </c>
      <c r="AR893" s="889" t="s">
        <v>92</v>
      </c>
      <c r="AS893" s="889" t="s">
        <v>92</v>
      </c>
      <c r="AT893" s="889" t="s">
        <v>92</v>
      </c>
      <c r="AU893" s="889" t="s">
        <v>92</v>
      </c>
      <c r="AV893" s="889" t="s">
        <v>92</v>
      </c>
      <c r="AW893" s="889" t="s">
        <v>92</v>
      </c>
      <c r="AX893" s="1590" t="s">
        <v>92</v>
      </c>
      <c r="AY893" s="889"/>
      <c r="AZ893" s="139"/>
      <c r="BA893" s="139"/>
      <c r="BB893" s="139"/>
      <c r="BC893" s="139"/>
      <c r="BD893" s="139"/>
      <c r="BE893" s="3"/>
    </row>
    <row r="894" spans="1:57" ht="15" customHeight="1" x14ac:dyDescent="0.4">
      <c r="A894" s="3" t="s">
        <v>498</v>
      </c>
      <c r="B894" s="173" t="s">
        <v>854</v>
      </c>
      <c r="C894" s="173"/>
      <c r="D894" s="173"/>
      <c r="E894" s="173"/>
      <c r="F894" s="173"/>
      <c r="G894" s="173"/>
      <c r="H894" s="193"/>
      <c r="I894" s="116" t="s">
        <v>365</v>
      </c>
      <c r="J894" s="116" t="s">
        <v>346</v>
      </c>
      <c r="K894" s="116">
        <v>2</v>
      </c>
      <c r="L894" s="116" t="s">
        <v>348</v>
      </c>
      <c r="M894" s="497">
        <v>-3.1875</v>
      </c>
      <c r="N894" s="497"/>
      <c r="O894" s="497"/>
      <c r="P894" s="177" t="s">
        <v>348</v>
      </c>
      <c r="Q894" s="177" t="s">
        <v>2211</v>
      </c>
      <c r="R894" s="116" t="s">
        <v>352</v>
      </c>
      <c r="S894" s="177">
        <f>SHHeight/K894+M894+SHCORnd</f>
        <v>33.8125</v>
      </c>
      <c r="T894" s="116" t="s">
        <v>366</v>
      </c>
      <c r="U894" s="193"/>
      <c r="V894" s="138"/>
      <c r="W894" s="138"/>
      <c r="X894" s="138"/>
      <c r="Y894" s="1449"/>
      <c r="Z894" s="1449"/>
      <c r="AA894" s="1449"/>
      <c r="AB894" s="193"/>
      <c r="AC894" s="116">
        <v>45</v>
      </c>
      <c r="AD894" s="116">
        <v>2</v>
      </c>
      <c r="AE894" s="177">
        <f>S894*AD894/12</f>
        <v>5.635416666666667</v>
      </c>
      <c r="AF894" s="116" t="s">
        <v>367</v>
      </c>
      <c r="AG894" s="179">
        <f>AG433</f>
        <v>4.3999999999999997E-2</v>
      </c>
      <c r="AH894" s="177">
        <f>AG894*AtolbperftSH</f>
        <v>2.7829999999999997E-2</v>
      </c>
      <c r="AI894" s="185"/>
      <c r="AJ894" s="185"/>
      <c r="AK894" s="185"/>
      <c r="AL894" s="185"/>
      <c r="AM894" s="180"/>
      <c r="AN894" s="3" t="s">
        <v>371</v>
      </c>
      <c r="AO894" s="3" t="s">
        <v>371</v>
      </c>
      <c r="AP894" s="3" t="s">
        <v>371</v>
      </c>
      <c r="AQ894" s="3" t="s">
        <v>371</v>
      </c>
      <c r="AR894" s="3" t="s">
        <v>371</v>
      </c>
      <c r="AS894" s="3" t="s">
        <v>371</v>
      </c>
      <c r="AT894" s="3" t="s">
        <v>371</v>
      </c>
      <c r="AU894" s="3" t="s">
        <v>371</v>
      </c>
      <c r="AV894" s="3" t="s">
        <v>371</v>
      </c>
      <c r="AW894" s="3" t="s">
        <v>371</v>
      </c>
      <c r="AX894" s="1414" t="s">
        <v>92</v>
      </c>
      <c r="AY894" s="3"/>
      <c r="AZ894" s="139"/>
      <c r="BA894" s="139"/>
      <c r="BB894" s="139"/>
      <c r="BC894" s="139"/>
      <c r="BD894" s="139"/>
      <c r="BE894" s="3"/>
    </row>
    <row r="895" spans="1:57" ht="15" customHeight="1" x14ac:dyDescent="0.4">
      <c r="A895" s="3"/>
      <c r="B895" s="7"/>
      <c r="C895" s="7"/>
      <c r="D895" s="7"/>
      <c r="E895" s="7"/>
      <c r="F895" s="7"/>
      <c r="G895" s="7"/>
      <c r="H895" s="14"/>
      <c r="I895" s="3"/>
      <c r="J895" s="3"/>
      <c r="K895" s="3"/>
      <c r="L895" s="3"/>
      <c r="M895" s="5"/>
      <c r="N895" s="5"/>
      <c r="O895" s="5"/>
      <c r="P895" s="5"/>
      <c r="Q895" s="5"/>
      <c r="R895" s="3"/>
      <c r="S895" s="5"/>
      <c r="T895" s="3"/>
      <c r="U895" s="14"/>
      <c r="V895" s="38" t="s">
        <v>369</v>
      </c>
      <c r="W895" s="3" t="s">
        <v>370</v>
      </c>
      <c r="X895" s="38" t="s">
        <v>369</v>
      </c>
      <c r="Y895" s="1443">
        <v>200171003</v>
      </c>
      <c r="Z895" s="1443"/>
      <c r="AA895" s="1443"/>
      <c r="AB895" s="14"/>
      <c r="AC895" s="3"/>
      <c r="AD895" s="3"/>
      <c r="AE895" s="5"/>
      <c r="AF895" s="3"/>
      <c r="AG895" s="38"/>
      <c r="AH895" s="5"/>
      <c r="AI895" s="51">
        <f>AI434</f>
        <v>5.7099999999999998E-2</v>
      </c>
      <c r="AJ895" s="39"/>
      <c r="AK895" s="39"/>
      <c r="AL895" s="39"/>
      <c r="AM895" s="51">
        <f>AE$894*AI895+SUM(AJ895:AL895)</f>
        <v>0.32178229166666666</v>
      </c>
      <c r="AN895" s="3" t="s">
        <v>371</v>
      </c>
      <c r="AO895" s="3" t="s">
        <v>371</v>
      </c>
      <c r="AP895" s="3" t="s">
        <v>371</v>
      </c>
      <c r="AQ895" s="3" t="s">
        <v>371</v>
      </c>
      <c r="AR895" s="3" t="s">
        <v>371</v>
      </c>
      <c r="AS895" s="3" t="s">
        <v>371</v>
      </c>
      <c r="AT895" s="3" t="s">
        <v>371</v>
      </c>
      <c r="AU895" s="3" t="s">
        <v>371</v>
      </c>
      <c r="AV895" s="3" t="s">
        <v>371</v>
      </c>
      <c r="AW895" s="3" t="s">
        <v>371</v>
      </c>
      <c r="AX895" s="1414" t="s">
        <v>92</v>
      </c>
      <c r="AY895" s="3"/>
      <c r="AZ895" s="139"/>
      <c r="BA895" s="139"/>
      <c r="BB895" s="139"/>
      <c r="BC895" s="139"/>
      <c r="BD895" s="139"/>
      <c r="BE895" s="3"/>
    </row>
    <row r="896" spans="1:57" ht="15" customHeight="1" x14ac:dyDescent="0.4">
      <c r="A896" s="3"/>
      <c r="B896" s="7"/>
      <c r="C896" s="7"/>
      <c r="D896" s="7"/>
      <c r="E896" s="7"/>
      <c r="F896" s="7"/>
      <c r="G896" s="7"/>
      <c r="H896" s="14"/>
      <c r="I896" s="3"/>
      <c r="J896" s="3"/>
      <c r="K896" s="3"/>
      <c r="L896" s="3"/>
      <c r="M896" s="5"/>
      <c r="N896" s="5"/>
      <c r="O896" s="5"/>
      <c r="P896" s="5"/>
      <c r="Q896" s="5"/>
      <c r="R896" s="3"/>
      <c r="S896" s="5"/>
      <c r="T896" s="3"/>
      <c r="U896" s="14"/>
      <c r="V896" s="38" t="s">
        <v>369</v>
      </c>
      <c r="W896" s="3" t="s">
        <v>372</v>
      </c>
      <c r="X896" s="38" t="s">
        <v>369</v>
      </c>
      <c r="Y896" s="1443">
        <v>200171021</v>
      </c>
      <c r="Z896" s="1443"/>
      <c r="AA896" s="1443"/>
      <c r="AB896" s="14"/>
      <c r="AC896" s="3"/>
      <c r="AD896" s="3"/>
      <c r="AE896" s="5"/>
      <c r="AF896" s="3"/>
      <c r="AG896" s="38"/>
      <c r="AH896" s="5"/>
      <c r="AI896" s="51">
        <f>AI435</f>
        <v>6.1199999999999997E-2</v>
      </c>
      <c r="AJ896" s="39"/>
      <c r="AK896" s="39"/>
      <c r="AL896" s="39"/>
      <c r="AM896" s="51">
        <f t="shared" ref="AM896:AM897" si="101">AE$894*AI896+SUM(AJ896:AL896)</f>
        <v>0.34488750000000001</v>
      </c>
      <c r="AN896" s="3" t="s">
        <v>371</v>
      </c>
      <c r="AO896" s="3" t="s">
        <v>371</v>
      </c>
      <c r="AP896" s="3" t="s">
        <v>371</v>
      </c>
      <c r="AQ896" s="3" t="s">
        <v>371</v>
      </c>
      <c r="AR896" s="3" t="s">
        <v>371</v>
      </c>
      <c r="AS896" s="3" t="s">
        <v>371</v>
      </c>
      <c r="AT896" s="3" t="s">
        <v>371</v>
      </c>
      <c r="AU896" s="3" t="s">
        <v>371</v>
      </c>
      <c r="AV896" s="3" t="s">
        <v>371</v>
      </c>
      <c r="AW896" s="3" t="s">
        <v>371</v>
      </c>
      <c r="AX896" s="1414" t="s">
        <v>92</v>
      </c>
      <c r="AY896" s="3"/>
      <c r="AZ896" s="139"/>
      <c r="BA896" s="139"/>
      <c r="BB896" s="139"/>
      <c r="BC896" s="139"/>
      <c r="BD896" s="139"/>
      <c r="BE896" s="3"/>
    </row>
    <row r="897" spans="1:57" ht="15" customHeight="1" x14ac:dyDescent="0.4">
      <c r="A897" s="3"/>
      <c r="B897" s="1490" t="s">
        <v>2086</v>
      </c>
      <c r="C897" s="7"/>
      <c r="D897" s="7"/>
      <c r="E897" s="7"/>
      <c r="F897" s="4"/>
      <c r="G897" s="7"/>
      <c r="H897" s="14"/>
      <c r="I897" s="3"/>
      <c r="J897" s="3"/>
      <c r="K897" s="3"/>
      <c r="L897" s="3"/>
      <c r="M897" s="350"/>
      <c r="N897" s="350"/>
      <c r="O897" s="350"/>
      <c r="P897" s="5"/>
      <c r="Q897" s="5"/>
      <c r="R897" s="3"/>
      <c r="S897" s="5"/>
      <c r="T897" s="3"/>
      <c r="U897" s="14"/>
      <c r="V897" s="38" t="s">
        <v>369</v>
      </c>
      <c r="W897" s="3" t="s">
        <v>373</v>
      </c>
      <c r="X897" s="38" t="s">
        <v>369</v>
      </c>
      <c r="Y897" s="1443">
        <v>200171033</v>
      </c>
      <c r="Z897" s="1443"/>
      <c r="AA897" s="1443"/>
      <c r="AB897" s="14"/>
      <c r="AC897" s="3"/>
      <c r="AD897" s="3"/>
      <c r="AE897" s="5"/>
      <c r="AF897" s="3"/>
      <c r="AG897" s="38"/>
      <c r="AH897" s="5"/>
      <c r="AI897" s="51">
        <f>AI436</f>
        <v>6.2199999999999998E-2</v>
      </c>
      <c r="AJ897" s="39"/>
      <c r="AK897" s="39"/>
      <c r="AL897" s="39"/>
      <c r="AM897" s="51">
        <f t="shared" si="101"/>
        <v>0.35052291666666668</v>
      </c>
      <c r="AN897" s="3" t="s">
        <v>371</v>
      </c>
      <c r="AO897" s="3" t="s">
        <v>371</v>
      </c>
      <c r="AP897" s="3" t="s">
        <v>371</v>
      </c>
      <c r="AQ897" s="3" t="s">
        <v>371</v>
      </c>
      <c r="AR897" s="3" t="s">
        <v>371</v>
      </c>
      <c r="AS897" s="3" t="s">
        <v>371</v>
      </c>
      <c r="AT897" s="3" t="s">
        <v>371</v>
      </c>
      <c r="AU897" s="3" t="s">
        <v>371</v>
      </c>
      <c r="AV897" s="3" t="s">
        <v>371</v>
      </c>
      <c r="AW897" s="3" t="s">
        <v>371</v>
      </c>
      <c r="AX897" s="1414" t="s">
        <v>92</v>
      </c>
      <c r="AY897" s="3"/>
      <c r="AZ897" s="139"/>
      <c r="BA897" s="139"/>
      <c r="BB897" s="139"/>
      <c r="BC897" s="139"/>
      <c r="BD897" s="139"/>
      <c r="BE897" s="3"/>
    </row>
    <row r="898" spans="1:57" ht="15" customHeight="1" x14ac:dyDescent="0.4">
      <c r="A898" s="3"/>
      <c r="B898" s="8"/>
      <c r="C898" s="7"/>
      <c r="D898" s="7"/>
      <c r="E898" s="7"/>
      <c r="F898" s="7"/>
      <c r="G898" s="7"/>
      <c r="H898" s="14"/>
      <c r="I898" s="3"/>
      <c r="J898" s="3"/>
      <c r="K898" s="3"/>
      <c r="L898" s="3"/>
      <c r="M898" s="350"/>
      <c r="N898" s="350"/>
      <c r="O898" s="350"/>
      <c r="P898" s="5"/>
      <c r="Q898" s="5"/>
      <c r="R898" s="3"/>
      <c r="S898" s="5"/>
      <c r="T898" s="3"/>
      <c r="U898" s="14"/>
      <c r="V898" s="38" t="s">
        <v>369</v>
      </c>
      <c r="W898" s="3" t="s">
        <v>374</v>
      </c>
      <c r="X898" s="38" t="s">
        <v>369</v>
      </c>
      <c r="Y898" s="1443">
        <v>200171090</v>
      </c>
      <c r="Z898" s="1443"/>
      <c r="AA898" s="1443"/>
      <c r="AB898" s="14"/>
      <c r="AC898" s="3"/>
      <c r="AD898" s="3"/>
      <c r="AE898" s="5"/>
      <c r="AF898" s="3"/>
      <c r="AG898" s="38"/>
      <c r="AH898" s="5"/>
      <c r="AI898" s="353">
        <v>0.1129</v>
      </c>
      <c r="AJ898" s="39"/>
      <c r="AK898" s="39"/>
      <c r="AL898" s="39"/>
      <c r="AM898" s="51">
        <f>AE$894*AI898+SUM(AJ898:AL898)</f>
        <v>0.63623854166666671</v>
      </c>
      <c r="AN898" s="3" t="s">
        <v>371</v>
      </c>
      <c r="AO898" s="3" t="s">
        <v>371</v>
      </c>
      <c r="AP898" s="3" t="s">
        <v>371</v>
      </c>
      <c r="AQ898" s="3" t="s">
        <v>371</v>
      </c>
      <c r="AR898" s="3" t="s">
        <v>371</v>
      </c>
      <c r="AS898" s="3" t="s">
        <v>371</v>
      </c>
      <c r="AT898" s="3" t="s">
        <v>371</v>
      </c>
      <c r="AU898" s="3" t="s">
        <v>371</v>
      </c>
      <c r="AV898" s="3" t="s">
        <v>371</v>
      </c>
      <c r="AW898" s="3" t="s">
        <v>371</v>
      </c>
      <c r="AX898" s="1414" t="s">
        <v>92</v>
      </c>
      <c r="AY898" s="3"/>
      <c r="AZ898" s="139"/>
      <c r="BA898" s="139"/>
      <c r="BB898" s="139"/>
      <c r="BC898" s="139"/>
      <c r="BD898" s="139"/>
      <c r="BE898" s="3"/>
    </row>
    <row r="899" spans="1:57" ht="15" customHeight="1" x14ac:dyDescent="0.4">
      <c r="A899" s="3"/>
      <c r="B899" s="8"/>
      <c r="C899" s="7"/>
      <c r="D899" s="7"/>
      <c r="E899" s="7"/>
      <c r="F899" s="7"/>
      <c r="G899" s="7"/>
      <c r="H899" s="14"/>
      <c r="I899" s="3"/>
      <c r="J899" s="3"/>
      <c r="K899" s="3"/>
      <c r="L899" s="3"/>
      <c r="M899" s="350"/>
      <c r="N899" s="350"/>
      <c r="O899" s="350"/>
      <c r="P899" s="5"/>
      <c r="Q899" s="5"/>
      <c r="R899" s="3"/>
      <c r="S899" s="5"/>
      <c r="T899" s="842" t="s">
        <v>2225</v>
      </c>
      <c r="U899" s="14"/>
      <c r="V899" s="38" t="s">
        <v>369</v>
      </c>
      <c r="W899" s="3" t="s">
        <v>375</v>
      </c>
      <c r="X899" s="38" t="s">
        <v>369</v>
      </c>
      <c r="Y899" s="1443">
        <v>200171133</v>
      </c>
      <c r="Z899" s="1443"/>
      <c r="AA899" s="1443"/>
      <c r="AB899" s="14"/>
      <c r="AC899" s="3"/>
      <c r="AD899" s="3"/>
      <c r="AE899" s="5"/>
      <c r="AF899" s="3"/>
      <c r="AG899" s="38"/>
      <c r="AH899" s="5"/>
      <c r="AI899" s="353">
        <v>0.1469</v>
      </c>
      <c r="AJ899" s="39"/>
      <c r="AK899" s="39"/>
      <c r="AL899" s="39"/>
      <c r="AM899" s="51">
        <f t="shared" ref="AM899" si="102">AE$894*AI899+SUM(AJ899:AL899)</f>
        <v>0.8278427083333334</v>
      </c>
      <c r="AN899" s="3" t="s">
        <v>371</v>
      </c>
      <c r="AO899" s="3" t="s">
        <v>371</v>
      </c>
      <c r="AP899" s="3" t="s">
        <v>371</v>
      </c>
      <c r="AQ899" s="3" t="s">
        <v>371</v>
      </c>
      <c r="AR899" s="3" t="s">
        <v>371</v>
      </c>
      <c r="AS899" s="3" t="s">
        <v>371</v>
      </c>
      <c r="AT899" s="3" t="s">
        <v>371</v>
      </c>
      <c r="AU899" s="3" t="s">
        <v>371</v>
      </c>
      <c r="AV899" s="3" t="s">
        <v>371</v>
      </c>
      <c r="AW899" s="3" t="s">
        <v>371</v>
      </c>
      <c r="AX899" s="1414" t="s">
        <v>81</v>
      </c>
      <c r="AY899" s="3"/>
      <c r="AZ899" s="139"/>
      <c r="BA899" s="139"/>
      <c r="BB899" s="139"/>
      <c r="BC899" s="139"/>
      <c r="BD899" s="139"/>
      <c r="BE899" s="3"/>
    </row>
    <row r="900" spans="1:57" ht="15" customHeight="1" thickBot="1" x14ac:dyDescent="0.45">
      <c r="A900" s="3"/>
      <c r="B900" s="949"/>
      <c r="C900" s="924"/>
      <c r="D900" s="924"/>
      <c r="E900" s="924"/>
      <c r="F900" s="924"/>
      <c r="G900" s="924"/>
      <c r="H900" s="948"/>
      <c r="I900" s="889"/>
      <c r="J900" s="889"/>
      <c r="K900" s="889"/>
      <c r="L900" s="889"/>
      <c r="M900" s="950"/>
      <c r="N900" s="950"/>
      <c r="O900" s="950"/>
      <c r="P900" s="945"/>
      <c r="Q900" s="945"/>
      <c r="R900" s="889"/>
      <c r="S900" s="945"/>
      <c r="T900" s="889"/>
      <c r="U900" s="948"/>
      <c r="V900" s="1876" t="s">
        <v>369</v>
      </c>
      <c r="W900" s="1877" t="s">
        <v>1849</v>
      </c>
      <c r="X900" s="1876" t="s">
        <v>369</v>
      </c>
      <c r="Y900" s="1878">
        <v>200171148</v>
      </c>
      <c r="Z900" s="1444"/>
      <c r="AA900" s="1444"/>
      <c r="AB900" s="948"/>
      <c r="AC900" s="889"/>
      <c r="AD900" s="889"/>
      <c r="AE900" s="945"/>
      <c r="AF900" s="889"/>
      <c r="AG900" s="888"/>
      <c r="AH900" s="945"/>
      <c r="AI900" s="937">
        <f>AI437</f>
        <v>0.15210000000000001</v>
      </c>
      <c r="AJ900" s="947"/>
      <c r="AK900" s="947"/>
      <c r="AL900" s="947"/>
      <c r="AM900" s="937">
        <f t="shared" ref="AM900" si="103">AE$894*AI900+SUM(AJ900:AL900)</f>
        <v>0.85714687500000009</v>
      </c>
      <c r="AN900" s="889" t="s">
        <v>92</v>
      </c>
      <c r="AO900" s="889" t="s">
        <v>92</v>
      </c>
      <c r="AP900" s="889" t="s">
        <v>92</v>
      </c>
      <c r="AQ900" s="889" t="s">
        <v>92</v>
      </c>
      <c r="AR900" s="889" t="s">
        <v>92</v>
      </c>
      <c r="AS900" s="889" t="s">
        <v>92</v>
      </c>
      <c r="AT900" s="889" t="s">
        <v>92</v>
      </c>
      <c r="AU900" s="889" t="s">
        <v>92</v>
      </c>
      <c r="AV900" s="889" t="s">
        <v>92</v>
      </c>
      <c r="AW900" s="889" t="s">
        <v>92</v>
      </c>
      <c r="AX900" s="1590" t="s">
        <v>92</v>
      </c>
      <c r="AY900" s="889"/>
      <c r="AZ900" s="139"/>
      <c r="BA900" s="139"/>
      <c r="BB900" s="139"/>
      <c r="BC900" s="139"/>
      <c r="BD900" s="139"/>
      <c r="BE900" s="3"/>
    </row>
    <row r="901" spans="1:57" ht="15" customHeight="1" x14ac:dyDescent="0.4">
      <c r="A901" s="3"/>
      <c r="B901" s="7" t="s">
        <v>855</v>
      </c>
      <c r="C901" s="7"/>
      <c r="D901" s="7"/>
      <c r="E901" s="7"/>
      <c r="F901" s="7"/>
      <c r="G901" s="7"/>
      <c r="H901" s="14"/>
      <c r="I901" s="3" t="s">
        <v>365</v>
      </c>
      <c r="J901" s="3" t="s">
        <v>346</v>
      </c>
      <c r="K901" s="3">
        <v>2</v>
      </c>
      <c r="L901" s="3" t="s">
        <v>348</v>
      </c>
      <c r="M901" s="77">
        <v>-3.1875</v>
      </c>
      <c r="N901" s="77"/>
      <c r="O901" s="77"/>
      <c r="P901" s="5" t="s">
        <v>348</v>
      </c>
      <c r="Q901" s="177" t="s">
        <v>2211</v>
      </c>
      <c r="R901" s="3" t="s">
        <v>352</v>
      </c>
      <c r="S901" s="5">
        <f>SHHeight/K901+M901+SHCORnd</f>
        <v>33.8125</v>
      </c>
      <c r="T901" s="3" t="s">
        <v>366</v>
      </c>
      <c r="U901" s="14"/>
      <c r="V901" s="38"/>
      <c r="W901" s="3"/>
      <c r="X901" s="38"/>
      <c r="Y901" s="41"/>
      <c r="Z901" s="41"/>
      <c r="AA901" s="41"/>
      <c r="AB901" s="14"/>
      <c r="AC901" s="3">
        <v>45</v>
      </c>
      <c r="AD901" s="3">
        <v>2</v>
      </c>
      <c r="AE901" s="5">
        <f>S901*AD901/12</f>
        <v>5.635416666666667</v>
      </c>
      <c r="AF901" s="3" t="s">
        <v>367</v>
      </c>
      <c r="AG901" s="38">
        <f>AG439</f>
        <v>4.1000000000000002E-2</v>
      </c>
      <c r="AH901" s="5">
        <f>AG901*AtolbperftSH</f>
        <v>2.5932500000000001E-2</v>
      </c>
      <c r="AI901" s="51"/>
      <c r="AJ901" s="39"/>
      <c r="AK901" s="39"/>
      <c r="AL901" s="39"/>
      <c r="AM901" s="39"/>
      <c r="AN901" s="3" t="s">
        <v>371</v>
      </c>
      <c r="AO901" s="3" t="s">
        <v>371</v>
      </c>
      <c r="AP901" s="3" t="s">
        <v>371</v>
      </c>
      <c r="AQ901" s="3" t="s">
        <v>371</v>
      </c>
      <c r="AR901" s="3" t="s">
        <v>371</v>
      </c>
      <c r="AS901" s="3" t="s">
        <v>371</v>
      </c>
      <c r="AT901" s="3" t="s">
        <v>371</v>
      </c>
      <c r="AU901" s="3" t="s">
        <v>371</v>
      </c>
      <c r="AV901" s="3" t="s">
        <v>371</v>
      </c>
      <c r="AW901" s="3" t="s">
        <v>371</v>
      </c>
      <c r="AX901" s="1414" t="s">
        <v>92</v>
      </c>
      <c r="AY901" s="3"/>
      <c r="AZ901" s="139"/>
      <c r="BA901" s="139"/>
      <c r="BB901" s="139"/>
      <c r="BC901" s="139"/>
      <c r="BD901" s="139"/>
      <c r="BE901" s="3"/>
    </row>
    <row r="902" spans="1:57" ht="15" customHeight="1" x14ac:dyDescent="0.4">
      <c r="A902" s="3"/>
      <c r="B902" s="8"/>
      <c r="C902" s="7"/>
      <c r="D902" s="7"/>
      <c r="E902" s="7"/>
      <c r="F902" s="7"/>
      <c r="G902" s="7"/>
      <c r="H902" s="14"/>
      <c r="I902" s="3"/>
      <c r="J902" s="3"/>
      <c r="K902" s="3"/>
      <c r="L902" s="3"/>
      <c r="M902" s="350"/>
      <c r="N902" s="350"/>
      <c r="O902" s="350"/>
      <c r="P902" s="5"/>
      <c r="Q902" s="5"/>
      <c r="R902" s="3"/>
      <c r="S902" s="5"/>
      <c r="T902" s="3"/>
      <c r="U902" s="14"/>
      <c r="V902" s="38" t="s">
        <v>369</v>
      </c>
      <c r="W902" s="3" t="s">
        <v>370</v>
      </c>
      <c r="X902" s="38" t="s">
        <v>369</v>
      </c>
      <c r="Y902" s="1443">
        <v>200190003</v>
      </c>
      <c r="Z902" s="1443"/>
      <c r="AA902" s="1443"/>
      <c r="AB902" s="14"/>
      <c r="AC902" s="3"/>
      <c r="AD902" s="3"/>
      <c r="AE902" s="5"/>
      <c r="AF902" s="3"/>
      <c r="AG902" s="38"/>
      <c r="AH902" s="5"/>
      <c r="AI902" s="51">
        <f>AI440</f>
        <v>5.0599999999999999E-2</v>
      </c>
      <c r="AJ902" s="39"/>
      <c r="AK902" s="39"/>
      <c r="AL902" s="39"/>
      <c r="AM902" s="51">
        <f>AE$901*AI902+SUM(AJ902:AL902)</f>
        <v>0.28515208333333336</v>
      </c>
      <c r="AN902" s="3" t="s">
        <v>371</v>
      </c>
      <c r="AO902" s="3" t="s">
        <v>371</v>
      </c>
      <c r="AP902" s="3" t="s">
        <v>371</v>
      </c>
      <c r="AQ902" s="3" t="s">
        <v>371</v>
      </c>
      <c r="AR902" s="3" t="s">
        <v>371</v>
      </c>
      <c r="AS902" s="3" t="s">
        <v>371</v>
      </c>
      <c r="AT902" s="3" t="s">
        <v>371</v>
      </c>
      <c r="AU902" s="3" t="s">
        <v>371</v>
      </c>
      <c r="AV902" s="3" t="s">
        <v>371</v>
      </c>
      <c r="AW902" s="3" t="s">
        <v>371</v>
      </c>
      <c r="AX902" s="1414" t="s">
        <v>92</v>
      </c>
      <c r="AY902" s="3"/>
      <c r="AZ902" s="139"/>
      <c r="BA902" s="139"/>
      <c r="BB902" s="139"/>
      <c r="BC902" s="139"/>
      <c r="BD902" s="139"/>
      <c r="BE902" s="3"/>
    </row>
    <row r="903" spans="1:57" ht="15" customHeight="1" x14ac:dyDescent="0.4">
      <c r="A903" s="3"/>
      <c r="B903" s="8"/>
      <c r="C903" s="7"/>
      <c r="D903" s="7"/>
      <c r="E903" s="7"/>
      <c r="F903" s="7"/>
      <c r="G903" s="7"/>
      <c r="H903" s="14"/>
      <c r="I903" s="3"/>
      <c r="J903" s="3"/>
      <c r="K903" s="3"/>
      <c r="L903" s="3"/>
      <c r="M903" s="350"/>
      <c r="N903" s="350"/>
      <c r="O903" s="350"/>
      <c r="P903" s="5"/>
      <c r="Q903" s="5"/>
      <c r="R903" s="3"/>
      <c r="S903" s="5"/>
      <c r="T903" s="3"/>
      <c r="U903" s="14"/>
      <c r="V903" s="38" t="s">
        <v>369</v>
      </c>
      <c r="W903" s="3" t="s">
        <v>372</v>
      </c>
      <c r="X903" s="38" t="s">
        <v>369</v>
      </c>
      <c r="Y903" s="1443">
        <v>200190021</v>
      </c>
      <c r="Z903" s="1443"/>
      <c r="AA903" s="1443"/>
      <c r="AB903" s="14"/>
      <c r="AC903" s="3"/>
      <c r="AD903" s="3"/>
      <c r="AE903" s="5"/>
      <c r="AF903" s="3"/>
      <c r="AG903" s="38"/>
      <c r="AH903" s="5"/>
      <c r="AI903" s="51">
        <f>AI441</f>
        <v>5.6800000000000003E-2</v>
      </c>
      <c r="AJ903" s="39"/>
      <c r="AK903" s="39"/>
      <c r="AL903" s="39"/>
      <c r="AM903" s="51">
        <f t="shared" ref="AM903:AM904" si="104">AE$901*AI903+SUM(AJ903:AL903)</f>
        <v>0.32009166666666672</v>
      </c>
      <c r="AN903" s="3" t="s">
        <v>371</v>
      </c>
      <c r="AO903" s="3" t="s">
        <v>371</v>
      </c>
      <c r="AP903" s="3" t="s">
        <v>371</v>
      </c>
      <c r="AQ903" s="3" t="s">
        <v>371</v>
      </c>
      <c r="AR903" s="3" t="s">
        <v>371</v>
      </c>
      <c r="AS903" s="3" t="s">
        <v>371</v>
      </c>
      <c r="AT903" s="3" t="s">
        <v>371</v>
      </c>
      <c r="AU903" s="3" t="s">
        <v>371</v>
      </c>
      <c r="AV903" s="3" t="s">
        <v>371</v>
      </c>
      <c r="AW903" s="3" t="s">
        <v>371</v>
      </c>
      <c r="AX903" s="1414" t="s">
        <v>92</v>
      </c>
      <c r="AY903" s="3"/>
      <c r="AZ903" s="139"/>
      <c r="BA903" s="139"/>
      <c r="BB903" s="139"/>
      <c r="BC903" s="139"/>
      <c r="BD903" s="139"/>
      <c r="BE903" s="3"/>
    </row>
    <row r="904" spans="1:57" ht="15" customHeight="1" x14ac:dyDescent="0.4">
      <c r="A904" s="3"/>
      <c r="B904" s="8"/>
      <c r="C904" s="7"/>
      <c r="D904" s="7"/>
      <c r="E904" s="7"/>
      <c r="F904" s="7"/>
      <c r="G904" s="7"/>
      <c r="H904" s="14"/>
      <c r="I904" s="3"/>
      <c r="J904" s="3"/>
      <c r="K904" s="3"/>
      <c r="L904" s="3"/>
      <c r="M904" s="350"/>
      <c r="N904" s="350"/>
      <c r="O904" s="350"/>
      <c r="P904" s="5"/>
      <c r="Q904" s="5"/>
      <c r="R904" s="3"/>
      <c r="S904" s="5"/>
      <c r="T904" s="3"/>
      <c r="U904" s="14"/>
      <c r="V904" s="38" t="s">
        <v>369</v>
      </c>
      <c r="W904" s="3" t="s">
        <v>373</v>
      </c>
      <c r="X904" s="38" t="s">
        <v>369</v>
      </c>
      <c r="Y904" s="1443">
        <v>200190033</v>
      </c>
      <c r="Z904" s="1443"/>
      <c r="AA904" s="1443"/>
      <c r="AB904" s="14"/>
      <c r="AC904" s="3"/>
      <c r="AD904" s="3"/>
      <c r="AE904" s="5"/>
      <c r="AF904" s="3"/>
      <c r="AG904" s="38"/>
      <c r="AH904" s="5"/>
      <c r="AI904" s="51">
        <f>AI442</f>
        <v>6.1600000000000002E-2</v>
      </c>
      <c r="AJ904" s="39"/>
      <c r="AK904" s="39"/>
      <c r="AL904" s="39"/>
      <c r="AM904" s="51">
        <f t="shared" si="104"/>
        <v>0.34714166666666668</v>
      </c>
      <c r="AN904" s="3" t="s">
        <v>371</v>
      </c>
      <c r="AO904" s="3" t="s">
        <v>371</v>
      </c>
      <c r="AP904" s="3" t="s">
        <v>371</v>
      </c>
      <c r="AQ904" s="3" t="s">
        <v>371</v>
      </c>
      <c r="AR904" s="3" t="s">
        <v>371</v>
      </c>
      <c r="AS904" s="3" t="s">
        <v>371</v>
      </c>
      <c r="AT904" s="3" t="s">
        <v>371</v>
      </c>
      <c r="AU904" s="3" t="s">
        <v>371</v>
      </c>
      <c r="AV904" s="3" t="s">
        <v>371</v>
      </c>
      <c r="AW904" s="3" t="s">
        <v>371</v>
      </c>
      <c r="AX904" s="1414" t="s">
        <v>92</v>
      </c>
      <c r="AY904" s="3"/>
      <c r="AZ904" s="139"/>
      <c r="BA904" s="139"/>
      <c r="BB904" s="139"/>
      <c r="BC904" s="139"/>
      <c r="BD904" s="139"/>
      <c r="BE904" s="3"/>
    </row>
    <row r="905" spans="1:57" ht="15" customHeight="1" x14ac:dyDescent="0.4">
      <c r="A905" s="3"/>
      <c r="B905" s="8"/>
      <c r="C905" s="7"/>
      <c r="D905" s="7"/>
      <c r="E905" s="7"/>
      <c r="F905" s="7"/>
      <c r="G905" s="7"/>
      <c r="H905" s="14"/>
      <c r="I905" s="3"/>
      <c r="J905" s="3"/>
      <c r="K905" s="3"/>
      <c r="L905" s="3"/>
      <c r="M905" s="350"/>
      <c r="N905" s="350"/>
      <c r="O905" s="350"/>
      <c r="P905" s="5"/>
      <c r="Q905" s="5"/>
      <c r="R905" s="3"/>
      <c r="S905" s="5"/>
      <c r="T905" s="3"/>
      <c r="U905" s="14"/>
      <c r="V905" s="38" t="s">
        <v>369</v>
      </c>
      <c r="W905" s="3" t="s">
        <v>374</v>
      </c>
      <c r="X905" s="38" t="s">
        <v>369</v>
      </c>
      <c r="Y905" s="1443">
        <v>200190090</v>
      </c>
      <c r="Z905" s="1443"/>
      <c r="AA905" s="1443"/>
      <c r="AB905" s="14"/>
      <c r="AC905" s="3"/>
      <c r="AD905" s="3"/>
      <c r="AE905" s="5"/>
      <c r="AF905" s="3"/>
      <c r="AG905" s="38"/>
      <c r="AH905" s="5"/>
      <c r="AI905" s="353">
        <v>0.1077</v>
      </c>
      <c r="AJ905" s="39"/>
      <c r="AK905" s="39"/>
      <c r="AL905" s="39"/>
      <c r="AM905" s="51">
        <f>AE$901*AI905+SUM(AJ905:AL905)</f>
        <v>0.60693437500000003</v>
      </c>
      <c r="AN905" s="3" t="s">
        <v>371</v>
      </c>
      <c r="AO905" s="3" t="s">
        <v>371</v>
      </c>
      <c r="AP905" s="3" t="s">
        <v>371</v>
      </c>
      <c r="AQ905" s="3" t="s">
        <v>371</v>
      </c>
      <c r="AR905" s="3" t="s">
        <v>371</v>
      </c>
      <c r="AS905" s="3" t="s">
        <v>371</v>
      </c>
      <c r="AT905" s="3" t="s">
        <v>371</v>
      </c>
      <c r="AU905" s="3" t="s">
        <v>371</v>
      </c>
      <c r="AV905" s="3" t="s">
        <v>371</v>
      </c>
      <c r="AW905" s="3" t="s">
        <v>371</v>
      </c>
      <c r="AX905" s="1414" t="s">
        <v>92</v>
      </c>
      <c r="AY905" s="3"/>
      <c r="AZ905" s="139"/>
      <c r="BA905" s="139"/>
      <c r="BB905" s="139"/>
      <c r="BC905" s="139"/>
      <c r="BD905" s="139"/>
      <c r="BE905" s="3"/>
    </row>
    <row r="906" spans="1:57" ht="15" customHeight="1" x14ac:dyDescent="0.4">
      <c r="A906" s="3"/>
      <c r="B906" s="8"/>
      <c r="C906" s="7"/>
      <c r="D906" s="7"/>
      <c r="E906" s="7"/>
      <c r="F906" s="7"/>
      <c r="G906" s="7"/>
      <c r="H906" s="14"/>
      <c r="I906" s="3"/>
      <c r="J906" s="3"/>
      <c r="K906" s="3"/>
      <c r="L906" s="3"/>
      <c r="M906" s="350"/>
      <c r="N906" s="350"/>
      <c r="O906" s="350"/>
      <c r="P906" s="5"/>
      <c r="Q906" s="5"/>
      <c r="R906" s="3"/>
      <c r="S906" s="5"/>
      <c r="T906" s="3"/>
      <c r="U906" s="14"/>
      <c r="V906" s="38" t="s">
        <v>369</v>
      </c>
      <c r="W906" s="3" t="s">
        <v>375</v>
      </c>
      <c r="X906" s="38" t="s">
        <v>369</v>
      </c>
      <c r="Y906" s="1443">
        <v>200190133</v>
      </c>
      <c r="Z906" s="1443"/>
      <c r="AA906" s="1443"/>
      <c r="AB906" s="14"/>
      <c r="AC906" s="3"/>
      <c r="AD906" s="3"/>
      <c r="AE906" s="5"/>
      <c r="AF906" s="3"/>
      <c r="AG906" s="38"/>
      <c r="AH906" s="5"/>
      <c r="AI906" s="353">
        <v>0.14069999999999999</v>
      </c>
      <c r="AJ906" s="39"/>
      <c r="AK906" s="39"/>
      <c r="AL906" s="39"/>
      <c r="AM906" s="51">
        <f t="shared" ref="AM906" si="105">AE$901*AI906+SUM(AJ906:AL906)</f>
        <v>0.79290312500000004</v>
      </c>
      <c r="AN906" s="3" t="s">
        <v>371</v>
      </c>
      <c r="AO906" s="3" t="s">
        <v>371</v>
      </c>
      <c r="AP906" s="3" t="s">
        <v>371</v>
      </c>
      <c r="AQ906" s="3" t="s">
        <v>371</v>
      </c>
      <c r="AR906" s="3" t="s">
        <v>371</v>
      </c>
      <c r="AS906" s="3" t="s">
        <v>371</v>
      </c>
      <c r="AT906" s="3" t="s">
        <v>371</v>
      </c>
      <c r="AU906" s="3" t="s">
        <v>371</v>
      </c>
      <c r="AV906" s="3" t="s">
        <v>371</v>
      </c>
      <c r="AW906" s="3" t="s">
        <v>371</v>
      </c>
      <c r="AX906" s="1414" t="s">
        <v>371</v>
      </c>
      <c r="AY906" s="3"/>
      <c r="AZ906" s="139"/>
      <c r="BA906" s="139"/>
      <c r="BB906" s="139"/>
      <c r="BC906" s="139"/>
      <c r="BD906" s="139"/>
      <c r="BE906" s="3"/>
    </row>
    <row r="907" spans="1:57" ht="15" customHeight="1" thickBot="1" x14ac:dyDescent="0.45">
      <c r="A907" s="3"/>
      <c r="B907" s="949"/>
      <c r="C907" s="924"/>
      <c r="D907" s="924"/>
      <c r="E907" s="924"/>
      <c r="F907" s="924"/>
      <c r="G907" s="924"/>
      <c r="H907" s="948"/>
      <c r="I907" s="889"/>
      <c r="J907" s="889"/>
      <c r="K907" s="889"/>
      <c r="L907" s="889"/>
      <c r="M907" s="950"/>
      <c r="N907" s="950"/>
      <c r="O907" s="950"/>
      <c r="P907" s="945"/>
      <c r="Q907" s="945"/>
      <c r="R907" s="889"/>
      <c r="S907" s="945"/>
      <c r="T907" s="889"/>
      <c r="U907" s="948"/>
      <c r="V907" s="1876" t="s">
        <v>369</v>
      </c>
      <c r="W907" s="1877" t="s">
        <v>1849</v>
      </c>
      <c r="X907" s="1876" t="s">
        <v>369</v>
      </c>
      <c r="Y907" s="1878">
        <v>200190148</v>
      </c>
      <c r="Z907" s="1444"/>
      <c r="AA907" s="1444"/>
      <c r="AB907" s="948"/>
      <c r="AC907" s="889"/>
      <c r="AD907" s="889"/>
      <c r="AE907" s="945"/>
      <c r="AF907" s="889"/>
      <c r="AG907" s="888"/>
      <c r="AH907" s="945"/>
      <c r="AI907" s="937">
        <f>AI443</f>
        <v>0.15640000000000001</v>
      </c>
      <c r="AJ907" s="947"/>
      <c r="AK907" s="947"/>
      <c r="AL907" s="947"/>
      <c r="AM907" s="937">
        <f t="shared" ref="AM907" si="106">AE$901*AI907+SUM(AJ907:AL907)</f>
        <v>0.88137916666666682</v>
      </c>
      <c r="AN907" s="889" t="s">
        <v>92</v>
      </c>
      <c r="AO907" s="889" t="s">
        <v>92</v>
      </c>
      <c r="AP907" s="889" t="s">
        <v>92</v>
      </c>
      <c r="AQ907" s="889" t="s">
        <v>92</v>
      </c>
      <c r="AR907" s="889" t="s">
        <v>92</v>
      </c>
      <c r="AS907" s="889" t="s">
        <v>92</v>
      </c>
      <c r="AT907" s="889" t="s">
        <v>92</v>
      </c>
      <c r="AU907" s="889" t="s">
        <v>92</v>
      </c>
      <c r="AV907" s="889" t="s">
        <v>92</v>
      </c>
      <c r="AW907" s="889" t="s">
        <v>92</v>
      </c>
      <c r="AX907" s="1590" t="s">
        <v>92</v>
      </c>
      <c r="AY907" s="889"/>
      <c r="AZ907" s="139"/>
      <c r="BA907" s="139"/>
      <c r="BB907" s="139"/>
      <c r="BC907" s="139"/>
      <c r="BD907" s="139"/>
      <c r="BE907" s="3"/>
    </row>
    <row r="908" spans="1:57" ht="15" customHeight="1" x14ac:dyDescent="0.4">
      <c r="A908" s="3"/>
      <c r="B908" s="641" t="s">
        <v>857</v>
      </c>
      <c r="C908" s="642"/>
      <c r="D908" s="642"/>
      <c r="E908" s="642"/>
      <c r="F908" s="642"/>
      <c r="G908" s="642"/>
      <c r="H908" s="643"/>
      <c r="I908" s="643"/>
      <c r="J908" s="643"/>
      <c r="K908" s="643"/>
      <c r="L908" s="643"/>
      <c r="M908" s="644"/>
      <c r="N908" s="644"/>
      <c r="O908" s="644"/>
      <c r="P908" s="644"/>
      <c r="Q908" s="644"/>
      <c r="R908" s="643"/>
      <c r="S908" s="644"/>
      <c r="T908" s="643"/>
      <c r="U908" s="643"/>
      <c r="V908" s="642"/>
      <c r="W908" s="642"/>
      <c r="X908" s="642"/>
      <c r="Y908" s="645"/>
      <c r="Z908" s="645"/>
      <c r="AA908" s="645"/>
      <c r="AB908" s="643"/>
      <c r="AC908" s="645"/>
      <c r="AD908" s="643"/>
      <c r="AE908" s="644"/>
      <c r="AF908" s="643"/>
      <c r="AG908" s="643"/>
      <c r="AH908" s="643"/>
      <c r="AI908" s="646"/>
      <c r="AJ908" s="647"/>
      <c r="AK908" s="647"/>
      <c r="AL908" s="648" t="s">
        <v>858</v>
      </c>
      <c r="AM908" s="649">
        <f>SUBTOTAL(109,AM909:AM948)</f>
        <v>6.6241597916666661</v>
      </c>
      <c r="AN908" s="647"/>
      <c r="AO908" s="647"/>
      <c r="AP908" s="647"/>
      <c r="AQ908" s="647"/>
      <c r="AR908" s="647"/>
      <c r="AS908" s="647"/>
      <c r="AT908" s="647"/>
      <c r="AU908" s="647"/>
      <c r="AV908" s="647"/>
      <c r="AW908" s="647"/>
      <c r="AX908" s="647"/>
      <c r="AY908" s="647"/>
      <c r="AZ908" s="139"/>
      <c r="BA908" s="139"/>
      <c r="BB908" s="139"/>
      <c r="BC908" s="139"/>
      <c r="BD908" s="139"/>
      <c r="BE908" s="3"/>
    </row>
    <row r="909" spans="1:57" ht="15" customHeight="1" thickBot="1" x14ac:dyDescent="0.45">
      <c r="A909" s="3"/>
      <c r="B909" s="4"/>
      <c r="C909" s="155"/>
      <c r="D909" s="155"/>
      <c r="E909" s="155"/>
      <c r="F909" s="925"/>
      <c r="G909" s="924"/>
      <c r="H909" s="14"/>
      <c r="I909" s="889"/>
      <c r="J909" s="3"/>
      <c r="K909" s="3"/>
      <c r="L909" s="3"/>
      <c r="M909" s="5"/>
      <c r="N909" s="5"/>
      <c r="O909" s="5"/>
      <c r="P909" s="5"/>
      <c r="Q909" s="24"/>
      <c r="R909" s="3"/>
      <c r="S909" s="24" t="s">
        <v>523</v>
      </c>
      <c r="T909" s="3"/>
      <c r="U909" s="14"/>
      <c r="V909" s="1494"/>
      <c r="W909" s="500" t="s">
        <v>859</v>
      </c>
      <c r="X909" s="500" t="s">
        <v>860</v>
      </c>
      <c r="Y909" s="3"/>
      <c r="Z909" s="3"/>
      <c r="AA909" s="3"/>
      <c r="AB909" s="14"/>
      <c r="AC909" s="3"/>
      <c r="AD909" s="3"/>
      <c r="AE909" s="5"/>
      <c r="AF909" s="5"/>
      <c r="AG909" s="5"/>
      <c r="AH909" s="5"/>
      <c r="AI909" s="51"/>
      <c r="AJ909" s="51"/>
      <c r="AK909" s="51"/>
      <c r="AL909" s="937"/>
      <c r="AM909" s="947"/>
      <c r="AN909" s="889"/>
      <c r="AO909" s="889"/>
      <c r="AP909" s="889"/>
      <c r="AQ909" s="889"/>
      <c r="AR909" s="889"/>
      <c r="AS909" s="889"/>
      <c r="AT909" s="889"/>
      <c r="AU909" s="889"/>
      <c r="AV909" s="889"/>
      <c r="AW909" s="889"/>
      <c r="AX909" s="1590"/>
      <c r="AY909" s="889"/>
      <c r="AZ909" s="139"/>
      <c r="BA909" s="139"/>
      <c r="BB909" s="139"/>
      <c r="BC909" s="139"/>
      <c r="BD909" s="139"/>
      <c r="BE909" s="3"/>
    </row>
    <row r="910" spans="1:57" ht="15" customHeight="1" x14ac:dyDescent="0.4">
      <c r="A910" s="3" t="s">
        <v>861</v>
      </c>
      <c r="B910" s="173" t="s">
        <v>862</v>
      </c>
      <c r="C910" s="182"/>
      <c r="D910" s="138"/>
      <c r="E910" s="182"/>
      <c r="F910" s="4"/>
      <c r="G910" s="4"/>
      <c r="H910" s="193"/>
      <c r="I910" s="665">
        <v>35.5</v>
      </c>
      <c r="J910" s="666" t="s">
        <v>863</v>
      </c>
      <c r="K910" s="116"/>
      <c r="L910" s="116"/>
      <c r="M910" s="177"/>
      <c r="N910" s="177"/>
      <c r="O910" s="177"/>
      <c r="P910" s="177"/>
      <c r="Q910" s="178"/>
      <c r="R910" s="116"/>
      <c r="S910" s="881">
        <f>SHWidth</f>
        <v>38.5625</v>
      </c>
      <c r="T910" s="881">
        <f>SHHeight</f>
        <v>74</v>
      </c>
      <c r="U910" s="193"/>
      <c r="V910" s="989" t="str">
        <f>IF(AND(SHWidth&lt;=I910,SHHeight&lt;=I911,SHImpactBox="no"),"√","")</f>
        <v/>
      </c>
      <c r="W910" s="668" t="str">
        <f>" Since width &lt;= "&amp;I910&amp;" AND height &lt;= "&amp;I911&amp;" and not Impact, reinforcement is not required in the Sash Lock Rail"</f>
        <v xml:space="preserve"> Since width &lt;= 35.5 AND height &lt;= 73.5 and not Impact, reinforcement is not required in the Sash Lock Rail</v>
      </c>
      <c r="X910" s="448"/>
      <c r="Y910" s="116"/>
      <c r="Z910" s="116"/>
      <c r="AA910" s="116"/>
      <c r="AB910" s="116"/>
      <c r="AC910" s="116"/>
      <c r="AD910" s="116"/>
      <c r="AE910" s="177"/>
      <c r="AF910" s="177"/>
      <c r="AG910" s="177"/>
      <c r="AH910" s="177"/>
      <c r="AI910" s="185"/>
      <c r="AJ910" s="185"/>
      <c r="AK910" s="185"/>
      <c r="AL910" s="51"/>
      <c r="AM910" s="39"/>
      <c r="AN910" s="3" t="s">
        <v>92</v>
      </c>
      <c r="AO910" s="3" t="s">
        <v>92</v>
      </c>
      <c r="AP910" s="3" t="s">
        <v>92</v>
      </c>
      <c r="AQ910" s="3" t="s">
        <v>92</v>
      </c>
      <c r="AR910" s="3" t="s">
        <v>92</v>
      </c>
      <c r="AS910" s="3" t="s">
        <v>92</v>
      </c>
      <c r="AT910" s="3" t="s">
        <v>92</v>
      </c>
      <c r="AU910" s="3" t="s">
        <v>81</v>
      </c>
      <c r="AV910" s="3" t="s">
        <v>81</v>
      </c>
      <c r="AW910" s="3" t="s">
        <v>81</v>
      </c>
      <c r="AX910" s="1414" t="s">
        <v>92</v>
      </c>
      <c r="AY910" s="3"/>
      <c r="AZ910" s="139"/>
      <c r="BA910" s="139"/>
      <c r="BB910" s="139"/>
      <c r="BC910" s="139"/>
      <c r="BD910" s="139"/>
      <c r="BE910" s="3"/>
    </row>
    <row r="911" spans="1:57" ht="15" customHeight="1" x14ac:dyDescent="0.4">
      <c r="A911" s="3"/>
      <c r="B911" s="7"/>
      <c r="C911" s="155"/>
      <c r="D911" s="155"/>
      <c r="E911" s="155"/>
      <c r="F911" s="434" t="s">
        <v>864</v>
      </c>
      <c r="G911" s="711">
        <f>G930</f>
        <v>3</v>
      </c>
      <c r="H911" s="20"/>
      <c r="I911" s="669">
        <v>73.5</v>
      </c>
      <c r="J911" s="201" t="s">
        <v>865</v>
      </c>
      <c r="K911" s="3"/>
      <c r="L911" s="3"/>
      <c r="M911" s="5"/>
      <c r="N911" s="5"/>
      <c r="O911" s="5"/>
      <c r="P911" s="5"/>
      <c r="Q911" s="437"/>
      <c r="R911" s="500"/>
      <c r="S911" s="5"/>
      <c r="T911" s="3"/>
      <c r="U911" s="14"/>
      <c r="V911" s="990" t="str">
        <f>IF(OR(SHWidth&gt;I910,SHHeight&gt;I911,SHImpactBox="yes"),"√","")</f>
        <v>√</v>
      </c>
      <c r="W911" s="880" t="str">
        <f>" Since width &gt; "&amp;I910&amp;" OR height &gt; "&amp;I911&amp;" OR Impact unit selected, reinforcement is required in the Sash Lock Rail"</f>
        <v xml:space="preserve"> Since width &gt; 35.5 OR height &gt; 73.5 OR Impact unit selected, reinforcement is required in the Sash Lock Rail</v>
      </c>
      <c r="X911" s="24"/>
      <c r="Y911" s="56"/>
      <c r="Z911" s="56"/>
      <c r="AA911" s="56"/>
      <c r="AB911" s="500"/>
      <c r="AC911" s="3"/>
      <c r="AD911" s="3"/>
      <c r="AE911" s="5"/>
      <c r="AF911" s="3"/>
      <c r="AG911" s="38"/>
      <c r="AH911" s="38"/>
      <c r="AI911" s="51"/>
      <c r="AJ911" s="39"/>
      <c r="AK911" s="51"/>
      <c r="AL911" s="39"/>
      <c r="AM911" s="39"/>
      <c r="AN911" s="3" t="s">
        <v>92</v>
      </c>
      <c r="AO911" s="3" t="s">
        <v>92</v>
      </c>
      <c r="AP911" s="3" t="s">
        <v>92</v>
      </c>
      <c r="AQ911" s="3" t="s">
        <v>92</v>
      </c>
      <c r="AR911" s="3" t="s">
        <v>92</v>
      </c>
      <c r="AS911" s="3" t="s">
        <v>92</v>
      </c>
      <c r="AT911" s="3" t="s">
        <v>92</v>
      </c>
      <c r="AU911" s="3" t="s">
        <v>81</v>
      </c>
      <c r="AV911" s="3" t="s">
        <v>81</v>
      </c>
      <c r="AW911" s="3" t="s">
        <v>81</v>
      </c>
      <c r="AX911" s="1414" t="s">
        <v>92</v>
      </c>
      <c r="AY911" s="3"/>
      <c r="AZ911" s="139"/>
      <c r="BA911" s="139"/>
      <c r="BB911" s="139"/>
      <c r="BC911" s="139"/>
      <c r="BD911" s="139"/>
      <c r="BE911" s="3"/>
    </row>
    <row r="912" spans="1:57" ht="15" customHeight="1" x14ac:dyDescent="0.4">
      <c r="A912" s="3"/>
      <c r="B912" s="7"/>
      <c r="C912" s="155"/>
      <c r="D912" s="155"/>
      <c r="E912" s="155"/>
      <c r="F912" s="434" t="s">
        <v>520</v>
      </c>
      <c r="G912" s="711">
        <v>5</v>
      </c>
      <c r="H912" s="20"/>
      <c r="I912" s="3"/>
      <c r="J912" s="3"/>
      <c r="K912" s="3"/>
      <c r="L912" s="3"/>
      <c r="M912" s="5"/>
      <c r="N912" s="5"/>
      <c r="O912" s="5"/>
      <c r="P912" s="5"/>
      <c r="Q912" s="5"/>
      <c r="R912" s="3"/>
      <c r="S912" s="5"/>
      <c r="T912" s="3"/>
      <c r="U912" s="14"/>
      <c r="V912" s="3"/>
      <c r="W912" s="3"/>
      <c r="X912" s="3"/>
      <c r="Y912" s="3"/>
      <c r="Z912" s="3"/>
      <c r="AA912" s="3"/>
      <c r="AB912" s="14"/>
      <c r="AC912" s="3"/>
      <c r="AD912" s="3"/>
      <c r="AE912" s="5"/>
      <c r="AF912" s="5"/>
      <c r="AG912" s="5"/>
      <c r="AH912" s="5"/>
      <c r="AI912" s="51"/>
      <c r="AJ912" s="51"/>
      <c r="AK912" s="51"/>
      <c r="AL912" s="51"/>
      <c r="AM912" s="39"/>
      <c r="AN912" s="3" t="s">
        <v>92</v>
      </c>
      <c r="AO912" s="3" t="s">
        <v>92</v>
      </c>
      <c r="AP912" s="3" t="s">
        <v>92</v>
      </c>
      <c r="AQ912" s="3" t="s">
        <v>92</v>
      </c>
      <c r="AR912" s="3" t="s">
        <v>92</v>
      </c>
      <c r="AS912" s="3" t="s">
        <v>92</v>
      </c>
      <c r="AT912" s="3" t="s">
        <v>92</v>
      </c>
      <c r="AU912" s="3" t="s">
        <v>81</v>
      </c>
      <c r="AV912" s="3" t="s">
        <v>81</v>
      </c>
      <c r="AW912" s="3" t="s">
        <v>81</v>
      </c>
      <c r="AX912" s="1414" t="s">
        <v>92</v>
      </c>
      <c r="AY912" s="3"/>
      <c r="AZ912" s="139"/>
      <c r="BA912" s="139"/>
      <c r="BB912" s="139"/>
      <c r="BC912" s="139"/>
      <c r="BD912" s="139"/>
      <c r="BE912" s="3"/>
    </row>
    <row r="913" spans="1:57" ht="15" customHeight="1" x14ac:dyDescent="0.4">
      <c r="A913" s="3"/>
      <c r="B913" s="7"/>
      <c r="C913" s="155"/>
      <c r="D913" s="155"/>
      <c r="E913" s="155"/>
      <c r="F913" s="434" t="s">
        <v>866</v>
      </c>
      <c r="G913" s="712">
        <v>0</v>
      </c>
      <c r="H913" s="20"/>
      <c r="I913" s="3"/>
      <c r="J913" s="713" t="str">
        <f xml:space="preserve"> "Length = INT ( ( UW - " &amp;FIXED(G912,2)&amp;") / "&amp;FIXED(G911,2)&amp;" ) *"&amp;FIXED(G911,2)</f>
        <v>Length = INT ( ( UW - 5.00) / 3.00 ) *3.00</v>
      </c>
      <c r="K913" s="3"/>
      <c r="L913" s="3"/>
      <c r="M913" s="5"/>
      <c r="N913" s="5"/>
      <c r="O913" s="5"/>
      <c r="P913" s="5"/>
      <c r="Q913" s="5"/>
      <c r="R913" s="3"/>
      <c r="S913" s="376">
        <f>INT((SHWidth-G912)/G911)*G911</f>
        <v>33</v>
      </c>
      <c r="T913" s="3" t="s">
        <v>366</v>
      </c>
      <c r="U913" s="14"/>
      <c r="V913" s="3"/>
      <c r="W913" s="530">
        <f>LOOKUP(S913,S930:S948,O930:O948)*AD913</f>
        <v>1.3860000000000001</v>
      </c>
      <c r="X913" s="24" t="str">
        <f>LOOKUP(S913,S930:S948,Q930:Q948)</f>
        <v>G</v>
      </c>
      <c r="Y913" s="1445">
        <f>LOOKUP(S913,S930:S948,Y930:Y948)</f>
        <v>250013000007</v>
      </c>
      <c r="Z913" s="1445"/>
      <c r="AA913" s="1445"/>
      <c r="AB913" s="20"/>
      <c r="AC913" s="3">
        <v>45</v>
      </c>
      <c r="AD913" s="3">
        <f>IF(V911&lt;&gt;"",1,0)</f>
        <v>1</v>
      </c>
      <c r="AE913" s="5">
        <f>LOOKUP(S913,S931:S948,AE931:AE948)</f>
        <v>2.75</v>
      </c>
      <c r="AF913" s="3" t="s">
        <v>385</v>
      </c>
      <c r="AG913" s="38" t="s">
        <v>8</v>
      </c>
      <c r="AH913" s="38" t="s">
        <v>8</v>
      </c>
      <c r="AI913" s="51">
        <f>LOOKUP(S913,S930:S948,AI930:AI948)</f>
        <v>2.0110999999999999</v>
      </c>
      <c r="AJ913" s="39"/>
      <c r="AK913" s="39"/>
      <c r="AL913" s="39"/>
      <c r="AM913" s="51">
        <f>AD913*AI913+SUM(AJ913:AL913)</f>
        <v>2.0110999999999999</v>
      </c>
      <c r="AN913" s="3" t="s">
        <v>92</v>
      </c>
      <c r="AO913" s="3" t="s">
        <v>92</v>
      </c>
      <c r="AP913" s="3" t="s">
        <v>92</v>
      </c>
      <c r="AQ913" s="3" t="s">
        <v>92</v>
      </c>
      <c r="AR913" s="3" t="s">
        <v>92</v>
      </c>
      <c r="AS913" s="3" t="s">
        <v>92</v>
      </c>
      <c r="AT913" s="3" t="s">
        <v>92</v>
      </c>
      <c r="AU913" s="3" t="s">
        <v>81</v>
      </c>
      <c r="AV913" s="3" t="s">
        <v>81</v>
      </c>
      <c r="AW913" s="3" t="s">
        <v>81</v>
      </c>
      <c r="AX913" s="1414" t="s">
        <v>92</v>
      </c>
      <c r="AY913" s="3"/>
      <c r="AZ913" s="139"/>
      <c r="BA913" s="139"/>
      <c r="BB913" s="139"/>
      <c r="BC913" s="139"/>
      <c r="BD913" s="139"/>
      <c r="BE913" s="3"/>
    </row>
    <row r="914" spans="1:57" ht="15" customHeight="1" thickBot="1" x14ac:dyDescent="0.45">
      <c r="A914" s="3"/>
      <c r="B914" s="924"/>
      <c r="C914" s="925"/>
      <c r="D914" s="968"/>
      <c r="E914" s="925"/>
      <c r="F914" s="968"/>
      <c r="G914" s="968"/>
      <c r="H914" s="948"/>
      <c r="I914" s="889"/>
      <c r="J914" s="889"/>
      <c r="K914" s="889"/>
      <c r="L914" s="889"/>
      <c r="M914" s="945"/>
      <c r="N914" s="945"/>
      <c r="O914" s="945"/>
      <c r="P914" s="945"/>
      <c r="Q914" s="945"/>
      <c r="R914" s="889"/>
      <c r="S914" s="945"/>
      <c r="T914" s="889"/>
      <c r="U914" s="948"/>
      <c r="V914" s="889"/>
      <c r="W914" s="376"/>
      <c r="X914" s="889"/>
      <c r="Y914" s="889"/>
      <c r="Z914" s="889"/>
      <c r="AA914" s="889"/>
      <c r="AB914" s="948"/>
      <c r="AC914" s="889"/>
      <c r="AD914" s="889"/>
      <c r="AE914" s="945"/>
      <c r="AF914" s="945"/>
      <c r="AG914" s="889"/>
      <c r="AH914" s="1494"/>
      <c r="AI914" s="1212"/>
      <c r="AJ914" s="1213"/>
      <c r="AK914" s="1213"/>
      <c r="AL914" s="1213"/>
      <c r="AM914" s="947"/>
      <c r="AN914" s="1844" t="s">
        <v>92</v>
      </c>
      <c r="AO914" s="1844" t="s">
        <v>92</v>
      </c>
      <c r="AP914" s="1844" t="s">
        <v>92</v>
      </c>
      <c r="AQ914" s="1844" t="s">
        <v>92</v>
      </c>
      <c r="AR914" s="1844" t="s">
        <v>92</v>
      </c>
      <c r="AS914" s="1844" t="s">
        <v>92</v>
      </c>
      <c r="AT914" s="1844" t="s">
        <v>92</v>
      </c>
      <c r="AU914" s="889" t="s">
        <v>81</v>
      </c>
      <c r="AV914" s="889" t="s">
        <v>81</v>
      </c>
      <c r="AW914" s="889" t="s">
        <v>81</v>
      </c>
      <c r="AX914" s="1883" t="s">
        <v>92</v>
      </c>
      <c r="AY914" s="889"/>
      <c r="AZ914" s="139"/>
      <c r="BA914" s="139"/>
      <c r="BB914" s="139"/>
      <c r="BC914" s="139"/>
      <c r="BD914" s="139"/>
      <c r="BE914" s="3"/>
    </row>
    <row r="915" spans="1:57" ht="15" customHeight="1" x14ac:dyDescent="0.4">
      <c r="A915" s="3"/>
      <c r="B915" s="173" t="s">
        <v>867</v>
      </c>
      <c r="C915" s="138"/>
      <c r="D915" s="138"/>
      <c r="E915" s="138"/>
      <c r="F915" s="138"/>
      <c r="G915" s="173"/>
      <c r="H915" s="193"/>
      <c r="I915" s="116" t="s">
        <v>392</v>
      </c>
      <c r="J915" s="116"/>
      <c r="K915" s="116"/>
      <c r="L915" s="116" t="s">
        <v>348</v>
      </c>
      <c r="M915" s="177">
        <v>-2.8130000000000002</v>
      </c>
      <c r="N915" s="177"/>
      <c r="O915" s="177"/>
      <c r="P915" s="177"/>
      <c r="Q915" s="177"/>
      <c r="R915" s="116" t="s">
        <v>352</v>
      </c>
      <c r="S915" s="177">
        <f>SHWidth+M915</f>
        <v>35.749499999999998</v>
      </c>
      <c r="T915" s="116" t="s">
        <v>366</v>
      </c>
      <c r="U915" s="193"/>
      <c r="V915" s="138"/>
      <c r="W915" s="138"/>
      <c r="X915" s="138"/>
      <c r="Y915" s="1449">
        <v>250017000</v>
      </c>
      <c r="Z915" s="1449"/>
      <c r="AA915" s="1449"/>
      <c r="AB915" s="193"/>
      <c r="AC915" s="116">
        <v>45</v>
      </c>
      <c r="AD915" s="116">
        <v>1</v>
      </c>
      <c r="AE915" s="177">
        <f>AD915*S915/12/12</f>
        <v>0.24826041666666665</v>
      </c>
      <c r="AF915" s="116" t="s">
        <v>385</v>
      </c>
      <c r="AG915" s="38" t="s">
        <v>8</v>
      </c>
      <c r="AH915" s="38" t="s">
        <v>8</v>
      </c>
      <c r="AI915" s="51">
        <v>2.38</v>
      </c>
      <c r="AJ915" s="185"/>
      <c r="AK915" s="185"/>
      <c r="AL915" s="185"/>
      <c r="AM915" s="51">
        <f>AE915*AI915+SUM(AJ915:AL915)</f>
        <v>0.59085979166666658</v>
      </c>
      <c r="AN915" s="3" t="s">
        <v>92</v>
      </c>
      <c r="AO915" s="3" t="s">
        <v>92</v>
      </c>
      <c r="AP915" s="3" t="s">
        <v>92</v>
      </c>
      <c r="AQ915" s="3" t="s">
        <v>92</v>
      </c>
      <c r="AR915" s="3" t="s">
        <v>92</v>
      </c>
      <c r="AS915" s="3" t="s">
        <v>92</v>
      </c>
      <c r="AT915" s="3" t="s">
        <v>92</v>
      </c>
      <c r="AU915" s="3" t="s">
        <v>81</v>
      </c>
      <c r="AV915" s="3" t="s">
        <v>81</v>
      </c>
      <c r="AW915" s="3" t="s">
        <v>81</v>
      </c>
      <c r="AX915" s="1414" t="s">
        <v>92</v>
      </c>
      <c r="AY915" s="3"/>
      <c r="AZ915" s="139"/>
      <c r="BA915" s="139"/>
      <c r="BB915" s="139"/>
      <c r="BC915" s="139"/>
      <c r="BD915" s="139"/>
      <c r="BE915" s="3"/>
    </row>
    <row r="916" spans="1:57" ht="15" customHeight="1" x14ac:dyDescent="0.4">
      <c r="A916" s="3"/>
      <c r="B916" s="434"/>
      <c r="C916" s="4"/>
      <c r="D916" s="4"/>
      <c r="E916" s="4"/>
      <c r="F916" s="461" t="s">
        <v>868</v>
      </c>
      <c r="G916" s="714">
        <v>0.129</v>
      </c>
      <c r="H916" s="14"/>
      <c r="I916" s="3"/>
      <c r="J916" s="3"/>
      <c r="K916" s="3"/>
      <c r="L916" s="3"/>
      <c r="M916" s="5"/>
      <c r="N916" s="5"/>
      <c r="O916" s="5"/>
      <c r="P916" s="5"/>
      <c r="Q916" s="5"/>
      <c r="R916" s="3"/>
      <c r="S916" s="5"/>
      <c r="T916" s="3"/>
      <c r="U916" s="14"/>
      <c r="V916" s="4"/>
      <c r="W916" s="4"/>
      <c r="X916" s="4"/>
      <c r="Y916" s="3"/>
      <c r="Z916" s="3"/>
      <c r="AA916" s="3"/>
      <c r="AB916" s="14"/>
      <c r="AC916" s="3"/>
      <c r="AD916" s="3"/>
      <c r="AE916" s="5"/>
      <c r="AF916" s="3"/>
      <c r="AG916" s="38"/>
      <c r="AH916" s="5"/>
      <c r="AI916" s="51"/>
      <c r="AJ916" s="51"/>
      <c r="AK916" s="51"/>
      <c r="AL916" s="51"/>
      <c r="AM916" s="39"/>
      <c r="AN916" s="3" t="s">
        <v>92</v>
      </c>
      <c r="AO916" s="3" t="s">
        <v>92</v>
      </c>
      <c r="AP916" s="3" t="s">
        <v>92</v>
      </c>
      <c r="AQ916" s="3" t="s">
        <v>92</v>
      </c>
      <c r="AR916" s="3" t="s">
        <v>92</v>
      </c>
      <c r="AS916" s="3" t="s">
        <v>92</v>
      </c>
      <c r="AT916" s="3" t="s">
        <v>92</v>
      </c>
      <c r="AU916" s="3" t="s">
        <v>81</v>
      </c>
      <c r="AV916" s="3" t="s">
        <v>81</v>
      </c>
      <c r="AW916" s="3" t="s">
        <v>81</v>
      </c>
      <c r="AX916" s="1414" t="s">
        <v>92</v>
      </c>
      <c r="AY916" s="3"/>
      <c r="AZ916" s="139"/>
      <c r="BA916" s="139"/>
      <c r="BB916" s="139"/>
      <c r="BC916" s="139"/>
      <c r="BD916" s="139"/>
      <c r="BE916" s="3"/>
    </row>
    <row r="917" spans="1:57" ht="15" customHeight="1" thickBot="1" x14ac:dyDescent="0.45">
      <c r="A917" s="3"/>
      <c r="B917" s="7"/>
      <c r="C917" s="4"/>
      <c r="D917" s="4"/>
      <c r="E917" s="4"/>
      <c r="F917" s="3"/>
      <c r="G917" s="3"/>
      <c r="H917" s="14"/>
      <c r="I917" s="3"/>
      <c r="J917" s="3"/>
      <c r="K917" s="3"/>
      <c r="L917" s="3"/>
      <c r="M917" s="5"/>
      <c r="N917" s="5"/>
      <c r="O917" s="5"/>
      <c r="P917" s="5"/>
      <c r="Q917" s="945"/>
      <c r="R917" s="889"/>
      <c r="S917" s="945"/>
      <c r="T917" s="889"/>
      <c r="U917" s="14"/>
      <c r="V917" s="968"/>
      <c r="W917" s="4"/>
      <c r="X917" s="4"/>
      <c r="Y917" s="3"/>
      <c r="Z917" s="889"/>
      <c r="AA917" s="889"/>
      <c r="AB917" s="14"/>
      <c r="AC917" s="889"/>
      <c r="AD917" s="889"/>
      <c r="AE917" s="945"/>
      <c r="AF917" s="889"/>
      <c r="AG917" s="888"/>
      <c r="AH917" s="945"/>
      <c r="AI917" s="937"/>
      <c r="AJ917" s="937"/>
      <c r="AK917" s="937"/>
      <c r="AL917" s="937"/>
      <c r="AM917" s="947"/>
      <c r="AN917" s="889" t="s">
        <v>92</v>
      </c>
      <c r="AO917" s="889" t="s">
        <v>92</v>
      </c>
      <c r="AP917" s="889" t="s">
        <v>92</v>
      </c>
      <c r="AQ917" s="889" t="s">
        <v>92</v>
      </c>
      <c r="AR917" s="889" t="s">
        <v>92</v>
      </c>
      <c r="AS917" s="889" t="s">
        <v>92</v>
      </c>
      <c r="AT917" s="889" t="s">
        <v>92</v>
      </c>
      <c r="AU917" s="889" t="s">
        <v>81</v>
      </c>
      <c r="AV917" s="889" t="s">
        <v>81</v>
      </c>
      <c r="AW917" s="889" t="s">
        <v>81</v>
      </c>
      <c r="AX917" s="1590" t="s">
        <v>92</v>
      </c>
      <c r="AY917" s="889"/>
      <c r="AZ917" s="139"/>
      <c r="BA917" s="139"/>
      <c r="BB917" s="139"/>
      <c r="BC917" s="139"/>
      <c r="BD917" s="139"/>
      <c r="BE917" s="3"/>
    </row>
    <row r="918" spans="1:57" ht="15" customHeight="1" x14ac:dyDescent="0.4">
      <c r="A918" s="715"/>
      <c r="B918" s="490" t="s">
        <v>869</v>
      </c>
      <c r="C918" s="490"/>
      <c r="D918" s="490"/>
      <c r="E918" s="490"/>
      <c r="F918" s="490"/>
      <c r="G918" s="716"/>
      <c r="H918" s="14"/>
      <c r="I918" s="116" t="s">
        <v>392</v>
      </c>
      <c r="J918" s="116"/>
      <c r="K918" s="116"/>
      <c r="L918" s="116" t="s">
        <v>348</v>
      </c>
      <c r="M918" s="177">
        <v>-3.3130000000000002</v>
      </c>
      <c r="N918" s="177"/>
      <c r="O918" s="177"/>
      <c r="P918" s="177"/>
      <c r="Q918" s="177"/>
      <c r="R918" s="116" t="s">
        <v>352</v>
      </c>
      <c r="S918" s="177">
        <f>SHWidth+M918</f>
        <v>35.249499999999998</v>
      </c>
      <c r="T918" s="116" t="s">
        <v>366</v>
      </c>
      <c r="U918" s="14"/>
      <c r="V918" s="138"/>
      <c r="W918" s="138"/>
      <c r="X918" s="138"/>
      <c r="Y918" s="1450">
        <v>320019000001</v>
      </c>
      <c r="Z918" s="1445"/>
      <c r="AA918" s="1445"/>
      <c r="AB918" s="14"/>
      <c r="AC918" s="3"/>
      <c r="AD918" s="3">
        <v>1</v>
      </c>
      <c r="AE918" s="177">
        <f>AD918*S918/12</f>
        <v>2.9374583333333333</v>
      </c>
      <c r="AF918" s="116" t="s">
        <v>385</v>
      </c>
      <c r="AG918" s="38" t="s">
        <v>8</v>
      </c>
      <c r="AH918" s="38" t="s">
        <v>8</v>
      </c>
      <c r="AI918" s="51">
        <v>0.85340000000000005</v>
      </c>
      <c r="AJ918" s="185"/>
      <c r="AK918" s="185"/>
      <c r="AL918" s="185"/>
      <c r="AM918" s="180"/>
      <c r="AN918" s="3" t="s">
        <v>92</v>
      </c>
      <c r="AO918" s="3" t="s">
        <v>92</v>
      </c>
      <c r="AP918" s="3" t="s">
        <v>92</v>
      </c>
      <c r="AQ918" s="3" t="s">
        <v>92</v>
      </c>
      <c r="AR918" s="3" t="s">
        <v>92</v>
      </c>
      <c r="AS918" s="3" t="s">
        <v>92</v>
      </c>
      <c r="AT918" s="3" t="s">
        <v>92</v>
      </c>
      <c r="AU918" s="116" t="s">
        <v>371</v>
      </c>
      <c r="AV918" s="116" t="s">
        <v>371</v>
      </c>
      <c r="AW918" s="116" t="s">
        <v>371</v>
      </c>
      <c r="AX918" s="1414" t="s">
        <v>92</v>
      </c>
      <c r="AY918" s="3"/>
      <c r="AZ918" s="139"/>
      <c r="BA918" s="139"/>
      <c r="BB918" s="139"/>
      <c r="BC918" s="139"/>
      <c r="BD918" s="139"/>
      <c r="BE918" s="3"/>
    </row>
    <row r="919" spans="1:57" ht="15" customHeight="1" x14ac:dyDescent="0.4">
      <c r="A919" s="715"/>
      <c r="B919" s="717" t="s">
        <v>870</v>
      </c>
      <c r="C919" s="718"/>
      <c r="D919" s="718"/>
      <c r="E919" s="718"/>
      <c r="F919" s="718"/>
      <c r="G919" s="719" t="s">
        <v>495</v>
      </c>
      <c r="H919" s="14"/>
      <c r="I919" s="3"/>
      <c r="J919" s="3"/>
      <c r="K919" s="3"/>
      <c r="L919" s="3"/>
      <c r="M919" s="5"/>
      <c r="N919" s="5"/>
      <c r="O919" s="5"/>
      <c r="P919" s="5"/>
      <c r="Q919" s="5"/>
      <c r="R919" s="3"/>
      <c r="S919" s="5"/>
      <c r="T919" s="3"/>
      <c r="U919" s="14"/>
      <c r="V919" s="4"/>
      <c r="W919" s="4"/>
      <c r="X919" s="4"/>
      <c r="Y919" s="56"/>
      <c r="Z919" s="56"/>
      <c r="AA919" s="56"/>
      <c r="AB919" s="14"/>
      <c r="AC919" s="3"/>
      <c r="AD919" s="3"/>
      <c r="AE919" s="5"/>
      <c r="AF919" s="3"/>
      <c r="AG919" s="38"/>
      <c r="AH919" s="5"/>
      <c r="AI919" s="51"/>
      <c r="AJ919" s="51"/>
      <c r="AK919" s="51"/>
      <c r="AL919" s="51"/>
      <c r="AM919" s="39"/>
      <c r="AN919" s="3" t="s">
        <v>92</v>
      </c>
      <c r="AO919" s="3" t="s">
        <v>92</v>
      </c>
      <c r="AP919" s="3" t="s">
        <v>92</v>
      </c>
      <c r="AQ919" s="3" t="s">
        <v>92</v>
      </c>
      <c r="AR919" s="3" t="s">
        <v>92</v>
      </c>
      <c r="AS919" s="3" t="s">
        <v>92</v>
      </c>
      <c r="AT919" s="3" t="s">
        <v>92</v>
      </c>
      <c r="AU919" s="3" t="s">
        <v>371</v>
      </c>
      <c r="AV919" s="3" t="s">
        <v>371</v>
      </c>
      <c r="AW919" s="3" t="s">
        <v>371</v>
      </c>
      <c r="AX919" s="1414" t="s">
        <v>92</v>
      </c>
      <c r="AY919" s="3"/>
      <c r="AZ919" s="139"/>
      <c r="BA919" s="139"/>
      <c r="BB919" s="139"/>
      <c r="BC919" s="139"/>
      <c r="BD919" s="139"/>
      <c r="BE919" s="3"/>
    </row>
    <row r="920" spans="1:57" ht="15" customHeight="1" x14ac:dyDescent="0.4">
      <c r="A920" s="715"/>
      <c r="B920" s="3"/>
      <c r="C920" s="494"/>
      <c r="D920" s="494"/>
      <c r="E920" s="494"/>
      <c r="F920" s="461" t="s">
        <v>868</v>
      </c>
      <c r="G920" s="714">
        <v>0.13100000000000001</v>
      </c>
      <c r="H920" s="14"/>
      <c r="I920" s="3"/>
      <c r="J920" s="3"/>
      <c r="K920" s="3"/>
      <c r="L920" s="3"/>
      <c r="M920" s="5"/>
      <c r="N920" s="5"/>
      <c r="O920" s="5"/>
      <c r="P920" s="5"/>
      <c r="Q920" s="5"/>
      <c r="R920" s="3"/>
      <c r="S920" s="5"/>
      <c r="T920" s="3"/>
      <c r="U920" s="14"/>
      <c r="V920" s="4"/>
      <c r="W920" s="4"/>
      <c r="X920" s="4"/>
      <c r="Y920" s="56"/>
      <c r="Z920" s="56"/>
      <c r="AA920" s="56"/>
      <c r="AB920" s="14"/>
      <c r="AC920" s="3"/>
      <c r="AD920" s="3"/>
      <c r="AE920" s="5"/>
      <c r="AF920" s="3"/>
      <c r="AG920" s="38"/>
      <c r="AH920" s="5"/>
      <c r="AI920" s="51"/>
      <c r="AJ920" s="51"/>
      <c r="AK920" s="51"/>
      <c r="AL920" s="51"/>
      <c r="AM920" s="39"/>
      <c r="AN920" s="3" t="s">
        <v>92</v>
      </c>
      <c r="AO920" s="3" t="s">
        <v>92</v>
      </c>
      <c r="AP920" s="3" t="s">
        <v>92</v>
      </c>
      <c r="AQ920" s="3" t="s">
        <v>92</v>
      </c>
      <c r="AR920" s="3" t="s">
        <v>92</v>
      </c>
      <c r="AS920" s="3" t="s">
        <v>92</v>
      </c>
      <c r="AT920" s="3" t="s">
        <v>92</v>
      </c>
      <c r="AU920" s="3" t="s">
        <v>371</v>
      </c>
      <c r="AV920" s="3" t="s">
        <v>371</v>
      </c>
      <c r="AW920" s="3" t="s">
        <v>371</v>
      </c>
      <c r="AX920" s="1414" t="s">
        <v>92</v>
      </c>
      <c r="AY920" s="3"/>
      <c r="AZ920" s="139"/>
      <c r="BA920" s="139"/>
      <c r="BB920" s="139"/>
      <c r="BC920" s="139"/>
      <c r="BD920" s="139"/>
      <c r="BE920" s="3"/>
    </row>
    <row r="921" spans="1:57" ht="15" customHeight="1" x14ac:dyDescent="0.4">
      <c r="A921" s="715"/>
      <c r="B921" s="718"/>
      <c r="C921" s="718"/>
      <c r="D921" s="718"/>
      <c r="E921" s="718"/>
      <c r="F921" s="718"/>
      <c r="G921" s="719"/>
      <c r="H921" s="14"/>
      <c r="I921" s="3"/>
      <c r="J921" s="3"/>
      <c r="K921" s="3"/>
      <c r="L921" s="3"/>
      <c r="M921" s="5"/>
      <c r="N921" s="5"/>
      <c r="O921" s="5"/>
      <c r="P921" s="5"/>
      <c r="Q921" s="5"/>
      <c r="R921" s="3"/>
      <c r="S921" s="5"/>
      <c r="T921" s="3"/>
      <c r="U921" s="14"/>
      <c r="V921" s="4"/>
      <c r="W921" s="4"/>
      <c r="X921" s="4"/>
      <c r="Y921" s="56"/>
      <c r="Z921" s="56"/>
      <c r="AA921" s="56"/>
      <c r="AB921" s="14"/>
      <c r="AC921" s="3"/>
      <c r="AD921" s="3"/>
      <c r="AE921" s="5"/>
      <c r="AF921" s="3"/>
      <c r="AG921" s="38"/>
      <c r="AH921" s="5"/>
      <c r="AI921" s="51"/>
      <c r="AJ921" s="51"/>
      <c r="AK921" s="51"/>
      <c r="AL921" s="51"/>
      <c r="AM921" s="39"/>
      <c r="AN921" s="3" t="s">
        <v>92</v>
      </c>
      <c r="AO921" s="3" t="s">
        <v>92</v>
      </c>
      <c r="AP921" s="3" t="s">
        <v>92</v>
      </c>
      <c r="AQ921" s="3" t="s">
        <v>92</v>
      </c>
      <c r="AR921" s="3" t="s">
        <v>92</v>
      </c>
      <c r="AS921" s="3" t="s">
        <v>92</v>
      </c>
      <c r="AT921" s="3" t="s">
        <v>92</v>
      </c>
      <c r="AU921" s="3" t="s">
        <v>371</v>
      </c>
      <c r="AV921" s="3" t="s">
        <v>371</v>
      </c>
      <c r="AW921" s="3" t="s">
        <v>371</v>
      </c>
      <c r="AX921" s="1414" t="s">
        <v>92</v>
      </c>
      <c r="AY921" s="3"/>
      <c r="AZ921" s="139"/>
      <c r="BA921" s="139"/>
      <c r="BB921" s="139"/>
      <c r="BC921" s="139"/>
      <c r="BD921" s="139"/>
      <c r="BE921" s="3"/>
    </row>
    <row r="922" spans="1:57" ht="15" customHeight="1" thickBot="1" x14ac:dyDescent="0.45">
      <c r="A922" s="715"/>
      <c r="B922" s="1214"/>
      <c r="C922" s="1214"/>
      <c r="D922" s="1214"/>
      <c r="E922" s="1214"/>
      <c r="F922" s="889"/>
      <c r="G922" s="889"/>
      <c r="H922" s="948"/>
      <c r="I922" s="889"/>
      <c r="J922" s="889"/>
      <c r="K922" s="889"/>
      <c r="L922" s="889"/>
      <c r="M922" s="945"/>
      <c r="N922" s="945"/>
      <c r="O922" s="945"/>
      <c r="P922" s="945"/>
      <c r="Q922" s="945"/>
      <c r="R922" s="889"/>
      <c r="S922" s="945"/>
      <c r="T922" s="889"/>
      <c r="U922" s="948"/>
      <c r="V922" s="968"/>
      <c r="W922" s="968"/>
      <c r="X922" s="968"/>
      <c r="Y922" s="889"/>
      <c r="Z922" s="889"/>
      <c r="AA922" s="889"/>
      <c r="AB922" s="948"/>
      <c r="AC922" s="889"/>
      <c r="AD922" s="889"/>
      <c r="AE922" s="945"/>
      <c r="AF922" s="889"/>
      <c r="AG922" s="888"/>
      <c r="AH922" s="945"/>
      <c r="AI922" s="937"/>
      <c r="AJ922" s="937"/>
      <c r="AK922" s="937"/>
      <c r="AL922" s="937"/>
      <c r="AM922" s="947"/>
      <c r="AN922" s="889" t="s">
        <v>92</v>
      </c>
      <c r="AO922" s="889" t="s">
        <v>92</v>
      </c>
      <c r="AP922" s="889" t="s">
        <v>92</v>
      </c>
      <c r="AQ922" s="889" t="s">
        <v>92</v>
      </c>
      <c r="AR922" s="889" t="s">
        <v>92</v>
      </c>
      <c r="AS922" s="889" t="s">
        <v>92</v>
      </c>
      <c r="AT922" s="889" t="s">
        <v>92</v>
      </c>
      <c r="AU922" s="889" t="s">
        <v>371</v>
      </c>
      <c r="AV922" s="889" t="s">
        <v>371</v>
      </c>
      <c r="AW922" s="889" t="s">
        <v>371</v>
      </c>
      <c r="AX922" s="1590" t="s">
        <v>92</v>
      </c>
      <c r="AY922" s="889"/>
      <c r="AZ922" s="139"/>
      <c r="BA922" s="139"/>
      <c r="BB922" s="139"/>
      <c r="BC922" s="139"/>
      <c r="BD922" s="139"/>
      <c r="BE922" s="3"/>
    </row>
    <row r="923" spans="1:57" ht="13.5" customHeight="1" x14ac:dyDescent="0.4">
      <c r="A923" s="3" t="s">
        <v>871</v>
      </c>
      <c r="B923" s="173" t="s">
        <v>872</v>
      </c>
      <c r="C923" s="718"/>
      <c r="D923" s="718"/>
      <c r="E923" s="718"/>
      <c r="F923" s="3"/>
      <c r="G923" s="3"/>
      <c r="H923" s="14"/>
      <c r="I923" s="665">
        <v>35.5</v>
      </c>
      <c r="J923" s="666" t="s">
        <v>863</v>
      </c>
      <c r="K923" s="116"/>
      <c r="L923" s="3"/>
      <c r="M923" s="5"/>
      <c r="N923" s="5"/>
      <c r="O923" s="5"/>
      <c r="P923" s="5"/>
      <c r="Q923" s="5"/>
      <c r="R923" s="3"/>
      <c r="S923" s="881">
        <f>SHWidth</f>
        <v>38.5625</v>
      </c>
      <c r="T923" s="881">
        <f>SHHeight</f>
        <v>74</v>
      </c>
      <c r="U923" s="14"/>
      <c r="V923" s="989" t="str">
        <f>IF(AND(SHWidth&lt;=I923,SHHeight&lt;=I924),"√","")</f>
        <v/>
      </c>
      <c r="W923" s="668" t="str">
        <f>" Since width &lt;= "&amp;I923&amp;" AND height &lt;= "&amp;I924&amp;" no reinforcement is required in the Sash Stiles"</f>
        <v xml:space="preserve"> Since width &lt;= 35.5 AND height &lt;= 73.5 no reinforcement is required in the Sash Stiles</v>
      </c>
      <c r="X923" s="4"/>
      <c r="Y923" s="3"/>
      <c r="Z923" s="3"/>
      <c r="AA923" s="3"/>
      <c r="AB923" s="14"/>
      <c r="AC923" s="3"/>
      <c r="AD923" s="3"/>
      <c r="AE923" s="5"/>
      <c r="AF923" s="3"/>
      <c r="AG923" s="38"/>
      <c r="AH923" s="5"/>
      <c r="AI923" s="51"/>
      <c r="AJ923" s="51"/>
      <c r="AK923" s="51"/>
      <c r="AL923" s="51"/>
      <c r="AM923" s="39"/>
      <c r="AN923" s="3" t="s">
        <v>92</v>
      </c>
      <c r="AO923" s="3" t="s">
        <v>92</v>
      </c>
      <c r="AP923" s="3" t="s">
        <v>92</v>
      </c>
      <c r="AQ923" s="3" t="s">
        <v>92</v>
      </c>
      <c r="AR923" s="3" t="s">
        <v>92</v>
      </c>
      <c r="AS923" s="3" t="s">
        <v>92</v>
      </c>
      <c r="AT923" s="3" t="s">
        <v>92</v>
      </c>
      <c r="AU923" s="3" t="s">
        <v>81</v>
      </c>
      <c r="AV923" s="3" t="s">
        <v>81</v>
      </c>
      <c r="AW923" s="3" t="s">
        <v>81</v>
      </c>
      <c r="AX923" s="1414" t="s">
        <v>92</v>
      </c>
      <c r="AY923" s="3"/>
      <c r="AZ923" s="139"/>
      <c r="BA923" s="139"/>
      <c r="BB923" s="139"/>
      <c r="BC923" s="139"/>
      <c r="BD923" s="139"/>
      <c r="BE923" s="3"/>
    </row>
    <row r="924" spans="1:57" ht="15" customHeight="1" x14ac:dyDescent="0.4">
      <c r="A924" s="3"/>
      <c r="B924" s="3"/>
      <c r="C924" s="155"/>
      <c r="D924" s="4"/>
      <c r="E924" s="155"/>
      <c r="F924" s="434" t="s">
        <v>873</v>
      </c>
      <c r="G924" s="712">
        <f>G930</f>
        <v>3</v>
      </c>
      <c r="H924" s="14"/>
      <c r="I924" s="669">
        <v>73.5</v>
      </c>
      <c r="J924" s="201" t="s">
        <v>865</v>
      </c>
      <c r="K924" s="3"/>
      <c r="L924" s="3"/>
      <c r="M924" s="5"/>
      <c r="N924" s="5"/>
      <c r="O924" s="5"/>
      <c r="P924" s="5"/>
      <c r="Q924" s="24"/>
      <c r="R924" s="3"/>
      <c r="S924" s="5"/>
      <c r="T924" s="3"/>
      <c r="U924" s="14"/>
      <c r="V924" s="990" t="str">
        <f>IF(OR(SHWidth&gt;I923,SHHeight&gt;I924),"√","")</f>
        <v>√</v>
      </c>
      <c r="W924" s="880" t="str">
        <f>" Since width &gt; "&amp;I923&amp;" OR height &gt; "&amp;I924&amp;" reinforcement is required in the Sash Stiles"</f>
        <v xml:space="preserve"> Since width &gt; 35.5 OR height &gt; 73.5 reinforcement is required in the Sash Stiles</v>
      </c>
      <c r="X924" s="500"/>
      <c r="Y924" s="3"/>
      <c r="Z924" s="3"/>
      <c r="AA924" s="3"/>
      <c r="AB924" s="14"/>
      <c r="AC924" s="3"/>
      <c r="AD924" s="3"/>
      <c r="AE924" s="5"/>
      <c r="AF924" s="5"/>
      <c r="AG924" s="5"/>
      <c r="AH924" s="5"/>
      <c r="AI924" s="51"/>
      <c r="AJ924" s="51"/>
      <c r="AK924" s="51"/>
      <c r="AL924" s="51"/>
      <c r="AM924" s="39"/>
      <c r="AN924" s="3" t="s">
        <v>92</v>
      </c>
      <c r="AO924" s="3" t="s">
        <v>92</v>
      </c>
      <c r="AP924" s="3" t="s">
        <v>92</v>
      </c>
      <c r="AQ924" s="3" t="s">
        <v>92</v>
      </c>
      <c r="AR924" s="3" t="s">
        <v>92</v>
      </c>
      <c r="AS924" s="3" t="s">
        <v>92</v>
      </c>
      <c r="AT924" s="3" t="s">
        <v>92</v>
      </c>
      <c r="AU924" s="3" t="s">
        <v>81</v>
      </c>
      <c r="AV924" s="3" t="s">
        <v>81</v>
      </c>
      <c r="AW924" s="3" t="s">
        <v>81</v>
      </c>
      <c r="AX924" s="1414" t="s">
        <v>92</v>
      </c>
      <c r="AY924" s="3"/>
      <c r="AZ924" s="139"/>
      <c r="BA924" s="139"/>
      <c r="BB924" s="139"/>
      <c r="BC924" s="139"/>
      <c r="BD924" s="139"/>
      <c r="BE924" s="3"/>
    </row>
    <row r="925" spans="1:57" ht="15" customHeight="1" x14ac:dyDescent="0.4">
      <c r="A925" s="3"/>
      <c r="B925" s="7"/>
      <c r="C925" s="155"/>
      <c r="D925" s="155"/>
      <c r="E925" s="155"/>
      <c r="F925" s="434" t="s">
        <v>520</v>
      </c>
      <c r="G925" s="711">
        <v>3.75</v>
      </c>
      <c r="H925" s="20"/>
      <c r="I925" s="443"/>
      <c r="J925" s="3"/>
      <c r="K925" s="3"/>
      <c r="L925" s="3"/>
      <c r="M925" s="5"/>
      <c r="N925" s="5"/>
      <c r="O925" s="5"/>
      <c r="P925" s="5"/>
      <c r="Q925" s="437"/>
      <c r="R925" s="500"/>
      <c r="S925" s="3"/>
      <c r="T925" s="3"/>
      <c r="U925" s="14"/>
      <c r="V925" s="3"/>
      <c r="W925" s="376"/>
      <c r="X925" s="500"/>
      <c r="Y925" s="3"/>
      <c r="Z925" s="3"/>
      <c r="AA925" s="3"/>
      <c r="AB925" s="14"/>
      <c r="AC925" s="3"/>
      <c r="AD925" s="3"/>
      <c r="AE925" s="3"/>
      <c r="AF925" s="3"/>
      <c r="AG925" s="3"/>
      <c r="AH925" s="3"/>
      <c r="AI925" s="3"/>
      <c r="AJ925" s="3"/>
      <c r="AK925" s="3"/>
      <c r="AL925" s="3"/>
      <c r="AM925" s="3"/>
      <c r="AN925" s="3" t="s">
        <v>92</v>
      </c>
      <c r="AO925" s="3" t="s">
        <v>92</v>
      </c>
      <c r="AP925" s="3" t="s">
        <v>92</v>
      </c>
      <c r="AQ925" s="3" t="s">
        <v>92</v>
      </c>
      <c r="AR925" s="3" t="s">
        <v>92</v>
      </c>
      <c r="AS925" s="3" t="s">
        <v>92</v>
      </c>
      <c r="AT925" s="3" t="s">
        <v>92</v>
      </c>
      <c r="AU925" s="3" t="s">
        <v>81</v>
      </c>
      <c r="AV925" s="3" t="s">
        <v>81</v>
      </c>
      <c r="AW925" s="3" t="s">
        <v>81</v>
      </c>
      <c r="AX925" s="1414" t="s">
        <v>92</v>
      </c>
      <c r="AY925" s="3"/>
      <c r="AZ925" s="139"/>
      <c r="BA925" s="139"/>
      <c r="BB925" s="139"/>
      <c r="BC925" s="139"/>
      <c r="BD925" s="139"/>
      <c r="BE925" s="3"/>
    </row>
    <row r="926" spans="1:57" ht="15" customHeight="1" x14ac:dyDescent="0.4">
      <c r="A926" s="3"/>
      <c r="B926" s="7"/>
      <c r="C926" s="155"/>
      <c r="D926" s="155"/>
      <c r="E926" s="155"/>
      <c r="F926" s="434" t="s">
        <v>866</v>
      </c>
      <c r="G926" s="712">
        <v>0</v>
      </c>
      <c r="H926" s="20"/>
      <c r="I926" s="3"/>
      <c r="J926" s="713" t="str">
        <f xml:space="preserve"> "Length = INT ( ( UH / 2 - " &amp;FIXED(G925,2)&amp;" + CO) / "&amp;FIXED(G924,2)&amp;" ) *"&amp;FIXED(G924,2)</f>
        <v>Length = INT ( ( UH / 2 - 3.75 + CO) / 3.00 ) *3.00</v>
      </c>
      <c r="K926" s="3"/>
      <c r="L926" s="3"/>
      <c r="M926" s="5"/>
      <c r="N926" s="5"/>
      <c r="O926" s="5"/>
      <c r="P926" s="5"/>
      <c r="Q926" s="5"/>
      <c r="R926" s="3"/>
      <c r="S926" s="528">
        <f>INT((SHHeight/2-G925+SHCORnd)/G924)*G924</f>
        <v>33</v>
      </c>
      <c r="T926" s="3" t="s">
        <v>366</v>
      </c>
      <c r="U926" s="14"/>
      <c r="V926" s="3"/>
      <c r="W926" s="530">
        <f>LOOKUP(S926,S930:S948,O930:O948)*AD926</f>
        <v>2.7720000000000002</v>
      </c>
      <c r="X926" s="535" t="str">
        <f>LOOKUP(S926,S930:S948,Q930:Q948)</f>
        <v>G</v>
      </c>
      <c r="Y926" s="1462">
        <f>LOOKUP(S926,S930:S948,Y930:Y948)</f>
        <v>250013000007</v>
      </c>
      <c r="Z926" s="1445"/>
      <c r="AA926" s="1445"/>
      <c r="AB926" s="20"/>
      <c r="AC926" s="3">
        <v>45</v>
      </c>
      <c r="AD926" s="3">
        <f>IF(V924&lt;&gt;"",2,0)</f>
        <v>2</v>
      </c>
      <c r="AE926" s="5">
        <f>S926/12*2</f>
        <v>5.5</v>
      </c>
      <c r="AF926" s="3" t="s">
        <v>367</v>
      </c>
      <c r="AG926" s="38"/>
      <c r="AH926" s="38"/>
      <c r="AI926" s="51">
        <f>LOOKUP(S926,S930:S948,AI930:AI948)</f>
        <v>2.0110999999999999</v>
      </c>
      <c r="AJ926" s="39"/>
      <c r="AK926" s="39"/>
      <c r="AL926" s="39"/>
      <c r="AM926" s="51">
        <f>AD926*AI926+SUM(AJ926:AL926)</f>
        <v>4.0221999999999998</v>
      </c>
      <c r="AN926" s="3" t="s">
        <v>92</v>
      </c>
      <c r="AO926" s="3" t="s">
        <v>92</v>
      </c>
      <c r="AP926" s="3" t="s">
        <v>92</v>
      </c>
      <c r="AQ926" s="3" t="s">
        <v>92</v>
      </c>
      <c r="AR926" s="3" t="s">
        <v>92</v>
      </c>
      <c r="AS926" s="3" t="s">
        <v>92</v>
      </c>
      <c r="AT926" s="3" t="s">
        <v>92</v>
      </c>
      <c r="AU926" s="3" t="s">
        <v>81</v>
      </c>
      <c r="AV926" s="3" t="s">
        <v>81</v>
      </c>
      <c r="AW926" s="3" t="s">
        <v>81</v>
      </c>
      <c r="AX926" s="1414" t="s">
        <v>92</v>
      </c>
      <c r="AY926" s="3"/>
      <c r="AZ926" s="139"/>
      <c r="BA926" s="139"/>
      <c r="BB926" s="139"/>
      <c r="BC926" s="139"/>
      <c r="BD926" s="139"/>
      <c r="BE926" s="3"/>
    </row>
    <row r="927" spans="1:57" ht="15" customHeight="1" x14ac:dyDescent="0.4">
      <c r="A927" s="3"/>
      <c r="B927" s="7"/>
      <c r="C927" s="623"/>
      <c r="D927" s="623"/>
      <c r="E927" s="623"/>
      <c r="F927" s="720"/>
      <c r="G927" s="721"/>
      <c r="H927" s="624"/>
      <c r="I927" s="577"/>
      <c r="J927" s="577"/>
      <c r="K927" s="577"/>
      <c r="L927" s="577"/>
      <c r="M927" s="575"/>
      <c r="N927" s="575"/>
      <c r="O927" s="575"/>
      <c r="P927" s="575"/>
      <c r="Q927" s="575"/>
      <c r="R927" s="577"/>
      <c r="S927" s="575"/>
      <c r="T927" s="577"/>
      <c r="U927" s="574"/>
      <c r="V927" s="577"/>
      <c r="W927" s="577" t="s">
        <v>874</v>
      </c>
      <c r="X927" s="577" t="s">
        <v>875</v>
      </c>
      <c r="Y927" s="577"/>
      <c r="Z927" s="577"/>
      <c r="AA927" s="577"/>
      <c r="AB927" s="574"/>
      <c r="AC927" s="577"/>
      <c r="AD927" s="577"/>
      <c r="AE927" s="575"/>
      <c r="AF927" s="575"/>
      <c r="AG927" s="579"/>
      <c r="AH927" s="581"/>
      <c r="AI927" s="626"/>
      <c r="AJ927" s="581"/>
      <c r="AK927" s="581"/>
      <c r="AL927" s="581"/>
      <c r="AM927" s="581"/>
      <c r="AN927" s="577" t="s">
        <v>92</v>
      </c>
      <c r="AO927" s="577" t="s">
        <v>92</v>
      </c>
      <c r="AP927" s="577" t="s">
        <v>92</v>
      </c>
      <c r="AQ927" s="577" t="s">
        <v>92</v>
      </c>
      <c r="AR927" s="577" t="s">
        <v>92</v>
      </c>
      <c r="AS927" s="577" t="s">
        <v>92</v>
      </c>
      <c r="AT927" s="577" t="s">
        <v>92</v>
      </c>
      <c r="AU927" s="577" t="s">
        <v>81</v>
      </c>
      <c r="AV927" s="577" t="s">
        <v>81</v>
      </c>
      <c r="AW927" s="577" t="s">
        <v>81</v>
      </c>
      <c r="AX927" s="1881" t="s">
        <v>92</v>
      </c>
      <c r="AY927" s="577"/>
      <c r="AZ927" s="139"/>
      <c r="BA927" s="139"/>
      <c r="BB927" s="139"/>
      <c r="BC927" s="139"/>
      <c r="BD927" s="139"/>
      <c r="BE927" s="3"/>
    </row>
    <row r="928" spans="1:57" ht="15" customHeight="1" x14ac:dyDescent="0.4">
      <c r="A928" s="3"/>
      <c r="B928" s="4"/>
      <c r="C928" s="7" t="s">
        <v>876</v>
      </c>
      <c r="D928" s="155"/>
      <c r="E928" s="155"/>
      <c r="F928" s="155"/>
      <c r="G928" s="7"/>
      <c r="H928" s="14"/>
      <c r="I928" s="722"/>
      <c r="J928" s="3"/>
      <c r="K928" s="3"/>
      <c r="L928" s="3"/>
      <c r="M928" s="5"/>
      <c r="N928" s="2003" t="s">
        <v>877</v>
      </c>
      <c r="O928" s="2003"/>
      <c r="P928" s="2003"/>
      <c r="Q928" s="24"/>
      <c r="R928" s="500"/>
      <c r="S928" s="22"/>
      <c r="T928" s="500"/>
      <c r="U928" s="20"/>
      <c r="V928" s="38"/>
      <c r="W928" s="3"/>
      <c r="X928" s="38"/>
      <c r="Y928" s="38"/>
      <c r="Z928" s="38"/>
      <c r="AA928" s="38"/>
      <c r="AB928" s="20"/>
      <c r="AC928" s="38"/>
      <c r="AD928" s="38"/>
      <c r="AE928" s="38"/>
      <c r="AF928" s="38"/>
      <c r="AG928" s="38"/>
      <c r="AH928" s="38"/>
      <c r="AI928" s="723"/>
      <c r="AJ928" s="38"/>
      <c r="AK928" s="38"/>
      <c r="AL928" s="38"/>
      <c r="AM928" s="38"/>
      <c r="AN928" s="3"/>
      <c r="AO928" s="3"/>
      <c r="AP928" s="3"/>
      <c r="AQ928" s="3"/>
      <c r="AR928" s="3"/>
      <c r="AS928" s="3"/>
      <c r="AT928" s="3"/>
      <c r="AU928" s="3"/>
      <c r="AV928" s="3"/>
      <c r="AW928" s="3"/>
      <c r="AX928" s="3"/>
      <c r="AY928" s="3"/>
      <c r="AZ928" s="139"/>
      <c r="BA928" s="139"/>
      <c r="BB928" s="139"/>
      <c r="BC928" s="139"/>
      <c r="BD928" s="139"/>
      <c r="BE928" s="3"/>
    </row>
    <row r="929" spans="1:57" ht="15" customHeight="1" x14ac:dyDescent="0.4">
      <c r="A929" s="3"/>
      <c r="B929" s="7"/>
      <c r="C929" s="155"/>
      <c r="D929" s="4"/>
      <c r="E929" s="155"/>
      <c r="F929" s="461" t="s">
        <v>868</v>
      </c>
      <c r="G929" s="714">
        <v>0.504</v>
      </c>
      <c r="H929" s="14"/>
      <c r="I929" s="3"/>
      <c r="J929" s="3"/>
      <c r="K929" s="3"/>
      <c r="L929" s="3"/>
      <c r="M929" s="5"/>
      <c r="N929" s="2003"/>
      <c r="O929" s="2003"/>
      <c r="P929" s="2003"/>
      <c r="Q929" s="724" t="s">
        <v>522</v>
      </c>
      <c r="R929" s="725"/>
      <c r="S929" s="724" t="s">
        <v>523</v>
      </c>
      <c r="T929" s="3"/>
      <c r="U929" s="14"/>
      <c r="V929" s="4"/>
      <c r="W929" s="4"/>
      <c r="X929" s="4"/>
      <c r="Y929" s="726" t="s">
        <v>356</v>
      </c>
      <c r="Z929" s="726"/>
      <c r="AA929" s="726"/>
      <c r="AB929" s="14"/>
      <c r="AC929" s="3"/>
      <c r="AD929" s="3"/>
      <c r="AE929" s="724" t="s">
        <v>523</v>
      </c>
      <c r="AF929" s="3"/>
      <c r="AG929" s="3"/>
      <c r="AH929" s="3"/>
      <c r="AI929" s="51"/>
      <c r="AJ929" s="39"/>
      <c r="AK929" s="39"/>
      <c r="AL929" s="39"/>
      <c r="AM929" s="39"/>
      <c r="AN929" s="3"/>
      <c r="AO929" s="3"/>
      <c r="AP929" s="3"/>
      <c r="AQ929" s="3"/>
      <c r="AR929" s="3"/>
      <c r="AS929" s="3"/>
      <c r="AT929" s="3"/>
      <c r="AU929" s="3"/>
      <c r="AV929" s="3"/>
      <c r="AW929" s="3"/>
      <c r="AX929" s="3"/>
      <c r="AY929" s="3"/>
      <c r="AZ929" s="139"/>
      <c r="BA929" s="139"/>
      <c r="BB929" s="139"/>
      <c r="BC929" s="139"/>
      <c r="BD929" s="139"/>
      <c r="BE929" s="3"/>
    </row>
    <row r="930" spans="1:57" ht="15" customHeight="1" x14ac:dyDescent="0.4">
      <c r="A930" s="3"/>
      <c r="B930" s="7"/>
      <c r="C930" s="155"/>
      <c r="D930" s="4"/>
      <c r="E930" s="155"/>
      <c r="F930" s="434" t="s">
        <v>519</v>
      </c>
      <c r="G930" s="711">
        <v>3</v>
      </c>
      <c r="H930" s="14"/>
      <c r="I930" s="3"/>
      <c r="J930" s="3"/>
      <c r="K930" s="3"/>
      <c r="L930" s="3"/>
      <c r="M930" s="5"/>
      <c r="N930" s="5"/>
      <c r="O930" s="5">
        <v>0</v>
      </c>
      <c r="P930" s="5"/>
      <c r="Q930" s="439" t="s">
        <v>529</v>
      </c>
      <c r="R930" s="3"/>
      <c r="S930" s="5">
        <v>0</v>
      </c>
      <c r="T930" s="3" t="s">
        <v>366</v>
      </c>
      <c r="U930" s="14"/>
      <c r="V930" s="4"/>
      <c r="W930" s="4"/>
      <c r="X930" s="4"/>
      <c r="Y930" s="577" t="s">
        <v>529</v>
      </c>
      <c r="Z930" s="577"/>
      <c r="AA930" s="577"/>
      <c r="AB930" s="574"/>
      <c r="AC930" s="577"/>
      <c r="AD930" s="577"/>
      <c r="AE930" s="575"/>
      <c r="AF930" s="577"/>
      <c r="AG930" s="577"/>
      <c r="AH930" s="577"/>
      <c r="AI930" s="626"/>
      <c r="AJ930" s="581"/>
      <c r="AK930" s="581"/>
      <c r="AL930" s="581"/>
      <c r="AM930" s="581"/>
      <c r="AN930" s="577"/>
      <c r="AO930" s="577"/>
      <c r="AP930" s="577"/>
      <c r="AQ930" s="577"/>
      <c r="AR930" s="577"/>
      <c r="AS930" s="577"/>
      <c r="AT930" s="577"/>
      <c r="AU930" s="577"/>
      <c r="AV930" s="577"/>
      <c r="AW930" s="577"/>
      <c r="AX930" s="577"/>
      <c r="AY930" s="577"/>
      <c r="AZ930" s="139"/>
      <c r="BA930" s="139"/>
      <c r="BB930" s="139"/>
      <c r="BC930" s="139"/>
      <c r="BD930" s="139"/>
      <c r="BE930" s="3"/>
    </row>
    <row r="931" spans="1:57" ht="15" customHeight="1" x14ac:dyDescent="0.4">
      <c r="A931" s="3"/>
      <c r="B931" s="7"/>
      <c r="C931" s="155"/>
      <c r="D931" s="155"/>
      <c r="E931" s="155"/>
      <c r="F931" s="434" t="s">
        <v>878</v>
      </c>
      <c r="G931" s="711">
        <v>15</v>
      </c>
      <c r="H931" s="14"/>
      <c r="I931" s="3"/>
      <c r="J931" s="3"/>
      <c r="K931" s="3"/>
      <c r="L931" s="3"/>
      <c r="M931" s="5"/>
      <c r="N931" s="5"/>
      <c r="O931" s="5">
        <f>S931/12*$G$929</f>
        <v>0.63</v>
      </c>
      <c r="P931" s="5"/>
      <c r="Q931" s="439" t="s">
        <v>70</v>
      </c>
      <c r="R931" s="440" t="s">
        <v>352</v>
      </c>
      <c r="S931" s="376">
        <f>$G$931</f>
        <v>15</v>
      </c>
      <c r="T931" s="3" t="s">
        <v>366</v>
      </c>
      <c r="U931" s="14"/>
      <c r="V931" s="4"/>
      <c r="W931" s="4"/>
      <c r="X931" s="4"/>
      <c r="Y931" s="1454">
        <v>250013000001</v>
      </c>
      <c r="Z931" s="1591" t="s">
        <v>2221</v>
      </c>
      <c r="AA931" s="1454"/>
      <c r="AB931" s="20"/>
      <c r="AC931" s="3">
        <v>45</v>
      </c>
      <c r="AD931" s="3">
        <v>1</v>
      </c>
      <c r="AE931" s="5">
        <f>AD931*S931/12</f>
        <v>1.25</v>
      </c>
      <c r="AF931" s="3" t="s">
        <v>385</v>
      </c>
      <c r="AG931" s="38"/>
      <c r="AH931" s="3"/>
      <c r="AI931" s="844">
        <v>0</v>
      </c>
      <c r="AJ931" s="39"/>
      <c r="AK931" s="39"/>
      <c r="AL931" s="39"/>
      <c r="AM931" s="39"/>
      <c r="AN931" s="3"/>
      <c r="AO931" s="3"/>
      <c r="AP931" s="3"/>
      <c r="AQ931" s="3"/>
      <c r="AR931" s="3"/>
      <c r="AS931" s="3"/>
      <c r="AT931" s="3"/>
      <c r="AU931" s="3" t="s">
        <v>92</v>
      </c>
      <c r="AV931" s="3" t="s">
        <v>92</v>
      </c>
      <c r="AW931" s="3" t="s">
        <v>92</v>
      </c>
      <c r="AX931" s="3"/>
      <c r="AY931" s="3"/>
      <c r="AZ931" s="139"/>
      <c r="BA931" s="139"/>
      <c r="BB931" s="139"/>
      <c r="BC931" s="139"/>
      <c r="BD931" s="139"/>
      <c r="BE931" s="3"/>
    </row>
    <row r="932" spans="1:57" ht="15" customHeight="1" x14ac:dyDescent="0.4">
      <c r="A932" s="3"/>
      <c r="B932" s="4"/>
      <c r="C932" s="4"/>
      <c r="D932" s="155"/>
      <c r="E932" s="155"/>
      <c r="F932" s="461"/>
      <c r="G932" s="505"/>
      <c r="H932" s="14"/>
      <c r="I932" s="3"/>
      <c r="J932" s="3"/>
      <c r="K932" s="3"/>
      <c r="L932" s="3"/>
      <c r="M932" s="5"/>
      <c r="N932" s="5"/>
      <c r="O932" s="5">
        <f t="shared" ref="O932:O947" si="107">S932/12*$G$929</f>
        <v>0.75600000000000001</v>
      </c>
      <c r="P932" s="5"/>
      <c r="Q932" s="439" t="s">
        <v>81</v>
      </c>
      <c r="R932" s="440" t="s">
        <v>352</v>
      </c>
      <c r="S932" s="376">
        <f>S931+$G$930</f>
        <v>18</v>
      </c>
      <c r="T932" s="3" t="s">
        <v>366</v>
      </c>
      <c r="U932" s="14"/>
      <c r="V932" s="4"/>
      <c r="W932" s="4"/>
      <c r="X932" s="4"/>
      <c r="Y932" s="1454">
        <v>250013000002</v>
      </c>
      <c r="Z932" s="1454"/>
      <c r="AA932" s="1454"/>
      <c r="AB932" s="20"/>
      <c r="AC932" s="3">
        <v>45</v>
      </c>
      <c r="AD932" s="3">
        <v>1</v>
      </c>
      <c r="AE932" s="5">
        <f t="shared" ref="AE932:AE944" si="108">AD932*S932/12</f>
        <v>1.5</v>
      </c>
      <c r="AF932" s="3" t="s">
        <v>385</v>
      </c>
      <c r="AG932" s="38"/>
      <c r="AH932" s="3"/>
      <c r="AI932" s="353">
        <v>1.1913</v>
      </c>
      <c r="AJ932" s="39"/>
      <c r="AK932" s="39"/>
      <c r="AL932" s="39"/>
      <c r="AM932" s="39"/>
      <c r="AN932" s="3"/>
      <c r="AO932" s="3"/>
      <c r="AP932" s="3"/>
      <c r="AQ932" s="3"/>
      <c r="AR932" s="3"/>
      <c r="AS932" s="3"/>
      <c r="AT932" s="3"/>
      <c r="AU932" s="3" t="s">
        <v>92</v>
      </c>
      <c r="AV932" s="3" t="s">
        <v>92</v>
      </c>
      <c r="AW932" s="3" t="s">
        <v>92</v>
      </c>
      <c r="AX932" s="3"/>
      <c r="AY932" s="3"/>
      <c r="AZ932" s="139"/>
      <c r="BA932" s="139"/>
      <c r="BB932" s="139"/>
      <c r="BC932" s="139"/>
      <c r="BD932" s="139"/>
      <c r="BE932" s="3"/>
    </row>
    <row r="933" spans="1:57" ht="15" customHeight="1" x14ac:dyDescent="0.4">
      <c r="A933" s="3"/>
      <c r="B933" s="4"/>
      <c r="C933" s="4"/>
      <c r="D933" s="155"/>
      <c r="E933" s="155"/>
      <c r="F933" s="3"/>
      <c r="G933" s="3"/>
      <c r="H933" s="14"/>
      <c r="I933" s="3"/>
      <c r="J933" s="3"/>
      <c r="K933" s="3"/>
      <c r="L933" s="3"/>
      <c r="M933" s="5"/>
      <c r="N933" s="5"/>
      <c r="O933" s="5">
        <f t="shared" si="107"/>
        <v>0.88200000000000001</v>
      </c>
      <c r="P933" s="5"/>
      <c r="Q933" s="439" t="s">
        <v>531</v>
      </c>
      <c r="R933" s="440" t="s">
        <v>352</v>
      </c>
      <c r="S933" s="376">
        <f>S932+$G$930</f>
        <v>21</v>
      </c>
      <c r="T933" s="3" t="s">
        <v>366</v>
      </c>
      <c r="U933" s="14"/>
      <c r="V933" s="4"/>
      <c r="W933" s="4"/>
      <c r="X933" s="4"/>
      <c r="Y933" s="1454">
        <v>250013000003</v>
      </c>
      <c r="Z933" s="1454"/>
      <c r="AA933" s="1454"/>
      <c r="AB933" s="20"/>
      <c r="AC933" s="3">
        <v>45</v>
      </c>
      <c r="AD933" s="3">
        <v>1</v>
      </c>
      <c r="AE933" s="5">
        <f t="shared" si="108"/>
        <v>1.75</v>
      </c>
      <c r="AF933" s="3" t="s">
        <v>385</v>
      </c>
      <c r="AG933" s="38"/>
      <c r="AH933" s="3"/>
      <c r="AI933" s="353">
        <v>0.87050000000000005</v>
      </c>
      <c r="AJ933" s="39"/>
      <c r="AK933" s="39"/>
      <c r="AL933" s="39"/>
      <c r="AM933" s="39"/>
      <c r="AN933" s="3"/>
      <c r="AO933" s="3"/>
      <c r="AP933" s="3"/>
      <c r="AQ933" s="3"/>
      <c r="AR933" s="3"/>
      <c r="AS933" s="3"/>
      <c r="AT933" s="3"/>
      <c r="AU933" s="3" t="s">
        <v>92</v>
      </c>
      <c r="AV933" s="3" t="s">
        <v>92</v>
      </c>
      <c r="AW933" s="3" t="s">
        <v>92</v>
      </c>
      <c r="AX933" s="3"/>
      <c r="AY933" s="3"/>
      <c r="AZ933" s="139"/>
      <c r="BA933" s="139"/>
      <c r="BB933" s="139"/>
      <c r="BC933" s="139"/>
      <c r="BD933" s="139"/>
      <c r="BE933" s="3"/>
    </row>
    <row r="934" spans="1:57" ht="15" customHeight="1" x14ac:dyDescent="0.4">
      <c r="A934" s="3"/>
      <c r="B934" s="4"/>
      <c r="C934" s="4"/>
      <c r="D934" s="155"/>
      <c r="E934" s="155"/>
      <c r="F934" s="155"/>
      <c r="G934" s="155"/>
      <c r="H934" s="14"/>
      <c r="I934" s="3"/>
      <c r="J934" s="3"/>
      <c r="K934" s="3"/>
      <c r="L934" s="3"/>
      <c r="M934" s="5"/>
      <c r="N934" s="5"/>
      <c r="O934" s="5">
        <f t="shared" si="107"/>
        <v>1.008</v>
      </c>
      <c r="P934" s="5"/>
      <c r="Q934" s="439" t="s">
        <v>94</v>
      </c>
      <c r="R934" s="440" t="s">
        <v>352</v>
      </c>
      <c r="S934" s="376">
        <f t="shared" ref="S934:S948" si="109">S933+$G$930</f>
        <v>24</v>
      </c>
      <c r="T934" s="3" t="s">
        <v>366</v>
      </c>
      <c r="U934" s="14"/>
      <c r="V934" s="4"/>
      <c r="W934" s="4"/>
      <c r="X934" s="4"/>
      <c r="Y934" s="1454">
        <v>250013000004</v>
      </c>
      <c r="Z934" s="1454"/>
      <c r="AA934" s="1454"/>
      <c r="AB934" s="20"/>
      <c r="AC934" s="3">
        <v>45</v>
      </c>
      <c r="AD934" s="3">
        <v>1</v>
      </c>
      <c r="AE934" s="5">
        <f t="shared" si="108"/>
        <v>2</v>
      </c>
      <c r="AF934" s="3" t="s">
        <v>385</v>
      </c>
      <c r="AG934" s="38"/>
      <c r="AH934" s="3"/>
      <c r="AI934" s="353">
        <v>1.5880000000000001</v>
      </c>
      <c r="AJ934" s="39"/>
      <c r="AK934" s="39"/>
      <c r="AL934" s="39"/>
      <c r="AM934" s="39"/>
      <c r="AN934" s="3"/>
      <c r="AO934" s="3"/>
      <c r="AP934" s="3"/>
      <c r="AQ934" s="3"/>
      <c r="AR934" s="3"/>
      <c r="AS934" s="3"/>
      <c r="AT934" s="3"/>
      <c r="AU934" s="3" t="s">
        <v>92</v>
      </c>
      <c r="AV934" s="3" t="s">
        <v>92</v>
      </c>
      <c r="AW934" s="3" t="s">
        <v>92</v>
      </c>
      <c r="AX934" s="3"/>
      <c r="AY934" s="3"/>
      <c r="AZ934" s="139"/>
      <c r="BA934" s="139"/>
      <c r="BB934" s="139"/>
      <c r="BC934" s="139"/>
      <c r="BD934" s="139"/>
      <c r="BE934" s="3"/>
    </row>
    <row r="935" spans="1:57" ht="15" customHeight="1" x14ac:dyDescent="0.4">
      <c r="A935" s="3"/>
      <c r="B935" s="4"/>
      <c r="C935" s="4"/>
      <c r="D935" s="155"/>
      <c r="E935" s="155"/>
      <c r="F935" s="155"/>
      <c r="G935" s="155"/>
      <c r="H935" s="14"/>
      <c r="I935" s="3"/>
      <c r="J935" s="3"/>
      <c r="K935" s="3"/>
      <c r="L935" s="3"/>
      <c r="M935" s="5"/>
      <c r="N935" s="5"/>
      <c r="O935" s="5">
        <f t="shared" si="107"/>
        <v>1.1339999999999999</v>
      </c>
      <c r="P935" s="5"/>
      <c r="Q935" s="439" t="s">
        <v>112</v>
      </c>
      <c r="R935" s="440" t="s">
        <v>352</v>
      </c>
      <c r="S935" s="376">
        <f t="shared" si="109"/>
        <v>27</v>
      </c>
      <c r="T935" s="3" t="s">
        <v>366</v>
      </c>
      <c r="U935" s="14"/>
      <c r="V935" s="4"/>
      <c r="W935" s="4"/>
      <c r="X935" s="4"/>
      <c r="Y935" s="1454">
        <v>250013000005</v>
      </c>
      <c r="Z935" s="1454"/>
      <c r="AA935" s="1454"/>
      <c r="AB935" s="20"/>
      <c r="AC935" s="3">
        <v>45</v>
      </c>
      <c r="AD935" s="3">
        <v>1</v>
      </c>
      <c r="AE935" s="5">
        <f t="shared" si="108"/>
        <v>2.25</v>
      </c>
      <c r="AF935" s="3" t="s">
        <v>385</v>
      </c>
      <c r="AG935" s="38"/>
      <c r="AH935" s="3"/>
      <c r="AI935" s="353">
        <v>1.6452</v>
      </c>
      <c r="AJ935" s="39"/>
      <c r="AK935" s="39"/>
      <c r="AL935" s="39"/>
      <c r="AM935" s="39"/>
      <c r="AN935" s="3"/>
      <c r="AO935" s="3"/>
      <c r="AP935" s="3"/>
      <c r="AQ935" s="3"/>
      <c r="AR935" s="3"/>
      <c r="AS935" s="3"/>
      <c r="AT935" s="3"/>
      <c r="AU935" s="3" t="s">
        <v>92</v>
      </c>
      <c r="AV935" s="3" t="s">
        <v>92</v>
      </c>
      <c r="AW935" s="3" t="s">
        <v>92</v>
      </c>
      <c r="AX935" s="3"/>
      <c r="AY935" s="3"/>
      <c r="AZ935" s="139"/>
      <c r="BA935" s="139"/>
      <c r="BB935" s="139"/>
      <c r="BC935" s="139"/>
      <c r="BD935" s="139"/>
      <c r="BE935" s="3"/>
    </row>
    <row r="936" spans="1:57" ht="15" customHeight="1" x14ac:dyDescent="0.4">
      <c r="A936" s="3"/>
      <c r="B936" s="4"/>
      <c r="C936" s="4"/>
      <c r="D936" s="155"/>
      <c r="E936" s="155"/>
      <c r="F936" s="155"/>
      <c r="G936" s="155"/>
      <c r="H936" s="14"/>
      <c r="I936" s="3"/>
      <c r="J936" s="3"/>
      <c r="K936" s="3"/>
      <c r="L936" s="3"/>
      <c r="M936" s="5"/>
      <c r="N936" s="5"/>
      <c r="O936" s="5">
        <f t="shared" si="107"/>
        <v>1.26</v>
      </c>
      <c r="P936" s="5"/>
      <c r="Q936" s="439" t="s">
        <v>128</v>
      </c>
      <c r="R936" s="440" t="s">
        <v>352</v>
      </c>
      <c r="S936" s="376">
        <f t="shared" si="109"/>
        <v>30</v>
      </c>
      <c r="T936" s="3" t="s">
        <v>366</v>
      </c>
      <c r="U936" s="14"/>
      <c r="V936" s="4"/>
      <c r="W936" s="4"/>
      <c r="X936" s="4"/>
      <c r="Y936" s="1454">
        <v>250013000006</v>
      </c>
      <c r="Z936" s="1454"/>
      <c r="AA936" s="1454"/>
      <c r="AB936" s="20"/>
      <c r="AC936" s="3">
        <v>45</v>
      </c>
      <c r="AD936" s="3">
        <v>1</v>
      </c>
      <c r="AE936" s="5">
        <f t="shared" si="108"/>
        <v>2.5</v>
      </c>
      <c r="AF936" s="3" t="s">
        <v>385</v>
      </c>
      <c r="AG936" s="38"/>
      <c r="AH936" s="3"/>
      <c r="AI936" s="353">
        <v>1.9855</v>
      </c>
      <c r="AJ936" s="39"/>
      <c r="AK936" s="39"/>
      <c r="AL936" s="39"/>
      <c r="AM936" s="39"/>
      <c r="AN936" s="3"/>
      <c r="AO936" s="3"/>
      <c r="AP936" s="3"/>
      <c r="AQ936" s="3"/>
      <c r="AR936" s="3"/>
      <c r="AS936" s="3"/>
      <c r="AT936" s="3"/>
      <c r="AU936" s="3" t="s">
        <v>92</v>
      </c>
      <c r="AV936" s="3" t="s">
        <v>92</v>
      </c>
      <c r="AW936" s="3" t="s">
        <v>92</v>
      </c>
      <c r="AX936" s="3"/>
      <c r="AY936" s="3"/>
      <c r="AZ936" s="139"/>
      <c r="BA936" s="139"/>
      <c r="BB936" s="139"/>
      <c r="BC936" s="139"/>
      <c r="BD936" s="139"/>
      <c r="BE936" s="3"/>
    </row>
    <row r="937" spans="1:57" ht="15" customHeight="1" x14ac:dyDescent="0.4">
      <c r="A937" s="3"/>
      <c r="B937" s="4"/>
      <c r="C937" s="4"/>
      <c r="D937" s="155"/>
      <c r="E937" s="155"/>
      <c r="F937" s="155"/>
      <c r="G937" s="155"/>
      <c r="H937" s="14"/>
      <c r="I937" s="3"/>
      <c r="J937" s="3"/>
      <c r="K937" s="3"/>
      <c r="L937" s="3"/>
      <c r="M937" s="5"/>
      <c r="N937" s="5"/>
      <c r="O937" s="5">
        <f t="shared" si="107"/>
        <v>1.3860000000000001</v>
      </c>
      <c r="P937" s="5"/>
      <c r="Q937" s="439" t="s">
        <v>155</v>
      </c>
      <c r="R937" s="440" t="s">
        <v>352</v>
      </c>
      <c r="S937" s="376">
        <f t="shared" si="109"/>
        <v>33</v>
      </c>
      <c r="T937" s="3" t="s">
        <v>366</v>
      </c>
      <c r="U937" s="14"/>
      <c r="V937" s="4"/>
      <c r="W937" s="4"/>
      <c r="X937" s="4"/>
      <c r="Y937" s="1454">
        <v>250013000007</v>
      </c>
      <c r="Z937" s="1454"/>
      <c r="AA937" s="1454"/>
      <c r="AB937" s="20"/>
      <c r="AC937" s="3">
        <v>45</v>
      </c>
      <c r="AD937" s="3">
        <v>1</v>
      </c>
      <c r="AE937" s="5">
        <f t="shared" si="108"/>
        <v>2.75</v>
      </c>
      <c r="AF937" s="3" t="s">
        <v>385</v>
      </c>
      <c r="AG937" s="38"/>
      <c r="AH937" s="3"/>
      <c r="AI937" s="353">
        <v>2.0110999999999999</v>
      </c>
      <c r="AJ937" s="39"/>
      <c r="AK937" s="39"/>
      <c r="AL937" s="39"/>
      <c r="AM937" s="39"/>
      <c r="AN937" s="3"/>
      <c r="AO937" s="3"/>
      <c r="AP937" s="3"/>
      <c r="AQ937" s="3"/>
      <c r="AR937" s="3"/>
      <c r="AS937" s="3"/>
      <c r="AT937" s="3"/>
      <c r="AU937" s="3" t="s">
        <v>92</v>
      </c>
      <c r="AV937" s="3" t="s">
        <v>92</v>
      </c>
      <c r="AW937" s="3" t="s">
        <v>92</v>
      </c>
      <c r="AX937" s="3"/>
      <c r="AY937" s="3"/>
      <c r="AZ937" s="139"/>
      <c r="BA937" s="139"/>
      <c r="BB937" s="139"/>
      <c r="BC937" s="139"/>
      <c r="BD937" s="139"/>
      <c r="BE937" s="3"/>
    </row>
    <row r="938" spans="1:57" ht="15" customHeight="1" x14ac:dyDescent="0.4">
      <c r="A938" s="3"/>
      <c r="B938" s="4"/>
      <c r="C938" s="4"/>
      <c r="D938" s="155"/>
      <c r="E938" s="155"/>
      <c r="F938" s="155"/>
      <c r="G938" s="155"/>
      <c r="H938" s="14"/>
      <c r="I938" s="3"/>
      <c r="J938" s="3"/>
      <c r="K938" s="3"/>
      <c r="L938" s="3"/>
      <c r="M938" s="5"/>
      <c r="N938" s="5"/>
      <c r="O938" s="5">
        <f t="shared" si="107"/>
        <v>1.512</v>
      </c>
      <c r="P938" s="5"/>
      <c r="Q938" s="439" t="s">
        <v>163</v>
      </c>
      <c r="R938" s="440" t="s">
        <v>352</v>
      </c>
      <c r="S938" s="376">
        <f t="shared" si="109"/>
        <v>36</v>
      </c>
      <c r="T938" s="3" t="s">
        <v>366</v>
      </c>
      <c r="U938" s="14"/>
      <c r="V938" s="4"/>
      <c r="W938" s="4"/>
      <c r="X938" s="4"/>
      <c r="Y938" s="1454">
        <v>250013000008</v>
      </c>
      <c r="Z938" s="1591" t="s">
        <v>2221</v>
      </c>
      <c r="AA938" s="1454"/>
      <c r="AB938" s="20"/>
      <c r="AC938" s="3">
        <v>45</v>
      </c>
      <c r="AD938" s="3">
        <v>1</v>
      </c>
      <c r="AE938" s="5">
        <f t="shared" si="108"/>
        <v>3</v>
      </c>
      <c r="AF938" s="3" t="s">
        <v>385</v>
      </c>
      <c r="AG938" s="38"/>
      <c r="AH938" s="3"/>
      <c r="AI938" s="844">
        <v>0</v>
      </c>
      <c r="AJ938" s="39"/>
      <c r="AK938" s="39"/>
      <c r="AL938" s="39"/>
      <c r="AM938" s="39"/>
      <c r="AN938" s="3"/>
      <c r="AO938" s="3"/>
      <c r="AP938" s="3"/>
      <c r="AQ938" s="3"/>
      <c r="AR938" s="3"/>
      <c r="AS938" s="3"/>
      <c r="AT938" s="3"/>
      <c r="AU938" s="3" t="s">
        <v>92</v>
      </c>
      <c r="AV938" s="3" t="s">
        <v>92</v>
      </c>
      <c r="AW938" s="3" t="s">
        <v>92</v>
      </c>
      <c r="AX938" s="3"/>
      <c r="AY938" s="3"/>
      <c r="AZ938" s="139"/>
      <c r="BA938" s="139"/>
      <c r="BB938" s="139"/>
      <c r="BC938" s="139"/>
      <c r="BD938" s="139"/>
      <c r="BE938" s="3"/>
    </row>
    <row r="939" spans="1:57" ht="15" customHeight="1" x14ac:dyDescent="0.4">
      <c r="A939" s="3"/>
      <c r="B939" s="4"/>
      <c r="C939" s="4"/>
      <c r="D939" s="155"/>
      <c r="E939" s="155"/>
      <c r="F939" s="155"/>
      <c r="G939" s="155"/>
      <c r="H939" s="14"/>
      <c r="I939" s="3"/>
      <c r="J939" s="3"/>
      <c r="K939" s="3"/>
      <c r="L939" s="3"/>
      <c r="M939" s="5"/>
      <c r="N939" s="5"/>
      <c r="O939" s="5">
        <f t="shared" si="107"/>
        <v>1.6379999999999999</v>
      </c>
      <c r="P939" s="5"/>
      <c r="Q939" s="439" t="s">
        <v>175</v>
      </c>
      <c r="R939" s="440" t="s">
        <v>352</v>
      </c>
      <c r="S939" s="376">
        <f t="shared" si="109"/>
        <v>39</v>
      </c>
      <c r="T939" s="3" t="s">
        <v>366</v>
      </c>
      <c r="U939" s="14"/>
      <c r="V939" s="4"/>
      <c r="W939" s="4"/>
      <c r="X939" s="4"/>
      <c r="Y939" s="1454">
        <v>250013000009</v>
      </c>
      <c r="Z939" s="1591" t="s">
        <v>2221</v>
      </c>
      <c r="AA939" s="1454"/>
      <c r="AB939" s="20"/>
      <c r="AC939" s="3">
        <v>45</v>
      </c>
      <c r="AD939" s="3">
        <v>1</v>
      </c>
      <c r="AE939" s="5">
        <f t="shared" si="108"/>
        <v>3.25</v>
      </c>
      <c r="AF939" s="3" t="s">
        <v>385</v>
      </c>
      <c r="AG939" s="38"/>
      <c r="AH939" s="3"/>
      <c r="AI939" s="844">
        <v>0</v>
      </c>
      <c r="AJ939" s="39"/>
      <c r="AK939" s="39"/>
      <c r="AL939" s="39"/>
      <c r="AM939" s="39"/>
      <c r="AN939" s="3"/>
      <c r="AO939" s="3"/>
      <c r="AP939" s="3"/>
      <c r="AQ939" s="3"/>
      <c r="AR939" s="3"/>
      <c r="AS939" s="3"/>
      <c r="AT939" s="3"/>
      <c r="AU939" s="3" t="s">
        <v>92</v>
      </c>
      <c r="AV939" s="3" t="s">
        <v>92</v>
      </c>
      <c r="AW939" s="3" t="s">
        <v>92</v>
      </c>
      <c r="AX939" s="3"/>
      <c r="AY939" s="3"/>
      <c r="AZ939" s="139"/>
      <c r="BA939" s="139"/>
      <c r="BB939" s="139"/>
      <c r="BC939" s="139"/>
      <c r="BD939" s="139"/>
      <c r="BE939" s="3"/>
    </row>
    <row r="940" spans="1:57" ht="15" customHeight="1" x14ac:dyDescent="0.4">
      <c r="A940" s="3"/>
      <c r="B940" s="4"/>
      <c r="C940" s="4"/>
      <c r="D940" s="155"/>
      <c r="E940" s="155"/>
      <c r="F940" s="155"/>
      <c r="G940" s="155"/>
      <c r="H940" s="14"/>
      <c r="I940" s="3"/>
      <c r="J940" s="3"/>
      <c r="K940" s="3"/>
      <c r="L940" s="3"/>
      <c r="M940" s="5"/>
      <c r="N940" s="5"/>
      <c r="O940" s="5">
        <f t="shared" si="107"/>
        <v>1.764</v>
      </c>
      <c r="P940" s="5"/>
      <c r="Q940" s="439" t="s">
        <v>533</v>
      </c>
      <c r="R940" s="440" t="s">
        <v>352</v>
      </c>
      <c r="S940" s="376">
        <f t="shared" si="109"/>
        <v>42</v>
      </c>
      <c r="T940" s="3" t="s">
        <v>366</v>
      </c>
      <c r="U940" s="14"/>
      <c r="V940" s="4"/>
      <c r="W940" s="4"/>
      <c r="X940" s="4"/>
      <c r="Y940" s="1454">
        <v>250013000010</v>
      </c>
      <c r="Z940" s="1591" t="s">
        <v>2221</v>
      </c>
      <c r="AA940" s="1454"/>
      <c r="AB940" s="20"/>
      <c r="AC940" s="3">
        <v>45</v>
      </c>
      <c r="AD940" s="3">
        <v>1</v>
      </c>
      <c r="AE940" s="5">
        <f t="shared" si="108"/>
        <v>3.5</v>
      </c>
      <c r="AF940" s="3" t="s">
        <v>385</v>
      </c>
      <c r="AG940" s="38"/>
      <c r="AH940" s="3"/>
      <c r="AI940" s="844">
        <v>0</v>
      </c>
      <c r="AJ940" s="39"/>
      <c r="AK940" s="39"/>
      <c r="AL940" s="39"/>
      <c r="AM940" s="39"/>
      <c r="AN940" s="3"/>
      <c r="AO940" s="3"/>
      <c r="AP940" s="3"/>
      <c r="AQ940" s="3"/>
      <c r="AR940" s="3"/>
      <c r="AS940" s="3"/>
      <c r="AT940" s="3"/>
      <c r="AU940" s="3" t="s">
        <v>92</v>
      </c>
      <c r="AV940" s="3" t="s">
        <v>92</v>
      </c>
      <c r="AW940" s="3" t="s">
        <v>92</v>
      </c>
      <c r="AX940" s="3"/>
      <c r="AY940" s="3"/>
      <c r="AZ940" s="139"/>
      <c r="BA940" s="139"/>
      <c r="BB940" s="139"/>
      <c r="BC940" s="139"/>
      <c r="BD940" s="139"/>
      <c r="BE940" s="3"/>
    </row>
    <row r="941" spans="1:57" ht="15" customHeight="1" x14ac:dyDescent="0.4">
      <c r="A941" s="3"/>
      <c r="B941" s="4"/>
      <c r="C941" s="4"/>
      <c r="D941" s="155"/>
      <c r="E941" s="155"/>
      <c r="F941" s="155"/>
      <c r="G941" s="155"/>
      <c r="H941" s="14"/>
      <c r="I941" s="3"/>
      <c r="J941" s="3"/>
      <c r="K941" s="3"/>
      <c r="L941" s="3"/>
      <c r="M941" s="5"/>
      <c r="N941" s="5"/>
      <c r="O941" s="5">
        <f t="shared" si="107"/>
        <v>1.8900000000000001</v>
      </c>
      <c r="P941" s="5"/>
      <c r="Q941" s="439" t="s">
        <v>534</v>
      </c>
      <c r="R941" s="440" t="s">
        <v>352</v>
      </c>
      <c r="S941" s="376">
        <f t="shared" si="109"/>
        <v>45</v>
      </c>
      <c r="T941" s="3" t="s">
        <v>366</v>
      </c>
      <c r="U941" s="14"/>
      <c r="V941" s="4"/>
      <c r="W941" s="4"/>
      <c r="X941" s="4"/>
      <c r="Y941" s="1454">
        <v>250013000011</v>
      </c>
      <c r="Z941" s="1591" t="s">
        <v>2221</v>
      </c>
      <c r="AA941" s="1454"/>
      <c r="AB941" s="20"/>
      <c r="AC941" s="3">
        <v>45</v>
      </c>
      <c r="AD941" s="3">
        <v>1</v>
      </c>
      <c r="AE941" s="5">
        <f t="shared" si="108"/>
        <v>3.75</v>
      </c>
      <c r="AF941" s="3" t="s">
        <v>385</v>
      </c>
      <c r="AG941" s="38"/>
      <c r="AH941" s="3"/>
      <c r="AI941" s="844">
        <v>0</v>
      </c>
      <c r="AJ941" s="39"/>
      <c r="AK941" s="39"/>
      <c r="AL941" s="39"/>
      <c r="AM941" s="39"/>
      <c r="AN941" s="3"/>
      <c r="AO941" s="3"/>
      <c r="AP941" s="3"/>
      <c r="AQ941" s="3"/>
      <c r="AR941" s="3"/>
      <c r="AS941" s="3"/>
      <c r="AT941" s="3"/>
      <c r="AU941" s="3" t="s">
        <v>92</v>
      </c>
      <c r="AV941" s="3" t="s">
        <v>92</v>
      </c>
      <c r="AW941" s="3" t="s">
        <v>92</v>
      </c>
      <c r="AX941" s="3"/>
      <c r="AY941" s="3"/>
      <c r="AZ941" s="139"/>
      <c r="BA941" s="139"/>
      <c r="BB941" s="139"/>
      <c r="BC941" s="139"/>
      <c r="BD941" s="139"/>
      <c r="BE941" s="3"/>
    </row>
    <row r="942" spans="1:57" ht="15" customHeight="1" x14ac:dyDescent="0.4">
      <c r="A942" s="3"/>
      <c r="B942" s="4"/>
      <c r="C942" s="4"/>
      <c r="D942" s="155"/>
      <c r="E942" s="155"/>
      <c r="F942" s="155"/>
      <c r="G942" s="155"/>
      <c r="H942" s="14"/>
      <c r="I942" s="3"/>
      <c r="J942" s="3"/>
      <c r="K942" s="3"/>
      <c r="L942" s="3"/>
      <c r="M942" s="5"/>
      <c r="N942" s="5"/>
      <c r="O942" s="5">
        <f t="shared" si="107"/>
        <v>2.016</v>
      </c>
      <c r="P942" s="5"/>
      <c r="Q942" s="439" t="s">
        <v>535</v>
      </c>
      <c r="R942" s="440" t="s">
        <v>352</v>
      </c>
      <c r="S942" s="376">
        <f t="shared" si="109"/>
        <v>48</v>
      </c>
      <c r="T942" s="3" t="s">
        <v>366</v>
      </c>
      <c r="U942" s="14"/>
      <c r="V942" s="4"/>
      <c r="W942" s="4"/>
      <c r="X942" s="4"/>
      <c r="Y942" s="1454">
        <v>250013000012</v>
      </c>
      <c r="Z942" s="1591" t="s">
        <v>2221</v>
      </c>
      <c r="AA942" s="1454"/>
      <c r="AB942" s="20"/>
      <c r="AC942" s="3">
        <v>45</v>
      </c>
      <c r="AD942" s="3">
        <v>1</v>
      </c>
      <c r="AE942" s="5">
        <f t="shared" si="108"/>
        <v>4</v>
      </c>
      <c r="AF942" s="3" t="s">
        <v>385</v>
      </c>
      <c r="AG942" s="38"/>
      <c r="AH942" s="3"/>
      <c r="AI942" s="844">
        <v>0</v>
      </c>
      <c r="AJ942" s="39"/>
      <c r="AK942" s="39"/>
      <c r="AL942" s="39"/>
      <c r="AM942" s="39"/>
      <c r="AN942" s="3"/>
      <c r="AO942" s="3"/>
      <c r="AP942" s="3"/>
      <c r="AQ942" s="3"/>
      <c r="AR942" s="3"/>
      <c r="AS942" s="3"/>
      <c r="AT942" s="3"/>
      <c r="AU942" s="3" t="s">
        <v>92</v>
      </c>
      <c r="AV942" s="3" t="s">
        <v>92</v>
      </c>
      <c r="AW942" s="3" t="s">
        <v>92</v>
      </c>
      <c r="AX942" s="3"/>
      <c r="AY942" s="3"/>
      <c r="AZ942" s="139"/>
      <c r="BA942" s="139"/>
      <c r="BB942" s="139"/>
      <c r="BC942" s="139"/>
      <c r="BD942" s="139"/>
      <c r="BE942" s="3"/>
    </row>
    <row r="943" spans="1:57" ht="15" customHeight="1" x14ac:dyDescent="0.4">
      <c r="A943" s="3"/>
      <c r="B943" s="4"/>
      <c r="C943" s="4"/>
      <c r="D943" s="155"/>
      <c r="E943" s="155"/>
      <c r="F943" s="155"/>
      <c r="G943" s="155"/>
      <c r="H943" s="14"/>
      <c r="I943" s="3"/>
      <c r="J943" s="3"/>
      <c r="K943" s="3"/>
      <c r="L943" s="3"/>
      <c r="M943" s="5"/>
      <c r="N943" s="5"/>
      <c r="O943" s="5">
        <f t="shared" si="107"/>
        <v>2.1419999999999999</v>
      </c>
      <c r="P943" s="5"/>
      <c r="Q943" s="439" t="s">
        <v>536</v>
      </c>
      <c r="R943" s="440" t="s">
        <v>352</v>
      </c>
      <c r="S943" s="376">
        <f t="shared" si="109"/>
        <v>51</v>
      </c>
      <c r="T943" s="3" t="s">
        <v>366</v>
      </c>
      <c r="U943" s="14"/>
      <c r="V943" s="4"/>
      <c r="W943" s="4"/>
      <c r="X943" s="4"/>
      <c r="Y943" s="1454">
        <v>250013000013</v>
      </c>
      <c r="Z943" s="1591" t="s">
        <v>2221</v>
      </c>
      <c r="AA943" s="1454"/>
      <c r="AB943" s="20"/>
      <c r="AC943" s="3">
        <v>45</v>
      </c>
      <c r="AD943" s="3">
        <v>1</v>
      </c>
      <c r="AE943" s="5">
        <f t="shared" si="108"/>
        <v>4.25</v>
      </c>
      <c r="AF943" s="3" t="s">
        <v>385</v>
      </c>
      <c r="AG943" s="38"/>
      <c r="AH943" s="3"/>
      <c r="AI943" s="844">
        <v>0</v>
      </c>
      <c r="AJ943" s="39"/>
      <c r="AK943" s="39"/>
      <c r="AL943" s="39"/>
      <c r="AM943" s="39"/>
      <c r="AN943" s="3"/>
      <c r="AO943" s="3"/>
      <c r="AP943" s="3"/>
      <c r="AQ943" s="3"/>
      <c r="AR943" s="3"/>
      <c r="AS943" s="3"/>
      <c r="AT943" s="3"/>
      <c r="AU943" s="3" t="s">
        <v>92</v>
      </c>
      <c r="AV943" s="3" t="s">
        <v>92</v>
      </c>
      <c r="AW943" s="3" t="s">
        <v>92</v>
      </c>
      <c r="AX943" s="3"/>
      <c r="AY943" s="3"/>
      <c r="AZ943" s="139"/>
      <c r="BA943" s="139"/>
      <c r="BB943" s="139"/>
      <c r="BC943" s="139"/>
      <c r="BD943" s="139"/>
      <c r="BE943" s="3"/>
    </row>
    <row r="944" spans="1:57" ht="15" customHeight="1" x14ac:dyDescent="0.4">
      <c r="A944" s="3"/>
      <c r="B944" s="4"/>
      <c r="C944" s="4"/>
      <c r="D944" s="155"/>
      <c r="E944" s="155"/>
      <c r="F944" s="155"/>
      <c r="G944" s="155"/>
      <c r="H944" s="14"/>
      <c r="I944" s="3"/>
      <c r="J944" s="3"/>
      <c r="K944" s="3"/>
      <c r="L944" s="3"/>
      <c r="M944" s="5"/>
      <c r="N944" s="5"/>
      <c r="O944" s="5">
        <f t="shared" si="107"/>
        <v>2.2679999999999998</v>
      </c>
      <c r="P944" s="5"/>
      <c r="Q944" s="439" t="s">
        <v>537</v>
      </c>
      <c r="R944" s="440" t="s">
        <v>352</v>
      </c>
      <c r="S944" s="376">
        <f t="shared" si="109"/>
        <v>54</v>
      </c>
      <c r="T944" s="3" t="s">
        <v>366</v>
      </c>
      <c r="U944" s="14"/>
      <c r="V944" s="4"/>
      <c r="W944" s="4"/>
      <c r="X944" s="4"/>
      <c r="Y944" s="1454">
        <v>250013000014</v>
      </c>
      <c r="Z944" s="1591" t="s">
        <v>2221</v>
      </c>
      <c r="AA944" s="1454"/>
      <c r="AB944" s="20"/>
      <c r="AC944" s="3">
        <v>45</v>
      </c>
      <c r="AD944" s="3">
        <v>1</v>
      </c>
      <c r="AE944" s="5">
        <f t="shared" si="108"/>
        <v>4.5</v>
      </c>
      <c r="AF944" s="3" t="s">
        <v>385</v>
      </c>
      <c r="AG944" s="38"/>
      <c r="AH944" s="3"/>
      <c r="AI944" s="844">
        <v>0</v>
      </c>
      <c r="AJ944" s="39"/>
      <c r="AK944" s="39"/>
      <c r="AL944" s="39"/>
      <c r="AM944" s="39"/>
      <c r="AN944" s="3"/>
      <c r="AO944" s="3"/>
      <c r="AP944" s="3"/>
      <c r="AQ944" s="3"/>
      <c r="AR944" s="3"/>
      <c r="AS944" s="3"/>
      <c r="AT944" s="3"/>
      <c r="AU944" s="3" t="s">
        <v>92</v>
      </c>
      <c r="AV944" s="3" t="s">
        <v>92</v>
      </c>
      <c r="AW944" s="3" t="s">
        <v>92</v>
      </c>
      <c r="AX944" s="3"/>
      <c r="AY944" s="3"/>
      <c r="AZ944" s="139"/>
      <c r="BA944" s="139"/>
      <c r="BB944" s="139"/>
      <c r="BC944" s="139"/>
      <c r="BD944" s="139"/>
      <c r="BE944" s="3"/>
    </row>
    <row r="945" spans="1:57" ht="15" customHeight="1" x14ac:dyDescent="0.4">
      <c r="A945" s="3"/>
      <c r="B945" s="4"/>
      <c r="C945" s="4"/>
      <c r="D945" s="155"/>
      <c r="E945" s="155"/>
      <c r="F945" s="155"/>
      <c r="G945" s="155"/>
      <c r="H945" s="14"/>
      <c r="I945" s="3"/>
      <c r="J945" s="3"/>
      <c r="K945" s="3"/>
      <c r="L945" s="3"/>
      <c r="M945" s="5"/>
      <c r="N945" s="5"/>
      <c r="O945" s="5">
        <f t="shared" si="107"/>
        <v>2.3940000000000001</v>
      </c>
      <c r="P945" s="5"/>
      <c r="Q945" s="439" t="s">
        <v>371</v>
      </c>
      <c r="R945" s="440" t="s">
        <v>352</v>
      </c>
      <c r="S945" s="376">
        <f t="shared" si="109"/>
        <v>57</v>
      </c>
      <c r="T945" s="3" t="s">
        <v>366</v>
      </c>
      <c r="U945" s="14"/>
      <c r="V945" s="4"/>
      <c r="W945" s="4"/>
      <c r="X945" s="4"/>
      <c r="Y945" s="1454">
        <v>250013000015</v>
      </c>
      <c r="Z945" s="1591" t="s">
        <v>2221</v>
      </c>
      <c r="AA945" s="1454"/>
      <c r="AB945" s="20"/>
      <c r="AC945" s="3">
        <v>45</v>
      </c>
      <c r="AD945" s="3">
        <v>1</v>
      </c>
      <c r="AE945" s="5">
        <f>AD945*S945/12</f>
        <v>4.75</v>
      </c>
      <c r="AF945" s="3" t="s">
        <v>385</v>
      </c>
      <c r="AG945" s="38"/>
      <c r="AH945" s="3"/>
      <c r="AI945" s="844">
        <v>0</v>
      </c>
      <c r="AJ945" s="39"/>
      <c r="AK945" s="39"/>
      <c r="AL945" s="39"/>
      <c r="AM945" s="39"/>
      <c r="AN945" s="3"/>
      <c r="AO945" s="3"/>
      <c r="AP945" s="3"/>
      <c r="AQ945" s="3"/>
      <c r="AR945" s="3"/>
      <c r="AS945" s="3"/>
      <c r="AT945" s="3"/>
      <c r="AU945" s="3" t="s">
        <v>92</v>
      </c>
      <c r="AV945" s="3" t="s">
        <v>92</v>
      </c>
      <c r="AW945" s="3" t="s">
        <v>92</v>
      </c>
      <c r="AX945" s="3"/>
      <c r="AY945" s="3"/>
      <c r="AZ945" s="139"/>
      <c r="BA945" s="139"/>
      <c r="BB945" s="139"/>
      <c r="BC945" s="139"/>
      <c r="BD945" s="139"/>
      <c r="BE945" s="3"/>
    </row>
    <row r="946" spans="1:57" ht="15" customHeight="1" x14ac:dyDescent="0.4">
      <c r="A946" s="3"/>
      <c r="B946" s="4"/>
      <c r="C946" s="4"/>
      <c r="D946" s="155"/>
      <c r="E946" s="155"/>
      <c r="F946" s="155"/>
      <c r="G946" s="155"/>
      <c r="H946" s="14"/>
      <c r="I946" s="3"/>
      <c r="J946" s="3"/>
      <c r="K946" s="3"/>
      <c r="L946" s="3"/>
      <c r="M946" s="5"/>
      <c r="N946" s="5"/>
      <c r="O946" s="5">
        <f t="shared" si="107"/>
        <v>2.52</v>
      </c>
      <c r="P946" s="5"/>
      <c r="Q946" s="439" t="s">
        <v>538</v>
      </c>
      <c r="R946" s="440" t="s">
        <v>352</v>
      </c>
      <c r="S946" s="376">
        <f t="shared" si="109"/>
        <v>60</v>
      </c>
      <c r="T946" s="3" t="s">
        <v>366</v>
      </c>
      <c r="U946" s="14"/>
      <c r="V946" s="4"/>
      <c r="W946" s="4"/>
      <c r="X946" s="4"/>
      <c r="Y946" s="1454">
        <v>250013000016</v>
      </c>
      <c r="Z946" s="1591" t="s">
        <v>2221</v>
      </c>
      <c r="AA946" s="1454"/>
      <c r="AB946" s="20"/>
      <c r="AC946" s="3">
        <v>45</v>
      </c>
      <c r="AD946" s="3">
        <v>1</v>
      </c>
      <c r="AE946" s="5">
        <f>AD946*S946/12</f>
        <v>5</v>
      </c>
      <c r="AF946" s="3" t="s">
        <v>385</v>
      </c>
      <c r="AG946" s="38"/>
      <c r="AH946" s="3"/>
      <c r="AI946" s="844">
        <v>0</v>
      </c>
      <c r="AJ946" s="39"/>
      <c r="AK946" s="39"/>
      <c r="AL946" s="39"/>
      <c r="AM946" s="39"/>
      <c r="AN946" s="3"/>
      <c r="AO946" s="3"/>
      <c r="AP946" s="3"/>
      <c r="AQ946" s="3"/>
      <c r="AR946" s="3"/>
      <c r="AS946" s="3"/>
      <c r="AT946" s="3"/>
      <c r="AU946" s="3" t="s">
        <v>92</v>
      </c>
      <c r="AV946" s="3" t="s">
        <v>92</v>
      </c>
      <c r="AW946" s="3" t="s">
        <v>92</v>
      </c>
      <c r="AX946" s="3"/>
      <c r="AY946" s="3"/>
      <c r="AZ946" s="139"/>
      <c r="BA946" s="139"/>
      <c r="BB946" s="139"/>
      <c r="BC946" s="139"/>
      <c r="BD946" s="139"/>
      <c r="BE946" s="3"/>
    </row>
    <row r="947" spans="1:57" ht="15" customHeight="1" x14ac:dyDescent="0.4">
      <c r="A947" s="3"/>
      <c r="B947" s="4"/>
      <c r="C947" s="4"/>
      <c r="D947" s="155"/>
      <c r="E947" s="155"/>
      <c r="F947" s="155"/>
      <c r="G947" s="155"/>
      <c r="H947" s="14"/>
      <c r="I947" s="3"/>
      <c r="J947" s="3"/>
      <c r="K947" s="3"/>
      <c r="L947" s="3"/>
      <c r="M947" s="5"/>
      <c r="N947" s="5"/>
      <c r="O947" s="5">
        <f t="shared" si="107"/>
        <v>2.6459999999999999</v>
      </c>
      <c r="P947" s="5"/>
      <c r="Q947" s="439" t="s">
        <v>539</v>
      </c>
      <c r="R947" s="440" t="s">
        <v>352</v>
      </c>
      <c r="S947" s="376">
        <f t="shared" si="109"/>
        <v>63</v>
      </c>
      <c r="T947" s="3" t="s">
        <v>366</v>
      </c>
      <c r="U947" s="14"/>
      <c r="V947" s="4"/>
      <c r="W947" s="4"/>
      <c r="X947" s="4"/>
      <c r="Y947" s="1454">
        <v>250013000017</v>
      </c>
      <c r="Z947" s="1591" t="s">
        <v>2221</v>
      </c>
      <c r="AA947" s="1454"/>
      <c r="AB947" s="20"/>
      <c r="AC947" s="3">
        <v>45</v>
      </c>
      <c r="AD947" s="3">
        <v>1</v>
      </c>
      <c r="AE947" s="5">
        <f>AD947*S947/12</f>
        <v>5.25</v>
      </c>
      <c r="AF947" s="3" t="s">
        <v>385</v>
      </c>
      <c r="AG947" s="38"/>
      <c r="AH947" s="3"/>
      <c r="AI947" s="844">
        <v>0</v>
      </c>
      <c r="AJ947" s="39"/>
      <c r="AK947" s="39"/>
      <c r="AL947" s="39"/>
      <c r="AM947" s="39"/>
      <c r="AN947" s="3"/>
      <c r="AO947" s="3"/>
      <c r="AP947" s="3"/>
      <c r="AQ947" s="3"/>
      <c r="AR947" s="3"/>
      <c r="AS947" s="3"/>
      <c r="AT947" s="3"/>
      <c r="AU947" s="3" t="s">
        <v>92</v>
      </c>
      <c r="AV947" s="3" t="s">
        <v>92</v>
      </c>
      <c r="AW947" s="3" t="s">
        <v>92</v>
      </c>
      <c r="AX947" s="3"/>
      <c r="AY947" s="3"/>
      <c r="AZ947" s="139"/>
      <c r="BA947" s="139"/>
      <c r="BB947" s="139"/>
      <c r="BC947" s="139"/>
      <c r="BD947" s="139"/>
      <c r="BE947" s="3"/>
    </row>
    <row r="948" spans="1:57" ht="15" customHeight="1" thickBot="1" x14ac:dyDescent="0.45">
      <c r="A948" s="3"/>
      <c r="B948" s="968"/>
      <c r="C948" s="968"/>
      <c r="D948" s="925"/>
      <c r="E948" s="925"/>
      <c r="F948" s="925"/>
      <c r="G948" s="925"/>
      <c r="H948" s="948"/>
      <c r="I948" s="889"/>
      <c r="J948" s="889"/>
      <c r="K948" s="889"/>
      <c r="L948" s="889"/>
      <c r="M948" s="945"/>
      <c r="N948" s="945"/>
      <c r="O948" s="945">
        <f>S948/12*$G$929</f>
        <v>2.7720000000000002</v>
      </c>
      <c r="P948" s="945"/>
      <c r="Q948" s="1192" t="s">
        <v>540</v>
      </c>
      <c r="R948" s="1005" t="s">
        <v>352</v>
      </c>
      <c r="S948" s="970">
        <f t="shared" si="109"/>
        <v>66</v>
      </c>
      <c r="T948" s="889" t="s">
        <v>366</v>
      </c>
      <c r="U948" s="948"/>
      <c r="V948" s="968"/>
      <c r="W948" s="968"/>
      <c r="X948" s="968"/>
      <c r="Y948" s="1461">
        <v>250013000018</v>
      </c>
      <c r="Z948" s="1461"/>
      <c r="AA948" s="1461"/>
      <c r="AB948" s="887"/>
      <c r="AC948" s="889">
        <v>45</v>
      </c>
      <c r="AD948" s="889">
        <v>1</v>
      </c>
      <c r="AE948" s="945">
        <f>AD948*S948/12</f>
        <v>5.5</v>
      </c>
      <c r="AF948" s="889" t="s">
        <v>385</v>
      </c>
      <c r="AG948" s="889"/>
      <c r="AH948" s="889"/>
      <c r="AI948" s="1424">
        <v>4.3678999999999997</v>
      </c>
      <c r="AJ948" s="947"/>
      <c r="AK948" s="947"/>
      <c r="AL948" s="947"/>
      <c r="AM948" s="947"/>
      <c r="AN948" s="889"/>
      <c r="AO948" s="889"/>
      <c r="AP948" s="889"/>
      <c r="AQ948" s="889"/>
      <c r="AR948" s="889"/>
      <c r="AS948" s="889"/>
      <c r="AT948" s="889"/>
      <c r="AU948" s="889" t="s">
        <v>92</v>
      </c>
      <c r="AV948" s="889" t="s">
        <v>92</v>
      </c>
      <c r="AW948" s="889" t="s">
        <v>92</v>
      </c>
      <c r="AX948" s="889"/>
      <c r="AY948" s="889"/>
      <c r="AZ948" s="139"/>
      <c r="BA948" s="139"/>
      <c r="BB948" s="139"/>
      <c r="BC948" s="139"/>
      <c r="BD948" s="139"/>
      <c r="BE948" s="3"/>
    </row>
    <row r="949" spans="1:57" ht="15" customHeight="1" x14ac:dyDescent="0.4">
      <c r="A949" s="3" t="s">
        <v>879</v>
      </c>
      <c r="B949" s="641" t="s">
        <v>880</v>
      </c>
      <c r="C949" s="642"/>
      <c r="D949" s="642"/>
      <c r="E949" s="642"/>
      <c r="F949" s="642"/>
      <c r="G949" s="642"/>
      <c r="H949" s="643"/>
      <c r="I949" s="643"/>
      <c r="J949" s="643"/>
      <c r="K949" s="643"/>
      <c r="L949" s="643"/>
      <c r="M949" s="644"/>
      <c r="N949" s="644"/>
      <c r="O949" s="644"/>
      <c r="P949" s="644"/>
      <c r="Q949" s="644"/>
      <c r="R949" s="643"/>
      <c r="S949" s="644"/>
      <c r="T949" s="643"/>
      <c r="U949" s="643"/>
      <c r="V949" s="642"/>
      <c r="W949" s="642"/>
      <c r="X949" s="642"/>
      <c r="Y949" s="645"/>
      <c r="Z949" s="645"/>
      <c r="AA949" s="645"/>
      <c r="AB949" s="643"/>
      <c r="AC949" s="645"/>
      <c r="AD949" s="643"/>
      <c r="AE949" s="644"/>
      <c r="AF949" s="643"/>
      <c r="AG949" s="643"/>
      <c r="AH949" s="643"/>
      <c r="AI949" s="646"/>
      <c r="AJ949" s="647"/>
      <c r="AK949" s="647"/>
      <c r="AL949" s="671" t="s">
        <v>881</v>
      </c>
      <c r="AM949" s="672">
        <f>SUBTOTAL(109,AM950:AM955)</f>
        <v>2.0808</v>
      </c>
      <c r="AN949" s="647"/>
      <c r="AO949" s="647"/>
      <c r="AP949" s="647"/>
      <c r="AQ949" s="647"/>
      <c r="AR949" s="647"/>
      <c r="AS949" s="647"/>
      <c r="AT949" s="647"/>
      <c r="AU949" s="647"/>
      <c r="AV949" s="647"/>
      <c r="AW949" s="647"/>
      <c r="AX949" s="647"/>
      <c r="AY949" s="647"/>
      <c r="AZ949" s="139"/>
      <c r="BA949" s="139"/>
      <c r="BB949" s="139"/>
      <c r="BC949" s="139"/>
      <c r="BD949" s="139"/>
      <c r="BE949" s="3"/>
    </row>
    <row r="950" spans="1:57" ht="15" customHeight="1" x14ac:dyDescent="0.4">
      <c r="A950" s="3"/>
      <c r="B950" s="3"/>
      <c r="C950" s="4" t="s">
        <v>882</v>
      </c>
      <c r="D950" s="4"/>
      <c r="E950" s="4"/>
      <c r="F950" s="4"/>
      <c r="G950" s="3"/>
      <c r="H950" s="14"/>
      <c r="I950" s="3" t="s">
        <v>392</v>
      </c>
      <c r="J950" s="3"/>
      <c r="K950" s="3"/>
      <c r="L950" s="5" t="s">
        <v>348</v>
      </c>
      <c r="M950" s="5">
        <f>M795-2</f>
        <v>-4.5625</v>
      </c>
      <c r="N950" s="5"/>
      <c r="O950" s="5"/>
      <c r="P950" s="5"/>
      <c r="Q950" s="3"/>
      <c r="R950" s="5" t="s">
        <v>352</v>
      </c>
      <c r="S950" s="5">
        <f>SHWidth+M950</f>
        <v>34</v>
      </c>
      <c r="T950" s="3" t="s">
        <v>366</v>
      </c>
      <c r="U950" s="14"/>
      <c r="V950" s="4"/>
      <c r="W950" s="4"/>
      <c r="X950" s="56"/>
      <c r="Y950" s="1443">
        <v>640019000</v>
      </c>
      <c r="Z950" s="1443"/>
      <c r="AA950" s="1443"/>
      <c r="AB950" s="14"/>
      <c r="AC950" s="3">
        <v>45</v>
      </c>
      <c r="AD950" s="56">
        <v>1</v>
      </c>
      <c r="AE950" s="5">
        <f>S950*AD950/12</f>
        <v>2.8333333333333335</v>
      </c>
      <c r="AF950" s="3" t="s">
        <v>367</v>
      </c>
      <c r="AG950" s="38"/>
      <c r="AH950" s="38"/>
      <c r="AI950" s="1427">
        <v>8.7300000000000003E-2</v>
      </c>
      <c r="AJ950" s="477"/>
      <c r="AK950" s="477"/>
      <c r="AL950" s="477"/>
      <c r="AM950" s="39">
        <f t="shared" ref="AM950:AM955" si="110">AI950*AE950</f>
        <v>0.24735000000000001</v>
      </c>
      <c r="AN950" s="3" t="s">
        <v>371</v>
      </c>
      <c r="AO950" s="3" t="s">
        <v>371</v>
      </c>
      <c r="AP950" s="3" t="s">
        <v>371</v>
      </c>
      <c r="AQ950" s="3" t="s">
        <v>371</v>
      </c>
      <c r="AR950" s="3" t="s">
        <v>371</v>
      </c>
      <c r="AS950" s="3" t="s">
        <v>371</v>
      </c>
      <c r="AT950" s="3" t="s">
        <v>371</v>
      </c>
      <c r="AU950" s="3" t="s">
        <v>371</v>
      </c>
      <c r="AV950" s="3" t="s">
        <v>371</v>
      </c>
      <c r="AW950" s="3" t="s">
        <v>371</v>
      </c>
      <c r="AX950" s="1414" t="s">
        <v>371</v>
      </c>
      <c r="AY950" s="3"/>
      <c r="AZ950" s="139"/>
      <c r="BA950" s="139"/>
      <c r="BB950" s="139"/>
      <c r="BC950" s="139"/>
      <c r="BD950" s="139"/>
      <c r="BE950" s="3"/>
    </row>
    <row r="951" spans="1:57" ht="15" customHeight="1" x14ac:dyDescent="0.4">
      <c r="A951" s="3"/>
      <c r="B951" s="3"/>
      <c r="C951" s="4" t="s">
        <v>883</v>
      </c>
      <c r="D951" s="4"/>
      <c r="E951" s="4"/>
      <c r="F951" s="4"/>
      <c r="G951" s="3"/>
      <c r="H951" s="14"/>
      <c r="I951" s="3" t="s">
        <v>365</v>
      </c>
      <c r="J951" s="38" t="s">
        <v>346</v>
      </c>
      <c r="K951" s="3">
        <v>2</v>
      </c>
      <c r="L951" s="5" t="s">
        <v>348</v>
      </c>
      <c r="M951" s="5">
        <f>M796-2</f>
        <v>-3</v>
      </c>
      <c r="N951" s="5"/>
      <c r="O951" s="5"/>
      <c r="P951" s="5"/>
      <c r="Q951" s="3"/>
      <c r="R951" s="5" t="s">
        <v>352</v>
      </c>
      <c r="S951" s="5">
        <f>SHHeight/K951+M951</f>
        <v>34</v>
      </c>
      <c r="T951" s="3" t="s">
        <v>366</v>
      </c>
      <c r="U951" s="14"/>
      <c r="V951" s="4"/>
      <c r="W951" s="4"/>
      <c r="X951" s="56"/>
      <c r="Y951" s="1443">
        <v>640019000</v>
      </c>
      <c r="Z951" s="1443"/>
      <c r="AA951" s="1443"/>
      <c r="AB951" s="14"/>
      <c r="AC951" s="3">
        <v>45</v>
      </c>
      <c r="AD951" s="56">
        <v>2</v>
      </c>
      <c r="AE951" s="5">
        <f t="shared" ref="AE951:AE955" si="111">S951*AD951/12</f>
        <v>5.666666666666667</v>
      </c>
      <c r="AF951" s="3" t="s">
        <v>367</v>
      </c>
      <c r="AG951" s="38"/>
      <c r="AH951" s="38"/>
      <c r="AI951" s="1427">
        <f>AI950</f>
        <v>8.7300000000000003E-2</v>
      </c>
      <c r="AJ951" s="477"/>
      <c r="AK951" s="477"/>
      <c r="AL951" s="477"/>
      <c r="AM951" s="39">
        <f t="shared" si="110"/>
        <v>0.49470000000000003</v>
      </c>
      <c r="AN951" s="3" t="s">
        <v>371</v>
      </c>
      <c r="AO951" s="3" t="s">
        <v>371</v>
      </c>
      <c r="AP951" s="3" t="s">
        <v>371</v>
      </c>
      <c r="AQ951" s="3" t="s">
        <v>371</v>
      </c>
      <c r="AR951" s="3" t="s">
        <v>371</v>
      </c>
      <c r="AS951" s="3" t="s">
        <v>371</v>
      </c>
      <c r="AT951" s="3" t="s">
        <v>371</v>
      </c>
      <c r="AU951" s="3" t="s">
        <v>371</v>
      </c>
      <c r="AV951" s="3" t="s">
        <v>371</v>
      </c>
      <c r="AW951" s="3" t="s">
        <v>371</v>
      </c>
      <c r="AX951" s="1414" t="s">
        <v>371</v>
      </c>
      <c r="AY951" s="3"/>
      <c r="AZ951" s="139"/>
      <c r="BA951" s="139"/>
      <c r="BB951" s="139"/>
      <c r="BC951" s="139"/>
      <c r="BD951" s="139"/>
      <c r="BE951" s="3"/>
    </row>
    <row r="952" spans="1:57" ht="15" customHeight="1" x14ac:dyDescent="0.4">
      <c r="A952" s="3"/>
      <c r="B952" s="3"/>
      <c r="C952" s="573" t="s">
        <v>884</v>
      </c>
      <c r="D952" s="4"/>
      <c r="E952" s="4"/>
      <c r="F952" s="4"/>
      <c r="G952" s="3"/>
      <c r="H952" s="14"/>
      <c r="I952" s="3" t="s">
        <v>392</v>
      </c>
      <c r="J952" s="3"/>
      <c r="K952" s="3"/>
      <c r="L952" s="5" t="s">
        <v>348</v>
      </c>
      <c r="M952" s="5">
        <f>M950</f>
        <v>-4.5625</v>
      </c>
      <c r="N952" s="5"/>
      <c r="O952" s="5"/>
      <c r="P952" s="5"/>
      <c r="Q952" s="3"/>
      <c r="R952" s="5" t="s">
        <v>352</v>
      </c>
      <c r="S952" s="5">
        <f>SHWidth+M952</f>
        <v>34</v>
      </c>
      <c r="T952" s="3" t="s">
        <v>366</v>
      </c>
      <c r="U952" s="14"/>
      <c r="V952" s="4"/>
      <c r="W952" s="4"/>
      <c r="X952" s="56"/>
      <c r="Y952" s="1443">
        <v>640019000</v>
      </c>
      <c r="Z952" s="1443"/>
      <c r="AA952" s="1443"/>
      <c r="AB952" s="14"/>
      <c r="AC952" s="3">
        <v>45</v>
      </c>
      <c r="AD952" s="56">
        <v>1</v>
      </c>
      <c r="AE952" s="575">
        <f t="shared" si="111"/>
        <v>2.8333333333333335</v>
      </c>
      <c r="AF952" s="3" t="s">
        <v>367</v>
      </c>
      <c r="AG952" s="38"/>
      <c r="AH952" s="38"/>
      <c r="AI952" s="1427">
        <f>AI951</f>
        <v>8.7300000000000003E-2</v>
      </c>
      <c r="AJ952" s="477"/>
      <c r="AK952" s="477"/>
      <c r="AL952" s="477"/>
      <c r="AM952" s="39">
        <f t="shared" si="110"/>
        <v>0.24735000000000001</v>
      </c>
      <c r="AN952" s="577" t="s">
        <v>371</v>
      </c>
      <c r="AO952" s="577" t="s">
        <v>371</v>
      </c>
      <c r="AP952" s="577" t="s">
        <v>371</v>
      </c>
      <c r="AQ952" s="577" t="s">
        <v>371</v>
      </c>
      <c r="AR952" s="577" t="s">
        <v>371</v>
      </c>
      <c r="AS952" s="577" t="s">
        <v>371</v>
      </c>
      <c r="AT952" s="577" t="s">
        <v>371</v>
      </c>
      <c r="AU952" s="577" t="s">
        <v>371</v>
      </c>
      <c r="AV952" s="577" t="s">
        <v>371</v>
      </c>
      <c r="AW952" s="577" t="s">
        <v>371</v>
      </c>
      <c r="AX952" s="1881" t="s">
        <v>371</v>
      </c>
      <c r="AY952" s="577"/>
      <c r="AZ952" s="139"/>
      <c r="BA952" s="139"/>
      <c r="BB952" s="139"/>
      <c r="BC952" s="139"/>
      <c r="BD952" s="139"/>
      <c r="BE952" s="3"/>
    </row>
    <row r="953" spans="1:57" ht="15" customHeight="1" x14ac:dyDescent="0.4">
      <c r="A953" s="3"/>
      <c r="B953" s="3"/>
      <c r="C953" s="4" t="s">
        <v>885</v>
      </c>
      <c r="D953" s="582"/>
      <c r="E953" s="582"/>
      <c r="F953" s="582"/>
      <c r="G953" s="130"/>
      <c r="H953" s="583"/>
      <c r="I953" s="130" t="s">
        <v>392</v>
      </c>
      <c r="J953" s="130"/>
      <c r="K953" s="130"/>
      <c r="L953" s="584" t="s">
        <v>348</v>
      </c>
      <c r="M953" s="584">
        <f>M950</f>
        <v>-4.5625</v>
      </c>
      <c r="N953" s="584"/>
      <c r="O953" s="584"/>
      <c r="P953" s="584"/>
      <c r="Q953" s="130"/>
      <c r="R953" s="584" t="s">
        <v>352</v>
      </c>
      <c r="S953" s="584">
        <f>SHWidth+M953</f>
        <v>34</v>
      </c>
      <c r="T953" s="130" t="s">
        <v>366</v>
      </c>
      <c r="U953" s="583"/>
      <c r="V953" s="582"/>
      <c r="W953" s="582"/>
      <c r="X953" s="585"/>
      <c r="Y953" s="1452">
        <v>640020000</v>
      </c>
      <c r="Z953" s="1452"/>
      <c r="AA953" s="1452"/>
      <c r="AB953" s="583"/>
      <c r="AC953" s="130">
        <v>45</v>
      </c>
      <c r="AD953" s="585">
        <v>1</v>
      </c>
      <c r="AE953" s="5">
        <f t="shared" si="111"/>
        <v>2.8333333333333335</v>
      </c>
      <c r="AF953" s="130" t="s">
        <v>367</v>
      </c>
      <c r="AG953" s="587"/>
      <c r="AH953" s="587"/>
      <c r="AI953" s="1430">
        <v>9.6299999999999997E-2</v>
      </c>
      <c r="AJ953" s="588"/>
      <c r="AK953" s="588"/>
      <c r="AL953" s="588"/>
      <c r="AM953" s="589">
        <f t="shared" si="110"/>
        <v>0.27284999999999998</v>
      </c>
      <c r="AN953" s="3" t="s">
        <v>371</v>
      </c>
      <c r="AO953" s="3" t="s">
        <v>81</v>
      </c>
      <c r="AP953" s="3" t="s">
        <v>371</v>
      </c>
      <c r="AQ953" s="3" t="s">
        <v>371</v>
      </c>
      <c r="AR953" s="3" t="s">
        <v>371</v>
      </c>
      <c r="AS953" s="3" t="s">
        <v>371</v>
      </c>
      <c r="AT953" s="3" t="s">
        <v>371</v>
      </c>
      <c r="AU953" s="3" t="s">
        <v>371</v>
      </c>
      <c r="AV953" s="3" t="s">
        <v>371</v>
      </c>
      <c r="AW953" s="3" t="s">
        <v>371</v>
      </c>
      <c r="AX953" s="1414" t="s">
        <v>371</v>
      </c>
      <c r="AY953" s="3"/>
      <c r="AZ953" s="139"/>
      <c r="BA953" s="139"/>
      <c r="BB953" s="139"/>
      <c r="BC953" s="139"/>
      <c r="BD953" s="139"/>
      <c r="BE953" s="3"/>
    </row>
    <row r="954" spans="1:57" ht="15" customHeight="1" x14ac:dyDescent="0.4">
      <c r="A954" s="3"/>
      <c r="B954" s="3"/>
      <c r="C954" s="4" t="s">
        <v>886</v>
      </c>
      <c r="D954" s="4"/>
      <c r="E954" s="4"/>
      <c r="F954" s="4"/>
      <c r="G954" s="3"/>
      <c r="H954" s="14"/>
      <c r="I954" s="3" t="s">
        <v>365</v>
      </c>
      <c r="J954" s="38" t="s">
        <v>346</v>
      </c>
      <c r="K954" s="3">
        <v>2</v>
      </c>
      <c r="L954" s="5" t="s">
        <v>348</v>
      </c>
      <c r="M954" s="5">
        <f>M951</f>
        <v>-3</v>
      </c>
      <c r="N954" s="5"/>
      <c r="O954" s="5"/>
      <c r="P954" s="5"/>
      <c r="Q954" s="3"/>
      <c r="R954" s="5" t="s">
        <v>352</v>
      </c>
      <c r="S954" s="5">
        <f>SHHeight/K954+M954</f>
        <v>34</v>
      </c>
      <c r="T954" s="3" t="s">
        <v>366</v>
      </c>
      <c r="U954" s="14"/>
      <c r="V954" s="4"/>
      <c r="W954" s="4"/>
      <c r="X954" s="56"/>
      <c r="Y954" s="1443">
        <v>640020000</v>
      </c>
      <c r="Z954" s="1443"/>
      <c r="AA954" s="1443"/>
      <c r="AB954" s="14"/>
      <c r="AC954" s="3">
        <v>45</v>
      </c>
      <c r="AD954" s="56">
        <v>2</v>
      </c>
      <c r="AE954" s="5">
        <f t="shared" si="111"/>
        <v>5.666666666666667</v>
      </c>
      <c r="AF954" s="3" t="s">
        <v>367</v>
      </c>
      <c r="AG954" s="38"/>
      <c r="AH954" s="38"/>
      <c r="AI954" s="1427">
        <f>AI953</f>
        <v>9.6299999999999997E-2</v>
      </c>
      <c r="AJ954" s="477"/>
      <c r="AK954" s="477"/>
      <c r="AL954" s="477"/>
      <c r="AM954" s="39">
        <f t="shared" si="110"/>
        <v>0.54569999999999996</v>
      </c>
      <c r="AN954" s="3" t="s">
        <v>371</v>
      </c>
      <c r="AO954" s="3" t="s">
        <v>81</v>
      </c>
      <c r="AP954" s="3" t="s">
        <v>371</v>
      </c>
      <c r="AQ954" s="3" t="s">
        <v>371</v>
      </c>
      <c r="AR954" s="3" t="s">
        <v>371</v>
      </c>
      <c r="AS954" s="3" t="s">
        <v>371</v>
      </c>
      <c r="AT954" s="3" t="s">
        <v>371</v>
      </c>
      <c r="AU954" s="3" t="s">
        <v>371</v>
      </c>
      <c r="AV954" s="3" t="s">
        <v>371</v>
      </c>
      <c r="AW954" s="3" t="s">
        <v>371</v>
      </c>
      <c r="AX954" s="1414" t="s">
        <v>371</v>
      </c>
      <c r="AY954" s="3"/>
      <c r="AZ954" s="139"/>
      <c r="BA954" s="139"/>
      <c r="BB954" s="139"/>
      <c r="BC954" s="139"/>
      <c r="BD954" s="139"/>
      <c r="BE954" s="3"/>
    </row>
    <row r="955" spans="1:57" ht="15" customHeight="1" thickBot="1" x14ac:dyDescent="0.45">
      <c r="A955" s="3"/>
      <c r="B955" s="889"/>
      <c r="C955" s="968" t="s">
        <v>887</v>
      </c>
      <c r="D955" s="968"/>
      <c r="E955" s="968"/>
      <c r="F955" s="968"/>
      <c r="G955" s="889"/>
      <c r="H955" s="948"/>
      <c r="I955" s="889" t="s">
        <v>392</v>
      </c>
      <c r="J955" s="889"/>
      <c r="K955" s="889"/>
      <c r="L955" s="945" t="s">
        <v>348</v>
      </c>
      <c r="M955" s="945">
        <f>M952</f>
        <v>-4.5625</v>
      </c>
      <c r="N955" s="945"/>
      <c r="O955" s="945"/>
      <c r="P955" s="945"/>
      <c r="Q955" s="889"/>
      <c r="R955" s="945" t="s">
        <v>352</v>
      </c>
      <c r="S955" s="945">
        <f>SHWidth+M955</f>
        <v>34</v>
      </c>
      <c r="T955" s="889" t="s">
        <v>366</v>
      </c>
      <c r="U955" s="948"/>
      <c r="V955" s="968"/>
      <c r="W955" s="968"/>
      <c r="X955" s="1156"/>
      <c r="Y955" s="1444">
        <v>640020000</v>
      </c>
      <c r="Z955" s="1444"/>
      <c r="AA955" s="1444"/>
      <c r="AB955" s="948"/>
      <c r="AC955" s="889">
        <v>45</v>
      </c>
      <c r="AD955" s="1156">
        <v>1</v>
      </c>
      <c r="AE955" s="945">
        <f t="shared" si="111"/>
        <v>2.8333333333333335</v>
      </c>
      <c r="AF955" s="889" t="s">
        <v>367</v>
      </c>
      <c r="AG955" s="888"/>
      <c r="AH955" s="888"/>
      <c r="AI955" s="1428">
        <f>AI954</f>
        <v>9.6299999999999997E-2</v>
      </c>
      <c r="AJ955" s="1157"/>
      <c r="AK955" s="1157"/>
      <c r="AL955" s="1157"/>
      <c r="AM955" s="947">
        <f t="shared" si="110"/>
        <v>0.27284999999999998</v>
      </c>
      <c r="AN955" s="889" t="s">
        <v>371</v>
      </c>
      <c r="AO955" s="889" t="s">
        <v>81</v>
      </c>
      <c r="AP955" s="889" t="s">
        <v>371</v>
      </c>
      <c r="AQ955" s="889" t="s">
        <v>371</v>
      </c>
      <c r="AR955" s="889" t="s">
        <v>371</v>
      </c>
      <c r="AS955" s="889" t="s">
        <v>371</v>
      </c>
      <c r="AT955" s="889" t="s">
        <v>371</v>
      </c>
      <c r="AU955" s="889" t="s">
        <v>371</v>
      </c>
      <c r="AV955" s="889" t="s">
        <v>371</v>
      </c>
      <c r="AW955" s="889" t="s">
        <v>371</v>
      </c>
      <c r="AX955" s="1590" t="s">
        <v>371</v>
      </c>
      <c r="AY955" s="889"/>
      <c r="AZ955" s="139"/>
      <c r="BA955" s="139"/>
      <c r="BB955" s="139"/>
      <c r="BC955" s="139"/>
      <c r="BD955" s="139"/>
      <c r="BE955" s="3"/>
    </row>
    <row r="956" spans="1:57" ht="15" customHeight="1" x14ac:dyDescent="0.4">
      <c r="A956" s="3"/>
      <c r="B956" s="641" t="s">
        <v>888</v>
      </c>
      <c r="C956" s="642"/>
      <c r="D956" s="642"/>
      <c r="E956" s="642"/>
      <c r="F956" s="642"/>
      <c r="G956" s="642"/>
      <c r="H956" s="643"/>
      <c r="I956" s="643"/>
      <c r="J956" s="643"/>
      <c r="K956" s="643"/>
      <c r="L956" s="643"/>
      <c r="M956" s="644"/>
      <c r="N956" s="644"/>
      <c r="O956" s="644"/>
      <c r="P956" s="644"/>
      <c r="Q956" s="644"/>
      <c r="R956" s="643"/>
      <c r="S956" s="644"/>
      <c r="T956" s="643"/>
      <c r="U956" s="643"/>
      <c r="V956" s="642"/>
      <c r="W956" s="642"/>
      <c r="X956" s="642"/>
      <c r="Y956" s="1453"/>
      <c r="Z956" s="1453"/>
      <c r="AA956" s="1453"/>
      <c r="AB956" s="643"/>
      <c r="AC956" s="645"/>
      <c r="AD956" s="643"/>
      <c r="AE956" s="644"/>
      <c r="AF956" s="643"/>
      <c r="AG956" s="643"/>
      <c r="AH956" s="643"/>
      <c r="AI956" s="646"/>
      <c r="AJ956" s="647"/>
      <c r="AK956" s="647"/>
      <c r="AL956" s="671" t="s">
        <v>889</v>
      </c>
      <c r="AM956" s="672">
        <f>SUBTOTAL(109,AM957:AM1022)</f>
        <v>34.507600000000004</v>
      </c>
      <c r="AN956" s="647"/>
      <c r="AO956" s="647"/>
      <c r="AP956" s="647"/>
      <c r="AQ956" s="647"/>
      <c r="AR956" s="647"/>
      <c r="AS956" s="647"/>
      <c r="AT956" s="647"/>
      <c r="AU956" s="647"/>
      <c r="AV956" s="647"/>
      <c r="AW956" s="647"/>
      <c r="AX956" s="647"/>
      <c r="AY956" s="647"/>
      <c r="AZ956" s="139"/>
      <c r="BA956" s="139"/>
      <c r="BB956" s="139"/>
      <c r="BC956" s="139"/>
      <c r="BD956" s="139"/>
      <c r="BE956" s="3"/>
    </row>
    <row r="957" spans="1:57" ht="15" customHeight="1" x14ac:dyDescent="0.4">
      <c r="A957" s="3"/>
      <c r="B957" s="7" t="s">
        <v>890</v>
      </c>
      <c r="C957" s="7"/>
      <c r="D957" s="7"/>
      <c r="E957" s="7"/>
      <c r="F957" s="7"/>
      <c r="G957" s="7"/>
      <c r="H957" s="14"/>
      <c r="I957" s="8"/>
      <c r="J957" s="3"/>
      <c r="K957" s="3"/>
      <c r="L957" s="3"/>
      <c r="M957" s="5"/>
      <c r="N957" s="5"/>
      <c r="O957" s="5"/>
      <c r="P957" s="5"/>
      <c r="Q957" s="5"/>
      <c r="R957" s="3"/>
      <c r="S957" s="56"/>
      <c r="T957" s="3"/>
      <c r="U957" s="14"/>
      <c r="V957" s="38"/>
      <c r="W957" s="3"/>
      <c r="X957" s="38"/>
      <c r="Y957" s="1443"/>
      <c r="Z957" s="1443"/>
      <c r="AA957" s="1443"/>
      <c r="AB957" s="14"/>
      <c r="AC957" s="3"/>
      <c r="AD957" s="3"/>
      <c r="AE957" s="5"/>
      <c r="AF957" s="3"/>
      <c r="AG957" s="38"/>
      <c r="AH957" s="38"/>
      <c r="AI957" s="51"/>
      <c r="AJ957" s="39"/>
      <c r="AK957" s="39"/>
      <c r="AL957" s="39"/>
      <c r="AM957" s="39"/>
      <c r="AN957" s="3" t="s">
        <v>81</v>
      </c>
      <c r="AO957" s="3" t="s">
        <v>81</v>
      </c>
      <c r="AP957" s="3" t="s">
        <v>81</v>
      </c>
      <c r="AQ957" s="3" t="s">
        <v>81</v>
      </c>
      <c r="AR957" s="3" t="s">
        <v>81</v>
      </c>
      <c r="AS957" s="3" t="s">
        <v>81</v>
      </c>
      <c r="AT957" s="3" t="s">
        <v>81</v>
      </c>
      <c r="AU957" s="3" t="s">
        <v>92</v>
      </c>
      <c r="AV957" s="3" t="s">
        <v>92</v>
      </c>
      <c r="AW957" s="3" t="s">
        <v>92</v>
      </c>
      <c r="AX957" s="3" t="s">
        <v>92</v>
      </c>
      <c r="AY957" s="3"/>
      <c r="AZ957" s="139"/>
      <c r="BA957" s="139"/>
      <c r="BB957" s="139"/>
      <c r="BC957" s="139"/>
      <c r="BD957" s="139"/>
      <c r="BE957" s="3"/>
    </row>
    <row r="958" spans="1:57" ht="15" customHeight="1" x14ac:dyDescent="0.4">
      <c r="A958" s="3"/>
      <c r="B958" s="155"/>
      <c r="C958" s="7"/>
      <c r="D958" s="7" t="s">
        <v>891</v>
      </c>
      <c r="E958" s="7"/>
      <c r="F958" s="7"/>
      <c r="G958" s="7"/>
      <c r="H958" s="14"/>
      <c r="I958" s="3"/>
      <c r="J958" s="3"/>
      <c r="K958" s="3"/>
      <c r="L958" s="3"/>
      <c r="M958" s="5"/>
      <c r="N958" s="5"/>
      <c r="O958" s="5"/>
      <c r="P958" s="5"/>
      <c r="Q958" s="5"/>
      <c r="R958" s="376"/>
      <c r="S958" s="56">
        <v>1</v>
      </c>
      <c r="T958" s="376" t="s">
        <v>385</v>
      </c>
      <c r="U958" s="14"/>
      <c r="V958" s="38"/>
      <c r="W958" s="3"/>
      <c r="X958" s="38"/>
      <c r="Y958" s="1443"/>
      <c r="Z958" s="1443"/>
      <c r="AA958" s="1443"/>
      <c r="AB958" s="14"/>
      <c r="AC958" s="3">
        <v>45</v>
      </c>
      <c r="AD958" s="3">
        <v>1</v>
      </c>
      <c r="AE958" s="56">
        <f>S958*AD958</f>
        <v>1</v>
      </c>
      <c r="AF958" s="3" t="s">
        <v>385</v>
      </c>
      <c r="AG958" s="38" t="s">
        <v>8</v>
      </c>
      <c r="AH958" s="38" t="s">
        <v>8</v>
      </c>
      <c r="AI958" s="51"/>
      <c r="AJ958" s="39"/>
      <c r="AK958" s="39"/>
      <c r="AL958" s="39"/>
      <c r="AM958" s="39"/>
      <c r="AN958" s="3" t="s">
        <v>81</v>
      </c>
      <c r="AO958" s="3" t="s">
        <v>81</v>
      </c>
      <c r="AP958" s="3" t="s">
        <v>81</v>
      </c>
      <c r="AQ958" s="3" t="s">
        <v>81</v>
      </c>
      <c r="AR958" s="3" t="s">
        <v>81</v>
      </c>
      <c r="AS958" s="3" t="s">
        <v>81</v>
      </c>
      <c r="AT958" s="3" t="s">
        <v>81</v>
      </c>
      <c r="AU958" s="3" t="s">
        <v>92</v>
      </c>
      <c r="AV958" s="3" t="s">
        <v>92</v>
      </c>
      <c r="AW958" s="3" t="s">
        <v>92</v>
      </c>
      <c r="AX958" s="3" t="s">
        <v>92</v>
      </c>
      <c r="AY958" s="3"/>
      <c r="AZ958" s="139"/>
      <c r="BA958" s="139"/>
      <c r="BB958" s="139"/>
      <c r="BC958" s="139"/>
      <c r="BD958" s="139"/>
      <c r="BE958" s="3"/>
    </row>
    <row r="959" spans="1:57" ht="15" customHeight="1" x14ac:dyDescent="0.4">
      <c r="A959" s="3"/>
      <c r="B959" s="155"/>
      <c r="C959" s="7"/>
      <c r="D959" s="7"/>
      <c r="E959" s="7"/>
      <c r="F959" s="7"/>
      <c r="G959" s="7"/>
      <c r="H959" s="14"/>
      <c r="I959" s="3"/>
      <c r="J959" s="3"/>
      <c r="K959" s="3"/>
      <c r="L959" s="3"/>
      <c r="M959" s="5"/>
      <c r="N959" s="5"/>
      <c r="O959" s="5"/>
      <c r="P959" s="5"/>
      <c r="Q959" s="5"/>
      <c r="R959" s="376"/>
      <c r="S959" s="56"/>
      <c r="T959" s="376"/>
      <c r="U959" s="14"/>
      <c r="V959" s="38" t="s">
        <v>369</v>
      </c>
      <c r="W959" s="3" t="s">
        <v>370</v>
      </c>
      <c r="X959" s="38" t="s">
        <v>369</v>
      </c>
      <c r="Y959" s="1443">
        <v>420128003</v>
      </c>
      <c r="Z959" s="1443"/>
      <c r="AA959" s="1443"/>
      <c r="AB959" s="14"/>
      <c r="AC959" s="3"/>
      <c r="AD959" s="3"/>
      <c r="AE959" s="5"/>
      <c r="AF959" s="5"/>
      <c r="AG959" s="38"/>
      <c r="AH959" s="38"/>
      <c r="AI959" s="1427">
        <v>0.113</v>
      </c>
      <c r="AJ959" s="477"/>
      <c r="AK959" s="477"/>
      <c r="AL959" s="477"/>
      <c r="AM959" s="51">
        <f>AE$958*AI959+SUM(AJ959:AL959)</f>
        <v>0.113</v>
      </c>
      <c r="AN959" s="3" t="s">
        <v>92</v>
      </c>
      <c r="AO959" s="3" t="s">
        <v>92</v>
      </c>
      <c r="AP959" s="3" t="s">
        <v>92</v>
      </c>
      <c r="AQ959" s="3" t="s">
        <v>92</v>
      </c>
      <c r="AR959" s="3" t="s">
        <v>92</v>
      </c>
      <c r="AS959" s="3" t="s">
        <v>92</v>
      </c>
      <c r="AT959" s="3" t="s">
        <v>92</v>
      </c>
      <c r="AU959" s="3" t="s">
        <v>92</v>
      </c>
      <c r="AV959" s="3" t="s">
        <v>92</v>
      </c>
      <c r="AW959" s="3" t="s">
        <v>92</v>
      </c>
      <c r="AX959" s="3" t="s">
        <v>92</v>
      </c>
      <c r="AY959" s="3"/>
      <c r="AZ959" s="139"/>
      <c r="BA959" s="139"/>
      <c r="BB959" s="139"/>
      <c r="BC959" s="139"/>
      <c r="BD959" s="139"/>
      <c r="BE959" s="3"/>
    </row>
    <row r="960" spans="1:57" ht="15" customHeight="1" x14ac:dyDescent="0.4">
      <c r="A960" s="3"/>
      <c r="B960" s="155"/>
      <c r="C960" s="7"/>
      <c r="D960" s="7"/>
      <c r="E960" s="7"/>
      <c r="F960" s="7"/>
      <c r="G960" s="7"/>
      <c r="H960" s="14"/>
      <c r="I960" s="3"/>
      <c r="J960" s="3"/>
      <c r="K960" s="3"/>
      <c r="L960" s="3"/>
      <c r="M960" s="5"/>
      <c r="N960" s="5"/>
      <c r="O960" s="5"/>
      <c r="P960" s="5"/>
      <c r="Q960" s="5"/>
      <c r="R960" s="376"/>
      <c r="S960" s="56"/>
      <c r="T960" s="376"/>
      <c r="U960" s="14"/>
      <c r="V960" s="38" t="s">
        <v>369</v>
      </c>
      <c r="W960" s="3" t="s">
        <v>372</v>
      </c>
      <c r="X960" s="38" t="s">
        <v>369</v>
      </c>
      <c r="Y960" s="1443">
        <v>420128031</v>
      </c>
      <c r="Z960" s="1443"/>
      <c r="AA960" s="1443"/>
      <c r="AB960" s="14"/>
      <c r="AC960" s="3"/>
      <c r="AD960" s="3"/>
      <c r="AE960" s="56"/>
      <c r="AF960" s="3"/>
      <c r="AG960" s="38"/>
      <c r="AH960" s="38"/>
      <c r="AI960" s="1427">
        <f>AI959</f>
        <v>0.113</v>
      </c>
      <c r="AJ960" s="477"/>
      <c r="AK960" s="477"/>
      <c r="AL960" s="477"/>
      <c r="AM960" s="51">
        <f t="shared" ref="AM960" si="112">AE$958*AI960+SUM(AJ960:AL960)</f>
        <v>0.113</v>
      </c>
      <c r="AN960" s="3" t="s">
        <v>92</v>
      </c>
      <c r="AO960" s="3" t="s">
        <v>92</v>
      </c>
      <c r="AP960" s="3" t="s">
        <v>92</v>
      </c>
      <c r="AQ960" s="3" t="s">
        <v>92</v>
      </c>
      <c r="AR960" s="3" t="s">
        <v>92</v>
      </c>
      <c r="AS960" s="3" t="s">
        <v>92</v>
      </c>
      <c r="AT960" s="3" t="s">
        <v>92</v>
      </c>
      <c r="AU960" s="3" t="s">
        <v>92</v>
      </c>
      <c r="AV960" s="3" t="s">
        <v>92</v>
      </c>
      <c r="AW960" s="3" t="s">
        <v>92</v>
      </c>
      <c r="AX960" s="3" t="s">
        <v>92</v>
      </c>
      <c r="AY960" s="3"/>
      <c r="AZ960" s="139"/>
      <c r="BA960" s="139"/>
      <c r="BB960" s="139"/>
      <c r="BC960" s="139"/>
      <c r="BD960" s="139"/>
      <c r="BE960" s="3"/>
    </row>
    <row r="961" spans="1:57" ht="15" customHeight="1" thickBot="1" x14ac:dyDescent="0.45">
      <c r="A961" s="3"/>
      <c r="B961" s="36"/>
      <c r="C961" s="924"/>
      <c r="D961" s="924"/>
      <c r="E961" s="924"/>
      <c r="F961" s="924"/>
      <c r="G961" s="924"/>
      <c r="H961" s="948"/>
      <c r="I961" s="889"/>
      <c r="J961" s="889"/>
      <c r="K961" s="889"/>
      <c r="L961" s="889"/>
      <c r="M961" s="945"/>
      <c r="N961" s="945"/>
      <c r="O961" s="945"/>
      <c r="P961" s="945"/>
      <c r="Q961" s="945"/>
      <c r="R961" s="970"/>
      <c r="S961" s="1156"/>
      <c r="T961" s="970"/>
      <c r="U961" s="948"/>
      <c r="V961" s="888" t="s">
        <v>369</v>
      </c>
      <c r="W961" s="889" t="s">
        <v>373</v>
      </c>
      <c r="X961" s="888" t="s">
        <v>369</v>
      </c>
      <c r="Y961" s="1444">
        <v>420128033</v>
      </c>
      <c r="Z961" s="1444"/>
      <c r="AA961" s="1444"/>
      <c r="AB961" s="948"/>
      <c r="AC961" s="889"/>
      <c r="AD961" s="889"/>
      <c r="AE961" s="1156"/>
      <c r="AF961" s="889"/>
      <c r="AG961" s="888"/>
      <c r="AH961" s="888"/>
      <c r="AI961" s="1428">
        <f>AI960</f>
        <v>0.113</v>
      </c>
      <c r="AJ961" s="1157"/>
      <c r="AK961" s="1157"/>
      <c r="AL961" s="1157"/>
      <c r="AM961" s="937">
        <f>AE$958*AI961+SUM(AJ961:AL961)</f>
        <v>0.113</v>
      </c>
      <c r="AN961" s="889" t="s">
        <v>92</v>
      </c>
      <c r="AO961" s="889" t="s">
        <v>92</v>
      </c>
      <c r="AP961" s="889" t="s">
        <v>92</v>
      </c>
      <c r="AQ961" s="889" t="s">
        <v>92</v>
      </c>
      <c r="AR961" s="889" t="s">
        <v>92</v>
      </c>
      <c r="AS961" s="889" t="s">
        <v>92</v>
      </c>
      <c r="AT961" s="889" t="s">
        <v>92</v>
      </c>
      <c r="AU961" s="889" t="s">
        <v>92</v>
      </c>
      <c r="AV961" s="889" t="s">
        <v>92</v>
      </c>
      <c r="AW961" s="889" t="s">
        <v>92</v>
      </c>
      <c r="AX961" s="889" t="s">
        <v>92</v>
      </c>
      <c r="AY961" s="889"/>
      <c r="AZ961" s="139"/>
      <c r="BA961" s="139"/>
      <c r="BB961" s="139"/>
      <c r="BC961" s="139"/>
      <c r="BD961" s="139"/>
      <c r="BE961" s="3"/>
    </row>
    <row r="962" spans="1:57" ht="15" customHeight="1" x14ac:dyDescent="0.4">
      <c r="A962" s="3"/>
      <c r="B962" s="36"/>
      <c r="C962" s="7"/>
      <c r="D962" s="7" t="s">
        <v>2072</v>
      </c>
      <c r="E962" s="7"/>
      <c r="F962" s="7"/>
      <c r="G962" s="7"/>
      <c r="H962" s="14"/>
      <c r="I962" s="3"/>
      <c r="J962" s="3"/>
      <c r="K962" s="3"/>
      <c r="L962" s="3"/>
      <c r="M962" s="5"/>
      <c r="N962" s="5"/>
      <c r="O962" s="5"/>
      <c r="P962" s="5"/>
      <c r="Q962" s="5"/>
      <c r="R962" s="376"/>
      <c r="S962" s="56"/>
      <c r="T962" s="376"/>
      <c r="U962" s="14"/>
      <c r="V962" s="38" t="s">
        <v>369</v>
      </c>
      <c r="W962" s="3" t="s">
        <v>370</v>
      </c>
      <c r="X962" s="38" t="s">
        <v>369</v>
      </c>
      <c r="Y962" s="1449">
        <v>420176003</v>
      </c>
      <c r="Z962" s="1443"/>
      <c r="AA962" s="1443"/>
      <c r="AB962" s="14"/>
      <c r="AC962" s="3"/>
      <c r="AD962" s="3"/>
      <c r="AE962" s="56"/>
      <c r="AF962" s="3"/>
      <c r="AG962" s="38"/>
      <c r="AH962" s="38"/>
      <c r="AI962" s="1488">
        <v>0.14199999999999999</v>
      </c>
      <c r="AJ962" s="481"/>
      <c r="AK962" s="481"/>
      <c r="AL962" s="481"/>
      <c r="AM962" s="185">
        <f t="shared" ref="AM962:AM964" si="113">AE$958*AI962+SUM(AJ962:AL962)</f>
        <v>0.14199999999999999</v>
      </c>
      <c r="AN962" s="3" t="s">
        <v>81</v>
      </c>
      <c r="AO962" s="3" t="s">
        <v>81</v>
      </c>
      <c r="AP962" s="3" t="s">
        <v>81</v>
      </c>
      <c r="AQ962" s="3" t="s">
        <v>81</v>
      </c>
      <c r="AR962" s="3" t="s">
        <v>81</v>
      </c>
      <c r="AS962" s="3" t="s">
        <v>81</v>
      </c>
      <c r="AT962" s="3" t="s">
        <v>81</v>
      </c>
      <c r="AU962" s="3" t="s">
        <v>92</v>
      </c>
      <c r="AV962" s="3" t="s">
        <v>92</v>
      </c>
      <c r="AW962" s="3" t="s">
        <v>92</v>
      </c>
      <c r="AX962" s="3" t="s">
        <v>92</v>
      </c>
      <c r="AY962" s="3"/>
      <c r="AZ962" s="139"/>
      <c r="BA962" s="139"/>
      <c r="BB962" s="139"/>
      <c r="BC962" s="139"/>
      <c r="BD962" s="139"/>
      <c r="BE962" s="3"/>
    </row>
    <row r="963" spans="1:57" ht="15" customHeight="1" x14ac:dyDescent="0.4">
      <c r="A963" s="3"/>
      <c r="B963" s="36"/>
      <c r="C963" s="7"/>
      <c r="D963" s="7"/>
      <c r="E963" s="7"/>
      <c r="F963" s="7"/>
      <c r="G963" s="7"/>
      <c r="H963" s="14"/>
      <c r="I963" s="3"/>
      <c r="J963" s="3"/>
      <c r="K963" s="3"/>
      <c r="L963" s="3"/>
      <c r="M963" s="5"/>
      <c r="N963" s="5"/>
      <c r="O963" s="5"/>
      <c r="P963" s="5"/>
      <c r="Q963" s="5"/>
      <c r="R963" s="376"/>
      <c r="S963" s="56"/>
      <c r="T963" s="376"/>
      <c r="U963" s="14"/>
      <c r="V963" s="38" t="s">
        <v>369</v>
      </c>
      <c r="W963" s="3" t="s">
        <v>372</v>
      </c>
      <c r="X963" s="38" t="s">
        <v>369</v>
      </c>
      <c r="Y963" s="1443">
        <v>420176021</v>
      </c>
      <c r="Z963" s="1443"/>
      <c r="AA963" s="1443"/>
      <c r="AB963" s="14"/>
      <c r="AC963" s="3"/>
      <c r="AD963" s="3"/>
      <c r="AE963" s="56"/>
      <c r="AF963" s="3"/>
      <c r="AG963" s="38"/>
      <c r="AH963" s="38"/>
      <c r="AI963" s="1427">
        <v>0.13300000000000001</v>
      </c>
      <c r="AJ963" s="477"/>
      <c r="AK963" s="477"/>
      <c r="AL963" s="477"/>
      <c r="AM963" s="51">
        <f t="shared" si="113"/>
        <v>0.13300000000000001</v>
      </c>
      <c r="AN963" s="3" t="s">
        <v>371</v>
      </c>
      <c r="AO963" s="3" t="s">
        <v>371</v>
      </c>
      <c r="AP963" s="3" t="s">
        <v>371</v>
      </c>
      <c r="AQ963" s="3" t="s">
        <v>371</v>
      </c>
      <c r="AR963" s="3" t="s">
        <v>371</v>
      </c>
      <c r="AS963" s="3" t="s">
        <v>371</v>
      </c>
      <c r="AT963" s="3" t="s">
        <v>371</v>
      </c>
      <c r="AU963" s="3" t="s">
        <v>92</v>
      </c>
      <c r="AV963" s="3" t="s">
        <v>92</v>
      </c>
      <c r="AW963" s="3" t="s">
        <v>92</v>
      </c>
      <c r="AX963" s="3" t="s">
        <v>92</v>
      </c>
      <c r="AY963" s="3"/>
      <c r="AZ963" s="139"/>
      <c r="BA963" s="139"/>
      <c r="BB963" s="139"/>
      <c r="BC963" s="139"/>
      <c r="BD963" s="139"/>
      <c r="BE963" s="3"/>
    </row>
    <row r="964" spans="1:57" ht="15" customHeight="1" x14ac:dyDescent="0.4">
      <c r="A964" s="3"/>
      <c r="B964" s="36"/>
      <c r="C964" s="7"/>
      <c r="D964" s="7"/>
      <c r="E964" s="7"/>
      <c r="F964" s="7"/>
      <c r="G964" s="7"/>
      <c r="H964" s="14"/>
      <c r="I964" s="3"/>
      <c r="J964" s="3"/>
      <c r="K964" s="3"/>
      <c r="L964" s="3"/>
      <c r="M964" s="5"/>
      <c r="N964" s="5"/>
      <c r="O964" s="5"/>
      <c r="P964" s="5"/>
      <c r="Q964" s="5"/>
      <c r="R964" s="376"/>
      <c r="S964" s="56"/>
      <c r="T964" s="376"/>
      <c r="U964" s="14"/>
      <c r="V964" s="38" t="s">
        <v>369</v>
      </c>
      <c r="W964" s="3" t="s">
        <v>373</v>
      </c>
      <c r="X964" s="38" t="s">
        <v>369</v>
      </c>
      <c r="Y964" s="1443">
        <v>420176033</v>
      </c>
      <c r="Z964" s="1443"/>
      <c r="AA964" s="1443"/>
      <c r="AB964" s="14"/>
      <c r="AC964" s="3"/>
      <c r="AD964" s="3"/>
      <c r="AE964" s="56"/>
      <c r="AF964" s="3"/>
      <c r="AG964" s="38"/>
      <c r="AH964" s="38"/>
      <c r="AI964" s="1427">
        <f>AI963</f>
        <v>0.13300000000000001</v>
      </c>
      <c r="AJ964" s="477"/>
      <c r="AK964" s="477"/>
      <c r="AL964" s="477"/>
      <c r="AM964" s="51">
        <f t="shared" si="113"/>
        <v>0.13300000000000001</v>
      </c>
      <c r="AN964" s="3" t="s">
        <v>371</v>
      </c>
      <c r="AO964" s="3" t="s">
        <v>371</v>
      </c>
      <c r="AP964" s="3" t="s">
        <v>371</v>
      </c>
      <c r="AQ964" s="3" t="s">
        <v>371</v>
      </c>
      <c r="AR964" s="3" t="s">
        <v>371</v>
      </c>
      <c r="AS964" s="3" t="s">
        <v>371</v>
      </c>
      <c r="AT964" s="3" t="s">
        <v>371</v>
      </c>
      <c r="AU964" s="3" t="s">
        <v>92</v>
      </c>
      <c r="AV964" s="3" t="s">
        <v>92</v>
      </c>
      <c r="AW964" s="3" t="s">
        <v>92</v>
      </c>
      <c r="AX964" s="3" t="s">
        <v>92</v>
      </c>
      <c r="AY964" s="3"/>
      <c r="AZ964" s="139"/>
      <c r="BA964" s="139"/>
      <c r="BB964" s="139"/>
      <c r="BC964" s="139"/>
      <c r="BD964" s="139"/>
      <c r="BE964" s="3"/>
    </row>
    <row r="965" spans="1:57" ht="15" customHeight="1" thickBot="1" x14ac:dyDescent="0.45">
      <c r="A965" s="3"/>
      <c r="B965" s="36"/>
      <c r="C965" s="924"/>
      <c r="D965" s="924"/>
      <c r="E965" s="924"/>
      <c r="F965" s="924"/>
      <c r="G965" s="924"/>
      <c r="H965" s="948"/>
      <c r="I965" s="889"/>
      <c r="J965" s="889"/>
      <c r="K965" s="889"/>
      <c r="L965" s="889"/>
      <c r="M965" s="945"/>
      <c r="N965" s="945"/>
      <c r="O965" s="945"/>
      <c r="P965" s="945"/>
      <c r="Q965" s="945"/>
      <c r="R965" s="970"/>
      <c r="S965" s="1156"/>
      <c r="T965" s="970"/>
      <c r="U965" s="948"/>
      <c r="V965" s="888" t="s">
        <v>369</v>
      </c>
      <c r="W965" s="889" t="s">
        <v>375</v>
      </c>
      <c r="X965" s="888" t="s">
        <v>369</v>
      </c>
      <c r="Y965" s="1444">
        <v>420176133</v>
      </c>
      <c r="Z965" s="1444"/>
      <c r="AA965" s="1444"/>
      <c r="AB965" s="948"/>
      <c r="AC965" s="889"/>
      <c r="AD965" s="889"/>
      <c r="AE965" s="1156"/>
      <c r="AF965" s="889"/>
      <c r="AG965" s="888"/>
      <c r="AH965" s="888"/>
      <c r="AI965" s="1428"/>
      <c r="AJ965" s="1157"/>
      <c r="AK965" s="1157"/>
      <c r="AL965" s="1157"/>
      <c r="AM965" s="937"/>
      <c r="AN965" s="889" t="s">
        <v>92</v>
      </c>
      <c r="AO965" s="889" t="s">
        <v>92</v>
      </c>
      <c r="AP965" s="889" t="s">
        <v>92</v>
      </c>
      <c r="AQ965" s="889" t="s">
        <v>92</v>
      </c>
      <c r="AR965" s="889" t="s">
        <v>92</v>
      </c>
      <c r="AS965" s="889" t="s">
        <v>92</v>
      </c>
      <c r="AT965" s="889" t="s">
        <v>92</v>
      </c>
      <c r="AU965" s="889" t="s">
        <v>92</v>
      </c>
      <c r="AV965" s="889" t="s">
        <v>92</v>
      </c>
      <c r="AW965" s="889" t="s">
        <v>92</v>
      </c>
      <c r="AX965" s="889" t="s">
        <v>81</v>
      </c>
      <c r="AY965" s="889"/>
      <c r="AZ965" s="139"/>
      <c r="BA965" s="139"/>
      <c r="BB965" s="139"/>
      <c r="BC965" s="139"/>
      <c r="BD965" s="139"/>
      <c r="BE965" s="3"/>
    </row>
    <row r="966" spans="1:57" ht="15" customHeight="1" x14ac:dyDescent="0.4">
      <c r="A966" s="3"/>
      <c r="B966" s="36"/>
      <c r="C966" s="7"/>
      <c r="D966" s="7" t="s">
        <v>894</v>
      </c>
      <c r="E966" s="7"/>
      <c r="F966" s="7"/>
      <c r="G966" s="7"/>
      <c r="H966" s="14"/>
      <c r="I966" s="3"/>
      <c r="J966" s="3"/>
      <c r="K966" s="3"/>
      <c r="L966" s="3"/>
      <c r="M966" s="5"/>
      <c r="N966" s="5"/>
      <c r="O966" s="5"/>
      <c r="P966" s="5"/>
      <c r="Q966" s="5"/>
      <c r="R966" s="376"/>
      <c r="S966" s="56">
        <v>1</v>
      </c>
      <c r="T966" s="376" t="s">
        <v>385</v>
      </c>
      <c r="U966" s="14"/>
      <c r="V966" s="38"/>
      <c r="W966" s="3"/>
      <c r="X966" s="38"/>
      <c r="Y966" s="1443"/>
      <c r="Z966" s="1443"/>
      <c r="AA966" s="1443"/>
      <c r="AB966" s="14"/>
      <c r="AC966" s="3">
        <v>45</v>
      </c>
      <c r="AD966" s="3">
        <v>1</v>
      </c>
      <c r="AE966" s="56">
        <f>S966*AD966</f>
        <v>1</v>
      </c>
      <c r="AF966" s="3" t="s">
        <v>385</v>
      </c>
      <c r="AG966" s="38" t="s">
        <v>8</v>
      </c>
      <c r="AH966" s="38" t="s">
        <v>8</v>
      </c>
      <c r="AI966" s="51"/>
      <c r="AJ966" s="39"/>
      <c r="AK966" s="39"/>
      <c r="AL966" s="39"/>
      <c r="AM966" s="39"/>
      <c r="AN966" s="3" t="s">
        <v>81</v>
      </c>
      <c r="AO966" s="3" t="s">
        <v>81</v>
      </c>
      <c r="AP966" s="3" t="s">
        <v>81</v>
      </c>
      <c r="AQ966" s="3" t="s">
        <v>81</v>
      </c>
      <c r="AR966" s="3" t="s">
        <v>81</v>
      </c>
      <c r="AS966" s="3" t="s">
        <v>81</v>
      </c>
      <c r="AT966" s="3" t="s">
        <v>81</v>
      </c>
      <c r="AU966" s="3" t="s">
        <v>92</v>
      </c>
      <c r="AV966" s="3" t="s">
        <v>92</v>
      </c>
      <c r="AW966" s="3" t="s">
        <v>92</v>
      </c>
      <c r="AX966" s="3" t="s">
        <v>92</v>
      </c>
      <c r="AY966" s="3"/>
      <c r="AZ966" s="139"/>
      <c r="BA966" s="139"/>
      <c r="BB966" s="139"/>
      <c r="BC966" s="139"/>
      <c r="BD966" s="139"/>
      <c r="BE966" s="3"/>
    </row>
    <row r="967" spans="1:57" ht="15" customHeight="1" x14ac:dyDescent="0.4">
      <c r="A967" s="3"/>
      <c r="B967" s="36"/>
      <c r="C967" s="7"/>
      <c r="D967" s="7"/>
      <c r="E967" s="7"/>
      <c r="F967" s="7"/>
      <c r="G967" s="7"/>
      <c r="H967" s="14"/>
      <c r="I967" s="3"/>
      <c r="J967" s="3"/>
      <c r="K967" s="3"/>
      <c r="L967" s="3"/>
      <c r="M967" s="5"/>
      <c r="N967" s="5"/>
      <c r="O967" s="5"/>
      <c r="P967" s="5"/>
      <c r="Q967" s="5"/>
      <c r="R967" s="376"/>
      <c r="S967" s="56"/>
      <c r="T967" s="376"/>
      <c r="U967" s="14"/>
      <c r="V967" s="38" t="s">
        <v>369</v>
      </c>
      <c r="W967" s="3" t="s">
        <v>370</v>
      </c>
      <c r="X967" s="38" t="s">
        <v>369</v>
      </c>
      <c r="Y967" s="1443">
        <v>420127003</v>
      </c>
      <c r="Z967" s="1443"/>
      <c r="AA967" s="1443"/>
      <c r="AB967" s="14"/>
      <c r="AC967" s="3"/>
      <c r="AD967" s="3"/>
      <c r="AE967" s="5"/>
      <c r="AF967" s="5"/>
      <c r="AG967" s="38"/>
      <c r="AH967" s="38"/>
      <c r="AI967" s="1427">
        <v>0.113</v>
      </c>
      <c r="AJ967" s="477"/>
      <c r="AK967" s="477"/>
      <c r="AL967" s="477"/>
      <c r="AM967" s="51">
        <f>AE$966*AI967+SUM(AJ967:AL967)</f>
        <v>0.113</v>
      </c>
      <c r="AN967" s="3" t="s">
        <v>92</v>
      </c>
      <c r="AO967" s="3" t="s">
        <v>92</v>
      </c>
      <c r="AP967" s="3" t="s">
        <v>92</v>
      </c>
      <c r="AQ967" s="3" t="s">
        <v>92</v>
      </c>
      <c r="AR967" s="3" t="s">
        <v>92</v>
      </c>
      <c r="AS967" s="3" t="s">
        <v>92</v>
      </c>
      <c r="AT967" s="3" t="s">
        <v>92</v>
      </c>
      <c r="AU967" s="3" t="s">
        <v>92</v>
      </c>
      <c r="AV967" s="3" t="s">
        <v>92</v>
      </c>
      <c r="AW967" s="3" t="s">
        <v>92</v>
      </c>
      <c r="AX967" s="3" t="s">
        <v>92</v>
      </c>
      <c r="AY967" s="3"/>
      <c r="AZ967" s="139"/>
      <c r="BA967" s="139"/>
      <c r="BB967" s="139"/>
      <c r="BC967" s="139"/>
      <c r="BD967" s="139"/>
      <c r="BE967" s="3"/>
    </row>
    <row r="968" spans="1:57" ht="15" customHeight="1" x14ac:dyDescent="0.4">
      <c r="A968" s="3"/>
      <c r="B968" s="36"/>
      <c r="C968" s="7"/>
      <c r="D968" s="7"/>
      <c r="E968" s="7"/>
      <c r="F968" s="7"/>
      <c r="G968" s="7"/>
      <c r="H968" s="14"/>
      <c r="I968" s="3"/>
      <c r="J968" s="3"/>
      <c r="K968" s="3"/>
      <c r="L968" s="3"/>
      <c r="M968" s="5"/>
      <c r="N968" s="5"/>
      <c r="O968" s="5"/>
      <c r="P968" s="5"/>
      <c r="Q968" s="5"/>
      <c r="R968" s="376"/>
      <c r="S968" s="56"/>
      <c r="T968" s="376"/>
      <c r="U968" s="14"/>
      <c r="V968" s="38" t="s">
        <v>369</v>
      </c>
      <c r="W968" s="3" t="s">
        <v>372</v>
      </c>
      <c r="X968" s="38" t="s">
        <v>369</v>
      </c>
      <c r="Y968" s="1443">
        <v>420127031</v>
      </c>
      <c r="Z968" s="1443"/>
      <c r="AA968" s="1443"/>
      <c r="AB968" s="14"/>
      <c r="AC968" s="3"/>
      <c r="AD968" s="3"/>
      <c r="AE968" s="56"/>
      <c r="AF968" s="3"/>
      <c r="AG968" s="38"/>
      <c r="AH968" s="38"/>
      <c r="AI968" s="1427">
        <f>AI967</f>
        <v>0.113</v>
      </c>
      <c r="AJ968" s="477"/>
      <c r="AK968" s="477"/>
      <c r="AL968" s="477"/>
      <c r="AM968" s="51">
        <f t="shared" ref="AM968" si="114">AE$966*AI968+SUM(AJ968:AL968)</f>
        <v>0.113</v>
      </c>
      <c r="AN968" s="3" t="s">
        <v>92</v>
      </c>
      <c r="AO968" s="3" t="s">
        <v>92</v>
      </c>
      <c r="AP968" s="3" t="s">
        <v>92</v>
      </c>
      <c r="AQ968" s="3" t="s">
        <v>92</v>
      </c>
      <c r="AR968" s="3" t="s">
        <v>92</v>
      </c>
      <c r="AS968" s="3" t="s">
        <v>92</v>
      </c>
      <c r="AT968" s="3" t="s">
        <v>92</v>
      </c>
      <c r="AU968" s="3" t="s">
        <v>92</v>
      </c>
      <c r="AV968" s="3" t="s">
        <v>92</v>
      </c>
      <c r="AW968" s="3" t="s">
        <v>92</v>
      </c>
      <c r="AX968" s="3" t="s">
        <v>92</v>
      </c>
      <c r="AY968" s="3"/>
      <c r="AZ968" s="139"/>
      <c r="BA968" s="139"/>
      <c r="BB968" s="139"/>
      <c r="BC968" s="139"/>
      <c r="BD968" s="139"/>
      <c r="BE968" s="3"/>
    </row>
    <row r="969" spans="1:57" ht="15" customHeight="1" thickBot="1" x14ac:dyDescent="0.45">
      <c r="A969" s="3"/>
      <c r="B969" s="36"/>
      <c r="C969" s="924"/>
      <c r="D969" s="924"/>
      <c r="E969" s="924"/>
      <c r="F969" s="924"/>
      <c r="G969" s="924"/>
      <c r="H969" s="948"/>
      <c r="I969" s="889"/>
      <c r="J969" s="889"/>
      <c r="K969" s="889"/>
      <c r="L969" s="889"/>
      <c r="M969" s="945"/>
      <c r="N969" s="945"/>
      <c r="O969" s="945"/>
      <c r="P969" s="945"/>
      <c r="Q969" s="945"/>
      <c r="R969" s="970"/>
      <c r="S969" s="1156"/>
      <c r="T969" s="970"/>
      <c r="U969" s="948"/>
      <c r="V969" s="888" t="s">
        <v>369</v>
      </c>
      <c r="W969" s="889" t="s">
        <v>373</v>
      </c>
      <c r="X969" s="888" t="s">
        <v>369</v>
      </c>
      <c r="Y969" s="1444">
        <v>420127033</v>
      </c>
      <c r="Z969" s="1444"/>
      <c r="AA969" s="1444"/>
      <c r="AB969" s="948"/>
      <c r="AC969" s="889"/>
      <c r="AD969" s="889"/>
      <c r="AE969" s="1156"/>
      <c r="AF969" s="889"/>
      <c r="AG969" s="888"/>
      <c r="AH969" s="888"/>
      <c r="AI969" s="1428">
        <f>AI968</f>
        <v>0.113</v>
      </c>
      <c r="AJ969" s="1157"/>
      <c r="AK969" s="1157"/>
      <c r="AL969" s="1157"/>
      <c r="AM969" s="937">
        <f>AE$966*AI969+SUM(AJ969:AL969)</f>
        <v>0.113</v>
      </c>
      <c r="AN969" s="889" t="s">
        <v>92</v>
      </c>
      <c r="AO969" s="889" t="s">
        <v>92</v>
      </c>
      <c r="AP969" s="889" t="s">
        <v>92</v>
      </c>
      <c r="AQ969" s="889" t="s">
        <v>92</v>
      </c>
      <c r="AR969" s="889" t="s">
        <v>92</v>
      </c>
      <c r="AS969" s="889" t="s">
        <v>92</v>
      </c>
      <c r="AT969" s="889" t="s">
        <v>92</v>
      </c>
      <c r="AU969" s="889" t="s">
        <v>92</v>
      </c>
      <c r="AV969" s="889" t="s">
        <v>92</v>
      </c>
      <c r="AW969" s="889" t="s">
        <v>92</v>
      </c>
      <c r="AX969" s="889" t="s">
        <v>92</v>
      </c>
      <c r="AY969" s="889"/>
      <c r="AZ969" s="139"/>
      <c r="BA969" s="139"/>
      <c r="BB969" s="139"/>
      <c r="BC969" s="139"/>
      <c r="BD969" s="139"/>
      <c r="BE969" s="3"/>
    </row>
    <row r="970" spans="1:57" ht="15" customHeight="1" x14ac:dyDescent="0.4">
      <c r="A970" s="3"/>
      <c r="B970" s="36"/>
      <c r="C970" s="173"/>
      <c r="D970" s="7" t="s">
        <v>2197</v>
      </c>
      <c r="E970" s="173"/>
      <c r="F970" s="173"/>
      <c r="G970" s="173"/>
      <c r="H970" s="193"/>
      <c r="I970" s="116"/>
      <c r="J970" s="116"/>
      <c r="K970" s="116"/>
      <c r="L970" s="116"/>
      <c r="M970" s="177"/>
      <c r="N970" s="177"/>
      <c r="O970" s="177"/>
      <c r="P970" s="177"/>
      <c r="Q970" s="177"/>
      <c r="R970" s="381"/>
      <c r="S970" s="198"/>
      <c r="T970" s="381"/>
      <c r="U970" s="193"/>
      <c r="V970" s="179" t="s">
        <v>369</v>
      </c>
      <c r="W970" s="116" t="s">
        <v>370</v>
      </c>
      <c r="X970" s="179" t="s">
        <v>369</v>
      </c>
      <c r="Y970" s="1449">
        <v>420175003</v>
      </c>
      <c r="Z970" s="1449"/>
      <c r="AA970" s="1449"/>
      <c r="AB970" s="193"/>
      <c r="AC970" s="116"/>
      <c r="AD970" s="116"/>
      <c r="AE970" s="198"/>
      <c r="AF970" s="116"/>
      <c r="AG970" s="179"/>
      <c r="AH970" s="179"/>
      <c r="AI970" s="1488">
        <v>0.14199999999999999</v>
      </c>
      <c r="AJ970" s="481"/>
      <c r="AK970" s="481"/>
      <c r="AL970" s="481"/>
      <c r="AM970" s="185">
        <f t="shared" ref="AM970:AM972" si="115">AE$958*AI970+SUM(AJ970:AL970)</f>
        <v>0.14199999999999999</v>
      </c>
      <c r="AN970" s="116" t="s">
        <v>81</v>
      </c>
      <c r="AO970" s="116" t="s">
        <v>81</v>
      </c>
      <c r="AP970" s="116" t="s">
        <v>81</v>
      </c>
      <c r="AQ970" s="116" t="s">
        <v>81</v>
      </c>
      <c r="AR970" s="116" t="s">
        <v>81</v>
      </c>
      <c r="AS970" s="116" t="s">
        <v>81</v>
      </c>
      <c r="AT970" s="116" t="s">
        <v>81</v>
      </c>
      <c r="AU970" s="116" t="s">
        <v>92</v>
      </c>
      <c r="AV970" s="116" t="s">
        <v>92</v>
      </c>
      <c r="AW970" s="116" t="s">
        <v>92</v>
      </c>
      <c r="AX970" s="116" t="s">
        <v>92</v>
      </c>
      <c r="AY970" s="116"/>
      <c r="AZ970" s="139"/>
      <c r="BA970" s="139"/>
      <c r="BB970" s="139"/>
      <c r="BC970" s="139"/>
      <c r="BD970" s="139"/>
      <c r="BE970" s="3"/>
    </row>
    <row r="971" spans="1:57" ht="15" customHeight="1" x14ac:dyDescent="0.4">
      <c r="A971" s="3"/>
      <c r="B971" s="36"/>
      <c r="C971" s="7"/>
      <c r="D971" s="7"/>
      <c r="E971" s="7"/>
      <c r="F971" s="7"/>
      <c r="G971" s="7"/>
      <c r="H971" s="14"/>
      <c r="I971" s="3"/>
      <c r="J971" s="3"/>
      <c r="K971" s="3"/>
      <c r="L971" s="3"/>
      <c r="M971" s="5"/>
      <c r="N971" s="5"/>
      <c r="O971" s="5"/>
      <c r="P971" s="5"/>
      <c r="Q971" s="5"/>
      <c r="R971" s="376"/>
      <c r="S971" s="56"/>
      <c r="T971" s="376"/>
      <c r="U971" s="14"/>
      <c r="V971" s="38" t="s">
        <v>369</v>
      </c>
      <c r="W971" s="3" t="s">
        <v>372</v>
      </c>
      <c r="X971" s="38" t="s">
        <v>369</v>
      </c>
      <c r="Y971" s="1443">
        <v>420175021</v>
      </c>
      <c r="Z971" s="1443"/>
      <c r="AA971" s="1443"/>
      <c r="AB971" s="14"/>
      <c r="AC971" s="3"/>
      <c r="AD971" s="3"/>
      <c r="AE971" s="56"/>
      <c r="AF971" s="3"/>
      <c r="AG971" s="38"/>
      <c r="AH971" s="38"/>
      <c r="AI971" s="1427">
        <v>0.13300000000000001</v>
      </c>
      <c r="AJ971" s="477"/>
      <c r="AK971" s="477"/>
      <c r="AL971" s="477"/>
      <c r="AM971" s="51">
        <f t="shared" si="115"/>
        <v>0.13300000000000001</v>
      </c>
      <c r="AN971" s="3" t="s">
        <v>371</v>
      </c>
      <c r="AO971" s="3" t="s">
        <v>371</v>
      </c>
      <c r="AP971" s="3" t="s">
        <v>371</v>
      </c>
      <c r="AQ971" s="3" t="s">
        <v>371</v>
      </c>
      <c r="AR971" s="3" t="s">
        <v>371</v>
      </c>
      <c r="AS971" s="3" t="s">
        <v>371</v>
      </c>
      <c r="AT971" s="3" t="s">
        <v>371</v>
      </c>
      <c r="AU971" s="3" t="s">
        <v>92</v>
      </c>
      <c r="AV971" s="3" t="s">
        <v>92</v>
      </c>
      <c r="AW971" s="3" t="s">
        <v>92</v>
      </c>
      <c r="AX971" s="3" t="s">
        <v>92</v>
      </c>
      <c r="AY971" s="3"/>
      <c r="AZ971" s="139"/>
      <c r="BA971" s="139"/>
      <c r="BB971" s="139"/>
      <c r="BC971" s="139"/>
      <c r="BD971" s="139"/>
      <c r="BE971" s="3"/>
    </row>
    <row r="972" spans="1:57" ht="15" customHeight="1" x14ac:dyDescent="0.4">
      <c r="A972" s="3"/>
      <c r="B972" s="36"/>
      <c r="C972" s="7"/>
      <c r="D972" s="7"/>
      <c r="E972" s="7"/>
      <c r="F972" s="7"/>
      <c r="G972" s="7"/>
      <c r="H972" s="14"/>
      <c r="I972" s="3"/>
      <c r="J972" s="3"/>
      <c r="K972" s="3"/>
      <c r="L972" s="3"/>
      <c r="M972" s="5"/>
      <c r="N972" s="5"/>
      <c r="O972" s="5"/>
      <c r="P972" s="5"/>
      <c r="Q972" s="5"/>
      <c r="R972" s="376"/>
      <c r="S972" s="56"/>
      <c r="T972" s="376"/>
      <c r="U972" s="14"/>
      <c r="V972" s="38" t="s">
        <v>369</v>
      </c>
      <c r="W972" s="3" t="s">
        <v>373</v>
      </c>
      <c r="X972" s="38" t="s">
        <v>369</v>
      </c>
      <c r="Y972" s="1443">
        <v>420175033</v>
      </c>
      <c r="Z972" s="1443"/>
      <c r="AA972" s="1443"/>
      <c r="AB972" s="14"/>
      <c r="AC972" s="3"/>
      <c r="AD972" s="3"/>
      <c r="AE972" s="56"/>
      <c r="AF972" s="3"/>
      <c r="AG972" s="38"/>
      <c r="AH972" s="38"/>
      <c r="AI972" s="1427">
        <f>AI971</f>
        <v>0.13300000000000001</v>
      </c>
      <c r="AJ972" s="477"/>
      <c r="AK972" s="477"/>
      <c r="AL972" s="477"/>
      <c r="AM972" s="51">
        <f t="shared" si="115"/>
        <v>0.13300000000000001</v>
      </c>
      <c r="AN972" s="3" t="s">
        <v>371</v>
      </c>
      <c r="AO972" s="3" t="s">
        <v>371</v>
      </c>
      <c r="AP972" s="3" t="s">
        <v>371</v>
      </c>
      <c r="AQ972" s="3" t="s">
        <v>371</v>
      </c>
      <c r="AR972" s="3" t="s">
        <v>371</v>
      </c>
      <c r="AS972" s="3" t="s">
        <v>371</v>
      </c>
      <c r="AT972" s="3" t="s">
        <v>371</v>
      </c>
      <c r="AU972" s="3" t="s">
        <v>92</v>
      </c>
      <c r="AV972" s="3" t="s">
        <v>92</v>
      </c>
      <c r="AW972" s="3" t="s">
        <v>92</v>
      </c>
      <c r="AX972" s="3" t="s">
        <v>92</v>
      </c>
      <c r="AY972" s="3"/>
      <c r="AZ972" s="139"/>
      <c r="BA972" s="139"/>
      <c r="BB972" s="139"/>
      <c r="BC972" s="139"/>
      <c r="BD972" s="139"/>
      <c r="BE972" s="3"/>
    </row>
    <row r="973" spans="1:57" ht="15" customHeight="1" thickBot="1" x14ac:dyDescent="0.45">
      <c r="A973" s="3"/>
      <c r="B973" s="943"/>
      <c r="C973" s="924"/>
      <c r="D973" s="924"/>
      <c r="E973" s="924"/>
      <c r="F973" s="924"/>
      <c r="G973" s="924"/>
      <c r="H973" s="948"/>
      <c r="I973" s="889"/>
      <c r="J973" s="889"/>
      <c r="K973" s="889"/>
      <c r="L973" s="889"/>
      <c r="M973" s="945"/>
      <c r="N973" s="945"/>
      <c r="O973" s="945"/>
      <c r="P973" s="945"/>
      <c r="Q973" s="945"/>
      <c r="R973" s="970"/>
      <c r="S973" s="1156"/>
      <c r="T973" s="970"/>
      <c r="U973" s="948"/>
      <c r="V973" s="888" t="s">
        <v>369</v>
      </c>
      <c r="W973" s="889" t="s">
        <v>375</v>
      </c>
      <c r="X973" s="888" t="s">
        <v>369</v>
      </c>
      <c r="Y973" s="1444">
        <v>420175133</v>
      </c>
      <c r="Z973" s="1444"/>
      <c r="AA973" s="1444"/>
      <c r="AB973" s="948"/>
      <c r="AC973" s="889"/>
      <c r="AD973" s="889"/>
      <c r="AE973" s="1156"/>
      <c r="AF973" s="889"/>
      <c r="AG973" s="888"/>
      <c r="AH973" s="888"/>
      <c r="AI973" s="1428"/>
      <c r="AJ973" s="1157"/>
      <c r="AK973" s="1157"/>
      <c r="AL973" s="1157"/>
      <c r="AM973" s="937"/>
      <c r="AN973" s="889" t="s">
        <v>92</v>
      </c>
      <c r="AO973" s="889" t="s">
        <v>92</v>
      </c>
      <c r="AP973" s="889" t="s">
        <v>92</v>
      </c>
      <c r="AQ973" s="889" t="s">
        <v>92</v>
      </c>
      <c r="AR973" s="889" t="s">
        <v>92</v>
      </c>
      <c r="AS973" s="889" t="s">
        <v>92</v>
      </c>
      <c r="AT973" s="889" t="s">
        <v>92</v>
      </c>
      <c r="AU973" s="889" t="s">
        <v>92</v>
      </c>
      <c r="AV973" s="889" t="s">
        <v>92</v>
      </c>
      <c r="AW973" s="889" t="s">
        <v>92</v>
      </c>
      <c r="AX973" s="889" t="s">
        <v>81</v>
      </c>
      <c r="AY973" s="889"/>
      <c r="AZ973" s="1163"/>
      <c r="BA973" s="139"/>
      <c r="BB973" s="139"/>
      <c r="BC973" s="139"/>
      <c r="BD973" s="139"/>
      <c r="BE973" s="3"/>
    </row>
    <row r="974" spans="1:57" ht="15" customHeight="1" x14ac:dyDescent="0.4">
      <c r="A974" s="3"/>
      <c r="B974" s="7" t="s">
        <v>1994</v>
      </c>
      <c r="C974" s="7"/>
      <c r="D974" s="7"/>
      <c r="E974" s="7"/>
      <c r="F974" s="7"/>
      <c r="G974" s="7"/>
      <c r="H974" s="14"/>
      <c r="I974" s="8"/>
      <c r="J974" s="3"/>
      <c r="K974" s="3"/>
      <c r="L974" s="3"/>
      <c r="M974" s="5"/>
      <c r="N974" s="5"/>
      <c r="O974" s="5"/>
      <c r="P974" s="5"/>
      <c r="Q974" s="5"/>
      <c r="R974" s="3"/>
      <c r="S974" s="56"/>
      <c r="T974" s="3"/>
      <c r="U974" s="14"/>
      <c r="V974" s="38"/>
      <c r="W974" s="3"/>
      <c r="X974" s="38"/>
      <c r="Y974" s="1443"/>
      <c r="Z974" s="1443"/>
      <c r="AA974" s="1443"/>
      <c r="AB974" s="14"/>
      <c r="AC974" s="3"/>
      <c r="AD974" s="3"/>
      <c r="AE974" s="5"/>
      <c r="AF974" s="3"/>
      <c r="AG974" s="38"/>
      <c r="AH974" s="38"/>
      <c r="AI974" s="51"/>
      <c r="AJ974" s="39"/>
      <c r="AK974" s="39"/>
      <c r="AL974" s="39"/>
      <c r="AM974" s="39"/>
      <c r="AN974" s="3" t="s">
        <v>371</v>
      </c>
      <c r="AO974" s="3" t="s">
        <v>371</v>
      </c>
      <c r="AP974" s="3" t="s">
        <v>371</v>
      </c>
      <c r="AQ974" s="3" t="s">
        <v>371</v>
      </c>
      <c r="AR974" s="3" t="s">
        <v>371</v>
      </c>
      <c r="AS974" s="3" t="s">
        <v>371</v>
      </c>
      <c r="AT974" s="3" t="s">
        <v>371</v>
      </c>
      <c r="AU974" s="3" t="s">
        <v>81</v>
      </c>
      <c r="AV974" s="3" t="s">
        <v>81</v>
      </c>
      <c r="AW974" s="3" t="s">
        <v>81</v>
      </c>
      <c r="AX974" s="3" t="s">
        <v>92</v>
      </c>
      <c r="AY974" s="3"/>
      <c r="AZ974" s="139"/>
      <c r="BA974" s="139"/>
      <c r="BB974" s="139"/>
      <c r="BC974" s="139"/>
      <c r="BD974" s="139"/>
      <c r="BE974" s="3"/>
    </row>
    <row r="975" spans="1:57" ht="15" customHeight="1" x14ac:dyDescent="0.4">
      <c r="A975" s="3"/>
      <c r="B975" s="36"/>
      <c r="C975" s="7"/>
      <c r="D975" s="7"/>
      <c r="E975" s="7"/>
      <c r="F975" s="7"/>
      <c r="G975" s="7"/>
      <c r="H975" s="14"/>
      <c r="I975" s="3"/>
      <c r="J975" s="3"/>
      <c r="K975" s="3"/>
      <c r="L975" s="3"/>
      <c r="M975" s="5"/>
      <c r="N975" s="5"/>
      <c r="O975" s="5"/>
      <c r="P975" s="5"/>
      <c r="Q975" s="5"/>
      <c r="R975" s="376"/>
      <c r="S975" s="56">
        <v>1</v>
      </c>
      <c r="T975" s="376" t="s">
        <v>385</v>
      </c>
      <c r="U975" s="14"/>
      <c r="V975" s="38"/>
      <c r="W975" s="3"/>
      <c r="X975" s="38"/>
      <c r="Y975" s="1443"/>
      <c r="Z975" s="1443"/>
      <c r="AA975" s="1443"/>
      <c r="AB975" s="14"/>
      <c r="AC975" s="3">
        <v>45</v>
      </c>
      <c r="AD975" s="3">
        <v>2</v>
      </c>
      <c r="AE975" s="56">
        <f>S975*AD975</f>
        <v>2</v>
      </c>
      <c r="AF975" s="3" t="s">
        <v>385</v>
      </c>
      <c r="AG975" s="38" t="s">
        <v>8</v>
      </c>
      <c r="AH975" s="38" t="s">
        <v>8</v>
      </c>
      <c r="AI975" s="51"/>
      <c r="AJ975" s="39"/>
      <c r="AK975" s="39"/>
      <c r="AL975" s="39"/>
      <c r="AM975" s="39"/>
      <c r="AN975" s="3" t="s">
        <v>371</v>
      </c>
      <c r="AO975" s="3" t="s">
        <v>371</v>
      </c>
      <c r="AP975" s="3" t="s">
        <v>371</v>
      </c>
      <c r="AQ975" s="3" t="s">
        <v>371</v>
      </c>
      <c r="AR975" s="3" t="s">
        <v>371</v>
      </c>
      <c r="AS975" s="3" t="s">
        <v>371</v>
      </c>
      <c r="AT975" s="3" t="s">
        <v>371</v>
      </c>
      <c r="AU975" s="3" t="s">
        <v>81</v>
      </c>
      <c r="AV975" s="3" t="s">
        <v>81</v>
      </c>
      <c r="AW975" s="3" t="s">
        <v>81</v>
      </c>
      <c r="AX975" s="3" t="s">
        <v>92</v>
      </c>
      <c r="AY975" s="3"/>
      <c r="AZ975" s="139"/>
      <c r="BA975" s="139"/>
      <c r="BB975" s="139"/>
      <c r="BC975" s="139"/>
      <c r="BD975" s="139"/>
      <c r="BE975" s="3"/>
    </row>
    <row r="976" spans="1:57" ht="15" customHeight="1" x14ac:dyDescent="0.4">
      <c r="A976" s="3"/>
      <c r="B976" s="36"/>
      <c r="C976" s="7"/>
      <c r="D976" s="7"/>
      <c r="E976" s="7"/>
      <c r="F976" s="7"/>
      <c r="G976" s="7"/>
      <c r="H976" s="14"/>
      <c r="I976" s="3"/>
      <c r="J976" s="3"/>
      <c r="K976" s="3"/>
      <c r="L976" s="3"/>
      <c r="M976" s="5"/>
      <c r="N976" s="5"/>
      <c r="O976" s="5"/>
      <c r="P976" s="5"/>
      <c r="Q976" s="5"/>
      <c r="R976" s="376"/>
      <c r="S976" s="56"/>
      <c r="T976" s="376"/>
      <c r="U976" s="14"/>
      <c r="V976" s="38" t="s">
        <v>369</v>
      </c>
      <c r="W976" s="3" t="s">
        <v>370</v>
      </c>
      <c r="X976" s="38" t="s">
        <v>369</v>
      </c>
      <c r="Y976" s="1443">
        <v>420536003</v>
      </c>
      <c r="Z976" s="1443"/>
      <c r="AA976" s="1443"/>
      <c r="AB976" s="14"/>
      <c r="AC976" s="3"/>
      <c r="AD976" s="3"/>
      <c r="AE976" s="5"/>
      <c r="AF976" s="5"/>
      <c r="AG976" s="38"/>
      <c r="AH976" s="38"/>
      <c r="AI976" s="1427">
        <v>0.97529999999999994</v>
      </c>
      <c r="AJ976" s="477"/>
      <c r="AK976" s="477"/>
      <c r="AL976" s="477"/>
      <c r="AM976" s="51">
        <f>AE$975*AI976+SUM(AJ976:AL976)</f>
        <v>1.9505999999999999</v>
      </c>
      <c r="AN976" s="3" t="s">
        <v>371</v>
      </c>
      <c r="AO976" s="3" t="s">
        <v>371</v>
      </c>
      <c r="AP976" s="3" t="s">
        <v>371</v>
      </c>
      <c r="AQ976" s="3" t="s">
        <v>371</v>
      </c>
      <c r="AR976" s="3" t="s">
        <v>371</v>
      </c>
      <c r="AS976" s="3" t="s">
        <v>371</v>
      </c>
      <c r="AT976" s="3" t="s">
        <v>371</v>
      </c>
      <c r="AU976" s="3" t="s">
        <v>81</v>
      </c>
      <c r="AV976" s="3" t="s">
        <v>371</v>
      </c>
      <c r="AW976" s="3" t="s">
        <v>81</v>
      </c>
      <c r="AX976" s="3" t="s">
        <v>92</v>
      </c>
      <c r="AY976" s="3"/>
      <c r="AZ976" s="139"/>
      <c r="BA976" s="139"/>
      <c r="BB976" s="139"/>
      <c r="BC976" s="139"/>
      <c r="BD976" s="139"/>
      <c r="BE976" s="3"/>
    </row>
    <row r="977" spans="1:57" ht="15" customHeight="1" x14ac:dyDescent="0.4">
      <c r="A977" s="3"/>
      <c r="B977" s="36"/>
      <c r="C977" s="7"/>
      <c r="D977" s="7"/>
      <c r="E977" s="7"/>
      <c r="F977" s="7"/>
      <c r="G977" s="7"/>
      <c r="H977" s="14"/>
      <c r="I977" s="3"/>
      <c r="J977" s="3"/>
      <c r="K977" s="3"/>
      <c r="L977" s="3"/>
      <c r="M977" s="5"/>
      <c r="N977" s="5"/>
      <c r="O977" s="5"/>
      <c r="P977" s="5"/>
      <c r="Q977" s="5"/>
      <c r="R977" s="376"/>
      <c r="S977" s="56"/>
      <c r="T977" s="376"/>
      <c r="U977" s="14"/>
      <c r="V977" s="38" t="s">
        <v>369</v>
      </c>
      <c r="W977" s="3" t="s">
        <v>372</v>
      </c>
      <c r="X977" s="38" t="s">
        <v>369</v>
      </c>
      <c r="Y977" s="1443">
        <v>420536021</v>
      </c>
      <c r="Z977" s="1443"/>
      <c r="AA977" s="1443"/>
      <c r="AB977" s="14"/>
      <c r="AC977" s="3"/>
      <c r="AD977" s="3"/>
      <c r="AE977" s="56"/>
      <c r="AF977" s="3"/>
      <c r="AG977" s="38"/>
      <c r="AH977" s="38"/>
      <c r="AI977" s="492">
        <f>AI976</f>
        <v>0.97529999999999994</v>
      </c>
      <c r="AJ977" s="477"/>
      <c r="AK977" s="477"/>
      <c r="AL977" s="477"/>
      <c r="AM977" s="51">
        <f>AE$975*AI977+SUM(AJ977:AL977)</f>
        <v>1.9505999999999999</v>
      </c>
      <c r="AN977" s="3" t="s">
        <v>371</v>
      </c>
      <c r="AO977" s="3" t="s">
        <v>371</v>
      </c>
      <c r="AP977" s="3" t="s">
        <v>371</v>
      </c>
      <c r="AQ977" s="3" t="s">
        <v>371</v>
      </c>
      <c r="AR977" s="3" t="s">
        <v>371</v>
      </c>
      <c r="AS977" s="3" t="s">
        <v>371</v>
      </c>
      <c r="AT977" s="3" t="s">
        <v>371</v>
      </c>
      <c r="AU977" s="3" t="s">
        <v>371</v>
      </c>
      <c r="AV977" s="3" t="s">
        <v>371</v>
      </c>
      <c r="AW977" s="3" t="s">
        <v>371</v>
      </c>
      <c r="AX977" s="3" t="s">
        <v>92</v>
      </c>
      <c r="AY977" s="3"/>
      <c r="AZ977" s="139"/>
      <c r="BA977" s="139"/>
      <c r="BB977" s="139"/>
      <c r="BC977" s="139"/>
      <c r="BD977" s="139"/>
      <c r="BE977" s="3"/>
    </row>
    <row r="978" spans="1:57" ht="15" customHeight="1" x14ac:dyDescent="0.4">
      <c r="A978" s="3"/>
      <c r="B978" s="36"/>
      <c r="C978" s="7"/>
      <c r="D978" s="7"/>
      <c r="E978" s="7"/>
      <c r="F978" s="7"/>
      <c r="G978" s="7"/>
      <c r="H978" s="14"/>
      <c r="I978" s="3"/>
      <c r="J978" s="3"/>
      <c r="K978" s="3"/>
      <c r="L978" s="3"/>
      <c r="M978" s="5"/>
      <c r="N978" s="5"/>
      <c r="O978" s="5"/>
      <c r="P978" s="5"/>
      <c r="Q978" s="5"/>
      <c r="R978" s="376"/>
      <c r="S978" s="56"/>
      <c r="T978" s="376"/>
      <c r="U978" s="14"/>
      <c r="V978" s="38" t="s">
        <v>369</v>
      </c>
      <c r="W978" s="3" t="s">
        <v>373</v>
      </c>
      <c r="X978" s="38" t="s">
        <v>369</v>
      </c>
      <c r="Y978" s="1443">
        <v>420536033</v>
      </c>
      <c r="Z978" s="1443"/>
      <c r="AA978" s="1443"/>
      <c r="AB978" s="14"/>
      <c r="AC978" s="3"/>
      <c r="AD978" s="3"/>
      <c r="AE978" s="56"/>
      <c r="AF978" s="3"/>
      <c r="AG978" s="38"/>
      <c r="AH978" s="38"/>
      <c r="AI978" s="492">
        <f>AI977</f>
        <v>0.97529999999999994</v>
      </c>
      <c r="AJ978" s="477"/>
      <c r="AK978" s="477"/>
      <c r="AL978" s="477"/>
      <c r="AM978" s="51">
        <f>AE$975*AI978+SUM(AJ978:AL978)</f>
        <v>1.9505999999999999</v>
      </c>
      <c r="AN978" s="3" t="s">
        <v>371</v>
      </c>
      <c r="AO978" s="3" t="s">
        <v>371</v>
      </c>
      <c r="AP978" s="3" t="s">
        <v>371</v>
      </c>
      <c r="AQ978" s="3" t="s">
        <v>371</v>
      </c>
      <c r="AR978" s="3" t="s">
        <v>371</v>
      </c>
      <c r="AS978" s="3" t="s">
        <v>371</v>
      </c>
      <c r="AT978" s="3" t="s">
        <v>371</v>
      </c>
      <c r="AU978" s="3" t="s">
        <v>371</v>
      </c>
      <c r="AV978" s="3" t="s">
        <v>81</v>
      </c>
      <c r="AW978" s="3" t="s">
        <v>371</v>
      </c>
      <c r="AX978" s="3" t="s">
        <v>92</v>
      </c>
      <c r="AY978" s="3"/>
      <c r="AZ978" s="139"/>
      <c r="BA978" s="139"/>
      <c r="BB978" s="139"/>
      <c r="BC978" s="139"/>
      <c r="BD978" s="139"/>
      <c r="BE978" s="3"/>
    </row>
    <row r="979" spans="1:57" ht="15" customHeight="1" thickBot="1" x14ac:dyDescent="0.45">
      <c r="A979" s="3"/>
      <c r="B979" s="36"/>
      <c r="C979" s="924"/>
      <c r="D979" s="924"/>
      <c r="E979" s="924"/>
      <c r="F979" s="924"/>
      <c r="G979" s="924"/>
      <c r="H979" s="948"/>
      <c r="I979" s="889"/>
      <c r="J979" s="889"/>
      <c r="K979" s="889"/>
      <c r="L979" s="889"/>
      <c r="M979" s="945"/>
      <c r="N979" s="945"/>
      <c r="O979" s="945"/>
      <c r="P979" s="945"/>
      <c r="Q979" s="945"/>
      <c r="R979" s="970"/>
      <c r="S979" s="1156"/>
      <c r="T979" s="970"/>
      <c r="U979" s="948"/>
      <c r="V979" s="888" t="s">
        <v>369</v>
      </c>
      <c r="W979" s="889" t="s">
        <v>375</v>
      </c>
      <c r="X979" s="888" t="s">
        <v>369</v>
      </c>
      <c r="Y979" s="1444">
        <v>420536133</v>
      </c>
      <c r="Z979" s="1444"/>
      <c r="AA979" s="1444"/>
      <c r="AB979" s="948"/>
      <c r="AC979" s="889"/>
      <c r="AD979" s="889"/>
      <c r="AE979" s="1156"/>
      <c r="AF979" s="889"/>
      <c r="AG979" s="888"/>
      <c r="AH979" s="888"/>
      <c r="AI979" s="942"/>
      <c r="AJ979" s="1157"/>
      <c r="AK979" s="1157"/>
      <c r="AL979" s="1157"/>
      <c r="AM979" s="937"/>
      <c r="AN979" s="889" t="s">
        <v>92</v>
      </c>
      <c r="AO979" s="889" t="s">
        <v>92</v>
      </c>
      <c r="AP979" s="889" t="s">
        <v>92</v>
      </c>
      <c r="AQ979" s="889" t="s">
        <v>92</v>
      </c>
      <c r="AR979" s="889" t="s">
        <v>92</v>
      </c>
      <c r="AS979" s="889" t="s">
        <v>92</v>
      </c>
      <c r="AT979" s="889" t="s">
        <v>92</v>
      </c>
      <c r="AU979" s="889" t="s">
        <v>92</v>
      </c>
      <c r="AV979" s="889" t="s">
        <v>92</v>
      </c>
      <c r="AW979" s="889" t="s">
        <v>92</v>
      </c>
      <c r="AX979" s="889" t="s">
        <v>371</v>
      </c>
      <c r="AY979" s="889"/>
      <c r="AZ979" s="139"/>
      <c r="BA979" s="139"/>
      <c r="BB979" s="139"/>
      <c r="BC979" s="139"/>
      <c r="BD979" s="139"/>
      <c r="BE979" s="3"/>
    </row>
    <row r="980" spans="1:57" ht="15" customHeight="1" x14ac:dyDescent="0.4">
      <c r="A980" s="3"/>
      <c r="B980" s="36"/>
      <c r="C980" s="509" t="s">
        <v>1964</v>
      </c>
      <c r="D980" s="3"/>
      <c r="E980" s="7"/>
      <c r="F980" s="3"/>
      <c r="G980" s="7"/>
      <c r="H980" s="14"/>
      <c r="I980" s="8"/>
      <c r="J980" s="3"/>
      <c r="K980" s="3"/>
      <c r="L980" s="3"/>
      <c r="M980" s="5"/>
      <c r="N980" s="5"/>
      <c r="O980" s="5"/>
      <c r="P980" s="5"/>
      <c r="Q980" s="5"/>
      <c r="R980" s="3"/>
      <c r="S980" s="56">
        <v>2</v>
      </c>
      <c r="T980" s="3" t="s">
        <v>385</v>
      </c>
      <c r="U980" s="14"/>
      <c r="V980" s="38"/>
      <c r="W980" s="3"/>
      <c r="X980" s="38"/>
      <c r="Y980" s="1443"/>
      <c r="Z980" s="1443"/>
      <c r="AA980" s="1443"/>
      <c r="AB980" s="14"/>
      <c r="AC980" s="3">
        <v>45</v>
      </c>
      <c r="AD980" s="3">
        <v>2</v>
      </c>
      <c r="AE980" s="56">
        <f>S980*AD980</f>
        <v>4</v>
      </c>
      <c r="AF980" s="3" t="s">
        <v>385</v>
      </c>
      <c r="AG980" s="38" t="s">
        <v>8</v>
      </c>
      <c r="AH980" s="38" t="s">
        <v>8</v>
      </c>
      <c r="AI980" s="51"/>
      <c r="AJ980" s="39"/>
      <c r="AK980" s="39"/>
      <c r="AL980" s="39"/>
      <c r="AM980" s="39"/>
      <c r="AN980" s="3" t="s">
        <v>371</v>
      </c>
      <c r="AO980" s="3" t="s">
        <v>371</v>
      </c>
      <c r="AP980" s="3" t="s">
        <v>371</v>
      </c>
      <c r="AQ980" s="3" t="s">
        <v>371</v>
      </c>
      <c r="AR980" s="3" t="s">
        <v>371</v>
      </c>
      <c r="AS980" s="3" t="s">
        <v>371</v>
      </c>
      <c r="AT980" s="3" t="s">
        <v>371</v>
      </c>
      <c r="AU980" s="3" t="s">
        <v>81</v>
      </c>
      <c r="AV980" s="3" t="s">
        <v>81</v>
      </c>
      <c r="AW980" s="3" t="s">
        <v>81</v>
      </c>
      <c r="AX980" s="3" t="s">
        <v>92</v>
      </c>
      <c r="AY980" s="3"/>
      <c r="AZ980" s="139"/>
      <c r="BA980" s="139"/>
      <c r="BB980" s="139"/>
      <c r="BC980" s="139"/>
      <c r="BD980" s="139"/>
      <c r="BE980" s="3"/>
    </row>
    <row r="981" spans="1:57" ht="15" customHeight="1" x14ac:dyDescent="0.4">
      <c r="A981" s="3"/>
      <c r="B981" s="36"/>
      <c r="C981" s="7"/>
      <c r="D981" s="7"/>
      <c r="E981" s="7"/>
      <c r="F981" s="7"/>
      <c r="G981" s="7"/>
      <c r="H981" s="14"/>
      <c r="I981" s="8"/>
      <c r="J981" s="3"/>
      <c r="K981" s="3"/>
      <c r="L981" s="3"/>
      <c r="M981" s="5"/>
      <c r="N981" s="5"/>
      <c r="O981" s="5"/>
      <c r="P981" s="5"/>
      <c r="Q981" s="5"/>
      <c r="R981" s="3"/>
      <c r="S981" s="56"/>
      <c r="T981" s="3"/>
      <c r="U981" s="14"/>
      <c r="V981" s="38" t="s">
        <v>369</v>
      </c>
      <c r="W981" s="3" t="s">
        <v>370</v>
      </c>
      <c r="X981" s="38" t="s">
        <v>369</v>
      </c>
      <c r="Y981" s="1443">
        <v>440023003</v>
      </c>
      <c r="Z981" s="1443"/>
      <c r="AA981" s="1443"/>
      <c r="AB981" s="14"/>
      <c r="AC981" s="3"/>
      <c r="AD981" s="3"/>
      <c r="AE981" s="5"/>
      <c r="AF981" s="5"/>
      <c r="AG981" s="38"/>
      <c r="AH981" s="38"/>
      <c r="AI981" s="1427">
        <v>3.7699999999999997E-2</v>
      </c>
      <c r="AJ981" s="477"/>
      <c r="AK981" s="477"/>
      <c r="AL981" s="477"/>
      <c r="AM981" s="51">
        <f>AE$980*AI981+SUM(AJ981:AL981)</f>
        <v>0.15079999999999999</v>
      </c>
      <c r="AN981" s="3" t="s">
        <v>371</v>
      </c>
      <c r="AO981" s="3" t="s">
        <v>371</v>
      </c>
      <c r="AP981" s="3" t="s">
        <v>371</v>
      </c>
      <c r="AQ981" s="3" t="s">
        <v>371</v>
      </c>
      <c r="AR981" s="3" t="s">
        <v>371</v>
      </c>
      <c r="AS981" s="3" t="s">
        <v>371</v>
      </c>
      <c r="AT981" s="3" t="s">
        <v>371</v>
      </c>
      <c r="AU981" s="3" t="s">
        <v>81</v>
      </c>
      <c r="AV981" s="3" t="s">
        <v>371</v>
      </c>
      <c r="AW981" s="3" t="s">
        <v>81</v>
      </c>
      <c r="AX981" s="3" t="s">
        <v>92</v>
      </c>
      <c r="AY981" s="3"/>
      <c r="AZ981" s="139"/>
      <c r="BA981" s="139"/>
      <c r="BB981" s="139"/>
      <c r="BC981" s="139"/>
      <c r="BD981" s="139"/>
      <c r="BE981" s="3"/>
    </row>
    <row r="982" spans="1:57" ht="15" customHeight="1" x14ac:dyDescent="0.4">
      <c r="A982" s="3"/>
      <c r="B982" s="36"/>
      <c r="C982" s="7"/>
      <c r="D982" s="7"/>
      <c r="E982" s="7"/>
      <c r="F982" s="7"/>
      <c r="G982" s="7"/>
      <c r="H982" s="14"/>
      <c r="I982" s="8"/>
      <c r="J982" s="3"/>
      <c r="K982" s="3"/>
      <c r="L982" s="3"/>
      <c r="M982" s="5"/>
      <c r="N982" s="5"/>
      <c r="O982" s="5"/>
      <c r="P982" s="5"/>
      <c r="Q982" s="5"/>
      <c r="R982" s="3"/>
      <c r="S982" s="56"/>
      <c r="T982" s="3"/>
      <c r="U982" s="14"/>
      <c r="V982" s="38" t="s">
        <v>369</v>
      </c>
      <c r="W982" s="3" t="s">
        <v>372</v>
      </c>
      <c r="X982" s="38" t="s">
        <v>369</v>
      </c>
      <c r="Y982" s="1443">
        <v>440023021</v>
      </c>
      <c r="Z982" s="1443"/>
      <c r="AA982" s="1443"/>
      <c r="AB982" s="14"/>
      <c r="AC982" s="3"/>
      <c r="AD982" s="3"/>
      <c r="AE982" s="56"/>
      <c r="AF982" s="3"/>
      <c r="AG982" s="38"/>
      <c r="AH982" s="38"/>
      <c r="AI982" s="492">
        <f>AI981</f>
        <v>3.7699999999999997E-2</v>
      </c>
      <c r="AJ982" s="477"/>
      <c r="AK982" s="477"/>
      <c r="AL982" s="477"/>
      <c r="AM982" s="51">
        <f t="shared" ref="AM982" si="116">AE$980*AI982+SUM(AJ982:AL982)</f>
        <v>0.15079999999999999</v>
      </c>
      <c r="AN982" s="3" t="s">
        <v>371</v>
      </c>
      <c r="AO982" s="3" t="s">
        <v>371</v>
      </c>
      <c r="AP982" s="3" t="s">
        <v>371</v>
      </c>
      <c r="AQ982" s="3" t="s">
        <v>371</v>
      </c>
      <c r="AR982" s="3" t="s">
        <v>371</v>
      </c>
      <c r="AS982" s="3" t="s">
        <v>371</v>
      </c>
      <c r="AT982" s="3" t="s">
        <v>371</v>
      </c>
      <c r="AU982" s="3" t="s">
        <v>371</v>
      </c>
      <c r="AV982" s="3" t="s">
        <v>371</v>
      </c>
      <c r="AW982" s="3" t="s">
        <v>371</v>
      </c>
      <c r="AX982" s="3" t="s">
        <v>92</v>
      </c>
      <c r="AY982" s="3"/>
      <c r="AZ982" s="139"/>
      <c r="BA982" s="139"/>
      <c r="BB982" s="139"/>
      <c r="BC982" s="139"/>
      <c r="BD982" s="139"/>
      <c r="BE982" s="3"/>
    </row>
    <row r="983" spans="1:57" ht="15" customHeight="1" x14ac:dyDescent="0.4">
      <c r="A983" s="3"/>
      <c r="B983" s="36"/>
      <c r="C983" s="7"/>
      <c r="D983" s="7"/>
      <c r="E983" s="7"/>
      <c r="F983" s="7"/>
      <c r="G983" s="7"/>
      <c r="H983" s="14"/>
      <c r="I983" s="8"/>
      <c r="J983" s="3"/>
      <c r="K983" s="3"/>
      <c r="L983" s="3"/>
      <c r="M983" s="5"/>
      <c r="N983" s="5"/>
      <c r="O983" s="5"/>
      <c r="P983" s="5"/>
      <c r="Q983" s="5"/>
      <c r="R983" s="3"/>
      <c r="S983" s="56"/>
      <c r="T983" s="3"/>
      <c r="U983" s="14"/>
      <c r="V983" s="38" t="s">
        <v>369</v>
      </c>
      <c r="W983" s="3" t="s">
        <v>373</v>
      </c>
      <c r="X983" s="38" t="s">
        <v>369</v>
      </c>
      <c r="Y983" s="1443">
        <v>440023033</v>
      </c>
      <c r="Z983" s="1443"/>
      <c r="AA983" s="1443"/>
      <c r="AB983" s="14"/>
      <c r="AC983" s="3"/>
      <c r="AD983" s="3"/>
      <c r="AE983" s="56"/>
      <c r="AF983" s="3"/>
      <c r="AG983" s="38"/>
      <c r="AH983" s="38"/>
      <c r="AI983" s="492">
        <f>AI982</f>
        <v>3.7699999999999997E-2</v>
      </c>
      <c r="AJ983" s="477"/>
      <c r="AK983" s="477"/>
      <c r="AL983" s="477"/>
      <c r="AM983" s="51">
        <f>AE$980*AI983+SUM(AJ983:AL983)</f>
        <v>0.15079999999999999</v>
      </c>
      <c r="AN983" s="3" t="s">
        <v>371</v>
      </c>
      <c r="AO983" s="3" t="s">
        <v>371</v>
      </c>
      <c r="AP983" s="3" t="s">
        <v>371</v>
      </c>
      <c r="AQ983" s="3" t="s">
        <v>371</v>
      </c>
      <c r="AR983" s="3" t="s">
        <v>371</v>
      </c>
      <c r="AS983" s="3" t="s">
        <v>371</v>
      </c>
      <c r="AT983" s="3" t="s">
        <v>371</v>
      </c>
      <c r="AU983" s="3" t="s">
        <v>371</v>
      </c>
      <c r="AV983" s="3" t="s">
        <v>81</v>
      </c>
      <c r="AW983" s="3" t="s">
        <v>371</v>
      </c>
      <c r="AX983" s="3" t="s">
        <v>92</v>
      </c>
      <c r="AY983" s="3"/>
      <c r="AZ983" s="139"/>
      <c r="BA983" s="139"/>
      <c r="BB983" s="139"/>
      <c r="BC983" s="139"/>
      <c r="BD983" s="139"/>
      <c r="BE983" s="3"/>
    </row>
    <row r="984" spans="1:57" ht="15" customHeight="1" thickBot="1" x14ac:dyDescent="0.45">
      <c r="A984" s="3"/>
      <c r="B984" s="943"/>
      <c r="C984" s="924"/>
      <c r="D984" s="924"/>
      <c r="E984" s="924"/>
      <c r="F984" s="924"/>
      <c r="G984" s="924"/>
      <c r="H984" s="948"/>
      <c r="I984" s="949"/>
      <c r="J984" s="889"/>
      <c r="K984" s="889"/>
      <c r="L984" s="889"/>
      <c r="M984" s="945"/>
      <c r="N984" s="945"/>
      <c r="O984" s="945"/>
      <c r="P984" s="945"/>
      <c r="Q984" s="945"/>
      <c r="R984" s="889"/>
      <c r="S984" s="1156"/>
      <c r="T984" s="889"/>
      <c r="U984" s="948"/>
      <c r="V984" s="888" t="s">
        <v>369</v>
      </c>
      <c r="W984" s="889" t="s">
        <v>375</v>
      </c>
      <c r="X984" s="888" t="s">
        <v>369</v>
      </c>
      <c r="Y984" s="1444">
        <v>440023133</v>
      </c>
      <c r="Z984" s="1444"/>
      <c r="AA984" s="1444"/>
      <c r="AB984" s="948"/>
      <c r="AC984" s="889"/>
      <c r="AD984" s="889"/>
      <c r="AE984" s="1156"/>
      <c r="AF984" s="889"/>
      <c r="AG984" s="888"/>
      <c r="AH984" s="888"/>
      <c r="AI984" s="942"/>
      <c r="AJ984" s="1157"/>
      <c r="AK984" s="1157"/>
      <c r="AL984" s="1157"/>
      <c r="AM984" s="937"/>
      <c r="AN984" s="889" t="s">
        <v>92</v>
      </c>
      <c r="AO984" s="889" t="s">
        <v>92</v>
      </c>
      <c r="AP984" s="889" t="s">
        <v>92</v>
      </c>
      <c r="AQ984" s="889" t="s">
        <v>92</v>
      </c>
      <c r="AR984" s="889" t="s">
        <v>92</v>
      </c>
      <c r="AS984" s="889" t="s">
        <v>92</v>
      </c>
      <c r="AT984" s="889" t="s">
        <v>92</v>
      </c>
      <c r="AU984" s="889" t="s">
        <v>92</v>
      </c>
      <c r="AV984" s="889" t="s">
        <v>92</v>
      </c>
      <c r="AW984" s="889" t="s">
        <v>92</v>
      </c>
      <c r="AX984" s="889" t="s">
        <v>371</v>
      </c>
      <c r="AY984" s="889"/>
      <c r="AZ984" s="139"/>
      <c r="BA984" s="139"/>
      <c r="BB984" s="139"/>
      <c r="BC984" s="139"/>
      <c r="BD984" s="139"/>
      <c r="BE984" s="3"/>
    </row>
    <row r="985" spans="1:57" ht="15" customHeight="1" x14ac:dyDescent="0.4">
      <c r="A985" s="3"/>
      <c r="B985" s="7" t="s">
        <v>897</v>
      </c>
      <c r="C985" s="173"/>
      <c r="D985" s="173"/>
      <c r="E985" s="173"/>
      <c r="F985" s="173"/>
      <c r="G985" s="173"/>
      <c r="H985" s="193"/>
      <c r="I985" s="116"/>
      <c r="J985" s="116"/>
      <c r="K985" s="116"/>
      <c r="L985" s="116"/>
      <c r="M985" s="177"/>
      <c r="N985" s="177"/>
      <c r="O985" s="177"/>
      <c r="P985" s="177"/>
      <c r="Q985" s="177"/>
      <c r="R985" s="177"/>
      <c r="S985" s="198"/>
      <c r="T985" s="381"/>
      <c r="U985" s="193"/>
      <c r="V985" s="179"/>
      <c r="W985" s="116"/>
      <c r="X985" s="179"/>
      <c r="Y985" s="1449"/>
      <c r="Z985" s="1449"/>
      <c r="AA985" s="1449"/>
      <c r="AB985" s="193"/>
      <c r="AC985" s="116"/>
      <c r="AD985" s="116"/>
      <c r="AE985" s="177"/>
      <c r="AF985" s="177"/>
      <c r="AG985" s="179"/>
      <c r="AH985" s="179"/>
      <c r="AI985" s="493"/>
      <c r="AJ985" s="481"/>
      <c r="AK985" s="481"/>
      <c r="AL985" s="481"/>
      <c r="AM985" s="180"/>
      <c r="AN985" s="180"/>
      <c r="AO985" s="180"/>
      <c r="AP985" s="180"/>
      <c r="AQ985" s="180"/>
      <c r="AR985" s="180"/>
      <c r="AS985" s="180"/>
      <c r="AT985" s="180"/>
      <c r="AU985" s="180"/>
      <c r="AV985" s="180"/>
      <c r="AW985" s="180"/>
      <c r="AX985" s="180"/>
      <c r="AY985" s="180"/>
      <c r="AZ985" s="139"/>
      <c r="BA985" s="139"/>
      <c r="BB985" s="139"/>
      <c r="BC985" s="139"/>
      <c r="BD985" s="139"/>
      <c r="BE985" s="3"/>
    </row>
    <row r="986" spans="1:57" ht="15" customHeight="1" x14ac:dyDescent="0.4">
      <c r="A986" s="3"/>
      <c r="B986" s="3"/>
      <c r="C986" s="7" t="s">
        <v>899</v>
      </c>
      <c r="D986" s="4"/>
      <c r="E986" s="7"/>
      <c r="F986" s="4"/>
      <c r="G986" s="7"/>
      <c r="H986" s="14"/>
      <c r="I986" s="500" t="s">
        <v>461</v>
      </c>
      <c r="J986" s="3"/>
      <c r="K986" s="3" t="s">
        <v>392</v>
      </c>
      <c r="L986" s="3" t="s">
        <v>465</v>
      </c>
      <c r="M986" s="24">
        <f>SHTwoLockCutoff</f>
        <v>25</v>
      </c>
      <c r="N986" s="5"/>
      <c r="O986" s="5"/>
      <c r="P986" s="5"/>
      <c r="Q986" s="5"/>
      <c r="R986" s="5" t="s">
        <v>352</v>
      </c>
      <c r="S986" s="56">
        <v>1</v>
      </c>
      <c r="T986" s="3" t="s">
        <v>385</v>
      </c>
      <c r="U986" s="14"/>
      <c r="V986" s="4"/>
      <c r="W986" s="4"/>
      <c r="X986" s="4"/>
      <c r="Y986" s="1443"/>
      <c r="Z986" s="1443"/>
      <c r="AA986" s="1443"/>
      <c r="AB986" s="14"/>
      <c r="AC986" s="3">
        <v>45</v>
      </c>
      <c r="AD986" s="3">
        <f>IF((SHWidth&lt;M986),1,2)</f>
        <v>2</v>
      </c>
      <c r="AE986" s="56">
        <f>S986*AD986</f>
        <v>2</v>
      </c>
      <c r="AF986" s="3" t="s">
        <v>385</v>
      </c>
      <c r="AG986" s="38" t="s">
        <v>8</v>
      </c>
      <c r="AH986" s="38" t="s">
        <v>8</v>
      </c>
      <c r="AI986" s="51"/>
      <c r="AJ986" s="39"/>
      <c r="AK986" s="39"/>
      <c r="AL986" s="39"/>
      <c r="AM986" s="39"/>
      <c r="AN986" s="3" t="s">
        <v>81</v>
      </c>
      <c r="AO986" s="3" t="s">
        <v>81</v>
      </c>
      <c r="AP986" s="3" t="s">
        <v>81</v>
      </c>
      <c r="AQ986" s="3" t="s">
        <v>81</v>
      </c>
      <c r="AR986" s="3" t="s">
        <v>81</v>
      </c>
      <c r="AS986" s="3" t="s">
        <v>81</v>
      </c>
      <c r="AT986" s="3" t="s">
        <v>81</v>
      </c>
      <c r="AU986" s="3" t="s">
        <v>81</v>
      </c>
      <c r="AV986" s="3" t="s">
        <v>81</v>
      </c>
      <c r="AW986" s="3" t="s">
        <v>81</v>
      </c>
      <c r="AX986" s="3" t="s">
        <v>92</v>
      </c>
      <c r="AY986" s="3"/>
      <c r="AZ986" s="139"/>
      <c r="BA986" s="139"/>
      <c r="BB986" s="139"/>
      <c r="BC986" s="139"/>
      <c r="BD986" s="139"/>
      <c r="BE986" s="3"/>
    </row>
    <row r="987" spans="1:57" ht="15" customHeight="1" x14ac:dyDescent="0.4">
      <c r="A987" s="3"/>
      <c r="B987" s="7"/>
      <c r="C987" s="4"/>
      <c r="D987" s="4"/>
      <c r="E987" s="7"/>
      <c r="F987" s="4"/>
      <c r="G987" s="7"/>
      <c r="H987" s="14"/>
      <c r="I987" s="36" t="s">
        <v>464</v>
      </c>
      <c r="J987" s="38"/>
      <c r="K987" s="3" t="s">
        <v>392</v>
      </c>
      <c r="L987" s="3" t="s">
        <v>463</v>
      </c>
      <c r="M987" s="5">
        <f>SHTwoLockCutoff</f>
        <v>25</v>
      </c>
      <c r="N987" s="5"/>
      <c r="O987" s="5"/>
      <c r="P987" s="5"/>
      <c r="Q987" s="5"/>
      <c r="R987" s="3" t="s">
        <v>352</v>
      </c>
      <c r="S987" s="56">
        <v>2</v>
      </c>
      <c r="T987" s="3"/>
      <c r="U987" s="14"/>
      <c r="V987" s="38" t="s">
        <v>369</v>
      </c>
      <c r="W987" s="3" t="s">
        <v>370</v>
      </c>
      <c r="X987" s="38" t="s">
        <v>369</v>
      </c>
      <c r="Y987" s="1443">
        <v>420126003</v>
      </c>
      <c r="Z987" s="1443"/>
      <c r="AA987" s="1443"/>
      <c r="AB987" s="14"/>
      <c r="AC987" s="3"/>
      <c r="AD987" s="3"/>
      <c r="AE987" s="5"/>
      <c r="AF987" s="5"/>
      <c r="AG987" s="38"/>
      <c r="AH987" s="38"/>
      <c r="AI987" s="353">
        <v>0.24</v>
      </c>
      <c r="AJ987" s="39"/>
      <c r="AK987" s="39"/>
      <c r="AL987" s="39"/>
      <c r="AM987" s="51">
        <f>AE$986*AI987+SUM(AJ987:AL987)</f>
        <v>0.48</v>
      </c>
      <c r="AN987" s="3" t="s">
        <v>81</v>
      </c>
      <c r="AO987" s="3" t="s">
        <v>81</v>
      </c>
      <c r="AP987" s="3" t="s">
        <v>81</v>
      </c>
      <c r="AQ987" s="3" t="s">
        <v>81</v>
      </c>
      <c r="AR987" s="3" t="s">
        <v>81</v>
      </c>
      <c r="AS987" s="3" t="s">
        <v>81</v>
      </c>
      <c r="AT987" s="3" t="s">
        <v>81</v>
      </c>
      <c r="AU987" s="3" t="s">
        <v>81</v>
      </c>
      <c r="AV987" s="3" t="s">
        <v>371</v>
      </c>
      <c r="AW987" s="3" t="s">
        <v>81</v>
      </c>
      <c r="AX987" s="3" t="s">
        <v>92</v>
      </c>
      <c r="AY987" s="3"/>
      <c r="AZ987" s="139"/>
      <c r="BA987" s="139"/>
      <c r="BB987" s="139"/>
      <c r="BC987" s="139"/>
      <c r="BD987" s="139"/>
      <c r="BE987" s="3"/>
    </row>
    <row r="988" spans="1:57" ht="15" customHeight="1" x14ac:dyDescent="0.4">
      <c r="A988" s="3"/>
      <c r="B988" s="36"/>
      <c r="C988" s="36"/>
      <c r="D988" s="36"/>
      <c r="E988" s="7"/>
      <c r="F988" s="36"/>
      <c r="G988" s="7"/>
      <c r="H988" s="14"/>
      <c r="I988" s="3"/>
      <c r="J988" s="3"/>
      <c r="K988" s="3"/>
      <c r="L988" s="3"/>
      <c r="M988" s="5"/>
      <c r="N988" s="5"/>
      <c r="O988" s="5"/>
      <c r="P988" s="5"/>
      <c r="Q988" s="5"/>
      <c r="R988" s="3"/>
      <c r="S988" s="5"/>
      <c r="T988" s="3"/>
      <c r="U988" s="14"/>
      <c r="V988" s="38" t="s">
        <v>369</v>
      </c>
      <c r="W988" s="3" t="s">
        <v>372</v>
      </c>
      <c r="X988" s="38" t="s">
        <v>369</v>
      </c>
      <c r="Y988" s="1443">
        <v>420126021</v>
      </c>
      <c r="Z988" s="1443"/>
      <c r="AA988" s="1443"/>
      <c r="AB988" s="14"/>
      <c r="AC988" s="3"/>
      <c r="AD988" s="3"/>
      <c r="AE988" s="56"/>
      <c r="AF988" s="3"/>
      <c r="AG988" s="38"/>
      <c r="AH988" s="38"/>
      <c r="AI988" s="353">
        <f>AI987</f>
        <v>0.24</v>
      </c>
      <c r="AJ988" s="39"/>
      <c r="AK988" s="39"/>
      <c r="AL988" s="39"/>
      <c r="AM988" s="51">
        <f t="shared" ref="AM988" si="117">AE$986*AI988+SUM(AJ988:AL988)</f>
        <v>0.48</v>
      </c>
      <c r="AN988" s="3" t="s">
        <v>371</v>
      </c>
      <c r="AO988" s="3" t="s">
        <v>371</v>
      </c>
      <c r="AP988" s="3" t="s">
        <v>371</v>
      </c>
      <c r="AQ988" s="3" t="s">
        <v>371</v>
      </c>
      <c r="AR988" s="3" t="s">
        <v>371</v>
      </c>
      <c r="AS988" s="3" t="s">
        <v>371</v>
      </c>
      <c r="AT988" s="3" t="s">
        <v>371</v>
      </c>
      <c r="AU988" s="3" t="s">
        <v>371</v>
      </c>
      <c r="AV988" s="3" t="s">
        <v>371</v>
      </c>
      <c r="AW988" s="3" t="s">
        <v>371</v>
      </c>
      <c r="AX988" s="3" t="s">
        <v>92</v>
      </c>
      <c r="AY988" s="3"/>
      <c r="AZ988" s="139"/>
      <c r="BA988" s="139"/>
      <c r="BB988" s="139"/>
      <c r="BC988" s="139"/>
      <c r="BD988" s="139"/>
      <c r="BE988" s="3"/>
    </row>
    <row r="989" spans="1:57" ht="15" customHeight="1" x14ac:dyDescent="0.4">
      <c r="A989" s="3"/>
      <c r="B989" s="36"/>
      <c r="C989" s="36"/>
      <c r="D989" s="36"/>
      <c r="E989" s="7"/>
      <c r="F989" s="36"/>
      <c r="G989" s="7"/>
      <c r="H989" s="14"/>
      <c r="I989" s="3"/>
      <c r="J989" s="38"/>
      <c r="K989" s="3"/>
      <c r="L989" s="3"/>
      <c r="M989" s="5"/>
      <c r="N989" s="5"/>
      <c r="O989" s="5"/>
      <c r="P989" s="5"/>
      <c r="Q989" s="5"/>
      <c r="R989" s="3"/>
      <c r="S989" s="56"/>
      <c r="T989" s="3"/>
      <c r="U989" s="14"/>
      <c r="V989" s="38" t="s">
        <v>369</v>
      </c>
      <c r="W989" s="3" t="s">
        <v>373</v>
      </c>
      <c r="X989" s="38" t="s">
        <v>369</v>
      </c>
      <c r="Y989" s="1443">
        <v>420126033</v>
      </c>
      <c r="Z989" s="1443"/>
      <c r="AA989" s="1443"/>
      <c r="AB989" s="14"/>
      <c r="AC989" s="3"/>
      <c r="AD989" s="3"/>
      <c r="AE989" s="56"/>
      <c r="AF989" s="3"/>
      <c r="AG989" s="38"/>
      <c r="AH989" s="38"/>
      <c r="AI989" s="353">
        <f>AI988</f>
        <v>0.24</v>
      </c>
      <c r="AJ989" s="39"/>
      <c r="AK989" s="39"/>
      <c r="AL989" s="39"/>
      <c r="AM989" s="51">
        <f>AE$986*AI989+SUM(AJ989:AL989)</f>
        <v>0.48</v>
      </c>
      <c r="AN989" s="3" t="s">
        <v>371</v>
      </c>
      <c r="AO989" s="3" t="s">
        <v>371</v>
      </c>
      <c r="AP989" s="3" t="s">
        <v>371</v>
      </c>
      <c r="AQ989" s="3" t="s">
        <v>371</v>
      </c>
      <c r="AR989" s="3" t="s">
        <v>371</v>
      </c>
      <c r="AS989" s="3" t="s">
        <v>371</v>
      </c>
      <c r="AT989" s="3" t="s">
        <v>371</v>
      </c>
      <c r="AU989" s="3" t="s">
        <v>371</v>
      </c>
      <c r="AV989" s="3" t="s">
        <v>81</v>
      </c>
      <c r="AW989" s="3" t="s">
        <v>371</v>
      </c>
      <c r="AX989" s="3" t="s">
        <v>92</v>
      </c>
      <c r="AY989" s="3"/>
      <c r="AZ989" s="139"/>
      <c r="BA989" s="139"/>
      <c r="BB989" s="139"/>
      <c r="BC989" s="139"/>
      <c r="BD989" s="139"/>
      <c r="BE989" s="3"/>
    </row>
    <row r="990" spans="1:57" ht="15" customHeight="1" thickBot="1" x14ac:dyDescent="0.45">
      <c r="A990" s="3"/>
      <c r="B990" s="36"/>
      <c r="C990" s="943"/>
      <c r="D990" s="943"/>
      <c r="E990" s="924"/>
      <c r="F990" s="943"/>
      <c r="G990" s="924"/>
      <c r="H990" s="948"/>
      <c r="I990" s="889"/>
      <c r="J990" s="889"/>
      <c r="K990" s="889"/>
      <c r="L990" s="889"/>
      <c r="M990" s="945"/>
      <c r="N990" s="945"/>
      <c r="O990" s="945"/>
      <c r="P990" s="945"/>
      <c r="Q990" s="945"/>
      <c r="R990" s="889"/>
      <c r="S990" s="1156"/>
      <c r="T990" s="889"/>
      <c r="U990" s="948"/>
      <c r="V990" s="888" t="s">
        <v>369</v>
      </c>
      <c r="W990" s="889" t="s">
        <v>375</v>
      </c>
      <c r="X990" s="888" t="s">
        <v>369</v>
      </c>
      <c r="Y990" s="1444">
        <v>420126133</v>
      </c>
      <c r="Z990" s="1444"/>
      <c r="AA990" s="1444"/>
      <c r="AB990" s="948"/>
      <c r="AC990" s="889"/>
      <c r="AD990" s="889"/>
      <c r="AE990" s="945"/>
      <c r="AF990" s="945"/>
      <c r="AG990" s="945"/>
      <c r="AH990" s="945"/>
      <c r="AI990" s="937"/>
      <c r="AJ990" s="937"/>
      <c r="AK990" s="937"/>
      <c r="AL990" s="937"/>
      <c r="AM990" s="947"/>
      <c r="AN990" s="889" t="s">
        <v>92</v>
      </c>
      <c r="AO990" s="889" t="s">
        <v>92</v>
      </c>
      <c r="AP990" s="889" t="s">
        <v>92</v>
      </c>
      <c r="AQ990" s="889" t="s">
        <v>92</v>
      </c>
      <c r="AR990" s="889" t="s">
        <v>92</v>
      </c>
      <c r="AS990" s="889" t="s">
        <v>92</v>
      </c>
      <c r="AT990" s="889" t="s">
        <v>92</v>
      </c>
      <c r="AU990" s="889" t="s">
        <v>92</v>
      </c>
      <c r="AV990" s="889" t="s">
        <v>92</v>
      </c>
      <c r="AW990" s="889" t="s">
        <v>92</v>
      </c>
      <c r="AX990" s="889" t="s">
        <v>81</v>
      </c>
      <c r="AY990" s="889"/>
      <c r="AZ990" s="139"/>
      <c r="BA990" s="139"/>
      <c r="BB990" s="139"/>
      <c r="BC990" s="139"/>
      <c r="BD990" s="139"/>
      <c r="BE990" s="3"/>
    </row>
    <row r="991" spans="1:57" ht="15" customHeight="1" x14ac:dyDescent="0.4">
      <c r="A991" s="3"/>
      <c r="B991" s="3"/>
      <c r="C991" s="476" t="s">
        <v>900</v>
      </c>
      <c r="D991" s="116"/>
      <c r="E991" s="173"/>
      <c r="F991" s="116"/>
      <c r="G991" s="173"/>
      <c r="H991" s="193"/>
      <c r="I991" s="114" t="s">
        <v>901</v>
      </c>
      <c r="J991" s="116"/>
      <c r="K991" s="116"/>
      <c r="L991" s="116"/>
      <c r="M991" s="177"/>
      <c r="N991" s="177"/>
      <c r="O991" s="177"/>
      <c r="P991" s="177"/>
      <c r="Q991" s="177"/>
      <c r="R991" s="116"/>
      <c r="S991" s="198">
        <v>2</v>
      </c>
      <c r="T991" s="116" t="s">
        <v>385</v>
      </c>
      <c r="U991" s="193"/>
      <c r="V991" s="179"/>
      <c r="W991" s="116"/>
      <c r="X991" s="179"/>
      <c r="Y991" s="1449"/>
      <c r="Z991" s="1449"/>
      <c r="AA991" s="1449"/>
      <c r="AB991" s="193"/>
      <c r="AC991" s="3">
        <v>45</v>
      </c>
      <c r="AD991" s="3">
        <f>AD986</f>
        <v>2</v>
      </c>
      <c r="AE991" s="56">
        <f>S991*AD991</f>
        <v>4</v>
      </c>
      <c r="AF991" s="3" t="s">
        <v>385</v>
      </c>
      <c r="AG991" s="179" t="s">
        <v>8</v>
      </c>
      <c r="AH991" s="179" t="s">
        <v>8</v>
      </c>
      <c r="AI991" s="185"/>
      <c r="AJ991" s="180"/>
      <c r="AK991" s="180"/>
      <c r="AL991" s="180"/>
      <c r="AM991" s="180"/>
      <c r="AN991" s="3" t="s">
        <v>81</v>
      </c>
      <c r="AO991" s="3" t="s">
        <v>81</v>
      </c>
      <c r="AP991" s="3" t="s">
        <v>81</v>
      </c>
      <c r="AQ991" s="3" t="s">
        <v>81</v>
      </c>
      <c r="AR991" s="3" t="s">
        <v>81</v>
      </c>
      <c r="AS991" s="3" t="s">
        <v>81</v>
      </c>
      <c r="AT991" s="3" t="s">
        <v>81</v>
      </c>
      <c r="AU991" s="3" t="s">
        <v>92</v>
      </c>
      <c r="AV991" s="3" t="s">
        <v>92</v>
      </c>
      <c r="AW991" s="3" t="s">
        <v>92</v>
      </c>
      <c r="AX991" s="3" t="s">
        <v>92</v>
      </c>
      <c r="AY991" s="3"/>
      <c r="AZ991" s="139"/>
      <c r="BA991" s="139"/>
      <c r="BB991" s="139"/>
      <c r="BC991" s="139"/>
      <c r="BD991" s="139"/>
      <c r="BE991" s="3"/>
    </row>
    <row r="992" spans="1:57" ht="15" customHeight="1" x14ac:dyDescent="0.4">
      <c r="A992" s="3"/>
      <c r="B992" s="36"/>
      <c r="C992" s="727" t="s">
        <v>1980</v>
      </c>
      <c r="D992" s="7"/>
      <c r="E992" s="7"/>
      <c r="F992" s="7"/>
      <c r="G992" s="7"/>
      <c r="H992" s="14"/>
      <c r="I992" s="8"/>
      <c r="J992" s="3"/>
      <c r="K992" s="3"/>
      <c r="L992" s="3"/>
      <c r="M992" s="5"/>
      <c r="N992" s="5"/>
      <c r="O992" s="5"/>
      <c r="P992" s="5"/>
      <c r="Q992" s="5"/>
      <c r="R992" s="3"/>
      <c r="S992" s="56"/>
      <c r="T992" s="3"/>
      <c r="U992" s="14"/>
      <c r="V992" s="38" t="s">
        <v>369</v>
      </c>
      <c r="W992" s="3" t="s">
        <v>370</v>
      </c>
      <c r="X992" s="38" t="s">
        <v>369</v>
      </c>
      <c r="Y992" s="1443">
        <v>440029003</v>
      </c>
      <c r="Z992" s="1443"/>
      <c r="AA992" s="1443"/>
      <c r="AB992" s="14"/>
      <c r="AC992" s="3"/>
      <c r="AD992" s="3"/>
      <c r="AE992" s="5"/>
      <c r="AF992" s="5"/>
      <c r="AG992" s="3"/>
      <c r="AH992" s="3"/>
      <c r="AI992" s="1427">
        <v>7.0000000000000001E-3</v>
      </c>
      <c r="AJ992" s="477"/>
      <c r="AK992" s="477"/>
      <c r="AL992" s="477"/>
      <c r="AM992" s="51">
        <f>AE$991*AI992+SUM(AJ992:AL992)</f>
        <v>2.8000000000000001E-2</v>
      </c>
      <c r="AN992" s="3" t="s">
        <v>81</v>
      </c>
      <c r="AO992" s="3" t="s">
        <v>81</v>
      </c>
      <c r="AP992" s="3" t="s">
        <v>81</v>
      </c>
      <c r="AQ992" s="3" t="s">
        <v>81</v>
      </c>
      <c r="AR992" s="3" t="s">
        <v>81</v>
      </c>
      <c r="AS992" s="3" t="s">
        <v>81</v>
      </c>
      <c r="AT992" s="3" t="s">
        <v>81</v>
      </c>
      <c r="AU992" s="3" t="s">
        <v>92</v>
      </c>
      <c r="AV992" s="3" t="s">
        <v>92</v>
      </c>
      <c r="AW992" s="3" t="s">
        <v>92</v>
      </c>
      <c r="AX992" s="3" t="s">
        <v>92</v>
      </c>
      <c r="AY992" s="3"/>
      <c r="AZ992" s="139"/>
      <c r="BA992" s="139"/>
      <c r="BB992" s="139"/>
      <c r="BC992" s="139"/>
      <c r="BD992" s="139"/>
      <c r="BE992" s="3"/>
    </row>
    <row r="993" spans="1:57" ht="15" customHeight="1" x14ac:dyDescent="0.4">
      <c r="A993" s="3"/>
      <c r="B993" s="36"/>
      <c r="C993" s="7"/>
      <c r="D993" s="7"/>
      <c r="E993" s="7"/>
      <c r="F993" s="7"/>
      <c r="G993" s="7"/>
      <c r="H993" s="14"/>
      <c r="I993" s="8"/>
      <c r="J993" s="3"/>
      <c r="K993" s="3"/>
      <c r="L993" s="3"/>
      <c r="M993" s="5"/>
      <c r="N993" s="5"/>
      <c r="O993" s="5"/>
      <c r="P993" s="5"/>
      <c r="Q993" s="5"/>
      <c r="R993" s="3"/>
      <c r="S993" s="56"/>
      <c r="T993" s="3"/>
      <c r="U993" s="14"/>
      <c r="V993" s="38" t="s">
        <v>369</v>
      </c>
      <c r="W993" s="3" t="s">
        <v>372</v>
      </c>
      <c r="X993" s="38" t="s">
        <v>369</v>
      </c>
      <c r="Y993" s="1443">
        <v>440029021</v>
      </c>
      <c r="Z993" s="1443"/>
      <c r="AA993" s="1443"/>
      <c r="AB993" s="14"/>
      <c r="AC993" s="3"/>
      <c r="AD993" s="3"/>
      <c r="AE993" s="56"/>
      <c r="AF993" s="3"/>
      <c r="AG993" s="38"/>
      <c r="AH993" s="38"/>
      <c r="AI993" s="1427">
        <f>AI992</f>
        <v>7.0000000000000001E-3</v>
      </c>
      <c r="AJ993" s="477"/>
      <c r="AK993" s="477"/>
      <c r="AL993" s="477"/>
      <c r="AM993" s="51">
        <f t="shared" ref="AM993:AM994" si="118">AE$991*AI993+SUM(AJ993:AL993)</f>
        <v>2.8000000000000001E-2</v>
      </c>
      <c r="AN993" s="3" t="s">
        <v>371</v>
      </c>
      <c r="AO993" s="3" t="s">
        <v>371</v>
      </c>
      <c r="AP993" s="3" t="s">
        <v>371</v>
      </c>
      <c r="AQ993" s="3" t="s">
        <v>371</v>
      </c>
      <c r="AR993" s="3" t="s">
        <v>371</v>
      </c>
      <c r="AS993" s="3" t="s">
        <v>371</v>
      </c>
      <c r="AT993" s="3" t="s">
        <v>371</v>
      </c>
      <c r="AU993" s="3" t="s">
        <v>92</v>
      </c>
      <c r="AV993" s="3" t="s">
        <v>92</v>
      </c>
      <c r="AW993" s="3" t="s">
        <v>92</v>
      </c>
      <c r="AX993" s="3" t="s">
        <v>92</v>
      </c>
      <c r="AY993" s="3"/>
      <c r="AZ993" s="139"/>
      <c r="BA993" s="139"/>
      <c r="BB993" s="139"/>
      <c r="BC993" s="139"/>
      <c r="BD993" s="139"/>
      <c r="BE993" s="3"/>
    </row>
    <row r="994" spans="1:57" ht="15" customHeight="1" x14ac:dyDescent="0.4">
      <c r="A994" s="3"/>
      <c r="B994" s="36"/>
      <c r="C994" s="7"/>
      <c r="D994" s="7"/>
      <c r="E994" s="7"/>
      <c r="F994" s="7"/>
      <c r="G994" s="7"/>
      <c r="H994" s="14"/>
      <c r="I994" s="8"/>
      <c r="J994" s="3"/>
      <c r="K994" s="3"/>
      <c r="L994" s="3"/>
      <c r="M994" s="5"/>
      <c r="N994" s="5"/>
      <c r="O994" s="5"/>
      <c r="P994" s="5"/>
      <c r="Q994" s="5"/>
      <c r="R994" s="3"/>
      <c r="S994" s="56"/>
      <c r="T994" s="3"/>
      <c r="U994" s="14"/>
      <c r="V994" s="38" t="s">
        <v>369</v>
      </c>
      <c r="W994" s="3" t="s">
        <v>373</v>
      </c>
      <c r="X994" s="38" t="s">
        <v>369</v>
      </c>
      <c r="Y994" s="1443">
        <v>440029033</v>
      </c>
      <c r="Z994" s="1443"/>
      <c r="AA994" s="1443"/>
      <c r="AB994" s="14"/>
      <c r="AC994" s="3"/>
      <c r="AD994" s="3"/>
      <c r="AE994" s="56"/>
      <c r="AF994" s="3"/>
      <c r="AG994" s="38"/>
      <c r="AH994" s="38"/>
      <c r="AI994" s="1427">
        <v>6.7000000000000002E-3</v>
      </c>
      <c r="AJ994" s="477"/>
      <c r="AK994" s="477"/>
      <c r="AL994" s="477"/>
      <c r="AM994" s="51">
        <f t="shared" si="118"/>
        <v>2.6800000000000001E-2</v>
      </c>
      <c r="AN994" s="3" t="s">
        <v>371</v>
      </c>
      <c r="AO994" s="3" t="s">
        <v>371</v>
      </c>
      <c r="AP994" s="3" t="s">
        <v>371</v>
      </c>
      <c r="AQ994" s="3" t="s">
        <v>371</v>
      </c>
      <c r="AR994" s="3" t="s">
        <v>371</v>
      </c>
      <c r="AS994" s="3" t="s">
        <v>371</v>
      </c>
      <c r="AT994" s="3" t="s">
        <v>371</v>
      </c>
      <c r="AU994" s="3" t="s">
        <v>92</v>
      </c>
      <c r="AV994" s="3" t="s">
        <v>92</v>
      </c>
      <c r="AW994" s="3" t="s">
        <v>92</v>
      </c>
      <c r="AX994" s="3" t="s">
        <v>92</v>
      </c>
      <c r="AY994" s="3"/>
      <c r="AZ994" s="139"/>
      <c r="BA994" s="139"/>
      <c r="BB994" s="139"/>
      <c r="BC994" s="139"/>
      <c r="BD994" s="139"/>
      <c r="BE994" s="3"/>
    </row>
    <row r="995" spans="1:57" ht="15" customHeight="1" thickBot="1" x14ac:dyDescent="0.45">
      <c r="A995" s="3"/>
      <c r="B995" s="36"/>
      <c r="C995" s="924"/>
      <c r="D995" s="924"/>
      <c r="E995" s="924"/>
      <c r="F995" s="924"/>
      <c r="G995" s="924"/>
      <c r="H995" s="948"/>
      <c r="I995" s="949"/>
      <c r="J995" s="889"/>
      <c r="K995" s="889"/>
      <c r="L995" s="889"/>
      <c r="M995" s="945"/>
      <c r="N995" s="945"/>
      <c r="O995" s="945"/>
      <c r="P995" s="945"/>
      <c r="Q995" s="945"/>
      <c r="R995" s="889"/>
      <c r="S995" s="1156"/>
      <c r="T995" s="889"/>
      <c r="U995" s="948"/>
      <c r="V995" s="888" t="s">
        <v>369</v>
      </c>
      <c r="W995" s="889" t="s">
        <v>375</v>
      </c>
      <c r="X995" s="888" t="s">
        <v>369</v>
      </c>
      <c r="Y995" s="1444">
        <v>440029133</v>
      </c>
      <c r="Z995" s="1444"/>
      <c r="AA995" s="1444"/>
      <c r="AB995" s="948"/>
      <c r="AC995" s="889"/>
      <c r="AD995" s="889"/>
      <c r="AE995" s="1156"/>
      <c r="AF995" s="889"/>
      <c r="AG995" s="888"/>
      <c r="AH995" s="888"/>
      <c r="AI995" s="1428"/>
      <c r="AJ995" s="1157"/>
      <c r="AK995" s="1157"/>
      <c r="AL995" s="1157"/>
      <c r="AM995" s="937"/>
      <c r="AN995" s="889" t="s">
        <v>92</v>
      </c>
      <c r="AO995" s="889" t="s">
        <v>92</v>
      </c>
      <c r="AP995" s="889" t="s">
        <v>92</v>
      </c>
      <c r="AQ995" s="889" t="s">
        <v>92</v>
      </c>
      <c r="AR995" s="889" t="s">
        <v>92</v>
      </c>
      <c r="AS995" s="889" t="s">
        <v>92</v>
      </c>
      <c r="AT995" s="889" t="s">
        <v>92</v>
      </c>
      <c r="AU995" s="889" t="s">
        <v>92</v>
      </c>
      <c r="AV995" s="889" t="s">
        <v>92</v>
      </c>
      <c r="AW995" s="889" t="s">
        <v>92</v>
      </c>
      <c r="AX995" s="889" t="s">
        <v>81</v>
      </c>
      <c r="AY995" s="889"/>
      <c r="AZ995" s="139"/>
      <c r="BA995" s="139"/>
      <c r="BB995" s="139"/>
      <c r="BC995" s="139"/>
      <c r="BD995" s="139"/>
      <c r="BE995" s="3"/>
    </row>
    <row r="996" spans="1:57" ht="15" customHeight="1" x14ac:dyDescent="0.4">
      <c r="A996" s="3"/>
      <c r="B996" s="3"/>
      <c r="C996" s="509" t="s">
        <v>902</v>
      </c>
      <c r="D996" s="3"/>
      <c r="E996" s="7"/>
      <c r="F996" s="3"/>
      <c r="G996" s="7"/>
      <c r="H996" s="14"/>
      <c r="I996" s="8" t="s">
        <v>901</v>
      </c>
      <c r="J996" s="3"/>
      <c r="K996" s="3"/>
      <c r="L996" s="3"/>
      <c r="M996" s="5"/>
      <c r="N996" s="5"/>
      <c r="O996" s="5"/>
      <c r="P996" s="5"/>
      <c r="Q996" s="5"/>
      <c r="R996" s="3"/>
      <c r="S996" s="56">
        <v>2</v>
      </c>
      <c r="T996" s="3" t="s">
        <v>385</v>
      </c>
      <c r="U996" s="14"/>
      <c r="V996" s="38"/>
      <c r="W996" s="3"/>
      <c r="X996" s="38"/>
      <c r="Y996" s="1443"/>
      <c r="Z996" s="1443"/>
      <c r="AA996" s="1443"/>
      <c r="AB996" s="14"/>
      <c r="AC996" s="3">
        <v>45</v>
      </c>
      <c r="AD996" s="3">
        <f>AD986</f>
        <v>2</v>
      </c>
      <c r="AE996" s="56">
        <f>S996*AD996</f>
        <v>4</v>
      </c>
      <c r="AF996" s="3" t="s">
        <v>385</v>
      </c>
      <c r="AG996" s="38" t="s">
        <v>8</v>
      </c>
      <c r="AH996" s="38" t="s">
        <v>8</v>
      </c>
      <c r="AI996" s="51"/>
      <c r="AJ996" s="39"/>
      <c r="AK996" s="39"/>
      <c r="AL996" s="39"/>
      <c r="AM996" s="39"/>
      <c r="AN996" s="3" t="s">
        <v>371</v>
      </c>
      <c r="AO996" s="3" t="s">
        <v>371</v>
      </c>
      <c r="AP996" s="3" t="s">
        <v>371</v>
      </c>
      <c r="AQ996" s="3" t="s">
        <v>371</v>
      </c>
      <c r="AR996" s="3" t="s">
        <v>371</v>
      </c>
      <c r="AS996" s="3" t="s">
        <v>371</v>
      </c>
      <c r="AT996" s="3" t="s">
        <v>371</v>
      </c>
      <c r="AU996" s="3" t="s">
        <v>81</v>
      </c>
      <c r="AV996" s="3" t="s">
        <v>81</v>
      </c>
      <c r="AW996" s="3" t="s">
        <v>81</v>
      </c>
      <c r="AX996" s="3" t="s">
        <v>92</v>
      </c>
      <c r="AY996" s="3"/>
      <c r="AZ996" s="139"/>
      <c r="BA996" s="139"/>
      <c r="BB996" s="139"/>
      <c r="BC996" s="139"/>
      <c r="BD996" s="139"/>
      <c r="BE996" s="3"/>
    </row>
    <row r="997" spans="1:57" ht="15" customHeight="1" x14ac:dyDescent="0.4">
      <c r="A997" s="3"/>
      <c r="B997" s="36"/>
      <c r="C997" s="727" t="s">
        <v>903</v>
      </c>
      <c r="D997" s="7"/>
      <c r="E997" s="7"/>
      <c r="F997" s="7"/>
      <c r="G997" s="7"/>
      <c r="H997" s="14"/>
      <c r="I997" s="8"/>
      <c r="J997" s="3"/>
      <c r="K997" s="3"/>
      <c r="L997" s="3"/>
      <c r="M997" s="5"/>
      <c r="N997" s="5"/>
      <c r="O997" s="5"/>
      <c r="P997" s="5"/>
      <c r="Q997" s="5"/>
      <c r="R997" s="3"/>
      <c r="S997" s="56"/>
      <c r="T997" s="3"/>
      <c r="U997" s="14"/>
      <c r="V997" s="38" t="s">
        <v>369</v>
      </c>
      <c r="W997" s="3" t="s">
        <v>370</v>
      </c>
      <c r="X997" s="38" t="s">
        <v>369</v>
      </c>
      <c r="Y997" s="1443">
        <v>440023003</v>
      </c>
      <c r="Z997" s="1443"/>
      <c r="AA997" s="1443"/>
      <c r="AB997" s="14"/>
      <c r="AC997" s="3"/>
      <c r="AD997" s="3"/>
      <c r="AE997" s="5"/>
      <c r="AF997" s="5"/>
      <c r="AG997" s="3"/>
      <c r="AH997" s="3"/>
      <c r="AI997" s="492">
        <f>AI981</f>
        <v>3.7699999999999997E-2</v>
      </c>
      <c r="AJ997" s="477"/>
      <c r="AK997" s="477"/>
      <c r="AL997" s="477"/>
      <c r="AM997" s="51">
        <f>AE$996*AI997+SUM(AJ997:AL997)</f>
        <v>0.15079999999999999</v>
      </c>
      <c r="AN997" s="3" t="s">
        <v>371</v>
      </c>
      <c r="AO997" s="3" t="s">
        <v>371</v>
      </c>
      <c r="AP997" s="3" t="s">
        <v>371</v>
      </c>
      <c r="AQ997" s="3" t="s">
        <v>371</v>
      </c>
      <c r="AR997" s="3" t="s">
        <v>371</v>
      </c>
      <c r="AS997" s="3" t="s">
        <v>371</v>
      </c>
      <c r="AT997" s="3" t="s">
        <v>371</v>
      </c>
      <c r="AU997" s="3" t="s">
        <v>81</v>
      </c>
      <c r="AV997" s="3" t="s">
        <v>371</v>
      </c>
      <c r="AW997" s="3" t="s">
        <v>81</v>
      </c>
      <c r="AX997" s="3" t="s">
        <v>92</v>
      </c>
      <c r="AY997" s="3"/>
      <c r="AZ997" s="139"/>
      <c r="BA997" s="139"/>
      <c r="BB997" s="139"/>
      <c r="BC997" s="139"/>
      <c r="BD997" s="139"/>
      <c r="BE997" s="3"/>
    </row>
    <row r="998" spans="1:57" ht="15" customHeight="1" x14ac:dyDescent="0.4">
      <c r="A998" s="3"/>
      <c r="B998" s="36"/>
      <c r="C998" s="7"/>
      <c r="D998" s="7"/>
      <c r="E998" s="7"/>
      <c r="F998" s="7"/>
      <c r="G998" s="7"/>
      <c r="H998" s="14"/>
      <c r="I998" s="8"/>
      <c r="J998" s="3"/>
      <c r="K998" s="3"/>
      <c r="L998" s="3"/>
      <c r="M998" s="5"/>
      <c r="N998" s="5"/>
      <c r="O998" s="5"/>
      <c r="P998" s="5"/>
      <c r="Q998" s="5"/>
      <c r="R998" s="3"/>
      <c r="S998" s="56"/>
      <c r="T998" s="3"/>
      <c r="U998" s="14"/>
      <c r="V998" s="38" t="s">
        <v>369</v>
      </c>
      <c r="W998" s="3" t="s">
        <v>372</v>
      </c>
      <c r="X998" s="38" t="s">
        <v>369</v>
      </c>
      <c r="Y998" s="1443">
        <v>440023021</v>
      </c>
      <c r="Z998" s="1443"/>
      <c r="AA998" s="1443"/>
      <c r="AB998" s="14"/>
      <c r="AC998" s="3"/>
      <c r="AD998" s="3"/>
      <c r="AE998" s="56"/>
      <c r="AF998" s="3"/>
      <c r="AG998" s="38"/>
      <c r="AH998" s="38"/>
      <c r="AI998" s="492">
        <f>AI982</f>
        <v>3.7699999999999997E-2</v>
      </c>
      <c r="AJ998" s="477"/>
      <c r="AK998" s="477"/>
      <c r="AL998" s="477"/>
      <c r="AM998" s="51">
        <f t="shared" ref="AM998:AM999" si="119">AE$996*AI998+SUM(AJ998:AL998)</f>
        <v>0.15079999999999999</v>
      </c>
      <c r="AN998" s="3" t="s">
        <v>371</v>
      </c>
      <c r="AO998" s="3" t="s">
        <v>371</v>
      </c>
      <c r="AP998" s="3" t="s">
        <v>371</v>
      </c>
      <c r="AQ998" s="3" t="s">
        <v>371</v>
      </c>
      <c r="AR998" s="3" t="s">
        <v>371</v>
      </c>
      <c r="AS998" s="3" t="s">
        <v>371</v>
      </c>
      <c r="AT998" s="3" t="s">
        <v>371</v>
      </c>
      <c r="AU998" s="3" t="s">
        <v>371</v>
      </c>
      <c r="AV998" s="3" t="s">
        <v>371</v>
      </c>
      <c r="AW998" s="3" t="s">
        <v>371</v>
      </c>
      <c r="AX998" s="3" t="s">
        <v>92</v>
      </c>
      <c r="AY998" s="3"/>
      <c r="AZ998" s="139"/>
      <c r="BA998" s="139"/>
      <c r="BB998" s="139"/>
      <c r="BC998" s="139"/>
      <c r="BD998" s="139"/>
      <c r="BE998" s="3"/>
    </row>
    <row r="999" spans="1:57" ht="15" customHeight="1" x14ac:dyDescent="0.4">
      <c r="A999" s="3"/>
      <c r="B999" s="36"/>
      <c r="C999" s="7"/>
      <c r="D999" s="7"/>
      <c r="E999" s="7"/>
      <c r="F999" s="7"/>
      <c r="G999" s="7"/>
      <c r="H999" s="14"/>
      <c r="I999" s="8"/>
      <c r="J999" s="3"/>
      <c r="K999" s="3"/>
      <c r="L999" s="3"/>
      <c r="M999" s="5"/>
      <c r="N999" s="5"/>
      <c r="O999" s="5"/>
      <c r="P999" s="5"/>
      <c r="Q999" s="5"/>
      <c r="R999" s="3"/>
      <c r="S999" s="56"/>
      <c r="T999" s="3"/>
      <c r="U999" s="14"/>
      <c r="V999" s="38" t="s">
        <v>369</v>
      </c>
      <c r="W999" s="3" t="s">
        <v>373</v>
      </c>
      <c r="X999" s="38" t="s">
        <v>369</v>
      </c>
      <c r="Y999" s="1443">
        <v>440023033</v>
      </c>
      <c r="Z999" s="1443"/>
      <c r="AA999" s="1443"/>
      <c r="AB999" s="14"/>
      <c r="AC999" s="3"/>
      <c r="AD999" s="3"/>
      <c r="AE999" s="56"/>
      <c r="AF999" s="3"/>
      <c r="AG999" s="38"/>
      <c r="AH999" s="38"/>
      <c r="AI999" s="492">
        <f>AI983</f>
        <v>3.7699999999999997E-2</v>
      </c>
      <c r="AJ999" s="477"/>
      <c r="AK999" s="477"/>
      <c r="AL999" s="477"/>
      <c r="AM999" s="51">
        <f t="shared" si="119"/>
        <v>0.15079999999999999</v>
      </c>
      <c r="AN999" s="3" t="s">
        <v>371</v>
      </c>
      <c r="AO999" s="3" t="s">
        <v>371</v>
      </c>
      <c r="AP999" s="3" t="s">
        <v>371</v>
      </c>
      <c r="AQ999" s="3" t="s">
        <v>371</v>
      </c>
      <c r="AR999" s="3" t="s">
        <v>371</v>
      </c>
      <c r="AS999" s="3" t="s">
        <v>371</v>
      </c>
      <c r="AT999" s="3" t="s">
        <v>371</v>
      </c>
      <c r="AU999" s="3" t="s">
        <v>371</v>
      </c>
      <c r="AV999" s="3" t="s">
        <v>81</v>
      </c>
      <c r="AW999" s="3" t="s">
        <v>371</v>
      </c>
      <c r="AX999" s="3" t="s">
        <v>92</v>
      </c>
      <c r="AY999" s="3"/>
      <c r="AZ999" s="139"/>
      <c r="BA999" s="139"/>
      <c r="BB999" s="139"/>
      <c r="BC999" s="139"/>
      <c r="BD999" s="139"/>
      <c r="BE999" s="3"/>
    </row>
    <row r="1000" spans="1:57" ht="15" customHeight="1" thickBot="1" x14ac:dyDescent="0.45">
      <c r="A1000" s="3"/>
      <c r="B1000" s="36"/>
      <c r="C1000" s="924"/>
      <c r="D1000" s="924"/>
      <c r="E1000" s="924"/>
      <c r="F1000" s="924"/>
      <c r="G1000" s="924"/>
      <c r="H1000" s="948"/>
      <c r="I1000" s="949"/>
      <c r="J1000" s="889"/>
      <c r="K1000" s="889"/>
      <c r="L1000" s="889"/>
      <c r="M1000" s="945"/>
      <c r="N1000" s="945"/>
      <c r="O1000" s="945"/>
      <c r="P1000" s="945"/>
      <c r="Q1000" s="945"/>
      <c r="R1000" s="889"/>
      <c r="S1000" s="1156"/>
      <c r="T1000" s="889"/>
      <c r="U1000" s="948"/>
      <c r="V1000" s="888" t="s">
        <v>369</v>
      </c>
      <c r="W1000" s="889" t="s">
        <v>375</v>
      </c>
      <c r="X1000" s="888" t="s">
        <v>369</v>
      </c>
      <c r="Y1000" s="1444">
        <v>440023133</v>
      </c>
      <c r="Z1000" s="1444"/>
      <c r="AA1000" s="1444"/>
      <c r="AB1000" s="948"/>
      <c r="AC1000" s="889"/>
      <c r="AD1000" s="889"/>
      <c r="AE1000" s="1156"/>
      <c r="AF1000" s="889"/>
      <c r="AG1000" s="888"/>
      <c r="AH1000" s="888"/>
      <c r="AI1000" s="942"/>
      <c r="AJ1000" s="1157"/>
      <c r="AK1000" s="1157"/>
      <c r="AL1000" s="1157"/>
      <c r="AM1000" s="937"/>
      <c r="AN1000" s="889" t="s">
        <v>92</v>
      </c>
      <c r="AO1000" s="889" t="s">
        <v>92</v>
      </c>
      <c r="AP1000" s="889" t="s">
        <v>92</v>
      </c>
      <c r="AQ1000" s="889" t="s">
        <v>92</v>
      </c>
      <c r="AR1000" s="889" t="s">
        <v>92</v>
      </c>
      <c r="AS1000" s="889" t="s">
        <v>92</v>
      </c>
      <c r="AT1000" s="889" t="s">
        <v>92</v>
      </c>
      <c r="AU1000" s="889" t="s">
        <v>92</v>
      </c>
      <c r="AV1000" s="889" t="s">
        <v>92</v>
      </c>
      <c r="AW1000" s="889" t="s">
        <v>92</v>
      </c>
      <c r="AX1000" s="889" t="s">
        <v>371</v>
      </c>
      <c r="AY1000" s="889"/>
      <c r="AZ1000" s="139"/>
      <c r="BA1000" s="139"/>
      <c r="BB1000" s="139"/>
      <c r="BC1000" s="139"/>
      <c r="BD1000" s="139"/>
      <c r="BE1000" s="3"/>
    </row>
    <row r="1001" spans="1:57" ht="15" customHeight="1" x14ac:dyDescent="0.4">
      <c r="A1001" s="3"/>
      <c r="B1001" s="36"/>
      <c r="C1001" s="7" t="s">
        <v>904</v>
      </c>
      <c r="D1001" s="4"/>
      <c r="E1001" s="7"/>
      <c r="F1001" s="4"/>
      <c r="G1001" s="7"/>
      <c r="H1001" s="14"/>
      <c r="I1001" s="500" t="s">
        <v>461</v>
      </c>
      <c r="J1001" s="3"/>
      <c r="K1001" s="3" t="s">
        <v>392</v>
      </c>
      <c r="L1001" s="3" t="s">
        <v>465</v>
      </c>
      <c r="M1001" s="24">
        <f>SHTwoLockCutoff</f>
        <v>25</v>
      </c>
      <c r="N1001" s="5"/>
      <c r="O1001" s="5"/>
      <c r="P1001" s="5"/>
      <c r="Q1001" s="5"/>
      <c r="R1001" s="5" t="s">
        <v>352</v>
      </c>
      <c r="S1001" s="56">
        <v>1</v>
      </c>
      <c r="T1001" s="3" t="s">
        <v>385</v>
      </c>
      <c r="U1001" s="14"/>
      <c r="V1001" s="38" t="s">
        <v>369</v>
      </c>
      <c r="W1001" s="38" t="s">
        <v>369</v>
      </c>
      <c r="X1001" s="38" t="s">
        <v>369</v>
      </c>
      <c r="Y1001" s="1443">
        <v>420144000</v>
      </c>
      <c r="Z1001" s="1443"/>
      <c r="AA1001" s="1443"/>
      <c r="AB1001" s="14"/>
      <c r="AC1001" s="3">
        <v>45</v>
      </c>
      <c r="AD1001" s="3">
        <f>IF((SHWidth&lt;M1001),1,2)</f>
        <v>2</v>
      </c>
      <c r="AE1001" s="56">
        <f>S1001*AD1001</f>
        <v>2</v>
      </c>
      <c r="AF1001" s="3" t="s">
        <v>385</v>
      </c>
      <c r="AG1001" s="38" t="s">
        <v>8</v>
      </c>
      <c r="AH1001" s="38" t="s">
        <v>8</v>
      </c>
      <c r="AI1001" s="353">
        <v>1.03</v>
      </c>
      <c r="AJ1001" s="39"/>
      <c r="AK1001" s="39"/>
      <c r="AL1001" s="39"/>
      <c r="AM1001" s="51">
        <f>AE$1001*AI1001+SUM(AJ1001:AL1001)</f>
        <v>2.06</v>
      </c>
      <c r="AN1001" s="3" t="s">
        <v>371</v>
      </c>
      <c r="AO1001" s="3" t="s">
        <v>371</v>
      </c>
      <c r="AP1001" s="3" t="s">
        <v>371</v>
      </c>
      <c r="AQ1001" s="3" t="s">
        <v>371</v>
      </c>
      <c r="AR1001" s="3" t="s">
        <v>371</v>
      </c>
      <c r="AS1001" s="3" t="s">
        <v>371</v>
      </c>
      <c r="AT1001" s="3" t="s">
        <v>371</v>
      </c>
      <c r="AU1001" s="3" t="s">
        <v>371</v>
      </c>
      <c r="AV1001" s="3" t="s">
        <v>371</v>
      </c>
      <c r="AW1001" s="3" t="s">
        <v>371</v>
      </c>
      <c r="AX1001" s="3" t="s">
        <v>371</v>
      </c>
      <c r="AY1001" s="3"/>
      <c r="AZ1001" s="139"/>
      <c r="BA1001" s="139"/>
      <c r="BB1001" s="139"/>
      <c r="BC1001" s="139"/>
      <c r="BD1001" s="139"/>
      <c r="BE1001" s="3"/>
    </row>
    <row r="1002" spans="1:57" ht="15" customHeight="1" x14ac:dyDescent="0.4">
      <c r="A1002" s="3"/>
      <c r="B1002" s="36"/>
      <c r="C1002" s="8"/>
      <c r="D1002" s="36"/>
      <c r="E1002" s="7"/>
      <c r="F1002" s="36"/>
      <c r="G1002" s="7"/>
      <c r="H1002" s="14"/>
      <c r="I1002" s="36" t="s">
        <v>464</v>
      </c>
      <c r="J1002" s="38"/>
      <c r="K1002" s="3" t="s">
        <v>392</v>
      </c>
      <c r="L1002" s="3" t="s">
        <v>463</v>
      </c>
      <c r="M1002" s="5">
        <f>SHTwoLockCutoff</f>
        <v>25</v>
      </c>
      <c r="N1002" s="5"/>
      <c r="O1002" s="5"/>
      <c r="P1002" s="5"/>
      <c r="Q1002" s="5"/>
      <c r="R1002" s="3" t="s">
        <v>352</v>
      </c>
      <c r="S1002" s="56">
        <v>2</v>
      </c>
      <c r="T1002" s="3"/>
      <c r="U1002" s="14"/>
      <c r="V1002" s="38"/>
      <c r="W1002" s="3"/>
      <c r="X1002" s="38"/>
      <c r="Y1002" s="1443"/>
      <c r="Z1002" s="1443"/>
      <c r="AA1002" s="1443"/>
      <c r="AB1002" s="14"/>
      <c r="AC1002" s="3"/>
      <c r="AD1002" s="3"/>
      <c r="AE1002" s="5"/>
      <c r="AF1002" s="3"/>
      <c r="AG1002" s="3"/>
      <c r="AH1002" s="3"/>
      <c r="AI1002" s="51"/>
      <c r="AJ1002" s="39"/>
      <c r="AK1002" s="39"/>
      <c r="AL1002" s="39"/>
      <c r="AM1002" s="39"/>
      <c r="AN1002" s="3" t="s">
        <v>371</v>
      </c>
      <c r="AO1002" s="3" t="s">
        <v>371</v>
      </c>
      <c r="AP1002" s="3" t="s">
        <v>371</v>
      </c>
      <c r="AQ1002" s="3" t="s">
        <v>371</v>
      </c>
      <c r="AR1002" s="3" t="s">
        <v>371</v>
      </c>
      <c r="AS1002" s="3" t="s">
        <v>371</v>
      </c>
      <c r="AT1002" s="3" t="s">
        <v>371</v>
      </c>
      <c r="AU1002" s="3" t="s">
        <v>371</v>
      </c>
      <c r="AV1002" s="3" t="s">
        <v>371</v>
      </c>
      <c r="AW1002" s="3" t="s">
        <v>371</v>
      </c>
      <c r="AX1002" s="3" t="s">
        <v>371</v>
      </c>
      <c r="AY1002" s="3"/>
      <c r="AZ1002" s="139"/>
      <c r="BA1002" s="139"/>
      <c r="BB1002" s="139"/>
      <c r="BC1002" s="139"/>
      <c r="BD1002" s="139"/>
      <c r="BE1002" s="3"/>
    </row>
    <row r="1003" spans="1:57" ht="15" customHeight="1" x14ac:dyDescent="0.4">
      <c r="A1003" s="3"/>
      <c r="B1003" s="36"/>
      <c r="C1003" s="1490" t="s">
        <v>2088</v>
      </c>
      <c r="D1003" s="36"/>
      <c r="E1003" s="4"/>
      <c r="F1003" s="36"/>
      <c r="G1003" s="7"/>
      <c r="H1003" s="14"/>
      <c r="I1003" s="36"/>
      <c r="J1003" s="38"/>
      <c r="K1003" s="3"/>
      <c r="L1003" s="3"/>
      <c r="M1003" s="5"/>
      <c r="N1003" s="5"/>
      <c r="O1003" s="5"/>
      <c r="P1003" s="5"/>
      <c r="Q1003" s="5"/>
      <c r="R1003" s="3"/>
      <c r="S1003" s="56"/>
      <c r="T1003" s="3"/>
      <c r="U1003" s="14"/>
      <c r="V1003" s="38"/>
      <c r="W1003" s="3"/>
      <c r="X1003" s="38"/>
      <c r="Y1003" s="1443"/>
      <c r="Z1003" s="1443"/>
      <c r="AA1003" s="1443"/>
      <c r="AB1003" s="14"/>
      <c r="AC1003" s="3"/>
      <c r="AD1003" s="3"/>
      <c r="AE1003" s="5"/>
      <c r="AF1003" s="3"/>
      <c r="AG1003" s="3"/>
      <c r="AH1003" s="3"/>
      <c r="AI1003" s="51"/>
      <c r="AJ1003" s="39"/>
      <c r="AK1003" s="39"/>
      <c r="AL1003" s="39"/>
      <c r="AM1003" s="39"/>
      <c r="AN1003" s="3" t="s">
        <v>371</v>
      </c>
      <c r="AO1003" s="3" t="s">
        <v>371</v>
      </c>
      <c r="AP1003" s="3" t="s">
        <v>371</v>
      </c>
      <c r="AQ1003" s="3" t="s">
        <v>371</v>
      </c>
      <c r="AR1003" s="3" t="s">
        <v>371</v>
      </c>
      <c r="AS1003" s="3" t="s">
        <v>371</v>
      </c>
      <c r="AT1003" s="3" t="s">
        <v>371</v>
      </c>
      <c r="AU1003" s="3" t="s">
        <v>371</v>
      </c>
      <c r="AV1003" s="3" t="s">
        <v>371</v>
      </c>
      <c r="AW1003" s="3" t="s">
        <v>371</v>
      </c>
      <c r="AX1003" s="3" t="s">
        <v>371</v>
      </c>
      <c r="AY1003" s="3"/>
      <c r="AZ1003" s="139"/>
      <c r="BA1003" s="139"/>
      <c r="BB1003" s="139"/>
      <c r="BC1003" s="139"/>
      <c r="BD1003" s="139"/>
      <c r="BE1003" s="3"/>
    </row>
    <row r="1004" spans="1:57" ht="15" customHeight="1" thickBot="1" x14ac:dyDescent="0.45">
      <c r="A1004" s="3"/>
      <c r="B1004" s="36"/>
      <c r="C1004" s="36"/>
      <c r="D1004" s="36"/>
      <c r="E1004" s="7"/>
      <c r="F1004" s="36"/>
      <c r="G1004" s="7"/>
      <c r="H1004" s="14"/>
      <c r="I1004" s="3"/>
      <c r="J1004" s="38"/>
      <c r="K1004" s="3"/>
      <c r="L1004" s="3"/>
      <c r="M1004" s="5"/>
      <c r="N1004" s="5"/>
      <c r="O1004" s="5"/>
      <c r="P1004" s="5"/>
      <c r="Q1004" s="5"/>
      <c r="R1004" s="3"/>
      <c r="S1004" s="56"/>
      <c r="T1004" s="3"/>
      <c r="U1004" s="14"/>
      <c r="V1004" s="38"/>
      <c r="W1004" s="3"/>
      <c r="X1004" s="38"/>
      <c r="Y1004" s="1443"/>
      <c r="Z1004" s="1443"/>
      <c r="AA1004" s="1443"/>
      <c r="AB1004" s="14"/>
      <c r="AC1004" s="889"/>
      <c r="AD1004" s="889"/>
      <c r="AE1004" s="945"/>
      <c r="AF1004" s="889"/>
      <c r="AG1004" s="889"/>
      <c r="AH1004" s="889"/>
      <c r="AI1004" s="51"/>
      <c r="AJ1004" s="39"/>
      <c r="AK1004" s="39"/>
      <c r="AL1004" s="39"/>
      <c r="AM1004" s="39"/>
      <c r="AN1004" s="889" t="s">
        <v>371</v>
      </c>
      <c r="AO1004" s="889" t="s">
        <v>371</v>
      </c>
      <c r="AP1004" s="889" t="s">
        <v>371</v>
      </c>
      <c r="AQ1004" s="889" t="s">
        <v>371</v>
      </c>
      <c r="AR1004" s="889" t="s">
        <v>371</v>
      </c>
      <c r="AS1004" s="889" t="s">
        <v>371</v>
      </c>
      <c r="AT1004" s="889" t="s">
        <v>371</v>
      </c>
      <c r="AU1004" s="889" t="s">
        <v>371</v>
      </c>
      <c r="AV1004" s="889" t="s">
        <v>371</v>
      </c>
      <c r="AW1004" s="889" t="s">
        <v>371</v>
      </c>
      <c r="AX1004" s="889" t="s">
        <v>371</v>
      </c>
      <c r="AY1004" s="889"/>
      <c r="AZ1004" s="139"/>
      <c r="BA1004" s="139"/>
      <c r="BB1004" s="139"/>
      <c r="BC1004" s="139"/>
      <c r="BD1004" s="139"/>
      <c r="BE1004" s="3"/>
    </row>
    <row r="1005" spans="1:57" ht="15" customHeight="1" x14ac:dyDescent="0.4">
      <c r="A1005" s="3"/>
      <c r="B1005" s="3"/>
      <c r="C1005" s="476" t="s">
        <v>905</v>
      </c>
      <c r="D1005" s="116"/>
      <c r="E1005" s="173"/>
      <c r="F1005" s="116"/>
      <c r="G1005" s="173"/>
      <c r="H1005" s="193"/>
      <c r="I1005" s="114"/>
      <c r="J1005" s="116"/>
      <c r="K1005" s="116"/>
      <c r="L1005" s="116"/>
      <c r="M1005" s="177"/>
      <c r="N1005" s="177"/>
      <c r="O1005" s="177"/>
      <c r="P1005" s="177"/>
      <c r="Q1005" s="177"/>
      <c r="R1005" s="116"/>
      <c r="S1005" s="198">
        <v>4</v>
      </c>
      <c r="T1005" s="116" t="s">
        <v>385</v>
      </c>
      <c r="U1005" s="193"/>
      <c r="V1005" s="179"/>
      <c r="W1005" s="116"/>
      <c r="X1005" s="179"/>
      <c r="Y1005" s="1449"/>
      <c r="Z1005" s="1449"/>
      <c r="AA1005" s="1449"/>
      <c r="AB1005" s="193"/>
      <c r="AC1005" s="116">
        <v>45</v>
      </c>
      <c r="AD1005" s="3">
        <f>AD1001</f>
        <v>2</v>
      </c>
      <c r="AE1005" s="56">
        <f>S1005*AD1005</f>
        <v>8</v>
      </c>
      <c r="AF1005" s="116" t="s">
        <v>385</v>
      </c>
      <c r="AG1005" s="179" t="s">
        <v>8</v>
      </c>
      <c r="AH1005" s="179" t="s">
        <v>8</v>
      </c>
      <c r="AI1005" s="185"/>
      <c r="AJ1005" s="180"/>
      <c r="AK1005" s="180"/>
      <c r="AL1005" s="180"/>
      <c r="AM1005" s="180"/>
      <c r="AN1005" s="116" t="s">
        <v>371</v>
      </c>
      <c r="AO1005" s="116" t="s">
        <v>371</v>
      </c>
      <c r="AP1005" s="116" t="s">
        <v>371</v>
      </c>
      <c r="AQ1005" s="116" t="s">
        <v>371</v>
      </c>
      <c r="AR1005" s="116" t="s">
        <v>371</v>
      </c>
      <c r="AS1005" s="116" t="s">
        <v>371</v>
      </c>
      <c r="AT1005" s="116" t="s">
        <v>371</v>
      </c>
      <c r="AU1005" s="116" t="s">
        <v>371</v>
      </c>
      <c r="AV1005" s="116" t="s">
        <v>371</v>
      </c>
      <c r="AW1005" s="116" t="s">
        <v>371</v>
      </c>
      <c r="AX1005" s="116" t="s">
        <v>92</v>
      </c>
      <c r="AY1005" s="116"/>
      <c r="AZ1005" s="139"/>
      <c r="BA1005" s="139"/>
      <c r="BB1005" s="139"/>
      <c r="BC1005" s="139"/>
      <c r="BD1005" s="139"/>
      <c r="BE1005" s="3"/>
    </row>
    <row r="1006" spans="1:57" ht="15" customHeight="1" x14ac:dyDescent="0.4">
      <c r="A1006" s="3"/>
      <c r="B1006" s="36"/>
      <c r="C1006" s="7"/>
      <c r="D1006" s="7"/>
      <c r="E1006" s="7"/>
      <c r="F1006" s="7"/>
      <c r="G1006" s="7"/>
      <c r="H1006" s="14"/>
      <c r="I1006" s="8"/>
      <c r="J1006" s="3"/>
      <c r="K1006" s="3"/>
      <c r="L1006" s="3"/>
      <c r="M1006" s="5"/>
      <c r="N1006" s="5"/>
      <c r="O1006" s="5"/>
      <c r="P1006" s="5"/>
      <c r="Q1006" s="5"/>
      <c r="R1006" s="3"/>
      <c r="S1006" s="56"/>
      <c r="T1006" s="3"/>
      <c r="U1006" s="14"/>
      <c r="V1006" s="38" t="s">
        <v>369</v>
      </c>
      <c r="W1006" s="3" t="s">
        <v>370</v>
      </c>
      <c r="X1006" s="38" t="s">
        <v>369</v>
      </c>
      <c r="Y1006" s="1443">
        <v>440029003</v>
      </c>
      <c r="Z1006" s="1443"/>
      <c r="AA1006" s="1443"/>
      <c r="AB1006" s="14"/>
      <c r="AC1006" s="3"/>
      <c r="AD1006" s="3"/>
      <c r="AE1006" s="5"/>
      <c r="AF1006" s="5"/>
      <c r="AG1006" s="3"/>
      <c r="AH1006" s="3"/>
      <c r="AI1006" s="1427">
        <f>AI992</f>
        <v>7.0000000000000001E-3</v>
      </c>
      <c r="AJ1006" s="477"/>
      <c r="AK1006" s="477"/>
      <c r="AL1006" s="477"/>
      <c r="AM1006" s="51">
        <f>AE$1005*AI1006+SUM(AJ1006:AL1006)</f>
        <v>5.6000000000000001E-2</v>
      </c>
      <c r="AN1006" s="3" t="s">
        <v>371</v>
      </c>
      <c r="AO1006" s="3" t="s">
        <v>371</v>
      </c>
      <c r="AP1006" s="3" t="s">
        <v>371</v>
      </c>
      <c r="AQ1006" s="3" t="s">
        <v>371</v>
      </c>
      <c r="AR1006" s="3" t="s">
        <v>371</v>
      </c>
      <c r="AS1006" s="3" t="s">
        <v>371</v>
      </c>
      <c r="AT1006" s="3" t="s">
        <v>371</v>
      </c>
      <c r="AU1006" s="3" t="s">
        <v>371</v>
      </c>
      <c r="AV1006" s="3" t="s">
        <v>371</v>
      </c>
      <c r="AW1006" s="3" t="s">
        <v>371</v>
      </c>
      <c r="AX1006" s="3" t="s">
        <v>92</v>
      </c>
      <c r="AY1006" s="3"/>
      <c r="AZ1006" s="139"/>
      <c r="BA1006" s="139"/>
      <c r="BB1006" s="139"/>
      <c r="BC1006" s="139"/>
      <c r="BD1006" s="139"/>
      <c r="BE1006" s="3"/>
    </row>
    <row r="1007" spans="1:57" ht="15" customHeight="1" x14ac:dyDescent="0.4">
      <c r="A1007" s="3"/>
      <c r="B1007" s="36"/>
      <c r="C1007" s="7"/>
      <c r="D1007" s="7"/>
      <c r="E1007" s="7"/>
      <c r="F1007" s="7"/>
      <c r="G1007" s="7"/>
      <c r="H1007" s="14"/>
      <c r="I1007" s="8"/>
      <c r="J1007" s="3"/>
      <c r="K1007" s="3"/>
      <c r="L1007" s="3"/>
      <c r="M1007" s="5"/>
      <c r="N1007" s="5"/>
      <c r="O1007" s="5"/>
      <c r="P1007" s="5"/>
      <c r="Q1007" s="5"/>
      <c r="R1007" s="3"/>
      <c r="S1007" s="56"/>
      <c r="T1007" s="3"/>
      <c r="U1007" s="14"/>
      <c r="V1007" s="38" t="s">
        <v>369</v>
      </c>
      <c r="W1007" s="3" t="s">
        <v>372</v>
      </c>
      <c r="X1007" s="38" t="s">
        <v>369</v>
      </c>
      <c r="Y1007" s="1443">
        <v>440029021</v>
      </c>
      <c r="Z1007" s="1443"/>
      <c r="AA1007" s="1443"/>
      <c r="AB1007" s="14"/>
      <c r="AC1007" s="3"/>
      <c r="AD1007" s="3"/>
      <c r="AE1007" s="56"/>
      <c r="AF1007" s="3"/>
      <c r="AG1007" s="38"/>
      <c r="AH1007" s="38"/>
      <c r="AI1007" s="1427">
        <f>AI993</f>
        <v>7.0000000000000001E-3</v>
      </c>
      <c r="AJ1007" s="477"/>
      <c r="AK1007" s="477"/>
      <c r="AL1007" s="477"/>
      <c r="AM1007" s="51">
        <f t="shared" ref="AM1007:AM1008" si="120">AE$1005*AI1007+SUM(AJ1007:AL1007)</f>
        <v>5.6000000000000001E-2</v>
      </c>
      <c r="AN1007" s="3" t="s">
        <v>371</v>
      </c>
      <c r="AO1007" s="3" t="s">
        <v>371</v>
      </c>
      <c r="AP1007" s="3" t="s">
        <v>371</v>
      </c>
      <c r="AQ1007" s="3" t="s">
        <v>371</v>
      </c>
      <c r="AR1007" s="3" t="s">
        <v>371</v>
      </c>
      <c r="AS1007" s="3" t="s">
        <v>371</v>
      </c>
      <c r="AT1007" s="3" t="s">
        <v>371</v>
      </c>
      <c r="AU1007" s="3" t="s">
        <v>371</v>
      </c>
      <c r="AV1007" s="3" t="s">
        <v>371</v>
      </c>
      <c r="AW1007" s="3" t="s">
        <v>371</v>
      </c>
      <c r="AX1007" s="3" t="s">
        <v>92</v>
      </c>
      <c r="AY1007" s="3"/>
      <c r="AZ1007" s="139"/>
      <c r="BA1007" s="139"/>
      <c r="BB1007" s="139"/>
      <c r="BC1007" s="139"/>
      <c r="BD1007" s="139"/>
      <c r="BE1007" s="3"/>
    </row>
    <row r="1008" spans="1:57" ht="15" customHeight="1" x14ac:dyDescent="0.4">
      <c r="A1008" s="3"/>
      <c r="B1008" s="3"/>
      <c r="C1008" s="7"/>
      <c r="D1008" s="7"/>
      <c r="E1008" s="7"/>
      <c r="F1008" s="7"/>
      <c r="G1008" s="7"/>
      <c r="H1008" s="14"/>
      <c r="I1008" s="8"/>
      <c r="J1008" s="3"/>
      <c r="K1008" s="3"/>
      <c r="L1008" s="3"/>
      <c r="M1008" s="5"/>
      <c r="N1008" s="5"/>
      <c r="O1008" s="5"/>
      <c r="P1008" s="5"/>
      <c r="Q1008" s="5"/>
      <c r="R1008" s="3"/>
      <c r="S1008" s="56"/>
      <c r="T1008" s="3"/>
      <c r="U1008" s="14"/>
      <c r="V1008" s="38" t="s">
        <v>369</v>
      </c>
      <c r="W1008" s="3" t="s">
        <v>373</v>
      </c>
      <c r="X1008" s="38" t="s">
        <v>369</v>
      </c>
      <c r="Y1008" s="1443">
        <v>440029033</v>
      </c>
      <c r="Z1008" s="1443"/>
      <c r="AA1008" s="1443"/>
      <c r="AB1008" s="14"/>
      <c r="AC1008" s="3"/>
      <c r="AD1008" s="3"/>
      <c r="AE1008" s="56"/>
      <c r="AF1008" s="3"/>
      <c r="AG1008" s="38"/>
      <c r="AH1008" s="38"/>
      <c r="AI1008" s="1427">
        <f>AI994</f>
        <v>6.7000000000000002E-3</v>
      </c>
      <c r="AJ1008" s="477"/>
      <c r="AK1008" s="477"/>
      <c r="AL1008" s="477"/>
      <c r="AM1008" s="51">
        <f t="shared" si="120"/>
        <v>5.3600000000000002E-2</v>
      </c>
      <c r="AN1008" s="3" t="s">
        <v>371</v>
      </c>
      <c r="AO1008" s="3" t="s">
        <v>371</v>
      </c>
      <c r="AP1008" s="3" t="s">
        <v>371</v>
      </c>
      <c r="AQ1008" s="3" t="s">
        <v>371</v>
      </c>
      <c r="AR1008" s="3" t="s">
        <v>371</v>
      </c>
      <c r="AS1008" s="3" t="s">
        <v>371</v>
      </c>
      <c r="AT1008" s="3" t="s">
        <v>371</v>
      </c>
      <c r="AU1008" s="3" t="s">
        <v>371</v>
      </c>
      <c r="AV1008" s="3" t="s">
        <v>371</v>
      </c>
      <c r="AW1008" s="3" t="s">
        <v>371</v>
      </c>
      <c r="AX1008" s="3" t="s">
        <v>92</v>
      </c>
      <c r="AY1008" s="3"/>
      <c r="AZ1008" s="139"/>
      <c r="BA1008" s="139"/>
      <c r="BB1008" s="139"/>
      <c r="BC1008" s="139"/>
      <c r="BD1008" s="139"/>
      <c r="BE1008" s="3"/>
    </row>
    <row r="1009" spans="1:57" ht="15" customHeight="1" thickBot="1" x14ac:dyDescent="0.45">
      <c r="A1009" s="3"/>
      <c r="B1009" s="3"/>
      <c r="C1009" s="924"/>
      <c r="D1009" s="924"/>
      <c r="E1009" s="924"/>
      <c r="F1009" s="924"/>
      <c r="G1009" s="924"/>
      <c r="H1009" s="948"/>
      <c r="I1009" s="949"/>
      <c r="J1009" s="889"/>
      <c r="K1009" s="889"/>
      <c r="L1009" s="889"/>
      <c r="M1009" s="945"/>
      <c r="N1009" s="945"/>
      <c r="O1009" s="945"/>
      <c r="P1009" s="945"/>
      <c r="Q1009" s="945"/>
      <c r="R1009" s="889"/>
      <c r="S1009" s="1156"/>
      <c r="T1009" s="889"/>
      <c r="U1009" s="948"/>
      <c r="V1009" s="888" t="s">
        <v>369</v>
      </c>
      <c r="W1009" s="889" t="s">
        <v>375</v>
      </c>
      <c r="X1009" s="888" t="s">
        <v>369</v>
      </c>
      <c r="Y1009" s="1444">
        <v>440029133</v>
      </c>
      <c r="Z1009" s="1444"/>
      <c r="AA1009" s="1444"/>
      <c r="AB1009" s="948"/>
      <c r="AC1009" s="889"/>
      <c r="AD1009" s="889"/>
      <c r="AE1009" s="1156"/>
      <c r="AF1009" s="889"/>
      <c r="AG1009" s="888"/>
      <c r="AH1009" s="888"/>
      <c r="AI1009" s="1428"/>
      <c r="AJ1009" s="1157"/>
      <c r="AK1009" s="1157"/>
      <c r="AL1009" s="1157"/>
      <c r="AM1009" s="937"/>
      <c r="AN1009" s="889" t="s">
        <v>92</v>
      </c>
      <c r="AO1009" s="889" t="s">
        <v>92</v>
      </c>
      <c r="AP1009" s="889" t="s">
        <v>92</v>
      </c>
      <c r="AQ1009" s="889" t="s">
        <v>92</v>
      </c>
      <c r="AR1009" s="889" t="s">
        <v>92</v>
      </c>
      <c r="AS1009" s="889" t="s">
        <v>92</v>
      </c>
      <c r="AT1009" s="889" t="s">
        <v>92</v>
      </c>
      <c r="AU1009" s="889" t="s">
        <v>92</v>
      </c>
      <c r="AV1009" s="889" t="s">
        <v>92</v>
      </c>
      <c r="AW1009" s="889" t="s">
        <v>92</v>
      </c>
      <c r="AX1009" s="889" t="s">
        <v>371</v>
      </c>
      <c r="AY1009" s="889"/>
      <c r="AZ1009" s="139"/>
      <c r="BA1009" s="139"/>
      <c r="BB1009" s="139"/>
      <c r="BC1009" s="139"/>
      <c r="BD1009" s="139"/>
      <c r="BE1009" s="3"/>
    </row>
    <row r="1010" spans="1:57" ht="15" customHeight="1" x14ac:dyDescent="0.4">
      <c r="A1010" s="3"/>
      <c r="B1010" s="3"/>
      <c r="C1010" s="7" t="s">
        <v>2373</v>
      </c>
      <c r="D1010" s="4"/>
      <c r="E1010" s="7"/>
      <c r="F1010" s="4"/>
      <c r="G1010" s="7"/>
      <c r="H1010" s="14"/>
      <c r="I1010" s="500" t="s">
        <v>461</v>
      </c>
      <c r="J1010" s="3"/>
      <c r="K1010" s="3" t="s">
        <v>392</v>
      </c>
      <c r="L1010" s="3" t="s">
        <v>465</v>
      </c>
      <c r="M1010" s="24">
        <f>SHTwoLockCutoff</f>
        <v>25</v>
      </c>
      <c r="N1010" s="5"/>
      <c r="O1010" s="5"/>
      <c r="P1010" s="5"/>
      <c r="Q1010" s="5"/>
      <c r="R1010" s="5" t="s">
        <v>352</v>
      </c>
      <c r="S1010" s="56">
        <v>1</v>
      </c>
      <c r="T1010" s="3" t="s">
        <v>385</v>
      </c>
      <c r="U1010" s="14"/>
      <c r="V1010" s="4"/>
      <c r="W1010" s="4"/>
      <c r="X1010" s="4"/>
      <c r="Y1010" s="1443"/>
      <c r="Z1010" s="1443"/>
      <c r="AA1010" s="1443"/>
      <c r="AB1010" s="14"/>
      <c r="AC1010" s="3">
        <v>45</v>
      </c>
      <c r="AD1010" s="3">
        <f>IF((SHWidth&lt;M1010),1,2)</f>
        <v>2</v>
      </c>
      <c r="AE1010" s="56">
        <f>S1010*AD1010</f>
        <v>2</v>
      </c>
      <c r="AF1010" s="3" t="s">
        <v>385</v>
      </c>
      <c r="AG1010" s="38" t="s">
        <v>8</v>
      </c>
      <c r="AH1010" s="38" t="s">
        <v>8</v>
      </c>
      <c r="AI1010" s="51"/>
      <c r="AJ1010" s="39"/>
      <c r="AK1010" s="39"/>
      <c r="AL1010" s="39"/>
      <c r="AM1010" s="39"/>
      <c r="AN1010" s="3" t="s">
        <v>371</v>
      </c>
      <c r="AO1010" s="3" t="s">
        <v>371</v>
      </c>
      <c r="AP1010" s="3" t="s">
        <v>371</v>
      </c>
      <c r="AQ1010" s="3" t="s">
        <v>371</v>
      </c>
      <c r="AR1010" s="3" t="s">
        <v>371</v>
      </c>
      <c r="AS1010" s="3" t="s">
        <v>371</v>
      </c>
      <c r="AT1010" s="3" t="s">
        <v>371</v>
      </c>
      <c r="AU1010" s="3" t="s">
        <v>371</v>
      </c>
      <c r="AV1010" s="3" t="s">
        <v>371</v>
      </c>
      <c r="AW1010" s="3" t="s">
        <v>371</v>
      </c>
      <c r="AX1010" s="3" t="s">
        <v>92</v>
      </c>
      <c r="AY1010" s="3"/>
      <c r="AZ1010" s="139"/>
      <c r="BA1010" s="139"/>
      <c r="BB1010" s="139"/>
      <c r="BC1010" s="139"/>
      <c r="BD1010" s="139"/>
      <c r="BE1010" s="3"/>
    </row>
    <row r="1011" spans="1:57" ht="15" customHeight="1" x14ac:dyDescent="0.4">
      <c r="A1011" s="3"/>
      <c r="B1011" s="7"/>
      <c r="C1011" s="4"/>
      <c r="D1011" s="4"/>
      <c r="E1011" s="7"/>
      <c r="F1011" s="4"/>
      <c r="G1011" s="7"/>
      <c r="H1011" s="14"/>
      <c r="I1011" s="36" t="s">
        <v>464</v>
      </c>
      <c r="J1011" s="38"/>
      <c r="K1011" s="3" t="s">
        <v>392</v>
      </c>
      <c r="L1011" s="3" t="s">
        <v>463</v>
      </c>
      <c r="M1011" s="5">
        <f>SHTwoLockCutoff</f>
        <v>25</v>
      </c>
      <c r="N1011" s="5"/>
      <c r="O1011" s="5"/>
      <c r="P1011" s="5"/>
      <c r="Q1011" s="5"/>
      <c r="R1011" s="3" t="s">
        <v>352</v>
      </c>
      <c r="S1011" s="56">
        <v>2</v>
      </c>
      <c r="T1011" s="3"/>
      <c r="U1011" s="14"/>
      <c r="V1011" s="38" t="s">
        <v>369</v>
      </c>
      <c r="W1011" s="3" t="s">
        <v>370</v>
      </c>
      <c r="X1011" s="38" t="s">
        <v>369</v>
      </c>
      <c r="Y1011" s="1443">
        <v>420145003</v>
      </c>
      <c r="Z1011" s="1443"/>
      <c r="AA1011" s="1443"/>
      <c r="AB1011" s="14"/>
      <c r="AC1011" s="3"/>
      <c r="AD1011" s="3"/>
      <c r="AE1011" s="5"/>
      <c r="AF1011" s="3"/>
      <c r="AG1011" s="3"/>
      <c r="AH1011" s="3"/>
      <c r="AI1011" s="353">
        <v>1.58</v>
      </c>
      <c r="AJ1011" s="39"/>
      <c r="AK1011" s="39"/>
      <c r="AL1011" s="39"/>
      <c r="AM1011" s="51">
        <f>AE$1010*AI1011+SUM(AJ1011:AL1011)</f>
        <v>3.16</v>
      </c>
      <c r="AN1011" s="3" t="s">
        <v>371</v>
      </c>
      <c r="AO1011" s="3" t="s">
        <v>371</v>
      </c>
      <c r="AP1011" s="3" t="s">
        <v>371</v>
      </c>
      <c r="AQ1011" s="3" t="s">
        <v>371</v>
      </c>
      <c r="AR1011" s="3" t="s">
        <v>371</v>
      </c>
      <c r="AS1011" s="3" t="s">
        <v>371</v>
      </c>
      <c r="AT1011" s="3" t="s">
        <v>371</v>
      </c>
      <c r="AU1011" s="3" t="s">
        <v>371</v>
      </c>
      <c r="AV1011" s="3" t="s">
        <v>371</v>
      </c>
      <c r="AW1011" s="3" t="s">
        <v>371</v>
      </c>
      <c r="AX1011" s="3" t="s">
        <v>92</v>
      </c>
      <c r="AY1011" s="3"/>
      <c r="AZ1011" s="139"/>
      <c r="BA1011" s="139"/>
      <c r="BB1011" s="139"/>
      <c r="BC1011" s="139"/>
      <c r="BD1011" s="139"/>
      <c r="BE1011" s="3"/>
    </row>
    <row r="1012" spans="1:57" ht="15" customHeight="1" x14ac:dyDescent="0.4">
      <c r="A1012" s="3"/>
      <c r="B1012" s="36"/>
      <c r="C1012" s="36"/>
      <c r="D1012" s="36"/>
      <c r="E1012" s="7"/>
      <c r="F1012" s="1490" t="s">
        <v>2088</v>
      </c>
      <c r="G1012" s="7"/>
      <c r="H1012" s="14"/>
      <c r="I1012" s="36"/>
      <c r="J1012" s="38"/>
      <c r="K1012" s="3"/>
      <c r="L1012" s="3"/>
      <c r="M1012" s="5"/>
      <c r="N1012" s="5"/>
      <c r="O1012" s="5"/>
      <c r="P1012" s="5"/>
      <c r="Q1012" s="5"/>
      <c r="R1012" s="3"/>
      <c r="S1012" s="56"/>
      <c r="T1012" s="3"/>
      <c r="U1012" s="14"/>
      <c r="V1012" s="38" t="s">
        <v>369</v>
      </c>
      <c r="W1012" s="3" t="s">
        <v>372</v>
      </c>
      <c r="X1012" s="38" t="s">
        <v>369</v>
      </c>
      <c r="Y1012" s="1443">
        <v>420145021</v>
      </c>
      <c r="Z1012" s="1443"/>
      <c r="AA1012" s="1443"/>
      <c r="AB1012" s="14"/>
      <c r="AC1012" s="3"/>
      <c r="AD1012" s="3"/>
      <c r="AE1012" s="5"/>
      <c r="AF1012" s="3"/>
      <c r="AG1012" s="3"/>
      <c r="AH1012" s="3"/>
      <c r="AI1012" s="353">
        <v>1.58</v>
      </c>
      <c r="AJ1012" s="39"/>
      <c r="AK1012" s="39"/>
      <c r="AL1012" s="39"/>
      <c r="AM1012" s="51">
        <f>AE$1010*AI1012+SUM(AJ1012:AL1012)</f>
        <v>3.16</v>
      </c>
      <c r="AN1012" s="3" t="s">
        <v>371</v>
      </c>
      <c r="AO1012" s="3" t="s">
        <v>371</v>
      </c>
      <c r="AP1012" s="3" t="s">
        <v>371</v>
      </c>
      <c r="AQ1012" s="3" t="s">
        <v>371</v>
      </c>
      <c r="AR1012" s="3" t="s">
        <v>371</v>
      </c>
      <c r="AS1012" s="3" t="s">
        <v>371</v>
      </c>
      <c r="AT1012" s="3" t="s">
        <v>371</v>
      </c>
      <c r="AU1012" s="3" t="s">
        <v>371</v>
      </c>
      <c r="AV1012" s="3" t="s">
        <v>371</v>
      </c>
      <c r="AW1012" s="3" t="s">
        <v>371</v>
      </c>
      <c r="AX1012" s="3" t="s">
        <v>92</v>
      </c>
      <c r="AY1012" s="3"/>
      <c r="AZ1012" s="139"/>
      <c r="BA1012" s="139"/>
      <c r="BB1012" s="139"/>
      <c r="BC1012" s="139"/>
      <c r="BD1012" s="139"/>
      <c r="BE1012" s="3"/>
    </row>
    <row r="1013" spans="1:57" ht="15" customHeight="1" x14ac:dyDescent="0.4">
      <c r="A1013" s="3"/>
      <c r="B1013" s="36"/>
      <c r="C1013" s="36"/>
      <c r="D1013" s="36"/>
      <c r="E1013" s="7"/>
      <c r="F1013" s="36"/>
      <c r="G1013" s="7"/>
      <c r="H1013" s="14"/>
      <c r="I1013" s="3"/>
      <c r="J1013" s="38"/>
      <c r="K1013" s="3"/>
      <c r="L1013" s="3"/>
      <c r="M1013" s="5"/>
      <c r="N1013" s="5"/>
      <c r="O1013" s="5"/>
      <c r="P1013" s="5"/>
      <c r="Q1013" s="5"/>
      <c r="R1013" s="3"/>
      <c r="S1013" s="56"/>
      <c r="T1013" s="3"/>
      <c r="U1013" s="14"/>
      <c r="V1013" s="38" t="s">
        <v>369</v>
      </c>
      <c r="W1013" s="3" t="s">
        <v>373</v>
      </c>
      <c r="X1013" s="38" t="s">
        <v>369</v>
      </c>
      <c r="Y1013" s="1443">
        <v>420145033</v>
      </c>
      <c r="Z1013" s="1443"/>
      <c r="AA1013" s="1443"/>
      <c r="AB1013" s="14"/>
      <c r="AC1013" s="3"/>
      <c r="AD1013" s="3"/>
      <c r="AE1013" s="5"/>
      <c r="AF1013" s="3"/>
      <c r="AG1013" s="3"/>
      <c r="AH1013" s="3"/>
      <c r="AI1013" s="353">
        <v>1.58</v>
      </c>
      <c r="AJ1013" s="39"/>
      <c r="AK1013" s="39"/>
      <c r="AL1013" s="39"/>
      <c r="AM1013" s="51">
        <f>AE$1010*AI1013+SUM(AJ1013:AL1013)</f>
        <v>3.16</v>
      </c>
      <c r="AN1013" s="3" t="s">
        <v>371</v>
      </c>
      <c r="AO1013" s="3" t="s">
        <v>371</v>
      </c>
      <c r="AP1013" s="3" t="s">
        <v>371</v>
      </c>
      <c r="AQ1013" s="3" t="s">
        <v>371</v>
      </c>
      <c r="AR1013" s="3" t="s">
        <v>371</v>
      </c>
      <c r="AS1013" s="3" t="s">
        <v>371</v>
      </c>
      <c r="AT1013" s="3" t="s">
        <v>371</v>
      </c>
      <c r="AU1013" s="3" t="s">
        <v>371</v>
      </c>
      <c r="AV1013" s="3" t="s">
        <v>371</v>
      </c>
      <c r="AW1013" s="3" t="s">
        <v>371</v>
      </c>
      <c r="AX1013" s="3" t="s">
        <v>92</v>
      </c>
      <c r="AY1013" s="3"/>
      <c r="AZ1013" s="139"/>
      <c r="BA1013" s="139"/>
      <c r="BB1013" s="139"/>
      <c r="BC1013" s="139"/>
      <c r="BD1013" s="139"/>
      <c r="BE1013" s="3"/>
    </row>
    <row r="1014" spans="1:57" ht="15" customHeight="1" thickBot="1" x14ac:dyDescent="0.45">
      <c r="A1014" s="3"/>
      <c r="B1014" s="36"/>
      <c r="C1014" s="36"/>
      <c r="D1014" s="36"/>
      <c r="E1014" s="7"/>
      <c r="F1014" s="36"/>
      <c r="G1014" s="7"/>
      <c r="H1014" s="14"/>
      <c r="I1014" s="3"/>
      <c r="J1014" s="38"/>
      <c r="K1014" s="3"/>
      <c r="L1014" s="3"/>
      <c r="M1014" s="5"/>
      <c r="N1014" s="5"/>
      <c r="O1014" s="5"/>
      <c r="P1014" s="5"/>
      <c r="Q1014" s="5"/>
      <c r="R1014" s="3"/>
      <c r="S1014" s="56"/>
      <c r="T1014" s="3"/>
      <c r="U1014" s="14"/>
      <c r="V1014" s="888" t="s">
        <v>369</v>
      </c>
      <c r="W1014" s="889" t="s">
        <v>375</v>
      </c>
      <c r="X1014" s="888" t="s">
        <v>369</v>
      </c>
      <c r="Y1014" s="1444">
        <v>420145133</v>
      </c>
      <c r="Z1014" s="1443"/>
      <c r="AA1014" s="1443"/>
      <c r="AB1014" s="14"/>
      <c r="AC1014" s="3"/>
      <c r="AD1014" s="889"/>
      <c r="AE1014" s="945"/>
      <c r="AF1014" s="3"/>
      <c r="AG1014" s="3"/>
      <c r="AH1014" s="3"/>
      <c r="AI1014" s="51"/>
      <c r="AJ1014" s="39"/>
      <c r="AK1014" s="39"/>
      <c r="AL1014" s="39"/>
      <c r="AM1014" s="39"/>
      <c r="AN1014" s="889" t="s">
        <v>92</v>
      </c>
      <c r="AO1014" s="889" t="s">
        <v>92</v>
      </c>
      <c r="AP1014" s="889" t="s">
        <v>92</v>
      </c>
      <c r="AQ1014" s="889" t="s">
        <v>92</v>
      </c>
      <c r="AR1014" s="889" t="s">
        <v>92</v>
      </c>
      <c r="AS1014" s="889" t="s">
        <v>92</v>
      </c>
      <c r="AT1014" s="889" t="s">
        <v>92</v>
      </c>
      <c r="AU1014" s="889" t="s">
        <v>92</v>
      </c>
      <c r="AV1014" s="889" t="s">
        <v>92</v>
      </c>
      <c r="AW1014" s="889" t="s">
        <v>92</v>
      </c>
      <c r="AX1014" s="889" t="s">
        <v>371</v>
      </c>
      <c r="AY1014" s="889"/>
      <c r="AZ1014" s="139"/>
      <c r="BA1014" s="139"/>
      <c r="BB1014" s="139"/>
      <c r="BC1014" s="139"/>
      <c r="BD1014" s="139"/>
      <c r="BE1014" s="3"/>
    </row>
    <row r="1015" spans="1:57" ht="15" customHeight="1" x14ac:dyDescent="0.4">
      <c r="A1015" s="3"/>
      <c r="B1015" s="36"/>
      <c r="C1015" s="173" t="s">
        <v>2374</v>
      </c>
      <c r="D1015" s="138"/>
      <c r="E1015" s="173"/>
      <c r="F1015" s="138"/>
      <c r="G1015" s="173"/>
      <c r="H1015" s="193"/>
      <c r="I1015" s="448" t="s">
        <v>461</v>
      </c>
      <c r="J1015" s="116"/>
      <c r="K1015" s="116" t="s">
        <v>392</v>
      </c>
      <c r="L1015" s="116" t="s">
        <v>465</v>
      </c>
      <c r="M1015" s="178">
        <f>SHTwoLockCutoff</f>
        <v>25</v>
      </c>
      <c r="N1015" s="177"/>
      <c r="O1015" s="177"/>
      <c r="P1015" s="177"/>
      <c r="Q1015" s="177"/>
      <c r="R1015" s="177" t="s">
        <v>352</v>
      </c>
      <c r="S1015" s="198">
        <v>1</v>
      </c>
      <c r="T1015" s="116" t="s">
        <v>385</v>
      </c>
      <c r="U1015" s="193"/>
      <c r="V1015" s="138"/>
      <c r="W1015" s="138"/>
      <c r="X1015" s="138"/>
      <c r="Y1015" s="1449"/>
      <c r="Z1015" s="1449"/>
      <c r="AA1015" s="1449"/>
      <c r="AB1015" s="193"/>
      <c r="AC1015" s="116">
        <v>45</v>
      </c>
      <c r="AD1015" s="3">
        <f>IF((SHWidth&lt;M1015),1,2)</f>
        <v>2</v>
      </c>
      <c r="AE1015" s="56">
        <f>S1015*AD1015</f>
        <v>2</v>
      </c>
      <c r="AF1015" s="116" t="s">
        <v>385</v>
      </c>
      <c r="AG1015" s="179" t="s">
        <v>8</v>
      </c>
      <c r="AH1015" s="179" t="s">
        <v>8</v>
      </c>
      <c r="AI1015" s="185"/>
      <c r="AJ1015" s="180"/>
      <c r="AK1015" s="180"/>
      <c r="AL1015" s="180"/>
      <c r="AM1015" s="180"/>
      <c r="AN1015" s="116" t="s">
        <v>371</v>
      </c>
      <c r="AO1015" s="116" t="s">
        <v>371</v>
      </c>
      <c r="AP1015" s="116" t="s">
        <v>371</v>
      </c>
      <c r="AQ1015" s="116" t="s">
        <v>371</v>
      </c>
      <c r="AR1015" s="116" t="s">
        <v>371</v>
      </c>
      <c r="AS1015" s="116" t="s">
        <v>371</v>
      </c>
      <c r="AT1015" s="116" t="s">
        <v>371</v>
      </c>
      <c r="AU1015" s="116" t="s">
        <v>371</v>
      </c>
      <c r="AV1015" s="116" t="s">
        <v>371</v>
      </c>
      <c r="AW1015" s="116" t="s">
        <v>371</v>
      </c>
      <c r="AX1015" s="116" t="s">
        <v>92</v>
      </c>
      <c r="AY1015" s="116"/>
      <c r="AZ1015" s="139"/>
      <c r="BA1015" s="139"/>
      <c r="BB1015" s="139"/>
      <c r="BC1015" s="139"/>
      <c r="BD1015" s="139"/>
      <c r="BE1015" s="3"/>
    </row>
    <row r="1016" spans="1:57" ht="15" customHeight="1" x14ac:dyDescent="0.4">
      <c r="A1016" s="3"/>
      <c r="B1016" s="36"/>
      <c r="C1016" s="8"/>
      <c r="D1016" s="36"/>
      <c r="E1016" s="7"/>
      <c r="F1016" s="36"/>
      <c r="G1016" s="7"/>
      <c r="H1016" s="14"/>
      <c r="I1016" s="36" t="s">
        <v>464</v>
      </c>
      <c r="J1016" s="38"/>
      <c r="K1016" s="3" t="s">
        <v>392</v>
      </c>
      <c r="L1016" s="3" t="s">
        <v>463</v>
      </c>
      <c r="M1016" s="5">
        <f>SHTwoLockCutoff</f>
        <v>25</v>
      </c>
      <c r="N1016" s="5"/>
      <c r="O1016" s="5"/>
      <c r="P1016" s="5"/>
      <c r="Q1016" s="5"/>
      <c r="R1016" s="3" t="s">
        <v>352</v>
      </c>
      <c r="S1016" s="56">
        <v>2</v>
      </c>
      <c r="T1016" s="3"/>
      <c r="U1016" s="14"/>
      <c r="V1016" s="38" t="s">
        <v>369</v>
      </c>
      <c r="W1016" s="3" t="s">
        <v>370</v>
      </c>
      <c r="X1016" s="38" t="s">
        <v>369</v>
      </c>
      <c r="Y1016" s="1443">
        <v>420146003</v>
      </c>
      <c r="Z1016" s="1443"/>
      <c r="AA1016" s="1443"/>
      <c r="AB1016" s="14"/>
      <c r="AC1016" s="3"/>
      <c r="AD1016" s="3"/>
      <c r="AE1016" s="5"/>
      <c r="AF1016" s="3"/>
      <c r="AG1016" s="3"/>
      <c r="AH1016" s="3"/>
      <c r="AI1016" s="353">
        <v>2.15</v>
      </c>
      <c r="AJ1016" s="39"/>
      <c r="AK1016" s="39"/>
      <c r="AL1016" s="39"/>
      <c r="AM1016" s="51">
        <f>AE$1015*AI1016+SUM(AJ1016:AL1016)</f>
        <v>4.3</v>
      </c>
      <c r="AN1016" s="3" t="s">
        <v>371</v>
      </c>
      <c r="AO1016" s="3" t="s">
        <v>371</v>
      </c>
      <c r="AP1016" s="3" t="s">
        <v>371</v>
      </c>
      <c r="AQ1016" s="3" t="s">
        <v>371</v>
      </c>
      <c r="AR1016" s="3" t="s">
        <v>371</v>
      </c>
      <c r="AS1016" s="3" t="s">
        <v>371</v>
      </c>
      <c r="AT1016" s="3" t="s">
        <v>371</v>
      </c>
      <c r="AU1016" s="3" t="s">
        <v>371</v>
      </c>
      <c r="AV1016" s="3" t="s">
        <v>371</v>
      </c>
      <c r="AW1016" s="3" t="s">
        <v>371</v>
      </c>
      <c r="AX1016" s="3" t="s">
        <v>92</v>
      </c>
      <c r="AY1016" s="3"/>
      <c r="AZ1016" s="139"/>
      <c r="BA1016" s="139"/>
      <c r="BB1016" s="139"/>
      <c r="BC1016" s="139"/>
      <c r="BD1016" s="139"/>
      <c r="BE1016" s="3"/>
    </row>
    <row r="1017" spans="1:57" ht="15" customHeight="1" x14ac:dyDescent="0.4">
      <c r="A1017" s="3"/>
      <c r="B1017" s="36"/>
      <c r="C1017" s="36"/>
      <c r="D1017" s="36"/>
      <c r="E1017" s="7"/>
      <c r="F1017" s="36"/>
      <c r="G1017" s="7"/>
      <c r="H1017" s="14"/>
      <c r="I1017" s="3"/>
      <c r="J1017" s="38"/>
      <c r="K1017" s="3"/>
      <c r="L1017" s="3"/>
      <c r="M1017" s="5"/>
      <c r="N1017" s="5"/>
      <c r="O1017" s="5"/>
      <c r="P1017" s="5"/>
      <c r="Q1017" s="5"/>
      <c r="R1017" s="3"/>
      <c r="S1017" s="56"/>
      <c r="T1017" s="3"/>
      <c r="U1017" s="14"/>
      <c r="V1017" s="38" t="s">
        <v>369</v>
      </c>
      <c r="W1017" s="3" t="s">
        <v>372</v>
      </c>
      <c r="X1017" s="38" t="s">
        <v>369</v>
      </c>
      <c r="Y1017" s="1443">
        <v>420146021</v>
      </c>
      <c r="Z1017" s="1443"/>
      <c r="AA1017" s="1443"/>
      <c r="AB1017" s="14"/>
      <c r="AC1017" s="3"/>
      <c r="AD1017" s="3"/>
      <c r="AE1017" s="5"/>
      <c r="AF1017" s="3"/>
      <c r="AG1017" s="3"/>
      <c r="AH1017" s="3"/>
      <c r="AI1017" s="353">
        <v>2.15</v>
      </c>
      <c r="AJ1017" s="39"/>
      <c r="AK1017" s="39"/>
      <c r="AL1017" s="39"/>
      <c r="AM1017" s="51">
        <f t="shared" ref="AM1017:AM1018" si="121">AE$1015*AI1017+SUM(AJ1017:AL1017)</f>
        <v>4.3</v>
      </c>
      <c r="AN1017" s="3" t="s">
        <v>371</v>
      </c>
      <c r="AO1017" s="3" t="s">
        <v>371</v>
      </c>
      <c r="AP1017" s="3" t="s">
        <v>371</v>
      </c>
      <c r="AQ1017" s="3" t="s">
        <v>371</v>
      </c>
      <c r="AR1017" s="3" t="s">
        <v>371</v>
      </c>
      <c r="AS1017" s="3" t="s">
        <v>371</v>
      </c>
      <c r="AT1017" s="3" t="s">
        <v>371</v>
      </c>
      <c r="AU1017" s="3" t="s">
        <v>371</v>
      </c>
      <c r="AV1017" s="3" t="s">
        <v>371</v>
      </c>
      <c r="AW1017" s="3" t="s">
        <v>371</v>
      </c>
      <c r="AX1017" s="3" t="s">
        <v>92</v>
      </c>
      <c r="AY1017" s="3"/>
      <c r="AZ1017" s="139"/>
      <c r="BA1017" s="139"/>
      <c r="BB1017" s="139"/>
      <c r="BC1017" s="139"/>
      <c r="BD1017" s="139"/>
      <c r="BE1017" s="3"/>
    </row>
    <row r="1018" spans="1:57" ht="15" customHeight="1" x14ac:dyDescent="0.4">
      <c r="A1018" s="3"/>
      <c r="B1018" s="36"/>
      <c r="C1018" s="36"/>
      <c r="D1018" s="36"/>
      <c r="E1018" s="7"/>
      <c r="F1018" s="1490" t="s">
        <v>2088</v>
      </c>
      <c r="G1018" s="7"/>
      <c r="H1018" s="14"/>
      <c r="I1018" s="3"/>
      <c r="J1018" s="38"/>
      <c r="K1018" s="3"/>
      <c r="L1018" s="3"/>
      <c r="M1018" s="5"/>
      <c r="N1018" s="5"/>
      <c r="O1018" s="5"/>
      <c r="P1018" s="5"/>
      <c r="Q1018" s="5"/>
      <c r="R1018" s="3"/>
      <c r="S1018" s="56"/>
      <c r="T1018" s="3"/>
      <c r="U1018" s="14"/>
      <c r="V1018" s="38" t="s">
        <v>369</v>
      </c>
      <c r="W1018" s="3" t="s">
        <v>373</v>
      </c>
      <c r="X1018" s="38" t="s">
        <v>369</v>
      </c>
      <c r="Y1018" s="1443">
        <v>420146033</v>
      </c>
      <c r="Z1018" s="1443"/>
      <c r="AA1018" s="1443"/>
      <c r="AB1018" s="14"/>
      <c r="AC1018" s="3"/>
      <c r="AD1018" s="3"/>
      <c r="AE1018" s="5"/>
      <c r="AF1018" s="3"/>
      <c r="AG1018" s="3"/>
      <c r="AH1018" s="3"/>
      <c r="AI1018" s="353">
        <v>2.15</v>
      </c>
      <c r="AJ1018" s="39"/>
      <c r="AK1018" s="39"/>
      <c r="AL1018" s="39"/>
      <c r="AM1018" s="51">
        <f t="shared" si="121"/>
        <v>4.3</v>
      </c>
      <c r="AN1018" s="3" t="s">
        <v>371</v>
      </c>
      <c r="AO1018" s="3" t="s">
        <v>371</v>
      </c>
      <c r="AP1018" s="3" t="s">
        <v>371</v>
      </c>
      <c r="AQ1018" s="3" t="s">
        <v>371</v>
      </c>
      <c r="AR1018" s="3" t="s">
        <v>371</v>
      </c>
      <c r="AS1018" s="3" t="s">
        <v>371</v>
      </c>
      <c r="AT1018" s="3" t="s">
        <v>371</v>
      </c>
      <c r="AU1018" s="3" t="s">
        <v>371</v>
      </c>
      <c r="AV1018" s="3" t="s">
        <v>371</v>
      </c>
      <c r="AW1018" s="3" t="s">
        <v>371</v>
      </c>
      <c r="AX1018" s="3" t="s">
        <v>92</v>
      </c>
      <c r="AY1018" s="3"/>
      <c r="AZ1018" s="139"/>
      <c r="BA1018" s="139"/>
      <c r="BB1018" s="139"/>
      <c r="BC1018" s="139"/>
      <c r="BD1018" s="139"/>
      <c r="BE1018" s="3"/>
    </row>
    <row r="1019" spans="1:57" ht="15" customHeight="1" thickBot="1" x14ac:dyDescent="0.45">
      <c r="A1019" s="3"/>
      <c r="B1019" s="943"/>
      <c r="C1019" s="943"/>
      <c r="D1019" s="943"/>
      <c r="E1019" s="924"/>
      <c r="F1019" s="943"/>
      <c r="G1019" s="924"/>
      <c r="H1019" s="948"/>
      <c r="I1019" s="889"/>
      <c r="J1019" s="888"/>
      <c r="K1019" s="889"/>
      <c r="L1019" s="889"/>
      <c r="M1019" s="945"/>
      <c r="N1019" s="945"/>
      <c r="O1019" s="945"/>
      <c r="P1019" s="945"/>
      <c r="Q1019" s="945"/>
      <c r="R1019" s="889"/>
      <c r="S1019" s="1156"/>
      <c r="T1019" s="889"/>
      <c r="U1019" s="948"/>
      <c r="V1019" s="888" t="s">
        <v>369</v>
      </c>
      <c r="W1019" s="889" t="s">
        <v>375</v>
      </c>
      <c r="X1019" s="888" t="s">
        <v>369</v>
      </c>
      <c r="Y1019" s="1444">
        <v>420146133</v>
      </c>
      <c r="Z1019" s="1444"/>
      <c r="AA1019" s="1444"/>
      <c r="AB1019" s="948"/>
      <c r="AC1019" s="889"/>
      <c r="AD1019" s="889"/>
      <c r="AE1019" s="945"/>
      <c r="AF1019" s="889"/>
      <c r="AG1019" s="889"/>
      <c r="AH1019" s="889"/>
      <c r="AI1019" s="937"/>
      <c r="AJ1019" s="947"/>
      <c r="AK1019" s="947"/>
      <c r="AL1019" s="947"/>
      <c r="AM1019" s="947"/>
      <c r="AN1019" s="889" t="s">
        <v>92</v>
      </c>
      <c r="AO1019" s="889" t="s">
        <v>92</v>
      </c>
      <c r="AP1019" s="889" t="s">
        <v>92</v>
      </c>
      <c r="AQ1019" s="889" t="s">
        <v>92</v>
      </c>
      <c r="AR1019" s="889" t="s">
        <v>92</v>
      </c>
      <c r="AS1019" s="889" t="s">
        <v>92</v>
      </c>
      <c r="AT1019" s="889" t="s">
        <v>92</v>
      </c>
      <c r="AU1019" s="889" t="s">
        <v>92</v>
      </c>
      <c r="AV1019" s="889" t="s">
        <v>92</v>
      </c>
      <c r="AW1019" s="889" t="s">
        <v>92</v>
      </c>
      <c r="AX1019" s="889" t="s">
        <v>371</v>
      </c>
      <c r="AY1019" s="889"/>
      <c r="AZ1019" s="139"/>
      <c r="BA1019" s="139"/>
      <c r="BB1019" s="139"/>
      <c r="BC1019" s="139"/>
      <c r="BD1019" s="139"/>
      <c r="BE1019" s="3"/>
    </row>
    <row r="1020" spans="1:57" ht="50.1" customHeight="1" thickBot="1" x14ac:dyDescent="0.45">
      <c r="A1020" s="3"/>
      <c r="B1020" s="1158" t="s">
        <v>906</v>
      </c>
      <c r="C1020" s="135"/>
      <c r="D1020" s="135"/>
      <c r="E1020" s="135"/>
      <c r="F1020" s="135"/>
      <c r="G1020" s="135"/>
      <c r="H1020" s="491"/>
      <c r="I1020" s="136"/>
      <c r="J1020" s="136"/>
      <c r="K1020" s="136"/>
      <c r="L1020" s="136"/>
      <c r="M1020" s="506"/>
      <c r="N1020" s="506"/>
      <c r="O1020" s="506"/>
      <c r="P1020" s="506"/>
      <c r="Q1020" s="506"/>
      <c r="R1020" s="508"/>
      <c r="S1020" s="507">
        <v>1</v>
      </c>
      <c r="T1020" s="508" t="s">
        <v>385</v>
      </c>
      <c r="U1020" s="491"/>
      <c r="V1020" s="557"/>
      <c r="W1020" s="136"/>
      <c r="X1020" s="557"/>
      <c r="Y1020" s="1463">
        <v>420129000</v>
      </c>
      <c r="Z1020" s="1463"/>
      <c r="AA1020" s="1463"/>
      <c r="AB1020" s="491"/>
      <c r="AC1020" s="136">
        <v>45</v>
      </c>
      <c r="AD1020" s="136">
        <v>2</v>
      </c>
      <c r="AE1020" s="507">
        <f>S1020*AD1020</f>
        <v>2</v>
      </c>
      <c r="AF1020" s="506" t="s">
        <v>385</v>
      </c>
      <c r="AG1020" s="557" t="s">
        <v>8</v>
      </c>
      <c r="AH1020" s="557" t="s">
        <v>8</v>
      </c>
      <c r="AI1020" s="1433">
        <v>5.4899999999999997E-2</v>
      </c>
      <c r="AJ1020" s="137"/>
      <c r="AK1020" s="137"/>
      <c r="AL1020" s="137"/>
      <c r="AM1020" s="475">
        <f>AE$1020*AI1020+SUM(AJ1020:AL1020)</f>
        <v>0.10979999999999999</v>
      </c>
      <c r="AN1020" s="136" t="s">
        <v>81</v>
      </c>
      <c r="AO1020" s="136" t="s">
        <v>81</v>
      </c>
      <c r="AP1020" s="136" t="s">
        <v>81</v>
      </c>
      <c r="AQ1020" s="136" t="s">
        <v>81</v>
      </c>
      <c r="AR1020" s="136" t="s">
        <v>81</v>
      </c>
      <c r="AS1020" s="136" t="s">
        <v>81</v>
      </c>
      <c r="AT1020" s="136" t="s">
        <v>81</v>
      </c>
      <c r="AU1020" s="136" t="s">
        <v>81</v>
      </c>
      <c r="AV1020" s="136" t="s">
        <v>81</v>
      </c>
      <c r="AW1020" s="136" t="s">
        <v>81</v>
      </c>
      <c r="AX1020" s="136" t="s">
        <v>81</v>
      </c>
      <c r="AY1020" s="136"/>
      <c r="AZ1020" s="139"/>
      <c r="BA1020" s="139"/>
      <c r="BB1020" s="139"/>
      <c r="BC1020" s="139"/>
      <c r="BD1020" s="139"/>
      <c r="BE1020" s="3"/>
    </row>
    <row r="1021" spans="1:57" ht="50.1" customHeight="1" x14ac:dyDescent="0.4">
      <c r="A1021" s="3"/>
      <c r="B1021" s="494" t="s">
        <v>907</v>
      </c>
      <c r="C1021" s="7"/>
      <c r="D1021" s="7"/>
      <c r="E1021" s="7"/>
      <c r="F1021" s="7"/>
      <c r="G1021" s="7"/>
      <c r="H1021" s="14"/>
      <c r="I1021" s="3"/>
      <c r="J1021" s="3"/>
      <c r="K1021" s="3"/>
      <c r="L1021" s="3"/>
      <c r="M1021" s="5"/>
      <c r="N1021" s="5"/>
      <c r="O1021" s="5"/>
      <c r="P1021" s="5"/>
      <c r="Q1021" s="5"/>
      <c r="R1021" s="376"/>
      <c r="S1021" s="56">
        <v>1</v>
      </c>
      <c r="T1021" s="376" t="s">
        <v>385</v>
      </c>
      <c r="U1021" s="14"/>
      <c r="V1021" s="38"/>
      <c r="W1021" s="3"/>
      <c r="X1021" s="38"/>
      <c r="Y1021" s="1443">
        <v>440007000</v>
      </c>
      <c r="Z1021" s="1443"/>
      <c r="AA1021" s="1443"/>
      <c r="AB1021" s="14"/>
      <c r="AC1021" s="3">
        <v>45</v>
      </c>
      <c r="AD1021" s="3">
        <v>2</v>
      </c>
      <c r="AE1021" s="56">
        <f>S1021*AD1021</f>
        <v>2</v>
      </c>
      <c r="AF1021" s="5" t="s">
        <v>385</v>
      </c>
      <c r="AG1021" s="38" t="s">
        <v>8</v>
      </c>
      <c r="AH1021" s="38" t="s">
        <v>8</v>
      </c>
      <c r="AI1021" s="353">
        <v>9.4000000000000004E-3</v>
      </c>
      <c r="AJ1021" s="39"/>
      <c r="AK1021" s="39"/>
      <c r="AL1021" s="39"/>
      <c r="AM1021" s="51">
        <f>AE$1021*AI1021+SUM(AJ1021:AL1021)</f>
        <v>1.8800000000000001E-2</v>
      </c>
      <c r="AN1021" s="3" t="s">
        <v>81</v>
      </c>
      <c r="AO1021" s="3" t="s">
        <v>81</v>
      </c>
      <c r="AP1021" s="3" t="s">
        <v>81</v>
      </c>
      <c r="AQ1021" s="3" t="s">
        <v>81</v>
      </c>
      <c r="AR1021" s="3" t="s">
        <v>81</v>
      </c>
      <c r="AS1021" s="3" t="s">
        <v>81</v>
      </c>
      <c r="AT1021" s="3" t="s">
        <v>81</v>
      </c>
      <c r="AU1021" s="3" t="s">
        <v>81</v>
      </c>
      <c r="AV1021" s="3" t="s">
        <v>81</v>
      </c>
      <c r="AW1021" s="3" t="s">
        <v>81</v>
      </c>
      <c r="AX1021" s="3" t="s">
        <v>81</v>
      </c>
      <c r="AY1021" s="3"/>
      <c r="AZ1021" s="139"/>
      <c r="BA1021" s="139"/>
      <c r="BB1021" s="139"/>
      <c r="BC1021" s="139"/>
      <c r="BD1021" s="139"/>
      <c r="BE1021" s="3"/>
    </row>
    <row r="1022" spans="1:57" ht="15" customHeight="1" thickBot="1" x14ac:dyDescent="0.45">
      <c r="A1022" s="3"/>
      <c r="B1022" s="1193"/>
      <c r="C1022" s="924"/>
      <c r="D1022" s="924"/>
      <c r="E1022" s="924"/>
      <c r="F1022" s="924"/>
      <c r="G1022" s="924"/>
      <c r="H1022" s="948"/>
      <c r="I1022" s="889"/>
      <c r="J1022" s="889"/>
      <c r="K1022" s="889"/>
      <c r="L1022" s="889"/>
      <c r="M1022" s="945"/>
      <c r="N1022" s="945"/>
      <c r="O1022" s="945"/>
      <c r="P1022" s="945"/>
      <c r="Q1022" s="945"/>
      <c r="R1022" s="970"/>
      <c r="S1022" s="1156"/>
      <c r="T1022" s="970"/>
      <c r="U1022" s="948"/>
      <c r="V1022" s="888"/>
      <c r="W1022" s="889"/>
      <c r="X1022" s="888"/>
      <c r="Y1022" s="1444"/>
      <c r="Z1022" s="1444"/>
      <c r="AA1022" s="1444"/>
      <c r="AB1022" s="948"/>
      <c r="AC1022" s="889"/>
      <c r="AD1022" s="889"/>
      <c r="AE1022" s="889"/>
      <c r="AF1022" s="945"/>
      <c r="AG1022" s="888"/>
      <c r="AH1022" s="888"/>
      <c r="AI1022" s="937"/>
      <c r="AJ1022" s="947"/>
      <c r="AK1022" s="947"/>
      <c r="AL1022" s="947"/>
      <c r="AM1022" s="947"/>
      <c r="AN1022" s="889"/>
      <c r="AO1022" s="889"/>
      <c r="AP1022" s="889"/>
      <c r="AQ1022" s="889"/>
      <c r="AR1022" s="889"/>
      <c r="AS1022" s="889"/>
      <c r="AT1022" s="889"/>
      <c r="AU1022" s="889"/>
      <c r="AV1022" s="889"/>
      <c r="AW1022" s="889"/>
      <c r="AX1022" s="889"/>
      <c r="AY1022" s="889"/>
      <c r="AZ1022" s="139"/>
      <c r="BA1022" s="139"/>
      <c r="BB1022" s="139"/>
      <c r="BC1022" s="139"/>
      <c r="BD1022" s="139"/>
      <c r="BE1022" s="3"/>
    </row>
    <row r="1023" spans="1:57" ht="15" customHeight="1" x14ac:dyDescent="0.4">
      <c r="A1023" s="3"/>
      <c r="B1023" s="641" t="s">
        <v>908</v>
      </c>
      <c r="C1023" s="642"/>
      <c r="D1023" s="642"/>
      <c r="E1023" s="642"/>
      <c r="F1023" s="642"/>
      <c r="G1023" s="642"/>
      <c r="H1023" s="643"/>
      <c r="I1023" s="643"/>
      <c r="J1023" s="643"/>
      <c r="K1023" s="643"/>
      <c r="L1023" s="643"/>
      <c r="M1023" s="644"/>
      <c r="N1023" s="644"/>
      <c r="O1023" s="644"/>
      <c r="P1023" s="644"/>
      <c r="Q1023" s="644"/>
      <c r="R1023" s="643"/>
      <c r="S1023" s="644"/>
      <c r="T1023" s="643"/>
      <c r="U1023" s="643"/>
      <c r="V1023" s="642"/>
      <c r="W1023" s="642"/>
      <c r="X1023" s="642"/>
      <c r="Y1023" s="645"/>
      <c r="Z1023" s="645"/>
      <c r="AA1023" s="645"/>
      <c r="AB1023" s="643"/>
      <c r="AC1023" s="645"/>
      <c r="AD1023" s="643"/>
      <c r="AE1023" s="644"/>
      <c r="AF1023" s="643"/>
      <c r="AG1023" s="643"/>
      <c r="AH1023" s="643"/>
      <c r="AI1023" s="646"/>
      <c r="AJ1023" s="647"/>
      <c r="AK1023" s="647"/>
      <c r="AL1023" s="671" t="s">
        <v>909</v>
      </c>
      <c r="AM1023" s="672">
        <f>SUBTOTAL(109,AM1024:AM1035)</f>
        <v>11.057896966223334</v>
      </c>
      <c r="AN1023" s="647"/>
      <c r="AO1023" s="647"/>
      <c r="AP1023" s="647"/>
      <c r="AQ1023" s="647"/>
      <c r="AR1023" s="647"/>
      <c r="AS1023" s="647"/>
      <c r="AT1023" s="647"/>
      <c r="AU1023" s="647"/>
      <c r="AV1023" s="647"/>
      <c r="AW1023" s="647"/>
      <c r="AX1023" s="647"/>
      <c r="AY1023" s="647"/>
      <c r="AZ1023" s="139"/>
      <c r="BA1023" s="139"/>
      <c r="BB1023" s="139"/>
      <c r="BC1023" s="139"/>
      <c r="BD1023" s="139"/>
      <c r="BE1023" s="3"/>
    </row>
    <row r="1024" spans="1:57" ht="15" customHeight="1" x14ac:dyDescent="0.4">
      <c r="A1024" s="3" t="s">
        <v>809</v>
      </c>
      <c r="B1024" s="4" t="s">
        <v>2073</v>
      </c>
      <c r="C1024" s="8"/>
      <c r="D1024" s="8"/>
      <c r="E1024" s="8"/>
      <c r="F1024" s="8"/>
      <c r="G1024" s="3"/>
      <c r="H1024" s="370"/>
      <c r="I1024" s="47" t="s">
        <v>910</v>
      </c>
      <c r="J1024" s="3"/>
      <c r="K1024" s="3"/>
      <c r="L1024" s="5"/>
      <c r="M1024" s="5"/>
      <c r="N1024" s="5"/>
      <c r="O1024" s="5"/>
      <c r="P1024" s="5"/>
      <c r="Q1024" s="3"/>
      <c r="R1024" s="5"/>
      <c r="S1024" s="5">
        <f>((SHTGW*2)+(SHTGH*2))/12/1010</f>
        <v>1.1458333333333333E-2</v>
      </c>
      <c r="T1024" s="3" t="s">
        <v>815</v>
      </c>
      <c r="U1024" s="14"/>
      <c r="V1024" s="38" t="s">
        <v>8</v>
      </c>
      <c r="W1024" s="3" t="s">
        <v>422</v>
      </c>
      <c r="X1024" s="38" t="s">
        <v>8</v>
      </c>
      <c r="Y1024" s="1443">
        <v>610023014</v>
      </c>
      <c r="Z1024" s="56">
        <v>39844</v>
      </c>
      <c r="AA1024" s="56">
        <v>638389</v>
      </c>
      <c r="AB1024" s="14"/>
      <c r="AC1024" s="3">
        <v>45</v>
      </c>
      <c r="AD1024" s="5"/>
      <c r="AE1024" s="5">
        <f>S1024</f>
        <v>1.1458333333333333E-2</v>
      </c>
      <c r="AF1024" s="3" t="s">
        <v>815</v>
      </c>
      <c r="AG1024" s="38" t="s">
        <v>8</v>
      </c>
      <c r="AH1024" s="38" t="s">
        <v>8</v>
      </c>
      <c r="AI1024" s="1427">
        <v>27.652000000000001</v>
      </c>
      <c r="AJ1024" s="477"/>
      <c r="AK1024" s="477"/>
      <c r="AL1024" s="477"/>
      <c r="AM1024" s="51">
        <f>AE1024*AI1024+SUM(AJ1024:AL1024)</f>
        <v>0.31684583333333333</v>
      </c>
      <c r="AN1024" s="3" t="s">
        <v>81</v>
      </c>
      <c r="AO1024" s="3" t="s">
        <v>81</v>
      </c>
      <c r="AP1024" s="3" t="s">
        <v>81</v>
      </c>
      <c r="AQ1024" s="3" t="s">
        <v>81</v>
      </c>
      <c r="AR1024" s="3" t="s">
        <v>81</v>
      </c>
      <c r="AS1024" s="3" t="s">
        <v>81</v>
      </c>
      <c r="AT1024" s="3" t="s">
        <v>81</v>
      </c>
      <c r="AU1024" s="3" t="s">
        <v>92</v>
      </c>
      <c r="AV1024" s="3" t="s">
        <v>92</v>
      </c>
      <c r="AW1024" s="3" t="s">
        <v>92</v>
      </c>
      <c r="AX1024" s="3" t="s">
        <v>81</v>
      </c>
      <c r="AY1024" s="3"/>
      <c r="AZ1024" s="139"/>
      <c r="BA1024" s="139"/>
      <c r="BB1024" s="139"/>
      <c r="BC1024" s="139"/>
      <c r="BD1024" s="139"/>
      <c r="BE1024" s="3"/>
    </row>
    <row r="1025" spans="1:57" ht="15" customHeight="1" x14ac:dyDescent="0.4">
      <c r="A1025" s="3"/>
      <c r="B1025" s="573" t="s">
        <v>2074</v>
      </c>
      <c r="C1025" s="694"/>
      <c r="D1025" s="694"/>
      <c r="E1025" s="694"/>
      <c r="F1025" s="694"/>
      <c r="G1025" s="577"/>
      <c r="H1025" s="695"/>
      <c r="I1025" s="577"/>
      <c r="J1025" s="577"/>
      <c r="K1025" s="577"/>
      <c r="L1025" s="575"/>
      <c r="M1025" s="575"/>
      <c r="N1025" s="575"/>
      <c r="O1025" s="575"/>
      <c r="P1025" s="575"/>
      <c r="Q1025" s="577"/>
      <c r="R1025" s="575"/>
      <c r="S1025" s="575">
        <v>1</v>
      </c>
      <c r="T1025" s="577" t="s">
        <v>811</v>
      </c>
      <c r="U1025" s="574"/>
      <c r="V1025" s="573"/>
      <c r="W1025" s="573"/>
      <c r="X1025" s="576"/>
      <c r="Y1025" s="1460">
        <v>610023014001</v>
      </c>
      <c r="Z1025" s="577">
        <v>30359</v>
      </c>
      <c r="AA1025" s="577"/>
      <c r="AB1025" s="574"/>
      <c r="AC1025" s="577">
        <v>45</v>
      </c>
      <c r="AD1025" s="575"/>
      <c r="AE1025" s="577">
        <v>1</v>
      </c>
      <c r="AF1025" s="577" t="s">
        <v>811</v>
      </c>
      <c r="AG1025" s="579" t="s">
        <v>8</v>
      </c>
      <c r="AH1025" s="579" t="s">
        <v>8</v>
      </c>
      <c r="AI1025" s="1432">
        <f>AI781</f>
        <v>2.5501</v>
      </c>
      <c r="AJ1025" s="580"/>
      <c r="AK1025" s="580"/>
      <c r="AL1025" s="580"/>
      <c r="AM1025" s="626">
        <f>AE1025*AI1025+SUM(AJ1025:AL1025)</f>
        <v>2.5501</v>
      </c>
      <c r="AN1025" s="577" t="s">
        <v>92</v>
      </c>
      <c r="AO1025" s="577" t="s">
        <v>92</v>
      </c>
      <c r="AP1025" s="577" t="s">
        <v>92</v>
      </c>
      <c r="AQ1025" s="577" t="s">
        <v>92</v>
      </c>
      <c r="AR1025" s="577" t="s">
        <v>92</v>
      </c>
      <c r="AS1025" s="577" t="s">
        <v>92</v>
      </c>
      <c r="AT1025" s="577" t="s">
        <v>92</v>
      </c>
      <c r="AU1025" s="577" t="s">
        <v>92</v>
      </c>
      <c r="AV1025" s="577" t="s">
        <v>92</v>
      </c>
      <c r="AW1025" s="577" t="s">
        <v>92</v>
      </c>
      <c r="AX1025" s="577" t="s">
        <v>92</v>
      </c>
      <c r="AY1025" s="577"/>
      <c r="AZ1025" s="139"/>
      <c r="BA1025" s="139"/>
      <c r="BB1025" s="139"/>
      <c r="BC1025" s="139"/>
      <c r="BD1025" s="139"/>
      <c r="BE1025" s="3"/>
    </row>
    <row r="1026" spans="1:57" ht="15" customHeight="1" x14ac:dyDescent="0.4">
      <c r="A1026" s="3"/>
      <c r="B1026" s="4" t="str">
        <f>B784</f>
        <v>Impact Hotmelt glaze, golden (Henkel Purfect Glaze 1219461, 5 gal pail)</v>
      </c>
      <c r="C1026" s="8"/>
      <c r="D1026" s="36"/>
      <c r="E1026" s="36"/>
      <c r="F1026" s="36"/>
      <c r="G1026" s="500"/>
      <c r="H1026" s="370"/>
      <c r="I1026" s="47" t="s">
        <v>814</v>
      </c>
      <c r="J1026" s="3"/>
      <c r="K1026" s="3"/>
      <c r="L1026" s="5"/>
      <c r="M1026" s="5"/>
      <c r="N1026" s="5"/>
      <c r="O1026" s="5"/>
      <c r="P1026" s="5"/>
      <c r="Q1026" s="3"/>
      <c r="R1026" s="5"/>
      <c r="S1026" s="5">
        <f>((SHSashGW*2)+(SHSashGH*2))/12/392</f>
        <v>2.8486181972789116E-2</v>
      </c>
      <c r="T1026" s="3" t="s">
        <v>815</v>
      </c>
      <c r="U1026" s="14"/>
      <c r="V1026" s="38" t="s">
        <v>8</v>
      </c>
      <c r="W1026" s="3" t="s">
        <v>422</v>
      </c>
      <c r="X1026" s="38" t="s">
        <v>8</v>
      </c>
      <c r="Y1026" s="1443">
        <f>Y784</f>
        <v>610027000</v>
      </c>
      <c r="Z1026" s="56">
        <f>Z784</f>
        <v>251924</v>
      </c>
      <c r="AA1026" s="56"/>
      <c r="AB1026" s="14"/>
      <c r="AC1026" s="3">
        <v>45</v>
      </c>
      <c r="AD1026" s="5"/>
      <c r="AE1026" s="5">
        <f>S1026</f>
        <v>2.8486181972789116E-2</v>
      </c>
      <c r="AF1026" s="3" t="s">
        <v>815</v>
      </c>
      <c r="AG1026" s="38" t="s">
        <v>8</v>
      </c>
      <c r="AH1026" s="38" t="s">
        <v>8</v>
      </c>
      <c r="AI1026" s="1427">
        <f>AI784</f>
        <v>68.66</v>
      </c>
      <c r="AJ1026" s="477"/>
      <c r="AK1026" s="477"/>
      <c r="AL1026" s="477"/>
      <c r="AM1026" s="51">
        <f>AE1026*AI1026+SUM(AJ1026:AL1026)</f>
        <v>1.9558612542517007</v>
      </c>
      <c r="AN1026" s="3" t="s">
        <v>92</v>
      </c>
      <c r="AO1026" s="3" t="s">
        <v>92</v>
      </c>
      <c r="AP1026" s="3" t="s">
        <v>92</v>
      </c>
      <c r="AQ1026" s="3" t="s">
        <v>92</v>
      </c>
      <c r="AR1026" s="3" t="s">
        <v>92</v>
      </c>
      <c r="AS1026" s="3" t="s">
        <v>92</v>
      </c>
      <c r="AT1026" s="3" t="s">
        <v>92</v>
      </c>
      <c r="AU1026" s="3" t="s">
        <v>92</v>
      </c>
      <c r="AV1026" s="3" t="s">
        <v>92</v>
      </c>
      <c r="AW1026" s="3" t="s">
        <v>92</v>
      </c>
      <c r="AX1026" s="3" t="s">
        <v>92</v>
      </c>
      <c r="AY1026" s="3"/>
      <c r="AZ1026" s="139"/>
      <c r="BA1026" s="139"/>
      <c r="BB1026" s="139"/>
      <c r="BC1026" s="139"/>
      <c r="BD1026" s="139"/>
      <c r="BE1026" s="3"/>
    </row>
    <row r="1027" spans="1:57" ht="15" customHeight="1" x14ac:dyDescent="0.4">
      <c r="A1027" s="3"/>
      <c r="B1027" s="4" t="str">
        <f>B785</f>
        <v>Impact Hotmelt glaze, golden (Henkel Purfect Glaze 1219461, 55 gal drum)</v>
      </c>
      <c r="C1027" s="8"/>
      <c r="D1027" s="36"/>
      <c r="E1027" s="36"/>
      <c r="F1027" s="36"/>
      <c r="G1027" s="500"/>
      <c r="H1027" s="370"/>
      <c r="I1027" s="47" t="s">
        <v>814</v>
      </c>
      <c r="J1027" s="3"/>
      <c r="K1027" s="3"/>
      <c r="L1027" s="5"/>
      <c r="M1027" s="5"/>
      <c r="N1027" s="5"/>
      <c r="O1027" s="5"/>
      <c r="P1027" s="5"/>
      <c r="Q1027" s="3"/>
      <c r="R1027" s="5"/>
      <c r="S1027" s="5">
        <f>((SHSashGW*2)+(SHSashGH*2))/12/392</f>
        <v>2.8486181972789116E-2</v>
      </c>
      <c r="T1027" s="3" t="s">
        <v>815</v>
      </c>
      <c r="U1027" s="14"/>
      <c r="V1027" s="38" t="s">
        <v>8</v>
      </c>
      <c r="W1027" s="3" t="s">
        <v>422</v>
      </c>
      <c r="X1027" s="38" t="s">
        <v>8</v>
      </c>
      <c r="Y1027" s="1445">
        <f>Y785</f>
        <v>610027000002</v>
      </c>
      <c r="Z1027" s="56">
        <f>Z785</f>
        <v>251931</v>
      </c>
      <c r="AA1027" s="56"/>
      <c r="AB1027" s="14"/>
      <c r="AC1027" s="3">
        <v>45</v>
      </c>
      <c r="AD1027" s="5"/>
      <c r="AE1027" s="5">
        <f>S1027</f>
        <v>2.8486181972789116E-2</v>
      </c>
      <c r="AF1027" s="3" t="s">
        <v>815</v>
      </c>
      <c r="AG1027" s="38" t="s">
        <v>8</v>
      </c>
      <c r="AH1027" s="38" t="s">
        <v>8</v>
      </c>
      <c r="AI1027" s="1427">
        <v>99.160399999999996</v>
      </c>
      <c r="AJ1027" s="477"/>
      <c r="AK1027" s="477"/>
      <c r="AL1027" s="477"/>
      <c r="AM1027" s="51">
        <f>AE1027*AI1027+SUM(AJ1027:AL1027)</f>
        <v>2.8247011988945578</v>
      </c>
      <c r="AN1027" s="3" t="s">
        <v>92</v>
      </c>
      <c r="AO1027" s="3" t="s">
        <v>92</v>
      </c>
      <c r="AP1027" s="3" t="s">
        <v>92</v>
      </c>
      <c r="AQ1027" s="3" t="s">
        <v>92</v>
      </c>
      <c r="AR1027" s="3" t="s">
        <v>92</v>
      </c>
      <c r="AS1027" s="3" t="s">
        <v>92</v>
      </c>
      <c r="AT1027" s="3" t="s">
        <v>92</v>
      </c>
      <c r="AU1027" s="3" t="s">
        <v>81</v>
      </c>
      <c r="AV1027" s="3" t="s">
        <v>81</v>
      </c>
      <c r="AW1027" s="3" t="s">
        <v>81</v>
      </c>
      <c r="AX1027" s="3" t="s">
        <v>92</v>
      </c>
      <c r="AY1027" s="3"/>
      <c r="AZ1027" s="139"/>
      <c r="BA1027" s="139"/>
      <c r="BB1027" s="139"/>
      <c r="BC1027" s="139"/>
      <c r="BD1027" s="139"/>
      <c r="BE1027" s="3"/>
    </row>
    <row r="1028" spans="1:57" ht="15" customHeight="1" x14ac:dyDescent="0.4">
      <c r="A1028" s="3"/>
      <c r="B1028" s="4" t="str">
        <f>B786</f>
        <v>Impact wet glaze, gray (Dow Corning 995, 10.3 oz tube)</v>
      </c>
      <c r="C1028" s="8"/>
      <c r="D1028" s="36"/>
      <c r="E1028" s="36"/>
      <c r="F1028" s="36"/>
      <c r="G1028" s="500"/>
      <c r="H1028" s="370"/>
      <c r="I1028" s="47" t="s">
        <v>814</v>
      </c>
      <c r="J1028" s="3"/>
      <c r="K1028" s="3"/>
      <c r="L1028" s="5"/>
      <c r="M1028" s="5"/>
      <c r="N1028" s="5"/>
      <c r="O1028" s="5"/>
      <c r="P1028" s="5"/>
      <c r="Q1028" s="3"/>
      <c r="R1028" s="5"/>
      <c r="S1028" s="5">
        <f>((SHSashGW*2)+(SHSashGH*2))/12/392</f>
        <v>2.8486181972789116E-2</v>
      </c>
      <c r="T1028" s="3" t="s">
        <v>815</v>
      </c>
      <c r="U1028" s="14"/>
      <c r="V1028" s="38" t="s">
        <v>8</v>
      </c>
      <c r="W1028" s="3" t="s">
        <v>817</v>
      </c>
      <c r="X1028" s="38" t="s">
        <v>8</v>
      </c>
      <c r="Y1028" s="1445">
        <f>Y786</f>
        <v>610007010001</v>
      </c>
      <c r="Z1028" s="56"/>
      <c r="AA1028" s="1445"/>
      <c r="AB1028" s="14"/>
      <c r="AC1028" s="3">
        <v>45</v>
      </c>
      <c r="AD1028" s="5"/>
      <c r="AE1028" s="5">
        <f>S1028/10.3*128</f>
        <v>0.35400303810844724</v>
      </c>
      <c r="AF1028" s="3" t="s">
        <v>811</v>
      </c>
      <c r="AG1028" s="38" t="s">
        <v>8</v>
      </c>
      <c r="AH1028" s="38" t="s">
        <v>8</v>
      </c>
      <c r="AI1028" s="1427">
        <v>9.44</v>
      </c>
      <c r="AJ1028" s="477"/>
      <c r="AK1028" s="477"/>
      <c r="AL1028" s="477"/>
      <c r="AM1028" s="51">
        <f>AE1028*AI1028+SUM(AJ1028:AL1028)</f>
        <v>3.3417886797437419</v>
      </c>
      <c r="AN1028" s="3" t="s">
        <v>371</v>
      </c>
      <c r="AO1028" s="3" t="s">
        <v>371</v>
      </c>
      <c r="AP1028" s="3" t="s">
        <v>371</v>
      </c>
      <c r="AQ1028" s="3" t="s">
        <v>371</v>
      </c>
      <c r="AR1028" s="3" t="s">
        <v>371</v>
      </c>
      <c r="AS1028" s="3" t="s">
        <v>371</v>
      </c>
      <c r="AT1028" s="3" t="s">
        <v>371</v>
      </c>
      <c r="AU1028" s="3" t="s">
        <v>371</v>
      </c>
      <c r="AV1028" s="3" t="s">
        <v>371</v>
      </c>
      <c r="AW1028" s="3" t="s">
        <v>371</v>
      </c>
      <c r="AX1028" s="3" t="s">
        <v>371</v>
      </c>
      <c r="AY1028" s="3"/>
      <c r="AZ1028" s="139"/>
      <c r="BA1028" s="139"/>
      <c r="BB1028" s="139"/>
      <c r="BC1028" s="139"/>
      <c r="BD1028" s="139"/>
      <c r="BE1028" s="3"/>
    </row>
    <row r="1029" spans="1:57" ht="15" customHeight="1" x14ac:dyDescent="0.4">
      <c r="A1029" s="3"/>
      <c r="B1029" s="573" t="str">
        <f>B787</f>
        <v>Impact wet glaze, gray (Dow Corning 995, 5 gal pail)</v>
      </c>
      <c r="C1029" s="694"/>
      <c r="D1029" s="622"/>
      <c r="E1029" s="622"/>
      <c r="F1029" s="622"/>
      <c r="G1029" s="223"/>
      <c r="H1029" s="695"/>
      <c r="I1029" s="698" t="s">
        <v>814</v>
      </c>
      <c r="J1029" s="577"/>
      <c r="K1029" s="577"/>
      <c r="L1029" s="575"/>
      <c r="M1029" s="575"/>
      <c r="N1029" s="575"/>
      <c r="O1029" s="575"/>
      <c r="P1029" s="575"/>
      <c r="Q1029" s="577"/>
      <c r="R1029" s="575"/>
      <c r="S1029" s="575">
        <f>((SHSashGW*2)+(SHSashGH*2))/12/392</f>
        <v>2.8486181972789116E-2</v>
      </c>
      <c r="T1029" s="577" t="s">
        <v>815</v>
      </c>
      <c r="U1029" s="574"/>
      <c r="V1029" s="579" t="s">
        <v>8</v>
      </c>
      <c r="W1029" s="577" t="s">
        <v>817</v>
      </c>
      <c r="X1029" s="579" t="s">
        <v>8</v>
      </c>
      <c r="Y1029" s="1460">
        <f>Y787</f>
        <v>610007010002</v>
      </c>
      <c r="Z1029" s="1460"/>
      <c r="AA1029" s="1460"/>
      <c r="AB1029" s="574"/>
      <c r="AC1029" s="577">
        <v>45</v>
      </c>
      <c r="AD1029" s="575"/>
      <c r="AE1029" s="575">
        <f>S1029</f>
        <v>2.8486181972789116E-2</v>
      </c>
      <c r="AF1029" s="577" t="s">
        <v>815</v>
      </c>
      <c r="AG1029" s="579" t="s">
        <v>8</v>
      </c>
      <c r="AH1029" s="579" t="s">
        <v>8</v>
      </c>
      <c r="AI1029" s="1000">
        <f t="shared" ref="AI1029:AI1035" si="122">AI787</f>
        <v>0</v>
      </c>
      <c r="AJ1029" s="580"/>
      <c r="AK1029" s="580"/>
      <c r="AL1029" s="580"/>
      <c r="AM1029" s="626">
        <f t="shared" ref="AM1029:AM1033" si="123">AE1029*AI1029+SUM(AJ1029:AL1029)</f>
        <v>0</v>
      </c>
      <c r="AN1029" s="577" t="s">
        <v>371</v>
      </c>
      <c r="AO1029" s="577" t="s">
        <v>371</v>
      </c>
      <c r="AP1029" s="577" t="s">
        <v>371</v>
      </c>
      <c r="AQ1029" s="577" t="s">
        <v>371</v>
      </c>
      <c r="AR1029" s="577" t="s">
        <v>371</v>
      </c>
      <c r="AS1029" s="577" t="s">
        <v>371</v>
      </c>
      <c r="AT1029" s="577" t="s">
        <v>371</v>
      </c>
      <c r="AU1029" s="577" t="s">
        <v>371</v>
      </c>
      <c r="AV1029" s="577" t="s">
        <v>371</v>
      </c>
      <c r="AW1029" s="577" t="s">
        <v>371</v>
      </c>
      <c r="AX1029" s="577" t="s">
        <v>371</v>
      </c>
      <c r="AY1029" s="577"/>
      <c r="AZ1029" s="139"/>
      <c r="BA1029" s="139"/>
      <c r="BB1029" s="139"/>
      <c r="BC1029" s="139"/>
      <c r="BD1029" s="139"/>
      <c r="BE1029" s="3"/>
    </row>
    <row r="1030" spans="1:57" ht="15" customHeight="1" x14ac:dyDescent="0.4">
      <c r="A1030" s="3"/>
      <c r="B1030" s="4" t="s">
        <v>2068</v>
      </c>
      <c r="C1030" s="8"/>
      <c r="D1030" s="8"/>
      <c r="E1030" s="8"/>
      <c r="F1030" s="8"/>
      <c r="G1030" s="3"/>
      <c r="H1030" s="370"/>
      <c r="I1030" s="8"/>
      <c r="J1030" s="495"/>
      <c r="K1030" s="3"/>
      <c r="L1030" s="5"/>
      <c r="M1030" s="5"/>
      <c r="N1030" s="5"/>
      <c r="O1030" s="5"/>
      <c r="P1030" s="5"/>
      <c r="Q1030" s="3"/>
      <c r="R1030" s="5"/>
      <c r="S1030" s="56">
        <v>1</v>
      </c>
      <c r="T1030" s="3" t="s">
        <v>385</v>
      </c>
      <c r="U1030" s="14"/>
      <c r="V1030" s="38" t="s">
        <v>8</v>
      </c>
      <c r="W1030" s="3" t="s">
        <v>821</v>
      </c>
      <c r="X1030" s="38" t="s">
        <v>8</v>
      </c>
      <c r="Y1030" s="1443">
        <v>620001000</v>
      </c>
      <c r="Z1030" s="1443"/>
      <c r="AA1030" s="1443"/>
      <c r="AB1030" s="14">
        <v>45</v>
      </c>
      <c r="AC1030" s="3">
        <v>45</v>
      </c>
      <c r="AD1030" s="5"/>
      <c r="AE1030" s="56">
        <v>0</v>
      </c>
      <c r="AF1030" s="3" t="s">
        <v>385</v>
      </c>
      <c r="AG1030" s="38" t="s">
        <v>8</v>
      </c>
      <c r="AH1030" s="38" t="s">
        <v>8</v>
      </c>
      <c r="AI1030" s="492">
        <f t="shared" si="122"/>
        <v>1.01E-2</v>
      </c>
      <c r="AJ1030" s="477"/>
      <c r="AK1030" s="477"/>
      <c r="AL1030" s="477"/>
      <c r="AM1030" s="51">
        <f>AE1030*AI1030+SUM(AJ1030:AL1030)</f>
        <v>0</v>
      </c>
      <c r="AN1030" s="3" t="s">
        <v>371</v>
      </c>
      <c r="AO1030" s="3" t="s">
        <v>371</v>
      </c>
      <c r="AP1030" s="3" t="s">
        <v>371</v>
      </c>
      <c r="AQ1030" s="3" t="s">
        <v>371</v>
      </c>
      <c r="AR1030" s="3" t="s">
        <v>371</v>
      </c>
      <c r="AS1030" s="3" t="s">
        <v>371</v>
      </c>
      <c r="AT1030" s="3" t="s">
        <v>371</v>
      </c>
      <c r="AU1030" s="3" t="s">
        <v>371</v>
      </c>
      <c r="AV1030" s="3" t="s">
        <v>371</v>
      </c>
      <c r="AW1030" s="3" t="s">
        <v>371</v>
      </c>
      <c r="AX1030" s="3" t="s">
        <v>371</v>
      </c>
      <c r="AY1030" s="3"/>
      <c r="AZ1030" s="139"/>
      <c r="BA1030" s="139"/>
      <c r="BB1030" s="139"/>
      <c r="BC1030" s="139"/>
      <c r="BD1030" s="139"/>
      <c r="BE1030" s="3"/>
    </row>
    <row r="1031" spans="1:57" ht="15" customHeight="1" x14ac:dyDescent="0.4">
      <c r="A1031" s="3"/>
      <c r="B1031" s="4" t="s">
        <v>2069</v>
      </c>
      <c r="C1031" s="8"/>
      <c r="D1031" s="8"/>
      <c r="E1031" s="3"/>
      <c r="F1031" s="8"/>
      <c r="G1031" s="3"/>
      <c r="H1031" s="370"/>
      <c r="I1031" s="3"/>
      <c r="J1031" s="3"/>
      <c r="K1031" s="3"/>
      <c r="L1031" s="5"/>
      <c r="M1031" s="5"/>
      <c r="N1031" s="5"/>
      <c r="O1031" s="5"/>
      <c r="P1031" s="5"/>
      <c r="Q1031" s="3"/>
      <c r="R1031" s="5"/>
      <c r="S1031" s="56">
        <v>1</v>
      </c>
      <c r="T1031" s="3" t="s">
        <v>385</v>
      </c>
      <c r="U1031" s="14"/>
      <c r="V1031" s="38" t="s">
        <v>8</v>
      </c>
      <c r="W1031" s="3" t="s">
        <v>817</v>
      </c>
      <c r="X1031" s="38" t="s">
        <v>8</v>
      </c>
      <c r="Y1031" s="1443">
        <v>620007000</v>
      </c>
      <c r="Z1031" s="1443"/>
      <c r="AA1031" s="1443"/>
      <c r="AB1031" s="14"/>
      <c r="AC1031" s="3">
        <v>45</v>
      </c>
      <c r="AD1031" s="5"/>
      <c r="AE1031" s="56">
        <v>0</v>
      </c>
      <c r="AF1031" s="3" t="s">
        <v>385</v>
      </c>
      <c r="AG1031" s="38" t="s">
        <v>8</v>
      </c>
      <c r="AH1031" s="38" t="s">
        <v>8</v>
      </c>
      <c r="AI1031" s="492">
        <f t="shared" si="122"/>
        <v>1.3100000000000001E-2</v>
      </c>
      <c r="AJ1031" s="477"/>
      <c r="AK1031" s="477"/>
      <c r="AL1031" s="477"/>
      <c r="AM1031" s="51">
        <f t="shared" si="123"/>
        <v>0</v>
      </c>
      <c r="AN1031" s="3" t="s">
        <v>371</v>
      </c>
      <c r="AO1031" s="3" t="s">
        <v>371</v>
      </c>
      <c r="AP1031" s="3" t="s">
        <v>371</v>
      </c>
      <c r="AQ1031" s="3" t="s">
        <v>371</v>
      </c>
      <c r="AR1031" s="3" t="s">
        <v>371</v>
      </c>
      <c r="AS1031" s="3" t="s">
        <v>371</v>
      </c>
      <c r="AT1031" s="3" t="s">
        <v>371</v>
      </c>
      <c r="AU1031" s="3" t="s">
        <v>371</v>
      </c>
      <c r="AV1031" s="3" t="s">
        <v>371</v>
      </c>
      <c r="AW1031" s="3" t="s">
        <v>371</v>
      </c>
      <c r="AX1031" s="3" t="s">
        <v>371</v>
      </c>
      <c r="AY1031" s="3"/>
      <c r="AZ1031" s="139"/>
      <c r="BA1031" s="139"/>
      <c r="BB1031" s="139"/>
      <c r="BC1031" s="139"/>
      <c r="BD1031" s="139"/>
      <c r="BE1031" s="3"/>
    </row>
    <row r="1032" spans="1:57" ht="15" customHeight="1" x14ac:dyDescent="0.4">
      <c r="A1032" s="3"/>
      <c r="B1032" s="4" t="s">
        <v>2070</v>
      </c>
      <c r="C1032" s="8"/>
      <c r="D1032" s="8"/>
      <c r="E1032" s="8"/>
      <c r="F1032" s="8"/>
      <c r="G1032" s="3"/>
      <c r="H1032" s="370"/>
      <c r="I1032" s="3"/>
      <c r="J1032" s="3"/>
      <c r="K1032" s="3"/>
      <c r="L1032" s="5"/>
      <c r="M1032" s="5"/>
      <c r="N1032" s="5"/>
      <c r="O1032" s="5"/>
      <c r="P1032" s="5"/>
      <c r="Q1032" s="3"/>
      <c r="R1032" s="5"/>
      <c r="S1032" s="56">
        <v>1</v>
      </c>
      <c r="T1032" s="3" t="s">
        <v>385</v>
      </c>
      <c r="U1032" s="14"/>
      <c r="V1032" s="38" t="s">
        <v>8</v>
      </c>
      <c r="W1032" s="3" t="s">
        <v>824</v>
      </c>
      <c r="X1032" s="38" t="s">
        <v>8</v>
      </c>
      <c r="Y1032" s="1443">
        <v>620002000</v>
      </c>
      <c r="Z1032" s="1443"/>
      <c r="AA1032" s="1443"/>
      <c r="AB1032" s="14">
        <v>45</v>
      </c>
      <c r="AC1032" s="3">
        <v>45</v>
      </c>
      <c r="AD1032" s="5"/>
      <c r="AE1032" s="56">
        <v>0</v>
      </c>
      <c r="AF1032" s="3" t="s">
        <v>385</v>
      </c>
      <c r="AG1032" s="38" t="s">
        <v>8</v>
      </c>
      <c r="AH1032" s="38" t="s">
        <v>8</v>
      </c>
      <c r="AI1032" s="492">
        <f t="shared" si="122"/>
        <v>1.55E-2</v>
      </c>
      <c r="AJ1032" s="477"/>
      <c r="AK1032" s="477"/>
      <c r="AL1032" s="477"/>
      <c r="AM1032" s="51">
        <f t="shared" si="123"/>
        <v>0</v>
      </c>
      <c r="AN1032" s="3" t="s">
        <v>371</v>
      </c>
      <c r="AO1032" s="3" t="s">
        <v>371</v>
      </c>
      <c r="AP1032" s="3" t="s">
        <v>371</v>
      </c>
      <c r="AQ1032" s="3" t="s">
        <v>371</v>
      </c>
      <c r="AR1032" s="3" t="s">
        <v>371</v>
      </c>
      <c r="AS1032" s="3" t="s">
        <v>371</v>
      </c>
      <c r="AT1032" s="3" t="s">
        <v>371</v>
      </c>
      <c r="AU1032" s="3" t="s">
        <v>371</v>
      </c>
      <c r="AV1032" s="3" t="s">
        <v>371</v>
      </c>
      <c r="AW1032" s="3" t="s">
        <v>371</v>
      </c>
      <c r="AX1032" s="3" t="s">
        <v>371</v>
      </c>
      <c r="AY1032" s="3"/>
      <c r="AZ1032" s="139"/>
      <c r="BA1032" s="139"/>
      <c r="BB1032" s="139"/>
      <c r="BC1032" s="139"/>
      <c r="BD1032" s="139"/>
      <c r="BE1032" s="3"/>
    </row>
    <row r="1033" spans="1:57" ht="15" customHeight="1" x14ac:dyDescent="0.4">
      <c r="A1033" s="3"/>
      <c r="B1033" s="4" t="s">
        <v>2077</v>
      </c>
      <c r="C1033" s="8"/>
      <c r="D1033" s="8"/>
      <c r="E1033" s="8"/>
      <c r="F1033" s="8"/>
      <c r="G1033" s="3"/>
      <c r="H1033" s="370"/>
      <c r="I1033" s="8" t="s">
        <v>2075</v>
      </c>
      <c r="J1033" s="3"/>
      <c r="K1033" s="3"/>
      <c r="L1033" s="5"/>
      <c r="M1033" s="5"/>
      <c r="N1033" s="5"/>
      <c r="O1033" s="5"/>
      <c r="P1033" s="5"/>
      <c r="Q1033" s="3"/>
      <c r="R1033" s="5"/>
      <c r="S1033" s="56">
        <v>1</v>
      </c>
      <c r="T1033" s="3" t="s">
        <v>385</v>
      </c>
      <c r="U1033" s="14"/>
      <c r="V1033" s="38" t="s">
        <v>8</v>
      </c>
      <c r="W1033" s="3" t="s">
        <v>821</v>
      </c>
      <c r="X1033" s="38" t="s">
        <v>8</v>
      </c>
      <c r="Y1033" s="1443">
        <v>620003000</v>
      </c>
      <c r="Z1033" s="1443"/>
      <c r="AA1033" s="1443"/>
      <c r="AB1033" s="14">
        <v>45</v>
      </c>
      <c r="AC1033" s="3">
        <v>45</v>
      </c>
      <c r="AD1033" s="5"/>
      <c r="AE1033" s="56">
        <v>2</v>
      </c>
      <c r="AF1033" s="3" t="s">
        <v>385</v>
      </c>
      <c r="AG1033" s="38" t="s">
        <v>8</v>
      </c>
      <c r="AH1033" s="38" t="s">
        <v>8</v>
      </c>
      <c r="AI1033" s="492">
        <f t="shared" si="122"/>
        <v>1.38E-2</v>
      </c>
      <c r="AJ1033" s="477"/>
      <c r="AK1033" s="477"/>
      <c r="AL1033" s="477"/>
      <c r="AM1033" s="51">
        <f t="shared" si="123"/>
        <v>2.76E-2</v>
      </c>
      <c r="AN1033" s="3" t="s">
        <v>81</v>
      </c>
      <c r="AO1033" s="3" t="s">
        <v>81</v>
      </c>
      <c r="AP1033" s="3" t="s">
        <v>81</v>
      </c>
      <c r="AQ1033" s="3" t="s">
        <v>81</v>
      </c>
      <c r="AR1033" s="3" t="s">
        <v>81</v>
      </c>
      <c r="AS1033" s="3" t="s">
        <v>81</v>
      </c>
      <c r="AT1033" s="3" t="s">
        <v>81</v>
      </c>
      <c r="AU1033" s="3" t="s">
        <v>81</v>
      </c>
      <c r="AV1033" s="3" t="s">
        <v>81</v>
      </c>
      <c r="AW1033" s="3" t="s">
        <v>81</v>
      </c>
      <c r="AX1033" s="3" t="s">
        <v>81</v>
      </c>
      <c r="AY1033" s="3"/>
      <c r="AZ1033" s="139"/>
      <c r="BA1033" s="139"/>
      <c r="BB1033" s="139"/>
      <c r="BC1033" s="139"/>
      <c r="BD1033" s="139"/>
      <c r="BE1033" s="3"/>
    </row>
    <row r="1034" spans="1:57" ht="15" customHeight="1" x14ac:dyDescent="0.4">
      <c r="A1034" s="3"/>
      <c r="B1034" s="4" t="s">
        <v>2078</v>
      </c>
      <c r="C1034" s="8"/>
      <c r="D1034" s="8"/>
      <c r="E1034" s="3"/>
      <c r="F1034" s="8"/>
      <c r="G1034" s="3"/>
      <c r="H1034" s="370"/>
      <c r="I1034" s="3"/>
      <c r="J1034" s="3"/>
      <c r="K1034" s="3"/>
      <c r="L1034" s="5"/>
      <c r="M1034" s="5"/>
      <c r="N1034" s="5"/>
      <c r="O1034" s="5"/>
      <c r="P1034" s="5"/>
      <c r="Q1034" s="3"/>
      <c r="R1034" s="5"/>
      <c r="S1034" s="56">
        <v>1</v>
      </c>
      <c r="T1034" s="3" t="s">
        <v>385</v>
      </c>
      <c r="U1034" s="14"/>
      <c r="V1034" s="38" t="s">
        <v>8</v>
      </c>
      <c r="W1034" s="3" t="s">
        <v>817</v>
      </c>
      <c r="X1034" s="38" t="s">
        <v>8</v>
      </c>
      <c r="Y1034" s="1443">
        <v>620008000</v>
      </c>
      <c r="Z1034" s="1443"/>
      <c r="AA1034" s="1443"/>
      <c r="AB1034" s="14"/>
      <c r="AC1034" s="3">
        <v>45</v>
      </c>
      <c r="AD1034" s="5"/>
      <c r="AE1034" s="56">
        <v>0</v>
      </c>
      <c r="AF1034" s="3" t="s">
        <v>385</v>
      </c>
      <c r="AG1034" s="38" t="s">
        <v>8</v>
      </c>
      <c r="AH1034" s="38" t="s">
        <v>8</v>
      </c>
      <c r="AI1034" s="492">
        <f t="shared" si="122"/>
        <v>1.54E-2</v>
      </c>
      <c r="AJ1034" s="477"/>
      <c r="AK1034" s="477"/>
      <c r="AL1034" s="477"/>
      <c r="AM1034" s="51">
        <f>AE1034*AI1034+SUM(AJ1034:AL1034)</f>
        <v>0</v>
      </c>
      <c r="AN1034" s="3" t="s">
        <v>371</v>
      </c>
      <c r="AO1034" s="3" t="s">
        <v>371</v>
      </c>
      <c r="AP1034" s="3" t="s">
        <v>371</v>
      </c>
      <c r="AQ1034" s="3" t="s">
        <v>371</v>
      </c>
      <c r="AR1034" s="3" t="s">
        <v>371</v>
      </c>
      <c r="AS1034" s="3" t="s">
        <v>371</v>
      </c>
      <c r="AT1034" s="3" t="s">
        <v>371</v>
      </c>
      <c r="AU1034" s="3" t="s">
        <v>371</v>
      </c>
      <c r="AV1034" s="3" t="s">
        <v>371</v>
      </c>
      <c r="AW1034" s="3" t="s">
        <v>371</v>
      </c>
      <c r="AX1034" s="3" t="s">
        <v>371</v>
      </c>
      <c r="AY1034" s="3"/>
      <c r="AZ1034" s="139"/>
      <c r="BA1034" s="139"/>
      <c r="BB1034" s="139"/>
      <c r="BC1034" s="139"/>
      <c r="BD1034" s="139"/>
      <c r="BE1034" s="3"/>
    </row>
    <row r="1035" spans="1:57" ht="15" customHeight="1" thickBot="1" x14ac:dyDescent="0.45">
      <c r="A1035" s="3"/>
      <c r="B1035" s="968" t="s">
        <v>2079</v>
      </c>
      <c r="C1035" s="949"/>
      <c r="D1035" s="949"/>
      <c r="E1035" s="949"/>
      <c r="F1035" s="949"/>
      <c r="G1035" s="889"/>
      <c r="H1035" s="1206"/>
      <c r="I1035" s="949" t="s">
        <v>2076</v>
      </c>
      <c r="J1035" s="889"/>
      <c r="K1035" s="889"/>
      <c r="L1035" s="945"/>
      <c r="M1035" s="945"/>
      <c r="N1035" s="945"/>
      <c r="O1035" s="945"/>
      <c r="P1035" s="945"/>
      <c r="Q1035" s="889"/>
      <c r="R1035" s="945"/>
      <c r="S1035" s="1156">
        <v>1</v>
      </c>
      <c r="T1035" s="889" t="s">
        <v>385</v>
      </c>
      <c r="U1035" s="948"/>
      <c r="V1035" s="888" t="s">
        <v>8</v>
      </c>
      <c r="W1035" s="889" t="s">
        <v>824</v>
      </c>
      <c r="X1035" s="888" t="s">
        <v>8</v>
      </c>
      <c r="Y1035" s="1444">
        <v>620004000</v>
      </c>
      <c r="Z1035" s="1444"/>
      <c r="AA1035" s="1444"/>
      <c r="AB1035" s="948">
        <v>45</v>
      </c>
      <c r="AC1035" s="889">
        <v>45</v>
      </c>
      <c r="AD1035" s="945"/>
      <c r="AE1035" s="1156">
        <v>2</v>
      </c>
      <c r="AF1035" s="889" t="s">
        <v>385</v>
      </c>
      <c r="AG1035" s="888" t="s">
        <v>8</v>
      </c>
      <c r="AH1035" s="888" t="s">
        <v>8</v>
      </c>
      <c r="AI1035" s="942">
        <f t="shared" si="122"/>
        <v>2.0500000000000001E-2</v>
      </c>
      <c r="AJ1035" s="1157"/>
      <c r="AK1035" s="1157"/>
      <c r="AL1035" s="1157"/>
      <c r="AM1035" s="937">
        <f t="shared" ref="AM1035" si="124">AI1035*AE1035</f>
        <v>4.1000000000000002E-2</v>
      </c>
      <c r="AN1035" s="889" t="s">
        <v>81</v>
      </c>
      <c r="AO1035" s="889" t="s">
        <v>81</v>
      </c>
      <c r="AP1035" s="889" t="s">
        <v>81</v>
      </c>
      <c r="AQ1035" s="889" t="s">
        <v>81</v>
      </c>
      <c r="AR1035" s="889" t="s">
        <v>81</v>
      </c>
      <c r="AS1035" s="889" t="s">
        <v>81</v>
      </c>
      <c r="AT1035" s="889" t="s">
        <v>81</v>
      </c>
      <c r="AU1035" s="889" t="s">
        <v>81</v>
      </c>
      <c r="AV1035" s="889" t="s">
        <v>81</v>
      </c>
      <c r="AW1035" s="889" t="s">
        <v>81</v>
      </c>
      <c r="AX1035" s="889" t="s">
        <v>81</v>
      </c>
      <c r="AY1035" s="889"/>
      <c r="AZ1035" s="139"/>
      <c r="BA1035" s="139"/>
      <c r="BB1035" s="139"/>
      <c r="BC1035" s="139"/>
      <c r="BD1035" s="139"/>
      <c r="BE1035" s="3"/>
    </row>
    <row r="1036" spans="1:57" ht="15" customHeight="1" x14ac:dyDescent="0.4">
      <c r="A1036" s="3" t="s">
        <v>911</v>
      </c>
      <c r="B1036" s="728" t="str">
        <f>"Half Screen: "&amp;$S$1037&amp;" W x "&amp;$S$1038&amp;" H"</f>
        <v>Half Screen: 34.5625 W x 35.5 H</v>
      </c>
      <c r="C1036" s="728"/>
      <c r="D1036" s="728"/>
      <c r="E1036" s="728"/>
      <c r="F1036" s="728"/>
      <c r="G1036" s="729"/>
      <c r="H1036" s="730"/>
      <c r="I1036" s="730"/>
      <c r="J1036" s="730"/>
      <c r="K1036" s="731"/>
      <c r="L1036" s="731"/>
      <c r="M1036" s="731"/>
      <c r="N1036" s="731"/>
      <c r="O1036" s="731"/>
      <c r="P1036" s="731"/>
      <c r="Q1036" s="731"/>
      <c r="R1036" s="731"/>
      <c r="S1036" s="618"/>
      <c r="T1036" s="618"/>
      <c r="U1036" s="618"/>
      <c r="V1036" s="618"/>
      <c r="W1036" s="618"/>
      <c r="X1036" s="618"/>
      <c r="Y1036" s="618"/>
      <c r="Z1036" s="618"/>
      <c r="AA1036" s="618"/>
      <c r="AB1036" s="615"/>
      <c r="AC1036" s="618"/>
      <c r="AD1036" s="618"/>
      <c r="AE1036" s="618"/>
      <c r="AF1036" s="618"/>
      <c r="AG1036" s="732"/>
      <c r="AH1036" s="618"/>
      <c r="AI1036" s="733"/>
      <c r="AJ1036" s="734"/>
      <c r="AK1036" s="734"/>
      <c r="AL1036" s="735" t="s">
        <v>912</v>
      </c>
      <c r="AM1036" s="736">
        <f>SUBTOTAL(109,AM1037:AM1042)</f>
        <v>16.673592708333334</v>
      </c>
      <c r="AN1036" s="736"/>
      <c r="AO1036" s="736"/>
      <c r="AP1036" s="736"/>
      <c r="AQ1036" s="736"/>
      <c r="AR1036" s="736"/>
      <c r="AS1036" s="736"/>
      <c r="AT1036" s="736"/>
      <c r="AU1036" s="736"/>
      <c r="AV1036" s="736"/>
      <c r="AW1036" s="736"/>
      <c r="AX1036" s="736"/>
      <c r="AY1036" s="736"/>
      <c r="AZ1036" s="139"/>
      <c r="BA1036" s="139"/>
      <c r="BB1036" s="139"/>
      <c r="BC1036" s="139"/>
      <c r="BD1036" s="139"/>
      <c r="BE1036" s="3"/>
    </row>
    <row r="1037" spans="1:57" ht="15" customHeight="1" x14ac:dyDescent="0.4">
      <c r="A1037" s="3"/>
      <c r="B1037" s="7"/>
      <c r="C1037" s="7" t="s">
        <v>913</v>
      </c>
      <c r="D1037" s="7"/>
      <c r="E1037" s="7"/>
      <c r="F1037" s="7"/>
      <c r="G1037" s="7"/>
      <c r="H1037" s="516"/>
      <c r="I1037" s="517" t="s">
        <v>392</v>
      </c>
      <c r="J1037" s="517"/>
      <c r="K1037" s="517"/>
      <c r="L1037" s="3" t="s">
        <v>348</v>
      </c>
      <c r="M1037" s="5">
        <f>'All Screens'!O7</f>
        <v>-4</v>
      </c>
      <c r="N1037" s="3"/>
      <c r="O1037" s="3"/>
      <c r="P1037" s="3"/>
      <c r="Q1037" s="3"/>
      <c r="R1037" s="3" t="s">
        <v>352</v>
      </c>
      <c r="S1037" s="5">
        <f>SHWidth+M1037</f>
        <v>34.5625</v>
      </c>
      <c r="T1037" s="3" t="s">
        <v>366</v>
      </c>
      <c r="U1037" s="14"/>
      <c r="V1037" s="38" t="s">
        <v>369</v>
      </c>
      <c r="W1037" s="3" t="s">
        <v>370</v>
      </c>
      <c r="X1037" s="38" t="s">
        <v>369</v>
      </c>
      <c r="Y1037" s="3"/>
      <c r="Z1037" s="3"/>
      <c r="AA1037" s="3"/>
      <c r="AB1037" s="20"/>
      <c r="AC1037" s="3"/>
      <c r="AD1037" s="3"/>
      <c r="AE1037" s="3"/>
      <c r="AF1037" s="3"/>
      <c r="AG1037" s="216"/>
      <c r="AH1037" s="3"/>
      <c r="AI1037" s="51"/>
      <c r="AJ1037" s="5"/>
      <c r="AK1037" s="5"/>
      <c r="AL1037" s="5"/>
      <c r="AM1037" s="1441">
        <f>'All Screens'!U48</f>
        <v>3.082436458333333</v>
      </c>
      <c r="AN1037" s="3" t="s">
        <v>81</v>
      </c>
      <c r="AO1037" s="3" t="s">
        <v>81</v>
      </c>
      <c r="AP1037" s="3" t="s">
        <v>81</v>
      </c>
      <c r="AQ1037" s="3" t="s">
        <v>81</v>
      </c>
      <c r="AR1037" s="3" t="s">
        <v>81</v>
      </c>
      <c r="AS1037" s="3" t="s">
        <v>81</v>
      </c>
      <c r="AT1037" s="3" t="s">
        <v>371</v>
      </c>
      <c r="AU1037" s="3" t="s">
        <v>81</v>
      </c>
      <c r="AV1037" s="3" t="s">
        <v>371</v>
      </c>
      <c r="AW1037" s="3" t="s">
        <v>81</v>
      </c>
      <c r="AX1037" s="3" t="s">
        <v>92</v>
      </c>
      <c r="AY1037" s="3"/>
      <c r="AZ1037" s="139"/>
      <c r="BA1037" s="139"/>
      <c r="BB1037" s="139"/>
      <c r="BC1037" s="139"/>
      <c r="BD1037" s="139"/>
      <c r="BE1037" s="3"/>
    </row>
    <row r="1038" spans="1:57" ht="15" customHeight="1" x14ac:dyDescent="0.4">
      <c r="A1038" s="3"/>
      <c r="B1038" s="7"/>
      <c r="C1038" s="7" t="s">
        <v>914</v>
      </c>
      <c r="D1038" s="7"/>
      <c r="E1038" s="7"/>
      <c r="F1038" s="7"/>
      <c r="G1038" s="7"/>
      <c r="H1038" s="516"/>
      <c r="I1038" s="4" t="s">
        <v>365</v>
      </c>
      <c r="J1038" s="4" t="s">
        <v>346</v>
      </c>
      <c r="K1038" s="3">
        <v>2</v>
      </c>
      <c r="L1038" s="3" t="s">
        <v>348</v>
      </c>
      <c r="M1038" s="77">
        <f>'All Screens'!O8</f>
        <v>-1.5</v>
      </c>
      <c r="N1038" s="3"/>
      <c r="O1038" s="3"/>
      <c r="P1038" s="3" t="s">
        <v>348</v>
      </c>
      <c r="Q1038" s="3" t="s">
        <v>2211</v>
      </c>
      <c r="R1038" s="3" t="s">
        <v>352</v>
      </c>
      <c r="S1038" s="3">
        <f>SHHeight/K1038+M1038+SHCORnd</f>
        <v>35.5</v>
      </c>
      <c r="T1038" s="3" t="s">
        <v>366</v>
      </c>
      <c r="U1038" s="14"/>
      <c r="V1038" s="38" t="s">
        <v>369</v>
      </c>
      <c r="W1038" s="3" t="s">
        <v>372</v>
      </c>
      <c r="X1038" s="38" t="s">
        <v>369</v>
      </c>
      <c r="Y1038" s="3"/>
      <c r="Z1038" s="3"/>
      <c r="AA1038" s="3"/>
      <c r="AB1038" s="20"/>
      <c r="AC1038" s="3"/>
      <c r="AD1038" s="3"/>
      <c r="AE1038" s="3"/>
      <c r="AF1038" s="3"/>
      <c r="AG1038" s="216"/>
      <c r="AH1038" s="3"/>
      <c r="AI1038" s="51"/>
      <c r="AJ1038" s="5"/>
      <c r="AK1038" s="5"/>
      <c r="AL1038" s="5"/>
      <c r="AM1038" s="1441">
        <f>'All Screens'!U49</f>
        <v>3.0460364583333335</v>
      </c>
      <c r="AN1038" s="3" t="s">
        <v>371</v>
      </c>
      <c r="AO1038" s="3" t="s">
        <v>371</v>
      </c>
      <c r="AP1038" s="3" t="s">
        <v>371</v>
      </c>
      <c r="AQ1038" s="3" t="s">
        <v>371</v>
      </c>
      <c r="AR1038" s="3" t="s">
        <v>371</v>
      </c>
      <c r="AS1038" s="3" t="s">
        <v>371</v>
      </c>
      <c r="AT1038" s="3" t="s">
        <v>371</v>
      </c>
      <c r="AU1038" s="3" t="s">
        <v>371</v>
      </c>
      <c r="AV1038" s="3" t="s">
        <v>371</v>
      </c>
      <c r="AW1038" s="3" t="s">
        <v>371</v>
      </c>
      <c r="AX1038" s="3" t="s">
        <v>92</v>
      </c>
      <c r="AY1038" s="3"/>
      <c r="AZ1038" s="518"/>
      <c r="BA1038" s="518"/>
      <c r="BB1038" s="518"/>
      <c r="BC1038" s="518"/>
      <c r="BD1038" s="518"/>
      <c r="BE1038" s="4"/>
    </row>
    <row r="1039" spans="1:57" ht="15" customHeight="1" x14ac:dyDescent="0.4">
      <c r="A1039" s="3"/>
      <c r="B1039" s="7"/>
      <c r="C1039" s="7"/>
      <c r="D1039" s="7"/>
      <c r="E1039" s="7"/>
      <c r="F1039" s="7"/>
      <c r="G1039" s="7"/>
      <c r="H1039" s="516"/>
      <c r="I1039" s="4"/>
      <c r="J1039" s="4"/>
      <c r="K1039" s="3"/>
      <c r="L1039" s="3"/>
      <c r="M1039" s="5"/>
      <c r="N1039" s="3"/>
      <c r="O1039" s="3"/>
      <c r="P1039" s="3"/>
      <c r="Q1039" s="3"/>
      <c r="R1039" s="3"/>
      <c r="S1039" s="3"/>
      <c r="T1039" s="3"/>
      <c r="U1039" s="14"/>
      <c r="V1039" s="38" t="s">
        <v>369</v>
      </c>
      <c r="W1039" s="3" t="s">
        <v>373</v>
      </c>
      <c r="X1039" s="38" t="s">
        <v>369</v>
      </c>
      <c r="Y1039" s="3"/>
      <c r="Z1039" s="3"/>
      <c r="AA1039" s="3"/>
      <c r="AB1039" s="20"/>
      <c r="AC1039" s="3"/>
      <c r="AD1039" s="3"/>
      <c r="AE1039" s="3"/>
      <c r="AF1039" s="3"/>
      <c r="AG1039" s="216"/>
      <c r="AH1039" s="3"/>
      <c r="AI1039" s="51"/>
      <c r="AJ1039" s="5"/>
      <c r="AK1039" s="5"/>
      <c r="AL1039" s="5"/>
      <c r="AM1039" s="1441">
        <f>'All Screens'!U50</f>
        <v>3.0704364583333335</v>
      </c>
      <c r="AN1039" s="3" t="s">
        <v>371</v>
      </c>
      <c r="AO1039" s="3" t="s">
        <v>371</v>
      </c>
      <c r="AP1039" s="3" t="s">
        <v>371</v>
      </c>
      <c r="AQ1039" s="3" t="s">
        <v>371</v>
      </c>
      <c r="AR1039" s="3" t="s">
        <v>371</v>
      </c>
      <c r="AS1039" s="3" t="s">
        <v>371</v>
      </c>
      <c r="AT1039" s="3" t="s">
        <v>371</v>
      </c>
      <c r="AU1039" s="3" t="s">
        <v>371</v>
      </c>
      <c r="AV1039" s="3" t="s">
        <v>81</v>
      </c>
      <c r="AW1039" s="3" t="s">
        <v>371</v>
      </c>
      <c r="AX1039" s="3" t="s">
        <v>92</v>
      </c>
      <c r="AY1039" s="3"/>
      <c r="AZ1039" s="518"/>
      <c r="BA1039" s="518"/>
      <c r="BB1039" s="518"/>
      <c r="BC1039" s="518"/>
      <c r="BD1039" s="518"/>
      <c r="BE1039" s="4"/>
    </row>
    <row r="1040" spans="1:57" ht="15" customHeight="1" x14ac:dyDescent="0.4">
      <c r="A1040" s="3"/>
      <c r="B1040" s="7"/>
      <c r="C1040" s="7"/>
      <c r="D1040" s="7"/>
      <c r="E1040" s="7"/>
      <c r="F1040" s="7"/>
      <c r="G1040" s="7"/>
      <c r="H1040" s="516"/>
      <c r="I1040" s="4"/>
      <c r="J1040" s="4"/>
      <c r="K1040" s="3"/>
      <c r="L1040" s="3"/>
      <c r="M1040" s="5"/>
      <c r="N1040" s="3"/>
      <c r="O1040" s="3"/>
      <c r="P1040" s="3"/>
      <c r="Q1040" s="3"/>
      <c r="R1040" s="3"/>
      <c r="S1040" s="3"/>
      <c r="T1040" s="3"/>
      <c r="U1040" s="14"/>
      <c r="V1040" s="38" t="s">
        <v>369</v>
      </c>
      <c r="W1040" s="3" t="s">
        <v>374</v>
      </c>
      <c r="X1040" s="38" t="s">
        <v>369</v>
      </c>
      <c r="Y1040" s="3"/>
      <c r="Z1040" s="3"/>
      <c r="AA1040" s="3"/>
      <c r="AB1040" s="20"/>
      <c r="AC1040" s="3"/>
      <c r="AD1040" s="3"/>
      <c r="AE1040" s="3"/>
      <c r="AF1040" s="3"/>
      <c r="AG1040" s="216"/>
      <c r="AH1040" s="3"/>
      <c r="AI1040" s="51"/>
      <c r="AJ1040" s="5"/>
      <c r="AK1040" s="5"/>
      <c r="AL1040" s="5"/>
      <c r="AM1040" s="1441">
        <f>'All Screens'!U52</f>
        <v>3.0372364583333336</v>
      </c>
      <c r="AN1040" s="3" t="s">
        <v>371</v>
      </c>
      <c r="AO1040" s="3" t="s">
        <v>371</v>
      </c>
      <c r="AP1040" s="3" t="s">
        <v>371</v>
      </c>
      <c r="AQ1040" s="3" t="s">
        <v>371</v>
      </c>
      <c r="AR1040" s="3" t="s">
        <v>371</v>
      </c>
      <c r="AS1040" s="3" t="s">
        <v>371</v>
      </c>
      <c r="AT1040" s="3" t="s">
        <v>81</v>
      </c>
      <c r="AU1040" s="3" t="s">
        <v>371</v>
      </c>
      <c r="AV1040" s="3" t="s">
        <v>371</v>
      </c>
      <c r="AW1040" s="3" t="s">
        <v>371</v>
      </c>
      <c r="AX1040" s="3" t="s">
        <v>92</v>
      </c>
      <c r="AY1040" s="3"/>
      <c r="AZ1040" s="518"/>
      <c r="BA1040" s="518"/>
      <c r="BB1040" s="518"/>
      <c r="BC1040" s="518"/>
      <c r="BD1040" s="518"/>
      <c r="BE1040" s="4"/>
    </row>
    <row r="1041" spans="1:57" ht="15" customHeight="1" x14ac:dyDescent="0.4">
      <c r="A1041" s="3"/>
      <c r="B1041" s="7"/>
      <c r="C1041" s="7"/>
      <c r="D1041" s="7"/>
      <c r="E1041" s="7"/>
      <c r="F1041" s="7"/>
      <c r="G1041" s="7"/>
      <c r="H1041" s="516"/>
      <c r="I1041" s="4"/>
      <c r="J1041" s="4"/>
      <c r="K1041" s="3"/>
      <c r="L1041" s="3"/>
      <c r="M1041" s="5"/>
      <c r="N1041" s="3"/>
      <c r="O1041" s="3"/>
      <c r="P1041" s="3"/>
      <c r="Q1041" s="3"/>
      <c r="R1041" s="3"/>
      <c r="S1041" s="3"/>
      <c r="T1041" s="3"/>
      <c r="U1041" s="14"/>
      <c r="V1041" s="38" t="s">
        <v>369</v>
      </c>
      <c r="W1041" s="3" t="s">
        <v>375</v>
      </c>
      <c r="X1041" s="38" t="s">
        <v>369</v>
      </c>
      <c r="Y1041" s="3"/>
      <c r="Z1041" s="3"/>
      <c r="AA1041" s="3"/>
      <c r="AB1041" s="20"/>
      <c r="AC1041" s="3"/>
      <c r="AD1041" s="3"/>
      <c r="AE1041" s="3"/>
      <c r="AF1041" s="3"/>
      <c r="AG1041" s="216"/>
      <c r="AH1041" s="3"/>
      <c r="AI1041" s="51"/>
      <c r="AJ1041" s="5"/>
      <c r="AK1041" s="5"/>
      <c r="AL1041" s="5"/>
      <c r="AM1041" s="1441">
        <f>'All Screens'!U51</f>
        <v>3.4875625000000006</v>
      </c>
      <c r="AN1041" s="3" t="s">
        <v>371</v>
      </c>
      <c r="AO1041" s="3" t="s">
        <v>371</v>
      </c>
      <c r="AP1041" s="3" t="s">
        <v>371</v>
      </c>
      <c r="AQ1041" s="3" t="s">
        <v>371</v>
      </c>
      <c r="AR1041" s="3" t="s">
        <v>371</v>
      </c>
      <c r="AS1041" s="3" t="s">
        <v>371</v>
      </c>
      <c r="AT1041" s="3" t="s">
        <v>371</v>
      </c>
      <c r="AU1041" s="3" t="s">
        <v>371</v>
      </c>
      <c r="AV1041" s="3" t="s">
        <v>371</v>
      </c>
      <c r="AW1041" s="3" t="s">
        <v>371</v>
      </c>
      <c r="AX1041" s="3" t="s">
        <v>81</v>
      </c>
      <c r="AY1041" s="3"/>
      <c r="AZ1041" s="518"/>
      <c r="BA1041" s="518"/>
      <c r="BB1041" s="518"/>
      <c r="BC1041" s="518"/>
      <c r="BD1041" s="518"/>
      <c r="BE1041" s="4"/>
    </row>
    <row r="1042" spans="1:57" ht="15" customHeight="1" x14ac:dyDescent="0.4">
      <c r="A1042" s="3"/>
      <c r="B1042" s="7"/>
      <c r="C1042" s="7"/>
      <c r="D1042" s="7"/>
      <c r="E1042" s="7"/>
      <c r="F1042" s="7"/>
      <c r="G1042" s="7"/>
      <c r="H1042" s="516"/>
      <c r="I1042" s="4"/>
      <c r="J1042" s="4"/>
      <c r="K1042" s="3"/>
      <c r="L1042" s="3"/>
      <c r="M1042" s="5"/>
      <c r="N1042" s="3"/>
      <c r="O1042" s="3"/>
      <c r="P1042" s="3"/>
      <c r="Q1042" s="3"/>
      <c r="R1042" s="3"/>
      <c r="S1042" s="3"/>
      <c r="T1042" s="3"/>
      <c r="U1042" s="14"/>
      <c r="V1042" s="279" t="s">
        <v>369</v>
      </c>
      <c r="W1042" s="112" t="s">
        <v>1849</v>
      </c>
      <c r="X1042" s="279" t="s">
        <v>369</v>
      </c>
      <c r="Y1042" s="3"/>
      <c r="Z1042" s="3"/>
      <c r="AA1042" s="3"/>
      <c r="AB1042" s="20"/>
      <c r="AC1042" s="3"/>
      <c r="AD1042" s="3"/>
      <c r="AE1042" s="3"/>
      <c r="AF1042" s="3"/>
      <c r="AG1042" s="216"/>
      <c r="AH1042" s="3"/>
      <c r="AI1042" s="51"/>
      <c r="AJ1042" s="5"/>
      <c r="AK1042" s="5"/>
      <c r="AL1042" s="5"/>
      <c r="AM1042" s="39">
        <f>'All Screens'!U53</f>
        <v>0.94988437500000011</v>
      </c>
      <c r="AN1042" s="3" t="s">
        <v>371</v>
      </c>
      <c r="AO1042" s="3" t="s">
        <v>371</v>
      </c>
      <c r="AP1042" s="3" t="s">
        <v>371</v>
      </c>
      <c r="AQ1042" s="3" t="s">
        <v>371</v>
      </c>
      <c r="AR1042" s="3" t="s">
        <v>371</v>
      </c>
      <c r="AS1042" s="3" t="s">
        <v>371</v>
      </c>
      <c r="AT1042" s="3" t="s">
        <v>371</v>
      </c>
      <c r="AU1042" s="3" t="s">
        <v>371</v>
      </c>
      <c r="AV1042" s="3" t="s">
        <v>371</v>
      </c>
      <c r="AW1042" s="3" t="s">
        <v>371</v>
      </c>
      <c r="AX1042" s="3" t="s">
        <v>92</v>
      </c>
      <c r="AY1042" s="3"/>
      <c r="AZ1042" s="518"/>
      <c r="BA1042" s="518"/>
      <c r="BB1042" s="518"/>
      <c r="BC1042" s="518"/>
      <c r="BD1042" s="518"/>
      <c r="BE1042" s="4"/>
    </row>
    <row r="1043" spans="1:57" ht="15" customHeight="1" x14ac:dyDescent="0.4">
      <c r="A1043" s="3"/>
      <c r="B1043" s="728" t="str">
        <f>"Solar Screen: "&amp;$S$1044&amp;" W x "&amp;$S$1045&amp;" H"</f>
        <v>Solar Screen: 34.2495 W x 36.375 H</v>
      </c>
      <c r="C1043" s="728"/>
      <c r="D1043" s="728"/>
      <c r="E1043" s="728"/>
      <c r="F1043" s="728"/>
      <c r="G1043" s="729"/>
      <c r="H1043" s="730"/>
      <c r="I1043" s="730"/>
      <c r="J1043" s="730"/>
      <c r="K1043" s="731"/>
      <c r="L1043" s="731"/>
      <c r="M1043" s="731"/>
      <c r="N1043" s="731"/>
      <c r="O1043" s="731"/>
      <c r="P1043" s="731"/>
      <c r="Q1043" s="731"/>
      <c r="R1043" s="731"/>
      <c r="S1043" s="618"/>
      <c r="T1043" s="618"/>
      <c r="U1043" s="618"/>
      <c r="V1043" s="618"/>
      <c r="W1043" s="618"/>
      <c r="X1043" s="618"/>
      <c r="Y1043" s="618"/>
      <c r="Z1043" s="618"/>
      <c r="AA1043" s="618"/>
      <c r="AB1043" s="615"/>
      <c r="AC1043" s="618"/>
      <c r="AD1043" s="618"/>
      <c r="AE1043" s="618"/>
      <c r="AF1043" s="618"/>
      <c r="AG1043" s="732"/>
      <c r="AH1043" s="618"/>
      <c r="AI1043" s="733"/>
      <c r="AJ1043" s="734"/>
      <c r="AK1043" s="734"/>
      <c r="AL1043" s="735" t="s">
        <v>915</v>
      </c>
      <c r="AM1043" s="736"/>
      <c r="AN1043" s="736" t="s">
        <v>371</v>
      </c>
      <c r="AO1043" s="736" t="s">
        <v>371</v>
      </c>
      <c r="AP1043" s="736" t="s">
        <v>371</v>
      </c>
      <c r="AQ1043" s="736" t="s">
        <v>371</v>
      </c>
      <c r="AR1043" s="736" t="s">
        <v>371</v>
      </c>
      <c r="AS1043" s="736" t="s">
        <v>371</v>
      </c>
      <c r="AT1043" s="736" t="s">
        <v>371</v>
      </c>
      <c r="AU1043" s="736" t="s">
        <v>371</v>
      </c>
      <c r="AV1043" s="736" t="s">
        <v>371</v>
      </c>
      <c r="AW1043" s="736" t="s">
        <v>371</v>
      </c>
      <c r="AX1043" s="736" t="s">
        <v>371</v>
      </c>
      <c r="AY1043" s="736"/>
      <c r="AZ1043" s="520"/>
      <c r="BA1043" s="521"/>
      <c r="BB1043" s="522"/>
      <c r="BC1043" s="522"/>
      <c r="BD1043" s="522"/>
      <c r="BE1043" s="523"/>
    </row>
    <row r="1044" spans="1:57" ht="15" customHeight="1" x14ac:dyDescent="0.4">
      <c r="A1044" s="3"/>
      <c r="B1044" s="7"/>
      <c r="C1044" s="7" t="s">
        <v>916</v>
      </c>
      <c r="D1044" s="7"/>
      <c r="E1044" s="7"/>
      <c r="F1044" s="7"/>
      <c r="G1044" s="7"/>
      <c r="H1044" s="516"/>
      <c r="I1044" s="4" t="s">
        <v>392</v>
      </c>
      <c r="J1044" s="4"/>
      <c r="K1044" s="3"/>
      <c r="L1044" s="3" t="s">
        <v>348</v>
      </c>
      <c r="M1044" s="3">
        <f>'All Screens'!BW7</f>
        <v>-4.3129999999999997</v>
      </c>
      <c r="N1044" s="3"/>
      <c r="O1044" s="3"/>
      <c r="P1044" s="5"/>
      <c r="Q1044" s="3"/>
      <c r="R1044" s="3" t="s">
        <v>352</v>
      </c>
      <c r="S1044" s="5">
        <f>SHWidth+M1044</f>
        <v>34.249499999999998</v>
      </c>
      <c r="T1044" s="3" t="s">
        <v>366</v>
      </c>
      <c r="U1044" s="14"/>
      <c r="V1044" s="3"/>
      <c r="W1044" s="3"/>
      <c r="X1044" s="3"/>
      <c r="Y1044" s="3"/>
      <c r="Z1044" s="3"/>
      <c r="AA1044" s="3"/>
      <c r="AB1044" s="20"/>
      <c r="AC1044" s="3"/>
      <c r="AD1044" s="3"/>
      <c r="AE1044" s="3"/>
      <c r="AF1044" s="3"/>
      <c r="AG1044" s="216"/>
      <c r="AH1044" s="3"/>
      <c r="AI1044" s="51"/>
      <c r="AJ1044" s="5"/>
      <c r="AK1044" s="5"/>
      <c r="AL1044" s="5"/>
      <c r="AM1044" s="77"/>
      <c r="AN1044" s="519" t="s">
        <v>371</v>
      </c>
      <c r="AO1044" s="519" t="s">
        <v>371</v>
      </c>
      <c r="AP1044" s="519" t="s">
        <v>371</v>
      </c>
      <c r="AQ1044" s="519" t="s">
        <v>371</v>
      </c>
      <c r="AR1044" s="519" t="s">
        <v>371</v>
      </c>
      <c r="AS1044" s="519" t="s">
        <v>371</v>
      </c>
      <c r="AT1044" s="519" t="s">
        <v>371</v>
      </c>
      <c r="AU1044" s="519" t="s">
        <v>371</v>
      </c>
      <c r="AV1044" s="519" t="s">
        <v>371</v>
      </c>
      <c r="AW1044" s="519" t="s">
        <v>371</v>
      </c>
      <c r="AX1044" s="519" t="s">
        <v>371</v>
      </c>
      <c r="AY1044" s="519"/>
      <c r="AZ1044" s="520"/>
      <c r="BA1044" s="521"/>
      <c r="BB1044" s="261"/>
      <c r="BC1044" s="261"/>
      <c r="BD1044" s="261"/>
      <c r="BE1044" s="262"/>
    </row>
    <row r="1045" spans="1:57" ht="15" customHeight="1" x14ac:dyDescent="0.4">
      <c r="A1045" s="3"/>
      <c r="B1045" s="7"/>
      <c r="C1045" s="7" t="s">
        <v>917</v>
      </c>
      <c r="D1045" s="7"/>
      <c r="E1045" s="7"/>
      <c r="F1045" s="7"/>
      <c r="G1045" s="7"/>
      <c r="H1045" s="516"/>
      <c r="I1045" s="4" t="s">
        <v>365</v>
      </c>
      <c r="J1045" s="4" t="s">
        <v>346</v>
      </c>
      <c r="K1045" s="3">
        <v>2</v>
      </c>
      <c r="L1045" s="3" t="s">
        <v>348</v>
      </c>
      <c r="M1045" s="3">
        <f>'All Screens'!BW8</f>
        <v>-0.625</v>
      </c>
      <c r="N1045" s="3"/>
      <c r="O1045" s="3"/>
      <c r="P1045" s="3" t="s">
        <v>348</v>
      </c>
      <c r="Q1045" s="3" t="s">
        <v>2211</v>
      </c>
      <c r="R1045" s="3" t="s">
        <v>352</v>
      </c>
      <c r="S1045" s="3">
        <f>SHHeight/K1045+M1045+SHCORnd</f>
        <v>36.375</v>
      </c>
      <c r="T1045" s="3" t="s">
        <v>366</v>
      </c>
      <c r="U1045" s="14"/>
      <c r="V1045" s="3"/>
      <c r="W1045" s="3"/>
      <c r="X1045" s="3"/>
      <c r="Y1045" s="3"/>
      <c r="Z1045" s="3"/>
      <c r="AA1045" s="3"/>
      <c r="AB1045" s="20"/>
      <c r="AC1045" s="3"/>
      <c r="AD1045" s="3"/>
      <c r="AE1045" s="3"/>
      <c r="AF1045" s="3"/>
      <c r="AG1045" s="216"/>
      <c r="AH1045" s="3"/>
      <c r="AI1045" s="51"/>
      <c r="AJ1045" s="5"/>
      <c r="AK1045" s="5"/>
      <c r="AL1045" s="5"/>
      <c r="AM1045" s="77"/>
      <c r="AN1045" s="519" t="s">
        <v>371</v>
      </c>
      <c r="AO1045" s="519" t="s">
        <v>371</v>
      </c>
      <c r="AP1045" s="519" t="s">
        <v>371</v>
      </c>
      <c r="AQ1045" s="519" t="s">
        <v>371</v>
      </c>
      <c r="AR1045" s="519" t="s">
        <v>371</v>
      </c>
      <c r="AS1045" s="519" t="s">
        <v>371</v>
      </c>
      <c r="AT1045" s="519" t="s">
        <v>371</v>
      </c>
      <c r="AU1045" s="519" t="s">
        <v>371</v>
      </c>
      <c r="AV1045" s="519" t="s">
        <v>371</v>
      </c>
      <c r="AW1045" s="519" t="s">
        <v>371</v>
      </c>
      <c r="AX1045" s="519" t="s">
        <v>371</v>
      </c>
      <c r="AY1045" s="519"/>
      <c r="AZ1045" s="520"/>
      <c r="BA1045" s="521"/>
      <c r="BB1045" s="261"/>
      <c r="BC1045" s="261"/>
      <c r="BD1045" s="261"/>
      <c r="BE1045" s="262"/>
    </row>
    <row r="1046" spans="1:57" ht="15" customHeight="1" x14ac:dyDescent="0.4">
      <c r="A1046" s="3"/>
      <c r="B1046" s="728" t="s">
        <v>918</v>
      </c>
      <c r="C1046" s="728"/>
      <c r="D1046" s="728"/>
      <c r="E1046" s="728"/>
      <c r="F1046" s="728"/>
      <c r="G1046" s="728"/>
      <c r="H1046" s="728"/>
      <c r="I1046" s="730"/>
      <c r="J1046" s="731"/>
      <c r="K1046" s="731"/>
      <c r="L1046" s="731"/>
      <c r="M1046" s="731"/>
      <c r="N1046" s="731"/>
      <c r="O1046" s="731"/>
      <c r="P1046" s="731"/>
      <c r="Q1046" s="731"/>
      <c r="R1046" s="731"/>
      <c r="S1046" s="618"/>
      <c r="T1046" s="618"/>
      <c r="U1046" s="618"/>
      <c r="V1046" s="618"/>
      <c r="W1046" s="618"/>
      <c r="X1046" s="618"/>
      <c r="Y1046" s="618"/>
      <c r="Z1046" s="618"/>
      <c r="AA1046" s="618"/>
      <c r="AB1046" s="615"/>
      <c r="AC1046" s="618"/>
      <c r="AD1046" s="618"/>
      <c r="AE1046" s="618"/>
      <c r="AF1046" s="618"/>
      <c r="AG1046" s="732"/>
      <c r="AH1046" s="618"/>
      <c r="AI1046" s="733"/>
      <c r="AJ1046" s="618"/>
      <c r="AK1046" s="618"/>
      <c r="AL1046" s="735" t="s">
        <v>1186</v>
      </c>
      <c r="AM1046" s="736">
        <f>+SUBTOTAL(109,AM1047:AM1130)</f>
        <v>100.73738445833332</v>
      </c>
      <c r="AN1046" s="734"/>
      <c r="AO1046" s="734"/>
      <c r="AP1046" s="734"/>
      <c r="AQ1046" s="734"/>
      <c r="AR1046" s="734"/>
      <c r="AS1046" s="734"/>
      <c r="AT1046" s="734"/>
      <c r="AU1046" s="734"/>
      <c r="AV1046" s="734"/>
      <c r="AW1046" s="734"/>
      <c r="AX1046" s="734"/>
      <c r="AY1046" s="734"/>
      <c r="AZ1046" s="520"/>
      <c r="BA1046" s="521"/>
      <c r="BB1046" s="522"/>
      <c r="BC1046" s="522"/>
      <c r="BD1046" s="522"/>
      <c r="BE1046" s="523"/>
    </row>
    <row r="1047" spans="1:57" ht="15" customHeight="1" x14ac:dyDescent="0.4">
      <c r="A1047" s="3"/>
      <c r="B1047" s="8"/>
      <c r="C1047" s="8" t="s">
        <v>919</v>
      </c>
      <c r="D1047" s="155"/>
      <c r="E1047" s="4"/>
      <c r="F1047" s="4"/>
      <c r="G1047" s="4"/>
      <c r="H1047" s="3"/>
      <c r="I1047" s="3"/>
      <c r="J1047" s="38"/>
      <c r="K1047" s="3"/>
      <c r="L1047" s="3"/>
      <c r="M1047" s="5"/>
      <c r="N1047" s="5"/>
      <c r="O1047" s="5"/>
      <c r="P1047" s="5"/>
      <c r="Q1047" s="5"/>
      <c r="R1047" s="30"/>
      <c r="S1047" s="56">
        <v>1</v>
      </c>
      <c r="T1047" s="376" t="s">
        <v>385</v>
      </c>
      <c r="U1047" s="14"/>
      <c r="V1047" s="38" t="s">
        <v>8</v>
      </c>
      <c r="W1047" s="38" t="s">
        <v>8</v>
      </c>
      <c r="X1047" s="38" t="s">
        <v>8</v>
      </c>
      <c r="Y1047" s="1443">
        <v>460040000</v>
      </c>
      <c r="Z1047" s="1443"/>
      <c r="AA1047" s="1443"/>
      <c r="AB1047" s="558"/>
      <c r="AC1047" s="3">
        <v>45</v>
      </c>
      <c r="AD1047" s="3">
        <v>1</v>
      </c>
      <c r="AE1047" s="56">
        <f>S1047*AD1047</f>
        <v>1</v>
      </c>
      <c r="AF1047" s="5" t="s">
        <v>385</v>
      </c>
      <c r="AG1047" s="38" t="s">
        <v>8</v>
      </c>
      <c r="AH1047" s="38" t="s">
        <v>8</v>
      </c>
      <c r="AI1047" s="353">
        <v>0.13550000000000001</v>
      </c>
      <c r="AJ1047" s="51"/>
      <c r="AK1047" s="51"/>
      <c r="AL1047" s="51"/>
      <c r="AM1047" s="51">
        <f>AE1047*AI1047+SUM(AJ1047:AL1047)</f>
        <v>0.13550000000000001</v>
      </c>
      <c r="AN1047" s="3" t="s">
        <v>371</v>
      </c>
      <c r="AO1047" s="3" t="s">
        <v>371</v>
      </c>
      <c r="AP1047" s="3" t="s">
        <v>371</v>
      </c>
      <c r="AQ1047" s="3" t="s">
        <v>371</v>
      </c>
      <c r="AR1047" s="3" t="s">
        <v>371</v>
      </c>
      <c r="AS1047" s="3" t="s">
        <v>371</v>
      </c>
      <c r="AT1047" s="3" t="s">
        <v>371</v>
      </c>
      <c r="AU1047" s="3" t="s">
        <v>371</v>
      </c>
      <c r="AV1047" s="3" t="s">
        <v>371</v>
      </c>
      <c r="AW1047" s="3" t="s">
        <v>371</v>
      </c>
      <c r="AX1047" s="3" t="s">
        <v>371</v>
      </c>
      <c r="AY1047" s="3"/>
      <c r="AZ1047" s="739"/>
      <c r="BA1047" s="521"/>
      <c r="BB1047" s="521"/>
      <c r="BC1047" s="521"/>
      <c r="BD1047" s="521"/>
      <c r="BE1047" s="155"/>
    </row>
    <row r="1048" spans="1:57" ht="15" customHeight="1" x14ac:dyDescent="0.4">
      <c r="A1048" s="3"/>
      <c r="B1048" s="8"/>
      <c r="C1048" s="8"/>
      <c r="D1048" s="155"/>
      <c r="E1048" s="4"/>
      <c r="F1048" s="4"/>
      <c r="G1048" s="4"/>
      <c r="H1048" s="3"/>
      <c r="I1048" s="3"/>
      <c r="J1048" s="38"/>
      <c r="K1048" s="3"/>
      <c r="L1048" s="3"/>
      <c r="M1048" s="5"/>
      <c r="N1048" s="5"/>
      <c r="O1048" s="5"/>
      <c r="P1048" s="5"/>
      <c r="Q1048" s="5"/>
      <c r="R1048" s="30"/>
      <c r="S1048" s="56"/>
      <c r="T1048" s="376"/>
      <c r="U1048" s="14"/>
      <c r="V1048" s="38"/>
      <c r="W1048" s="38"/>
      <c r="X1048" s="38"/>
      <c r="Y1048" s="1443"/>
      <c r="Z1048" s="1443"/>
      <c r="AA1048" s="1443"/>
      <c r="AB1048" s="558"/>
      <c r="AC1048" s="3"/>
      <c r="AD1048" s="3"/>
      <c r="AE1048" s="56"/>
      <c r="AF1048" s="5"/>
      <c r="AG1048" s="38"/>
      <c r="AH1048" s="38"/>
      <c r="AI1048" s="51"/>
      <c r="AJ1048" s="51"/>
      <c r="AK1048" s="51"/>
      <c r="AL1048" s="51"/>
      <c r="AM1048" s="51"/>
      <c r="AN1048" s="3" t="s">
        <v>371</v>
      </c>
      <c r="AO1048" s="3" t="s">
        <v>371</v>
      </c>
      <c r="AP1048" s="3" t="s">
        <v>371</v>
      </c>
      <c r="AQ1048" s="3" t="s">
        <v>371</v>
      </c>
      <c r="AR1048" s="3" t="s">
        <v>371</v>
      </c>
      <c r="AS1048" s="3" t="s">
        <v>371</v>
      </c>
      <c r="AT1048" s="3" t="s">
        <v>371</v>
      </c>
      <c r="AU1048" s="3" t="s">
        <v>371</v>
      </c>
      <c r="AV1048" s="3" t="s">
        <v>371</v>
      </c>
      <c r="AW1048" s="3" t="s">
        <v>371</v>
      </c>
      <c r="AX1048" s="3" t="s">
        <v>371</v>
      </c>
      <c r="AY1048" s="3"/>
      <c r="AZ1048" s="739"/>
      <c r="BA1048" s="521"/>
      <c r="BB1048" s="521"/>
      <c r="BC1048" s="521"/>
      <c r="BD1048" s="521"/>
      <c r="BE1048" s="155"/>
    </row>
    <row r="1049" spans="1:57" ht="15" customHeight="1" x14ac:dyDescent="0.4">
      <c r="A1049" s="3"/>
      <c r="B1049" s="8"/>
      <c r="C1049" s="694"/>
      <c r="D1049" s="623"/>
      <c r="E1049" s="573"/>
      <c r="F1049" s="573"/>
      <c r="G1049" s="573"/>
      <c r="H1049" s="577"/>
      <c r="I1049" s="577"/>
      <c r="J1049" s="579"/>
      <c r="K1049" s="579"/>
      <c r="L1049" s="579"/>
      <c r="M1049" s="579"/>
      <c r="N1049" s="579"/>
      <c r="O1049" s="579"/>
      <c r="P1049" s="579"/>
      <c r="Q1049" s="579"/>
      <c r="R1049" s="579"/>
      <c r="S1049" s="579"/>
      <c r="T1049" s="579"/>
      <c r="U1049" s="14"/>
      <c r="V1049" s="579"/>
      <c r="W1049" s="579"/>
      <c r="X1049" s="579"/>
      <c r="Y1049" s="1446"/>
      <c r="Z1049" s="1446"/>
      <c r="AA1049" s="1446"/>
      <c r="AB1049" s="738"/>
      <c r="AC1049" s="577"/>
      <c r="AD1049" s="577"/>
      <c r="AE1049" s="576"/>
      <c r="AF1049" s="575"/>
      <c r="AG1049" s="579"/>
      <c r="AH1049" s="579"/>
      <c r="AI1049" s="626"/>
      <c r="AJ1049" s="626"/>
      <c r="AK1049" s="626"/>
      <c r="AL1049" s="626"/>
      <c r="AM1049" s="626"/>
      <c r="AN1049" s="577" t="s">
        <v>371</v>
      </c>
      <c r="AO1049" s="577" t="s">
        <v>371</v>
      </c>
      <c r="AP1049" s="577" t="s">
        <v>371</v>
      </c>
      <c r="AQ1049" s="577" t="s">
        <v>371</v>
      </c>
      <c r="AR1049" s="577" t="s">
        <v>371</v>
      </c>
      <c r="AS1049" s="577" t="s">
        <v>371</v>
      </c>
      <c r="AT1049" s="577" t="s">
        <v>371</v>
      </c>
      <c r="AU1049" s="577" t="s">
        <v>371</v>
      </c>
      <c r="AV1049" s="577" t="s">
        <v>371</v>
      </c>
      <c r="AW1049" s="577" t="s">
        <v>371</v>
      </c>
      <c r="AX1049" s="577" t="s">
        <v>371</v>
      </c>
      <c r="AY1049" s="577"/>
      <c r="AZ1049" s="739"/>
      <c r="BA1049" s="521"/>
      <c r="BB1049" s="521"/>
      <c r="BC1049" s="521"/>
      <c r="BD1049" s="521"/>
      <c r="BE1049" s="155"/>
    </row>
    <row r="1050" spans="1:57" ht="15" customHeight="1" x14ac:dyDescent="0.4">
      <c r="A1050" s="8"/>
      <c r="B1050" s="3"/>
      <c r="C1050" s="4" t="s">
        <v>2223</v>
      </c>
      <c r="D1050" s="36"/>
      <c r="E1050" s="155"/>
      <c r="F1050" s="155"/>
      <c r="G1050" s="3"/>
      <c r="H1050" s="20"/>
      <c r="I1050" s="500" t="s">
        <v>461</v>
      </c>
      <c r="J1050" s="38"/>
      <c r="K1050" s="3" t="s">
        <v>2211</v>
      </c>
      <c r="L1050" s="3" t="s">
        <v>465</v>
      </c>
      <c r="M1050" s="5">
        <f>M1052</f>
        <v>0</v>
      </c>
      <c r="N1050" s="5"/>
      <c r="O1050" s="5"/>
      <c r="P1050" s="3"/>
      <c r="Q1050" s="5"/>
      <c r="R1050" s="3"/>
      <c r="S1050" s="5"/>
      <c r="T1050" s="3"/>
      <c r="U1050" s="20"/>
      <c r="V1050" s="130"/>
      <c r="W1050" s="3"/>
      <c r="X1050" s="38"/>
      <c r="Y1050" s="1443"/>
      <c r="Z1050" s="1443"/>
      <c r="AA1050" s="1443"/>
      <c r="AB1050" s="20"/>
      <c r="AC1050" s="3">
        <v>45</v>
      </c>
      <c r="AD1050" s="3">
        <v>2</v>
      </c>
      <c r="AE1050" s="5">
        <f>AD1050*S1051/12</f>
        <v>0</v>
      </c>
      <c r="AF1050" s="3" t="s">
        <v>367</v>
      </c>
      <c r="AG1050" s="3">
        <v>0</v>
      </c>
      <c r="AH1050" s="5">
        <f>AG1050*AtolbperftSH</f>
        <v>0</v>
      </c>
      <c r="AI1050" s="51"/>
      <c r="AJ1050" s="51"/>
      <c r="AK1050" s="3"/>
      <c r="AL1050" s="3"/>
      <c r="AM1050" s="3"/>
      <c r="AN1050" s="3" t="s">
        <v>371</v>
      </c>
      <c r="AO1050" s="3" t="s">
        <v>371</v>
      </c>
      <c r="AP1050" s="3" t="s">
        <v>371</v>
      </c>
      <c r="AQ1050" s="3" t="s">
        <v>371</v>
      </c>
      <c r="AR1050" s="3" t="s">
        <v>371</v>
      </c>
      <c r="AS1050" s="3" t="s">
        <v>371</v>
      </c>
      <c r="AT1050" s="3" t="s">
        <v>371</v>
      </c>
      <c r="AU1050" s="3" t="s">
        <v>371</v>
      </c>
      <c r="AV1050" s="3" t="s">
        <v>371</v>
      </c>
      <c r="AW1050" s="3" t="s">
        <v>371</v>
      </c>
      <c r="AX1050" s="3" t="s">
        <v>92</v>
      </c>
      <c r="AY1050" s="3"/>
      <c r="AZ1050" s="3"/>
      <c r="BA1050" s="3"/>
      <c r="BB1050" s="3"/>
      <c r="BC1050" s="3"/>
      <c r="BD1050" s="3"/>
      <c r="BE1050" s="3"/>
    </row>
    <row r="1051" spans="1:57" ht="15" customHeight="1" x14ac:dyDescent="0.4">
      <c r="A1051" s="8"/>
      <c r="B1051" s="155"/>
      <c r="C1051" s="3"/>
      <c r="D1051" s="155"/>
      <c r="E1051" s="155"/>
      <c r="F1051" s="42" t="s">
        <v>2224</v>
      </c>
      <c r="G1051" s="434"/>
      <c r="H1051" s="20"/>
      <c r="I1051" s="577" t="s">
        <v>2211</v>
      </c>
      <c r="J1051" s="577" t="s">
        <v>467</v>
      </c>
      <c r="K1051" s="577">
        <v>-2</v>
      </c>
      <c r="L1051" s="577" t="s">
        <v>348</v>
      </c>
      <c r="M1051" s="575">
        <v>0.75</v>
      </c>
      <c r="N1051" s="575"/>
      <c r="O1051" s="575"/>
      <c r="P1051" s="577"/>
      <c r="Q1051" s="575"/>
      <c r="R1051" s="577" t="s">
        <v>352</v>
      </c>
      <c r="S1051" s="625">
        <f>IF(SHCORnd&lt;0,SHCORnd*K1051+M1051,0)</f>
        <v>0</v>
      </c>
      <c r="T1051" s="577" t="s">
        <v>366</v>
      </c>
      <c r="U1051" s="20"/>
      <c r="V1051" s="38" t="s">
        <v>369</v>
      </c>
      <c r="W1051" s="3" t="s">
        <v>370</v>
      </c>
      <c r="X1051" s="38" t="s">
        <v>369</v>
      </c>
      <c r="Y1051" s="1443">
        <v>200183003</v>
      </c>
      <c r="Z1051" s="1443"/>
      <c r="AA1051" s="1443"/>
      <c r="AB1051" s="20"/>
      <c r="AC1051" s="3"/>
      <c r="AD1051" s="3"/>
      <c r="AE1051" s="5"/>
      <c r="AF1051" s="3"/>
      <c r="AG1051" s="38"/>
      <c r="AH1051" s="5"/>
      <c r="AI1051" s="353">
        <v>0.13109999999999999</v>
      </c>
      <c r="AJ1051" s="39"/>
      <c r="AK1051" s="3"/>
      <c r="AL1051" s="3"/>
      <c r="AM1051" s="51">
        <f>AE1050*AI1051</f>
        <v>0</v>
      </c>
      <c r="AN1051" s="139" t="s">
        <v>371</v>
      </c>
      <c r="AO1051" s="139" t="s">
        <v>371</v>
      </c>
      <c r="AP1051" s="139" t="s">
        <v>371</v>
      </c>
      <c r="AQ1051" s="139" t="s">
        <v>371</v>
      </c>
      <c r="AR1051" s="139" t="s">
        <v>371</v>
      </c>
      <c r="AS1051" s="139" t="s">
        <v>371</v>
      </c>
      <c r="AT1051" s="139" t="s">
        <v>371</v>
      </c>
      <c r="AU1051" s="139" t="s">
        <v>371</v>
      </c>
      <c r="AV1051" s="139" t="s">
        <v>371</v>
      </c>
      <c r="AW1051" s="139" t="s">
        <v>371</v>
      </c>
      <c r="AX1051" s="139" t="s">
        <v>92</v>
      </c>
      <c r="AY1051" s="3"/>
      <c r="AZ1051" s="3"/>
      <c r="BA1051" s="3"/>
      <c r="BB1051" s="3"/>
      <c r="BC1051" s="3"/>
      <c r="BD1051" s="3"/>
      <c r="BE1051" s="3"/>
    </row>
    <row r="1052" spans="1:57" ht="15" customHeight="1" x14ac:dyDescent="0.4">
      <c r="A1052" s="8"/>
      <c r="B1052" s="155"/>
      <c r="C1052" s="3"/>
      <c r="D1052" s="155"/>
      <c r="E1052" s="155"/>
      <c r="F1052" s="155"/>
      <c r="G1052" s="434"/>
      <c r="H1052" s="20"/>
      <c r="I1052" s="500" t="s">
        <v>461</v>
      </c>
      <c r="J1052" s="38"/>
      <c r="K1052" s="3" t="s">
        <v>2211</v>
      </c>
      <c r="L1052" s="3" t="s">
        <v>463</v>
      </c>
      <c r="M1052" s="5">
        <v>0</v>
      </c>
      <c r="N1052" s="5"/>
      <c r="O1052" s="5"/>
      <c r="P1052" s="5"/>
      <c r="Q1052" s="5"/>
      <c r="R1052" s="3"/>
      <c r="S1052" s="5"/>
      <c r="T1052" s="3"/>
      <c r="U1052" s="20"/>
      <c r="V1052" s="38" t="s">
        <v>369</v>
      </c>
      <c r="W1052" s="3" t="s">
        <v>372</v>
      </c>
      <c r="X1052" s="38" t="s">
        <v>369</v>
      </c>
      <c r="Y1052" s="1443">
        <v>200183021</v>
      </c>
      <c r="Z1052" s="1443"/>
      <c r="AA1052" s="1443"/>
      <c r="AB1052" s="20"/>
      <c r="AC1052" s="3"/>
      <c r="AD1052" s="3"/>
      <c r="AE1052" s="5"/>
      <c r="AF1052" s="3"/>
      <c r="AG1052" s="3"/>
      <c r="AH1052" s="5"/>
      <c r="AI1052" s="353">
        <v>0.1409</v>
      </c>
      <c r="AJ1052" s="39"/>
      <c r="AK1052" s="3"/>
      <c r="AL1052" s="3"/>
      <c r="AM1052" s="51">
        <f>AE1050*AI1052</f>
        <v>0</v>
      </c>
      <c r="AN1052" s="139" t="s">
        <v>371</v>
      </c>
      <c r="AO1052" s="139" t="s">
        <v>371</v>
      </c>
      <c r="AP1052" s="139" t="s">
        <v>371</v>
      </c>
      <c r="AQ1052" s="139" t="s">
        <v>371</v>
      </c>
      <c r="AR1052" s="139" t="s">
        <v>371</v>
      </c>
      <c r="AS1052" s="139" t="s">
        <v>371</v>
      </c>
      <c r="AT1052" s="139" t="s">
        <v>371</v>
      </c>
      <c r="AU1052" s="139" t="s">
        <v>371</v>
      </c>
      <c r="AV1052" s="139" t="s">
        <v>371</v>
      </c>
      <c r="AW1052" s="139" t="s">
        <v>371</v>
      </c>
      <c r="AX1052" s="139" t="s">
        <v>92</v>
      </c>
      <c r="AY1052" s="3"/>
      <c r="AZ1052" s="3"/>
      <c r="BA1052" s="3"/>
      <c r="BB1052" s="3"/>
      <c r="BC1052" s="3"/>
      <c r="BD1052" s="3"/>
      <c r="BE1052" s="3"/>
    </row>
    <row r="1053" spans="1:57" ht="15" customHeight="1" x14ac:dyDescent="0.4">
      <c r="A1053" s="8"/>
      <c r="B1053" s="36"/>
      <c r="C1053" s="3"/>
      <c r="D1053" s="155"/>
      <c r="E1053" s="155"/>
      <c r="F1053" s="155"/>
      <c r="G1053" s="434"/>
      <c r="H1053" s="20"/>
      <c r="I1053" s="3"/>
      <c r="J1053" s="8"/>
      <c r="K1053" s="8" t="s">
        <v>2222</v>
      </c>
      <c r="L1053" s="3"/>
      <c r="M1053" s="5"/>
      <c r="N1053" s="5"/>
      <c r="O1053" s="5"/>
      <c r="P1053" s="3"/>
      <c r="Q1053" s="5"/>
      <c r="R1053" s="3"/>
      <c r="S1053" s="24"/>
      <c r="T1053" s="3"/>
      <c r="U1053" s="20"/>
      <c r="V1053" s="38" t="s">
        <v>369</v>
      </c>
      <c r="W1053" s="3" t="s">
        <v>373</v>
      </c>
      <c r="X1053" s="38" t="s">
        <v>369</v>
      </c>
      <c r="Y1053" s="1443">
        <v>200183033</v>
      </c>
      <c r="Z1053" s="1443"/>
      <c r="AA1053" s="1443"/>
      <c r="AB1053" s="20"/>
      <c r="AC1053" s="3"/>
      <c r="AD1053" s="3"/>
      <c r="AE1053" s="5"/>
      <c r="AF1053" s="3"/>
      <c r="AG1053" s="3"/>
      <c r="AH1053" s="5"/>
      <c r="AI1053" s="353">
        <v>0.1431</v>
      </c>
      <c r="AJ1053" s="39"/>
      <c r="AK1053" s="3"/>
      <c r="AL1053" s="3"/>
      <c r="AM1053" s="51">
        <f>AE1050*AI1053</f>
        <v>0</v>
      </c>
      <c r="AN1053" s="139" t="s">
        <v>371</v>
      </c>
      <c r="AO1053" s="139" t="s">
        <v>371</v>
      </c>
      <c r="AP1053" s="139" t="s">
        <v>371</v>
      </c>
      <c r="AQ1053" s="139" t="s">
        <v>371</v>
      </c>
      <c r="AR1053" s="139" t="s">
        <v>371</v>
      </c>
      <c r="AS1053" s="139" t="s">
        <v>371</v>
      </c>
      <c r="AT1053" s="139" t="s">
        <v>371</v>
      </c>
      <c r="AU1053" s="139" t="s">
        <v>371</v>
      </c>
      <c r="AV1053" s="139" t="s">
        <v>371</v>
      </c>
      <c r="AW1053" s="139" t="s">
        <v>371</v>
      </c>
      <c r="AX1053" s="139" t="s">
        <v>92</v>
      </c>
      <c r="AY1053" s="3"/>
      <c r="AZ1053" s="3"/>
      <c r="BA1053" s="3"/>
      <c r="BB1053" s="3"/>
      <c r="BC1053" s="3"/>
      <c r="BD1053" s="3"/>
      <c r="BE1053" s="3"/>
    </row>
    <row r="1054" spans="1:57" ht="15" customHeight="1" x14ac:dyDescent="0.4">
      <c r="A1054" s="8"/>
      <c r="B1054" s="36"/>
      <c r="C1054" s="577"/>
      <c r="D1054" s="623"/>
      <c r="E1054" s="623"/>
      <c r="F1054" s="623"/>
      <c r="G1054" s="720"/>
      <c r="H1054" s="624"/>
      <c r="I1054" s="577"/>
      <c r="J1054" s="694"/>
      <c r="K1054" s="694"/>
      <c r="L1054" s="577"/>
      <c r="M1054" s="575"/>
      <c r="N1054" s="575"/>
      <c r="O1054" s="575"/>
      <c r="P1054" s="577"/>
      <c r="Q1054" s="575"/>
      <c r="R1054" s="577"/>
      <c r="S1054" s="625"/>
      <c r="T1054" s="577"/>
      <c r="U1054" s="624"/>
      <c r="V1054" s="579" t="s">
        <v>369</v>
      </c>
      <c r="W1054" s="577" t="s">
        <v>375</v>
      </c>
      <c r="X1054" s="579" t="s">
        <v>369</v>
      </c>
      <c r="Y1054" s="1446">
        <v>200183133192</v>
      </c>
      <c r="Z1054" s="1446"/>
      <c r="AA1054" s="1446"/>
      <c r="AB1054" s="624"/>
      <c r="AC1054" s="577"/>
      <c r="AD1054" s="577"/>
      <c r="AE1054" s="575"/>
      <c r="AF1054" s="577"/>
      <c r="AG1054" s="577"/>
      <c r="AH1054" s="575"/>
      <c r="AI1054" s="1425"/>
      <c r="AJ1054" s="581"/>
      <c r="AK1054" s="577"/>
      <c r="AL1054" s="577"/>
      <c r="AM1054" s="626"/>
      <c r="AN1054" s="1372" t="s">
        <v>92</v>
      </c>
      <c r="AO1054" s="1372" t="s">
        <v>92</v>
      </c>
      <c r="AP1054" s="1372" t="s">
        <v>92</v>
      </c>
      <c r="AQ1054" s="1372" t="s">
        <v>92</v>
      </c>
      <c r="AR1054" s="1372" t="s">
        <v>92</v>
      </c>
      <c r="AS1054" s="1372" t="s">
        <v>92</v>
      </c>
      <c r="AT1054" s="1372" t="s">
        <v>92</v>
      </c>
      <c r="AU1054" s="1372" t="s">
        <v>92</v>
      </c>
      <c r="AV1054" s="1372" t="s">
        <v>92</v>
      </c>
      <c r="AW1054" s="1372" t="s">
        <v>92</v>
      </c>
      <c r="AX1054" s="1372" t="s">
        <v>81</v>
      </c>
      <c r="AY1054" s="577"/>
      <c r="AZ1054" s="3"/>
      <c r="BA1054" s="3"/>
      <c r="BB1054" s="3"/>
      <c r="BC1054" s="3"/>
      <c r="BD1054" s="3"/>
      <c r="BE1054" s="3"/>
    </row>
    <row r="1055" spans="1:57" ht="15" customHeight="1" x14ac:dyDescent="0.4">
      <c r="A1055" s="8"/>
      <c r="B1055" s="36"/>
      <c r="C1055" s="3"/>
      <c r="D1055" s="155"/>
      <c r="E1055" s="155"/>
      <c r="F1055" s="155"/>
      <c r="G1055" s="434"/>
      <c r="H1055" s="20"/>
      <c r="I1055" s="3"/>
      <c r="J1055" s="8"/>
      <c r="K1055" s="8"/>
      <c r="L1055" s="3"/>
      <c r="M1055" s="5"/>
      <c r="N1055" s="5"/>
      <c r="O1055" s="5"/>
      <c r="P1055" s="3"/>
      <c r="Q1055" s="5"/>
      <c r="R1055" s="3"/>
      <c r="S1055" s="24"/>
      <c r="T1055" s="3"/>
      <c r="U1055" s="20"/>
      <c r="V1055" s="38"/>
      <c r="W1055" s="3"/>
      <c r="X1055" s="38"/>
      <c r="Y1055" s="1443"/>
      <c r="Z1055" s="1443"/>
      <c r="AA1055" s="1443"/>
      <c r="AB1055" s="20"/>
      <c r="AC1055" s="3"/>
      <c r="AD1055" s="3"/>
      <c r="AE1055" s="5"/>
      <c r="AF1055" s="3"/>
      <c r="AG1055" s="3"/>
      <c r="AH1055" s="5"/>
      <c r="AI1055" s="353"/>
      <c r="AJ1055" s="39"/>
      <c r="AK1055" s="3"/>
      <c r="AL1055" s="3"/>
      <c r="AM1055" s="51"/>
      <c r="AN1055" s="139"/>
      <c r="AO1055" s="139"/>
      <c r="AP1055" s="139"/>
      <c r="AQ1055" s="139"/>
      <c r="AR1055" s="139"/>
      <c r="AS1055" s="139"/>
      <c r="AT1055" s="139"/>
      <c r="AU1055" s="139"/>
      <c r="AV1055" s="139"/>
      <c r="AW1055" s="139"/>
      <c r="AX1055" s="139"/>
      <c r="AY1055" s="3"/>
      <c r="AZ1055" s="3"/>
      <c r="BA1055" s="3"/>
      <c r="BB1055" s="3"/>
      <c r="BC1055" s="3"/>
      <c r="BD1055" s="3"/>
      <c r="BE1055" s="3"/>
    </row>
    <row r="1056" spans="1:57" ht="15" customHeight="1" x14ac:dyDescent="0.4">
      <c r="A1056" s="3"/>
      <c r="B1056" s="8"/>
      <c r="C1056" s="8" t="s">
        <v>920</v>
      </c>
      <c r="D1056" s="155"/>
      <c r="E1056" s="4"/>
      <c r="F1056" s="4"/>
      <c r="G1056" s="4"/>
      <c r="H1056" s="10"/>
      <c r="I1056" s="3"/>
      <c r="J1056" s="38"/>
      <c r="K1056" s="3"/>
      <c r="L1056" s="3"/>
      <c r="M1056" s="5"/>
      <c r="N1056" s="5"/>
      <c r="O1056" s="5"/>
      <c r="P1056" s="5"/>
      <c r="Q1056" s="5"/>
      <c r="R1056" s="30"/>
      <c r="S1056" s="376">
        <f>1/50</f>
        <v>0.02</v>
      </c>
      <c r="T1056" s="376" t="s">
        <v>385</v>
      </c>
      <c r="U1056" s="14"/>
      <c r="V1056" s="38"/>
      <c r="W1056" s="38"/>
      <c r="X1056" s="38"/>
      <c r="Y1056" s="1443"/>
      <c r="Z1056" s="1443"/>
      <c r="AA1056" s="1443"/>
      <c r="AB1056" s="558"/>
      <c r="AC1056" s="3"/>
      <c r="AD1056" s="3">
        <v>1</v>
      </c>
      <c r="AE1056" s="376">
        <f>S1056*AD1056</f>
        <v>0.02</v>
      </c>
      <c r="AF1056" s="5" t="s">
        <v>385</v>
      </c>
      <c r="AG1056" s="38" t="s">
        <v>8</v>
      </c>
      <c r="AH1056" s="38" t="s">
        <v>8</v>
      </c>
      <c r="AI1056" s="51"/>
      <c r="AJ1056" s="51"/>
      <c r="AK1056" s="51"/>
      <c r="AL1056" s="51"/>
      <c r="AM1056" s="51"/>
      <c r="AN1056" s="3" t="s">
        <v>371</v>
      </c>
      <c r="AO1056" s="3" t="s">
        <v>371</v>
      </c>
      <c r="AP1056" s="3" t="s">
        <v>371</v>
      </c>
      <c r="AQ1056" s="3" t="s">
        <v>371</v>
      </c>
      <c r="AR1056" s="3" t="s">
        <v>371</v>
      </c>
      <c r="AS1056" s="3" t="s">
        <v>371</v>
      </c>
      <c r="AT1056" s="3" t="s">
        <v>371</v>
      </c>
      <c r="AU1056" s="3" t="s">
        <v>371</v>
      </c>
      <c r="AV1056" s="3" t="s">
        <v>371</v>
      </c>
      <c r="AW1056" s="3" t="s">
        <v>371</v>
      </c>
      <c r="AX1056" s="3" t="s">
        <v>92</v>
      </c>
      <c r="AY1056" s="3"/>
      <c r="AZ1056" s="739"/>
      <c r="BA1056" s="521"/>
      <c r="BB1056" s="521"/>
      <c r="BC1056" s="521"/>
      <c r="BD1056" s="521"/>
      <c r="BE1056" s="155"/>
    </row>
    <row r="1057" spans="1:57" ht="15" customHeight="1" x14ac:dyDescent="0.4">
      <c r="A1057" s="3"/>
      <c r="B1057" s="8"/>
      <c r="C1057" s="8"/>
      <c r="D1057" s="155"/>
      <c r="E1057" s="4"/>
      <c r="F1057" s="4"/>
      <c r="G1057" s="4"/>
      <c r="H1057" s="10"/>
      <c r="I1057" s="3"/>
      <c r="J1057" s="38"/>
      <c r="K1057" s="3"/>
      <c r="L1057" s="3"/>
      <c r="M1057" s="5"/>
      <c r="N1057" s="5"/>
      <c r="O1057" s="5"/>
      <c r="P1057" s="5"/>
      <c r="Q1057" s="5"/>
      <c r="R1057" s="30"/>
      <c r="S1057" s="56"/>
      <c r="T1057" s="376"/>
      <c r="U1057" s="14"/>
      <c r="V1057" s="38" t="s">
        <v>369</v>
      </c>
      <c r="W1057" s="3" t="s">
        <v>372</v>
      </c>
      <c r="X1057" s="38" t="s">
        <v>369</v>
      </c>
      <c r="Y1057" s="1443">
        <v>630007021</v>
      </c>
      <c r="Z1057" s="1443"/>
      <c r="AA1057" s="1443"/>
      <c r="AB1057" s="558"/>
      <c r="AC1057" s="3">
        <v>45</v>
      </c>
      <c r="AD1057" s="3"/>
      <c r="AE1057" s="56"/>
      <c r="AF1057" s="5"/>
      <c r="AG1057" s="38"/>
      <c r="AH1057" s="38"/>
      <c r="AI1057" s="353">
        <v>12.45</v>
      </c>
      <c r="AJ1057" s="51"/>
      <c r="AK1057" s="51"/>
      <c r="AL1057" s="51"/>
      <c r="AM1057" s="51">
        <f>AE$1056*AI1057+SUM(AJ1057:AL1057)</f>
        <v>0.249</v>
      </c>
      <c r="AN1057" s="3" t="s">
        <v>371</v>
      </c>
      <c r="AO1057" s="3" t="s">
        <v>371</v>
      </c>
      <c r="AP1057" s="3" t="s">
        <v>371</v>
      </c>
      <c r="AQ1057" s="3" t="s">
        <v>371</v>
      </c>
      <c r="AR1057" s="3" t="s">
        <v>371</v>
      </c>
      <c r="AS1057" s="3" t="s">
        <v>371</v>
      </c>
      <c r="AT1057" s="3" t="s">
        <v>371</v>
      </c>
      <c r="AU1057" s="3" t="s">
        <v>371</v>
      </c>
      <c r="AV1057" s="3" t="s">
        <v>371</v>
      </c>
      <c r="AW1057" s="3" t="s">
        <v>371</v>
      </c>
      <c r="AX1057" s="3" t="s">
        <v>92</v>
      </c>
      <c r="AY1057" s="3"/>
      <c r="AZ1057" s="739"/>
      <c r="BA1057" s="521"/>
      <c r="BB1057" s="521"/>
      <c r="BC1057" s="521"/>
      <c r="BD1057" s="521"/>
      <c r="BE1057" s="155"/>
    </row>
    <row r="1058" spans="1:57" ht="15" customHeight="1" x14ac:dyDescent="0.4">
      <c r="A1058" s="3"/>
      <c r="B1058" s="8"/>
      <c r="C1058" s="8"/>
      <c r="D1058" s="155"/>
      <c r="E1058" s="4"/>
      <c r="F1058" s="4"/>
      <c r="G1058" s="4"/>
      <c r="H1058" s="10"/>
      <c r="I1058" s="3"/>
      <c r="J1058" s="38"/>
      <c r="K1058" s="3"/>
      <c r="L1058" s="3"/>
      <c r="M1058" s="5"/>
      <c r="N1058" s="5"/>
      <c r="O1058" s="5"/>
      <c r="P1058" s="5"/>
      <c r="Q1058" s="5"/>
      <c r="R1058" s="30"/>
      <c r="S1058" s="56"/>
      <c r="T1058" s="376"/>
      <c r="U1058" s="14"/>
      <c r="V1058" s="38" t="s">
        <v>369</v>
      </c>
      <c r="W1058" s="3" t="s">
        <v>373</v>
      </c>
      <c r="X1058" s="38" t="s">
        <v>369</v>
      </c>
      <c r="Y1058" s="1443">
        <v>630007033</v>
      </c>
      <c r="Z1058" s="1443"/>
      <c r="AA1058" s="1443"/>
      <c r="AB1058" s="558"/>
      <c r="AC1058" s="3">
        <v>45</v>
      </c>
      <c r="AD1058" s="3"/>
      <c r="AE1058" s="56"/>
      <c r="AF1058" s="5"/>
      <c r="AG1058" s="38"/>
      <c r="AH1058" s="38"/>
      <c r="AI1058" s="353">
        <v>9.6999999999999993</v>
      </c>
      <c r="AJ1058" s="51"/>
      <c r="AK1058" s="51"/>
      <c r="AL1058" s="51"/>
      <c r="AM1058" s="51">
        <f>AE$1056*AI1058+SUM(AJ1058:AL1058)</f>
        <v>0.19399999999999998</v>
      </c>
      <c r="AN1058" s="3" t="s">
        <v>371</v>
      </c>
      <c r="AO1058" s="3" t="s">
        <v>371</v>
      </c>
      <c r="AP1058" s="3" t="s">
        <v>371</v>
      </c>
      <c r="AQ1058" s="3" t="s">
        <v>371</v>
      </c>
      <c r="AR1058" s="3" t="s">
        <v>371</v>
      </c>
      <c r="AS1058" s="3" t="s">
        <v>371</v>
      </c>
      <c r="AT1058" s="3" t="s">
        <v>371</v>
      </c>
      <c r="AU1058" s="3" t="s">
        <v>371</v>
      </c>
      <c r="AV1058" s="3" t="s">
        <v>371</v>
      </c>
      <c r="AW1058" s="3" t="s">
        <v>371</v>
      </c>
      <c r="AX1058" s="3" t="s">
        <v>92</v>
      </c>
      <c r="AY1058" s="3"/>
      <c r="AZ1058" s="739"/>
      <c r="BA1058" s="521"/>
      <c r="BB1058" s="521"/>
      <c r="BC1058" s="521"/>
      <c r="BD1058" s="521"/>
      <c r="BE1058" s="155"/>
    </row>
    <row r="1059" spans="1:57" ht="15" customHeight="1" x14ac:dyDescent="0.4">
      <c r="A1059" s="3"/>
      <c r="B1059" s="8"/>
      <c r="C1059" s="8"/>
      <c r="D1059" s="155"/>
      <c r="E1059" s="4"/>
      <c r="F1059" s="4"/>
      <c r="G1059" s="4"/>
      <c r="H1059" s="10"/>
      <c r="I1059" s="3"/>
      <c r="J1059" s="38"/>
      <c r="K1059" s="3"/>
      <c r="L1059" s="3"/>
      <c r="M1059" s="5"/>
      <c r="N1059" s="5"/>
      <c r="O1059" s="5"/>
      <c r="P1059" s="5"/>
      <c r="Q1059" s="5"/>
      <c r="R1059" s="30"/>
      <c r="S1059" s="56"/>
      <c r="T1059" s="376"/>
      <c r="U1059" s="14"/>
      <c r="V1059" s="38" t="s">
        <v>369</v>
      </c>
      <c r="W1059" s="3" t="s">
        <v>374</v>
      </c>
      <c r="X1059" s="38" t="s">
        <v>369</v>
      </c>
      <c r="Y1059" s="1443">
        <v>630007090</v>
      </c>
      <c r="Z1059" s="1443"/>
      <c r="AA1059" s="1443"/>
      <c r="AB1059" s="558"/>
      <c r="AC1059" s="3">
        <v>45</v>
      </c>
      <c r="AD1059" s="3"/>
      <c r="AE1059" s="56"/>
      <c r="AF1059" s="5"/>
      <c r="AG1059" s="38"/>
      <c r="AH1059" s="38"/>
      <c r="AI1059" s="353">
        <v>9.0399999999999991</v>
      </c>
      <c r="AJ1059" s="51"/>
      <c r="AK1059" s="51"/>
      <c r="AL1059" s="51"/>
      <c r="AM1059" s="51">
        <f>AE$1056*AI1059+SUM(AJ1059:AL1059)</f>
        <v>0.18079999999999999</v>
      </c>
      <c r="AN1059" s="3" t="s">
        <v>371</v>
      </c>
      <c r="AO1059" s="3" t="s">
        <v>371</v>
      </c>
      <c r="AP1059" s="3" t="s">
        <v>371</v>
      </c>
      <c r="AQ1059" s="3" t="s">
        <v>371</v>
      </c>
      <c r="AR1059" s="3" t="s">
        <v>371</v>
      </c>
      <c r="AS1059" s="3" t="s">
        <v>371</v>
      </c>
      <c r="AT1059" s="3" t="s">
        <v>371</v>
      </c>
      <c r="AU1059" s="3" t="s">
        <v>371</v>
      </c>
      <c r="AV1059" s="3" t="s">
        <v>371</v>
      </c>
      <c r="AW1059" s="3" t="s">
        <v>371</v>
      </c>
      <c r="AX1059" s="3" t="s">
        <v>92</v>
      </c>
      <c r="AY1059" s="3"/>
      <c r="AZ1059" s="739"/>
      <c r="BA1059" s="521"/>
      <c r="BB1059" s="521"/>
      <c r="BC1059" s="521"/>
      <c r="BD1059" s="521"/>
      <c r="BE1059" s="155"/>
    </row>
    <row r="1060" spans="1:57" ht="15" customHeight="1" x14ac:dyDescent="0.4">
      <c r="A1060" s="3"/>
      <c r="B1060" s="8"/>
      <c r="C1060" s="8"/>
      <c r="D1060" s="155"/>
      <c r="E1060" s="4"/>
      <c r="F1060" s="4"/>
      <c r="G1060" s="4"/>
      <c r="H1060" s="10"/>
      <c r="I1060" s="3"/>
      <c r="J1060" s="38"/>
      <c r="K1060" s="3"/>
      <c r="L1060" s="3"/>
      <c r="M1060" s="5"/>
      <c r="N1060" s="5"/>
      <c r="O1060" s="5"/>
      <c r="P1060" s="5"/>
      <c r="Q1060" s="5"/>
      <c r="R1060" s="30"/>
      <c r="S1060" s="56"/>
      <c r="T1060" s="376"/>
      <c r="U1060" s="14"/>
      <c r="V1060" s="38" t="s">
        <v>369</v>
      </c>
      <c r="W1060" s="3" t="s">
        <v>375</v>
      </c>
      <c r="X1060" s="38" t="s">
        <v>369</v>
      </c>
      <c r="Y1060" s="1443">
        <v>630007133</v>
      </c>
      <c r="Z1060" s="1443"/>
      <c r="AA1060" s="1443"/>
      <c r="AB1060" s="558"/>
      <c r="AC1060" s="3">
        <v>45</v>
      </c>
      <c r="AD1060" s="3"/>
      <c r="AE1060" s="56"/>
      <c r="AF1060" s="5"/>
      <c r="AG1060" s="38"/>
      <c r="AH1060" s="38"/>
      <c r="AI1060" s="353">
        <v>9.0399999999999991</v>
      </c>
      <c r="AJ1060" s="51"/>
      <c r="AK1060" s="51"/>
      <c r="AL1060" s="51"/>
      <c r="AM1060" s="51">
        <f>AE$1056*AI1060+SUM(AJ1060:AL1060)</f>
        <v>0.18079999999999999</v>
      </c>
      <c r="AN1060" s="3" t="s">
        <v>371</v>
      </c>
      <c r="AO1060" s="3" t="s">
        <v>371</v>
      </c>
      <c r="AP1060" s="3" t="s">
        <v>371</v>
      </c>
      <c r="AQ1060" s="3" t="s">
        <v>371</v>
      </c>
      <c r="AR1060" s="3" t="s">
        <v>371</v>
      </c>
      <c r="AS1060" s="3" t="s">
        <v>371</v>
      </c>
      <c r="AT1060" s="3" t="s">
        <v>371</v>
      </c>
      <c r="AU1060" s="3" t="s">
        <v>371</v>
      </c>
      <c r="AV1060" s="3" t="s">
        <v>371</v>
      </c>
      <c r="AW1060" s="3" t="s">
        <v>371</v>
      </c>
      <c r="AX1060" s="3" t="s">
        <v>371</v>
      </c>
      <c r="AY1060" s="3"/>
      <c r="AZ1060" s="739"/>
      <c r="BA1060" s="521"/>
      <c r="BB1060" s="521"/>
      <c r="BC1060" s="521"/>
      <c r="BD1060" s="521"/>
      <c r="BE1060" s="155"/>
    </row>
    <row r="1061" spans="1:57" ht="15" customHeight="1" x14ac:dyDescent="0.4">
      <c r="A1061" s="3"/>
      <c r="B1061" s="8"/>
      <c r="C1061" s="694"/>
      <c r="D1061" s="623"/>
      <c r="E1061" s="573"/>
      <c r="F1061" s="573"/>
      <c r="G1061" s="573"/>
      <c r="H1061" s="743"/>
      <c r="I1061" s="577"/>
      <c r="J1061" s="579"/>
      <c r="K1061" s="577"/>
      <c r="L1061" s="577"/>
      <c r="M1061" s="575"/>
      <c r="N1061" s="575"/>
      <c r="O1061" s="575"/>
      <c r="P1061" s="575"/>
      <c r="Q1061" s="575"/>
      <c r="R1061" s="737"/>
      <c r="S1061" s="576"/>
      <c r="T1061" s="578"/>
      <c r="U1061" s="574"/>
      <c r="V1061" s="1874" t="s">
        <v>369</v>
      </c>
      <c r="W1061" s="1873" t="s">
        <v>1849</v>
      </c>
      <c r="X1061" s="1874" t="s">
        <v>369</v>
      </c>
      <c r="Y1061" s="1875">
        <v>630007148</v>
      </c>
      <c r="Z1061" s="1446"/>
      <c r="AA1061" s="1446"/>
      <c r="AB1061" s="738"/>
      <c r="AC1061" s="577">
        <v>45</v>
      </c>
      <c r="AD1061" s="577"/>
      <c r="AE1061" s="576"/>
      <c r="AF1061" s="575"/>
      <c r="AG1061" s="579"/>
      <c r="AH1061" s="579"/>
      <c r="AI1061" s="1425">
        <v>9.4499999999999993</v>
      </c>
      <c r="AJ1061" s="626"/>
      <c r="AK1061" s="626"/>
      <c r="AL1061" s="626"/>
      <c r="AM1061" s="626">
        <f>AE$1056*AI1061+SUM(AJ1061:AL1061)</f>
        <v>0.189</v>
      </c>
      <c r="AN1061" s="577" t="s">
        <v>371</v>
      </c>
      <c r="AO1061" s="577" t="s">
        <v>371</v>
      </c>
      <c r="AP1061" s="577" t="s">
        <v>371</v>
      </c>
      <c r="AQ1061" s="577" t="s">
        <v>371</v>
      </c>
      <c r="AR1061" s="577" t="s">
        <v>371</v>
      </c>
      <c r="AS1061" s="577" t="s">
        <v>371</v>
      </c>
      <c r="AT1061" s="577" t="s">
        <v>371</v>
      </c>
      <c r="AU1061" s="577" t="s">
        <v>371</v>
      </c>
      <c r="AV1061" s="577" t="s">
        <v>371</v>
      </c>
      <c r="AW1061" s="577" t="s">
        <v>371</v>
      </c>
      <c r="AX1061" s="577" t="s">
        <v>92</v>
      </c>
      <c r="AY1061" s="577"/>
      <c r="AZ1061" s="739"/>
      <c r="BA1061" s="521"/>
      <c r="BB1061" s="521"/>
      <c r="BC1061" s="521"/>
      <c r="BD1061" s="521"/>
      <c r="BE1061" s="155"/>
    </row>
    <row r="1062" spans="1:57" ht="15" customHeight="1" x14ac:dyDescent="0.4">
      <c r="A1062" s="3"/>
      <c r="B1062" s="8"/>
      <c r="C1062" s="8" t="s">
        <v>921</v>
      </c>
      <c r="D1062" s="155"/>
      <c r="E1062" s="4"/>
      <c r="F1062" s="4"/>
      <c r="G1062" s="4"/>
      <c r="H1062" s="10"/>
      <c r="I1062" s="3"/>
      <c r="J1062" s="38"/>
      <c r="K1062" s="3"/>
      <c r="L1062" s="3"/>
      <c r="M1062" s="5"/>
      <c r="N1062" s="5"/>
      <c r="O1062" s="5"/>
      <c r="P1062" s="5"/>
      <c r="Q1062" s="5"/>
      <c r="R1062" s="30"/>
      <c r="S1062" s="77">
        <v>1.1299999999999999E-2</v>
      </c>
      <c r="T1062" s="376" t="s">
        <v>922</v>
      </c>
      <c r="U1062" s="14"/>
      <c r="V1062" s="38"/>
      <c r="W1062" s="3"/>
      <c r="X1062" s="38"/>
      <c r="Y1062" s="1443"/>
      <c r="Z1062" s="1443"/>
      <c r="AA1062" s="1443"/>
      <c r="AB1062" s="558"/>
      <c r="AC1062" s="3"/>
      <c r="AD1062" s="3">
        <v>1</v>
      </c>
      <c r="AE1062" s="77">
        <f>S1062*AD1062</f>
        <v>1.1299999999999999E-2</v>
      </c>
      <c r="AF1062" s="5" t="s">
        <v>922</v>
      </c>
      <c r="AG1062" s="38" t="s">
        <v>8</v>
      </c>
      <c r="AH1062" s="38" t="s">
        <v>8</v>
      </c>
      <c r="AI1062" s="51"/>
      <c r="AJ1062" s="51"/>
      <c r="AK1062" s="51"/>
      <c r="AL1062" s="51"/>
      <c r="AM1062" s="51"/>
      <c r="AN1062" s="3" t="s">
        <v>371</v>
      </c>
      <c r="AO1062" s="3" t="s">
        <v>371</v>
      </c>
      <c r="AP1062" s="3" t="s">
        <v>371</v>
      </c>
      <c r="AQ1062" s="3" t="s">
        <v>371</v>
      </c>
      <c r="AR1062" s="3" t="s">
        <v>371</v>
      </c>
      <c r="AS1062" s="3" t="s">
        <v>371</v>
      </c>
      <c r="AT1062" s="3" t="s">
        <v>371</v>
      </c>
      <c r="AU1062" s="3" t="s">
        <v>371</v>
      </c>
      <c r="AV1062" s="3" t="s">
        <v>371</v>
      </c>
      <c r="AW1062" s="3" t="s">
        <v>371</v>
      </c>
      <c r="AX1062" s="3" t="s">
        <v>92</v>
      </c>
      <c r="AY1062" s="3"/>
      <c r="AZ1062" s="739"/>
      <c r="BA1062" s="521"/>
      <c r="BB1062" s="521"/>
      <c r="BC1062" s="521"/>
      <c r="BD1062" s="521"/>
      <c r="BE1062" s="155"/>
    </row>
    <row r="1063" spans="1:57" ht="15" customHeight="1" x14ac:dyDescent="0.4">
      <c r="A1063" s="3"/>
      <c r="B1063" s="8"/>
      <c r="C1063" s="3"/>
      <c r="D1063" s="155"/>
      <c r="E1063" s="4"/>
      <c r="F1063" s="4"/>
      <c r="G1063" s="4"/>
      <c r="H1063" s="10"/>
      <c r="I1063" s="3"/>
      <c r="J1063" s="38"/>
      <c r="K1063" s="3"/>
      <c r="L1063" s="3"/>
      <c r="M1063" s="5"/>
      <c r="N1063" s="5"/>
      <c r="O1063" s="5"/>
      <c r="P1063" s="5"/>
      <c r="Q1063" s="5"/>
      <c r="R1063" s="30"/>
      <c r="S1063" s="56"/>
      <c r="T1063" s="376"/>
      <c r="U1063" s="14"/>
      <c r="V1063" s="38" t="s">
        <v>369</v>
      </c>
      <c r="W1063" s="3" t="s">
        <v>372</v>
      </c>
      <c r="X1063" s="38" t="s">
        <v>369</v>
      </c>
      <c r="Y1063" s="1443">
        <v>630022021</v>
      </c>
      <c r="Z1063" s="1443"/>
      <c r="AA1063" s="1443"/>
      <c r="AB1063" s="558"/>
      <c r="AC1063" s="3">
        <v>45</v>
      </c>
      <c r="AD1063" s="3"/>
      <c r="AE1063" s="56"/>
      <c r="AF1063" s="5"/>
      <c r="AG1063" s="38"/>
      <c r="AH1063" s="38"/>
      <c r="AI1063" s="353">
        <v>6.99</v>
      </c>
      <c r="AJ1063" s="51"/>
      <c r="AK1063" s="51"/>
      <c r="AL1063" s="51"/>
      <c r="AM1063" s="51">
        <f>AE$1062*AI1063+SUM(AJ1063:AL1063)</f>
        <v>7.8987000000000002E-2</v>
      </c>
      <c r="AN1063" s="3" t="s">
        <v>371</v>
      </c>
      <c r="AO1063" s="3" t="s">
        <v>371</v>
      </c>
      <c r="AP1063" s="3" t="s">
        <v>371</v>
      </c>
      <c r="AQ1063" s="3" t="s">
        <v>371</v>
      </c>
      <c r="AR1063" s="3" t="s">
        <v>371</v>
      </c>
      <c r="AS1063" s="3" t="s">
        <v>371</v>
      </c>
      <c r="AT1063" s="3" t="s">
        <v>371</v>
      </c>
      <c r="AU1063" s="3" t="s">
        <v>371</v>
      </c>
      <c r="AV1063" s="3" t="s">
        <v>371</v>
      </c>
      <c r="AW1063" s="3" t="s">
        <v>371</v>
      </c>
      <c r="AX1063" s="3" t="s">
        <v>92</v>
      </c>
      <c r="AY1063" s="3"/>
      <c r="AZ1063" s="739"/>
      <c r="BA1063" s="521"/>
      <c r="BB1063" s="521"/>
      <c r="BC1063" s="521"/>
      <c r="BD1063" s="521"/>
      <c r="BE1063" s="155"/>
    </row>
    <row r="1064" spans="1:57" ht="15" customHeight="1" x14ac:dyDescent="0.4">
      <c r="A1064" s="3"/>
      <c r="B1064" s="8"/>
      <c r="C1064" s="8"/>
      <c r="D1064" s="155"/>
      <c r="E1064" s="4"/>
      <c r="F1064" s="4"/>
      <c r="G1064" s="4"/>
      <c r="H1064" s="10"/>
      <c r="I1064" s="3"/>
      <c r="J1064" s="38"/>
      <c r="K1064" s="3"/>
      <c r="L1064" s="3"/>
      <c r="M1064" s="5"/>
      <c r="N1064" s="5"/>
      <c r="O1064" s="5"/>
      <c r="P1064" s="5"/>
      <c r="Q1064" s="5"/>
      <c r="R1064" s="30"/>
      <c r="S1064" s="56"/>
      <c r="T1064" s="376"/>
      <c r="U1064" s="14"/>
      <c r="V1064" s="38" t="s">
        <v>369</v>
      </c>
      <c r="W1064" s="3" t="s">
        <v>373</v>
      </c>
      <c r="X1064" s="38" t="s">
        <v>369</v>
      </c>
      <c r="Y1064" s="1443">
        <v>630022033</v>
      </c>
      <c r="Z1064" s="1443"/>
      <c r="AA1064" s="1443"/>
      <c r="AB1064" s="558"/>
      <c r="AC1064" s="3">
        <v>45</v>
      </c>
      <c r="AD1064" s="3"/>
      <c r="AE1064" s="56"/>
      <c r="AF1064" s="5"/>
      <c r="AG1064" s="38"/>
      <c r="AH1064" s="38"/>
      <c r="AI1064" s="353">
        <v>6.99</v>
      </c>
      <c r="AJ1064" s="51"/>
      <c r="AK1064" s="51"/>
      <c r="AL1064" s="51"/>
      <c r="AM1064" s="51">
        <f>AE$1062*AI1064+SUM(AJ1064:AL1064)</f>
        <v>7.8987000000000002E-2</v>
      </c>
      <c r="AN1064" s="3" t="s">
        <v>371</v>
      </c>
      <c r="AO1064" s="3" t="s">
        <v>371</v>
      </c>
      <c r="AP1064" s="3" t="s">
        <v>371</v>
      </c>
      <c r="AQ1064" s="3" t="s">
        <v>371</v>
      </c>
      <c r="AR1064" s="3" t="s">
        <v>371</v>
      </c>
      <c r="AS1064" s="3" t="s">
        <v>371</v>
      </c>
      <c r="AT1064" s="3" t="s">
        <v>371</v>
      </c>
      <c r="AU1064" s="3" t="s">
        <v>371</v>
      </c>
      <c r="AV1064" s="3" t="s">
        <v>371</v>
      </c>
      <c r="AW1064" s="3" t="s">
        <v>371</v>
      </c>
      <c r="AX1064" s="3" t="s">
        <v>92</v>
      </c>
      <c r="AY1064" s="3"/>
      <c r="AZ1064" s="739"/>
      <c r="BA1064" s="521"/>
      <c r="BB1064" s="521"/>
      <c r="BC1064" s="521"/>
      <c r="BD1064" s="521"/>
      <c r="BE1064" s="155"/>
    </row>
    <row r="1065" spans="1:57" ht="15" customHeight="1" x14ac:dyDescent="0.4">
      <c r="A1065" s="3"/>
      <c r="B1065" s="8"/>
      <c r="C1065" s="8"/>
      <c r="D1065" s="155"/>
      <c r="E1065" s="4"/>
      <c r="F1065" s="4"/>
      <c r="G1065" s="4"/>
      <c r="H1065" s="10"/>
      <c r="I1065" s="3"/>
      <c r="J1065" s="38"/>
      <c r="K1065" s="3"/>
      <c r="L1065" s="3"/>
      <c r="M1065" s="5"/>
      <c r="N1065" s="5"/>
      <c r="O1065" s="5"/>
      <c r="P1065" s="5"/>
      <c r="Q1065" s="5"/>
      <c r="R1065" s="30"/>
      <c r="S1065" s="56"/>
      <c r="T1065" s="376"/>
      <c r="U1065" s="14"/>
      <c r="V1065" s="38" t="s">
        <v>369</v>
      </c>
      <c r="W1065" s="3" t="s">
        <v>374</v>
      </c>
      <c r="X1065" s="38" t="s">
        <v>369</v>
      </c>
      <c r="Y1065" s="1443">
        <v>630022090</v>
      </c>
      <c r="Z1065" s="1443"/>
      <c r="AA1065" s="1443"/>
      <c r="AB1065" s="558"/>
      <c r="AC1065" s="3">
        <v>45</v>
      </c>
      <c r="AD1065" s="3"/>
      <c r="AE1065" s="56"/>
      <c r="AF1065" s="5"/>
      <c r="AG1065" s="38"/>
      <c r="AH1065" s="38"/>
      <c r="AI1065" s="353">
        <v>4.83</v>
      </c>
      <c r="AJ1065" s="51"/>
      <c r="AK1065" s="51"/>
      <c r="AL1065" s="51"/>
      <c r="AM1065" s="51">
        <f>AE$1062*AI1065+SUM(AJ1065:AL1065)</f>
        <v>5.4578999999999996E-2</v>
      </c>
      <c r="AN1065" s="3" t="s">
        <v>371</v>
      </c>
      <c r="AO1065" s="3" t="s">
        <v>371</v>
      </c>
      <c r="AP1065" s="3" t="s">
        <v>371</v>
      </c>
      <c r="AQ1065" s="3" t="s">
        <v>371</v>
      </c>
      <c r="AR1065" s="3" t="s">
        <v>371</v>
      </c>
      <c r="AS1065" s="3" t="s">
        <v>371</v>
      </c>
      <c r="AT1065" s="3" t="s">
        <v>371</v>
      </c>
      <c r="AU1065" s="3" t="s">
        <v>371</v>
      </c>
      <c r="AV1065" s="3" t="s">
        <v>371</v>
      </c>
      <c r="AW1065" s="3" t="s">
        <v>371</v>
      </c>
      <c r="AX1065" s="3" t="s">
        <v>92</v>
      </c>
      <c r="AY1065" s="3"/>
      <c r="AZ1065" s="739"/>
      <c r="BA1065" s="521"/>
      <c r="BB1065" s="521"/>
      <c r="BC1065" s="521"/>
      <c r="BD1065" s="521"/>
      <c r="BE1065" s="155"/>
    </row>
    <row r="1066" spans="1:57" ht="15" customHeight="1" x14ac:dyDescent="0.4">
      <c r="A1066" s="3"/>
      <c r="B1066" s="8"/>
      <c r="C1066" s="8"/>
      <c r="D1066" s="155"/>
      <c r="E1066" s="4"/>
      <c r="F1066" s="4"/>
      <c r="G1066" s="4"/>
      <c r="H1066" s="10"/>
      <c r="I1066" s="3"/>
      <c r="J1066" s="38"/>
      <c r="K1066" s="3"/>
      <c r="L1066" s="3"/>
      <c r="M1066" s="5"/>
      <c r="N1066" s="5"/>
      <c r="O1066" s="5"/>
      <c r="P1066" s="5"/>
      <c r="Q1066" s="5"/>
      <c r="R1066" s="30"/>
      <c r="S1066" s="56"/>
      <c r="T1066" s="376"/>
      <c r="U1066" s="14"/>
      <c r="V1066" s="38" t="s">
        <v>369</v>
      </c>
      <c r="W1066" s="3" t="s">
        <v>375</v>
      </c>
      <c r="X1066" s="38" t="s">
        <v>369</v>
      </c>
      <c r="Y1066" s="1443">
        <v>630022133</v>
      </c>
      <c r="Z1066" s="1443"/>
      <c r="AA1066" s="1443"/>
      <c r="AB1066" s="558"/>
      <c r="AC1066" s="3">
        <v>45</v>
      </c>
      <c r="AD1066" s="3"/>
      <c r="AE1066" s="56"/>
      <c r="AF1066" s="5"/>
      <c r="AG1066" s="38"/>
      <c r="AH1066" s="38"/>
      <c r="AI1066" s="353">
        <v>5.2</v>
      </c>
      <c r="AJ1066" s="51"/>
      <c r="AK1066" s="51"/>
      <c r="AL1066" s="51"/>
      <c r="AM1066" s="51">
        <f>AE$1062*AI1066+SUM(AJ1066:AL1066)</f>
        <v>5.876E-2</v>
      </c>
      <c r="AN1066" s="3" t="s">
        <v>371</v>
      </c>
      <c r="AO1066" s="3" t="s">
        <v>371</v>
      </c>
      <c r="AP1066" s="3" t="s">
        <v>371</v>
      </c>
      <c r="AQ1066" s="3" t="s">
        <v>371</v>
      </c>
      <c r="AR1066" s="3" t="s">
        <v>371</v>
      </c>
      <c r="AS1066" s="3" t="s">
        <v>371</v>
      </c>
      <c r="AT1066" s="3" t="s">
        <v>371</v>
      </c>
      <c r="AU1066" s="3" t="s">
        <v>371</v>
      </c>
      <c r="AV1066" s="3" t="s">
        <v>371</v>
      </c>
      <c r="AW1066" s="3" t="s">
        <v>371</v>
      </c>
      <c r="AX1066" s="3" t="s">
        <v>371</v>
      </c>
      <c r="AY1066" s="3"/>
      <c r="AZ1066" s="739"/>
      <c r="BA1066" s="521"/>
      <c r="BB1066" s="521"/>
      <c r="BC1066" s="521"/>
      <c r="BD1066" s="521"/>
      <c r="BE1066" s="155"/>
    </row>
    <row r="1067" spans="1:57" ht="15" customHeight="1" x14ac:dyDescent="0.4">
      <c r="A1067" s="3"/>
      <c r="B1067" s="8"/>
      <c r="C1067" s="694"/>
      <c r="D1067" s="623"/>
      <c r="E1067" s="573"/>
      <c r="F1067" s="573"/>
      <c r="G1067" s="573"/>
      <c r="H1067" s="743"/>
      <c r="I1067" s="577"/>
      <c r="J1067" s="579"/>
      <c r="K1067" s="577"/>
      <c r="L1067" s="577"/>
      <c r="M1067" s="575"/>
      <c r="N1067" s="575"/>
      <c r="O1067" s="575"/>
      <c r="P1067" s="575"/>
      <c r="Q1067" s="575"/>
      <c r="R1067" s="737"/>
      <c r="S1067" s="576"/>
      <c r="T1067" s="578"/>
      <c r="U1067" s="574"/>
      <c r="V1067" s="1874" t="s">
        <v>369</v>
      </c>
      <c r="W1067" s="1873" t="s">
        <v>1849</v>
      </c>
      <c r="X1067" s="1874" t="s">
        <v>369</v>
      </c>
      <c r="Y1067" s="1875">
        <v>630022148</v>
      </c>
      <c r="Z1067" s="1446"/>
      <c r="AA1067" s="1446"/>
      <c r="AB1067" s="738"/>
      <c r="AC1067" s="577">
        <v>45</v>
      </c>
      <c r="AD1067" s="577"/>
      <c r="AE1067" s="576"/>
      <c r="AF1067" s="575"/>
      <c r="AG1067" s="579"/>
      <c r="AH1067" s="579"/>
      <c r="AI1067" s="1425">
        <v>5.45</v>
      </c>
      <c r="AJ1067" s="626"/>
      <c r="AK1067" s="626"/>
      <c r="AL1067" s="626"/>
      <c r="AM1067" s="626">
        <f>AE$1062*AI1067+SUM(AJ1067:AL1067)</f>
        <v>6.1585000000000001E-2</v>
      </c>
      <c r="AN1067" s="577" t="s">
        <v>371</v>
      </c>
      <c r="AO1067" s="577" t="s">
        <v>371</v>
      </c>
      <c r="AP1067" s="577" t="s">
        <v>371</v>
      </c>
      <c r="AQ1067" s="577" t="s">
        <v>371</v>
      </c>
      <c r="AR1067" s="577" t="s">
        <v>371</v>
      </c>
      <c r="AS1067" s="577" t="s">
        <v>371</v>
      </c>
      <c r="AT1067" s="577" t="s">
        <v>371</v>
      </c>
      <c r="AU1067" s="577" t="s">
        <v>371</v>
      </c>
      <c r="AV1067" s="577" t="s">
        <v>371</v>
      </c>
      <c r="AW1067" s="577" t="s">
        <v>371</v>
      </c>
      <c r="AX1067" s="577" t="s">
        <v>92</v>
      </c>
      <c r="AY1067" s="577"/>
      <c r="AZ1067" s="739"/>
      <c r="BA1067" s="521"/>
      <c r="BB1067" s="521"/>
      <c r="BC1067" s="521"/>
      <c r="BD1067" s="521"/>
      <c r="BE1067" s="155"/>
    </row>
    <row r="1068" spans="1:57" ht="15" customHeight="1" x14ac:dyDescent="0.4">
      <c r="A1068" s="3"/>
      <c r="B1068" s="4"/>
      <c r="C1068" s="2006" t="s">
        <v>2275</v>
      </c>
      <c r="D1068" s="2006"/>
      <c r="E1068" s="2006"/>
      <c r="F1068" s="2006"/>
      <c r="G1068" s="2006"/>
      <c r="H1068" s="10"/>
      <c r="I1068" s="4" t="s">
        <v>392</v>
      </c>
      <c r="J1068" s="3"/>
      <c r="K1068" s="3"/>
      <c r="L1068" s="3" t="s">
        <v>348</v>
      </c>
      <c r="M1068" s="3">
        <v>-1.25</v>
      </c>
      <c r="N1068" s="3"/>
      <c r="O1068" s="3"/>
      <c r="P1068" s="3"/>
      <c r="Q1068" s="3"/>
      <c r="R1068" s="3" t="s">
        <v>352</v>
      </c>
      <c r="S1068" s="5">
        <f>(SHWidth+M1068)</f>
        <v>37.3125</v>
      </c>
      <c r="T1068" s="3" t="s">
        <v>366</v>
      </c>
      <c r="U1068" s="14"/>
      <c r="V1068" s="38"/>
      <c r="W1068" s="38" t="s">
        <v>2401</v>
      </c>
      <c r="X1068" s="38"/>
      <c r="Y1068" s="1443">
        <v>300060007</v>
      </c>
      <c r="Z1068" s="1443"/>
      <c r="AA1068" s="1443"/>
      <c r="AB1068" s="558"/>
      <c r="AC1068" s="3">
        <v>45</v>
      </c>
      <c r="AD1068" s="3"/>
      <c r="AE1068" s="5">
        <f>(S1068/12)*2+(S1068/12)*2</f>
        <v>12.4375</v>
      </c>
      <c r="AF1068" s="3" t="s">
        <v>367</v>
      </c>
      <c r="AG1068" s="216"/>
      <c r="AH1068" s="3"/>
      <c r="AI1068" s="353">
        <v>0.25</v>
      </c>
      <c r="AJ1068" s="3"/>
      <c r="AK1068" s="3"/>
      <c r="AL1068" s="3"/>
      <c r="AM1068" s="51">
        <f>AE1068*AI1068+SUM(AJ1068:AL1068)</f>
        <v>3.109375</v>
      </c>
      <c r="AN1068" s="5" t="s">
        <v>371</v>
      </c>
      <c r="AO1068" s="5" t="s">
        <v>371</v>
      </c>
      <c r="AP1068" s="3" t="s">
        <v>371</v>
      </c>
      <c r="AQ1068" s="5" t="s">
        <v>81</v>
      </c>
      <c r="AR1068" s="5" t="s">
        <v>92</v>
      </c>
      <c r="AS1068" s="3" t="s">
        <v>92</v>
      </c>
      <c r="AT1068" s="5" t="s">
        <v>371</v>
      </c>
      <c r="AU1068" s="5" t="s">
        <v>371</v>
      </c>
      <c r="AV1068" s="5" t="s">
        <v>371</v>
      </c>
      <c r="AW1068" s="3" t="s">
        <v>92</v>
      </c>
      <c r="AX1068" s="5" t="s">
        <v>371</v>
      </c>
      <c r="AY1068" s="5"/>
      <c r="AZ1068" s="740"/>
      <c r="BA1068" s="518"/>
      <c r="BB1068" s="741"/>
      <c r="BC1068" s="741"/>
      <c r="BD1068" s="741"/>
      <c r="BE1068" s="742"/>
    </row>
    <row r="1069" spans="1:57" ht="15" customHeight="1" x14ac:dyDescent="0.4">
      <c r="A1069" s="3"/>
      <c r="B1069" s="4"/>
      <c r="C1069" s="2009"/>
      <c r="D1069" s="2009"/>
      <c r="E1069" s="2009"/>
      <c r="F1069" s="2009"/>
      <c r="G1069" s="2009"/>
      <c r="H1069" s="10"/>
      <c r="I1069" s="4" t="s">
        <v>365</v>
      </c>
      <c r="J1069" s="3"/>
      <c r="K1069" s="3"/>
      <c r="L1069" s="3" t="s">
        <v>348</v>
      </c>
      <c r="M1069" s="3">
        <v>0</v>
      </c>
      <c r="N1069" s="3"/>
      <c r="O1069" s="3"/>
      <c r="P1069" s="3"/>
      <c r="Q1069" s="3"/>
      <c r="R1069" s="3" t="s">
        <v>352</v>
      </c>
      <c r="S1069" s="5">
        <f>SHHeight+M1069</f>
        <v>74</v>
      </c>
      <c r="T1069" s="3" t="s">
        <v>366</v>
      </c>
      <c r="U1069" s="14"/>
      <c r="V1069" s="38"/>
      <c r="W1069" s="38"/>
      <c r="X1069" s="38"/>
      <c r="Y1069" s="1443"/>
      <c r="Z1069" s="1443"/>
      <c r="AA1069" s="1443"/>
      <c r="AB1069" s="558"/>
      <c r="AC1069" s="3"/>
      <c r="AD1069" s="3"/>
      <c r="AE1069" s="5"/>
      <c r="AF1069" s="3"/>
      <c r="AG1069" s="216"/>
      <c r="AH1069" s="3"/>
      <c r="AI1069" s="353"/>
      <c r="AJ1069" s="3"/>
      <c r="AK1069" s="3"/>
      <c r="AL1069" s="3"/>
      <c r="AM1069" s="51"/>
      <c r="AN1069" s="5"/>
      <c r="AO1069" s="5"/>
      <c r="AP1069" s="3"/>
      <c r="AQ1069" s="5"/>
      <c r="AR1069" s="5"/>
      <c r="AS1069" s="3"/>
      <c r="AT1069" s="5"/>
      <c r="AU1069" s="5"/>
      <c r="AV1069" s="5"/>
      <c r="AW1069" s="3"/>
      <c r="AX1069" s="5"/>
      <c r="AY1069" s="5"/>
      <c r="AZ1069" s="740"/>
      <c r="BA1069" s="518"/>
      <c r="BB1069" s="741"/>
      <c r="BC1069" s="741"/>
      <c r="BD1069" s="741"/>
      <c r="BE1069" s="742"/>
    </row>
    <row r="1070" spans="1:57" ht="15" customHeight="1" x14ac:dyDescent="0.4">
      <c r="A1070" s="3"/>
      <c r="B1070" s="4"/>
      <c r="C1070" s="2009"/>
      <c r="D1070" s="2009"/>
      <c r="E1070" s="2009"/>
      <c r="F1070" s="2009"/>
      <c r="G1070" s="2009"/>
      <c r="H1070" s="10"/>
      <c r="I1070" s="4"/>
      <c r="J1070" s="3"/>
      <c r="K1070" s="3"/>
      <c r="L1070" s="3"/>
      <c r="M1070" s="3"/>
      <c r="N1070" s="3"/>
      <c r="O1070" s="3"/>
      <c r="P1070" s="3"/>
      <c r="Q1070" s="3"/>
      <c r="R1070" s="3"/>
      <c r="S1070" s="5"/>
      <c r="T1070" s="3"/>
      <c r="U1070" s="14"/>
      <c r="V1070" s="38"/>
      <c r="W1070" s="38" t="s">
        <v>1878</v>
      </c>
      <c r="X1070" s="38"/>
      <c r="Y1070" s="1445">
        <v>300060007001</v>
      </c>
      <c r="Z1070" s="1445"/>
      <c r="AA1070" s="1445"/>
      <c r="AB1070" s="558"/>
      <c r="AC1070" s="3"/>
      <c r="AD1070" s="3"/>
      <c r="AE1070" s="5"/>
      <c r="AF1070" s="3"/>
      <c r="AG1070" s="216"/>
      <c r="AH1070" s="3"/>
      <c r="AI1070" s="353">
        <v>1.24</v>
      </c>
      <c r="AJ1070" s="3"/>
      <c r="AK1070" s="3"/>
      <c r="AL1070" s="3"/>
      <c r="AM1070" s="51"/>
      <c r="AN1070" s="5" t="s">
        <v>371</v>
      </c>
      <c r="AO1070" s="5" t="s">
        <v>371</v>
      </c>
      <c r="AP1070" s="3" t="s">
        <v>371</v>
      </c>
      <c r="AQ1070" s="3" t="s">
        <v>371</v>
      </c>
      <c r="AR1070" s="5" t="s">
        <v>92</v>
      </c>
      <c r="AS1070" s="3" t="s">
        <v>92</v>
      </c>
      <c r="AT1070" s="5" t="s">
        <v>371</v>
      </c>
      <c r="AU1070" s="5" t="s">
        <v>371</v>
      </c>
      <c r="AV1070" s="5" t="s">
        <v>371</v>
      </c>
      <c r="AW1070" s="3" t="s">
        <v>92</v>
      </c>
      <c r="AX1070" s="5" t="s">
        <v>371</v>
      </c>
      <c r="AY1070" s="5"/>
      <c r="AZ1070" s="740"/>
      <c r="BA1070" s="518"/>
      <c r="BB1070" s="741"/>
      <c r="BC1070" s="741"/>
      <c r="BD1070" s="741"/>
      <c r="BE1070" s="742"/>
    </row>
    <row r="1071" spans="1:57" ht="15" customHeight="1" x14ac:dyDescent="0.4">
      <c r="A1071" s="3"/>
      <c r="B1071" s="4"/>
      <c r="C1071" s="1949"/>
      <c r="D1071" s="1593"/>
      <c r="E1071" s="1593"/>
      <c r="F1071" s="1593"/>
      <c r="G1071" s="1593"/>
      <c r="H1071" s="10"/>
      <c r="I1071" s="4"/>
      <c r="J1071" s="3"/>
      <c r="K1071" s="3"/>
      <c r="L1071" s="3"/>
      <c r="M1071" s="3"/>
      <c r="N1071" s="3"/>
      <c r="O1071" s="3"/>
      <c r="P1071" s="3"/>
      <c r="Q1071" s="3"/>
      <c r="R1071" s="3"/>
      <c r="S1071" s="5"/>
      <c r="T1071" s="3"/>
      <c r="U1071" s="14"/>
      <c r="V1071" s="38"/>
      <c r="W1071" s="38" t="s">
        <v>1879</v>
      </c>
      <c r="X1071" s="38"/>
      <c r="Y1071" s="1445">
        <v>300060007002</v>
      </c>
      <c r="Z1071" s="1445"/>
      <c r="AA1071" s="1445"/>
      <c r="AB1071" s="558"/>
      <c r="AC1071" s="3"/>
      <c r="AD1071" s="3"/>
      <c r="AE1071" s="5"/>
      <c r="AF1071" s="3"/>
      <c r="AG1071" s="216"/>
      <c r="AH1071" s="3"/>
      <c r="AI1071" s="353">
        <v>1.25</v>
      </c>
      <c r="AJ1071" s="3"/>
      <c r="AK1071" s="3"/>
      <c r="AL1071" s="3"/>
      <c r="AM1071" s="51"/>
      <c r="AN1071" s="5" t="s">
        <v>371</v>
      </c>
      <c r="AO1071" s="5" t="s">
        <v>371</v>
      </c>
      <c r="AP1071" s="3" t="s">
        <v>371</v>
      </c>
      <c r="AQ1071" s="3" t="s">
        <v>371</v>
      </c>
      <c r="AR1071" s="5" t="s">
        <v>92</v>
      </c>
      <c r="AS1071" s="3" t="s">
        <v>92</v>
      </c>
      <c r="AT1071" s="5" t="s">
        <v>371</v>
      </c>
      <c r="AU1071" s="5" t="s">
        <v>371</v>
      </c>
      <c r="AV1071" s="5" t="s">
        <v>371</v>
      </c>
      <c r="AW1071" s="3" t="s">
        <v>92</v>
      </c>
      <c r="AX1071" s="5" t="s">
        <v>371</v>
      </c>
      <c r="AY1071" s="5"/>
      <c r="AZ1071" s="740"/>
      <c r="BA1071" s="518"/>
      <c r="BB1071" s="741"/>
      <c r="BC1071" s="741"/>
      <c r="BD1071" s="741"/>
      <c r="BE1071" s="742"/>
    </row>
    <row r="1072" spans="1:57" ht="15" customHeight="1" x14ac:dyDescent="0.4">
      <c r="A1072" s="3"/>
      <c r="B1072" s="4"/>
      <c r="C1072" s="1593"/>
      <c r="D1072" s="1593"/>
      <c r="E1072" s="1593"/>
      <c r="F1072" s="1593"/>
      <c r="G1072" s="1593"/>
      <c r="H1072" s="10"/>
      <c r="I1072" s="4"/>
      <c r="J1072" s="3"/>
      <c r="K1072" s="3"/>
      <c r="L1072" s="3"/>
      <c r="M1072" s="3"/>
      <c r="N1072" s="3"/>
      <c r="O1072" s="3"/>
      <c r="P1072" s="3"/>
      <c r="Q1072" s="3"/>
      <c r="R1072" s="3"/>
      <c r="S1072" s="5"/>
      <c r="T1072" s="3"/>
      <c r="U1072" s="14"/>
      <c r="V1072" s="38"/>
      <c r="W1072" s="38" t="s">
        <v>1880</v>
      </c>
      <c r="X1072" s="38"/>
      <c r="Y1072" s="1445">
        <v>300060007003</v>
      </c>
      <c r="Z1072" s="1445"/>
      <c r="AA1072" s="1445"/>
      <c r="AB1072" s="558"/>
      <c r="AC1072" s="3"/>
      <c r="AD1072" s="3"/>
      <c r="AE1072" s="5"/>
      <c r="AF1072" s="3"/>
      <c r="AG1072" s="216"/>
      <c r="AH1072" s="3"/>
      <c r="AI1072" s="353">
        <v>1.31</v>
      </c>
      <c r="AJ1072" s="3"/>
      <c r="AK1072" s="3"/>
      <c r="AL1072" s="3"/>
      <c r="AM1072" s="51"/>
      <c r="AN1072" s="5" t="s">
        <v>371</v>
      </c>
      <c r="AO1072" s="5" t="s">
        <v>371</v>
      </c>
      <c r="AP1072" s="3" t="s">
        <v>371</v>
      </c>
      <c r="AQ1072" s="3" t="s">
        <v>371</v>
      </c>
      <c r="AR1072" s="5" t="s">
        <v>92</v>
      </c>
      <c r="AS1072" s="3" t="s">
        <v>92</v>
      </c>
      <c r="AT1072" s="5" t="s">
        <v>371</v>
      </c>
      <c r="AU1072" s="5" t="s">
        <v>371</v>
      </c>
      <c r="AV1072" s="5" t="s">
        <v>371</v>
      </c>
      <c r="AW1072" s="3" t="s">
        <v>92</v>
      </c>
      <c r="AX1072" s="5" t="s">
        <v>371</v>
      </c>
      <c r="AY1072" s="5"/>
      <c r="AZ1072" s="740"/>
      <c r="BA1072" s="518"/>
      <c r="BB1072" s="741"/>
      <c r="BC1072" s="741"/>
      <c r="BD1072" s="741"/>
      <c r="BE1072" s="742"/>
    </row>
    <row r="1073" spans="1:57" ht="15" customHeight="1" x14ac:dyDescent="0.4">
      <c r="A1073" s="3"/>
      <c r="B1073" s="4"/>
      <c r="C1073" s="1593"/>
      <c r="D1073" s="1593"/>
      <c r="E1073" s="1593"/>
      <c r="F1073" s="1593"/>
      <c r="G1073" s="1593"/>
      <c r="H1073" s="10"/>
      <c r="I1073" s="4"/>
      <c r="J1073" s="3"/>
      <c r="K1073" s="3"/>
      <c r="L1073" s="3"/>
      <c r="M1073" s="3"/>
      <c r="N1073" s="3"/>
      <c r="O1073" s="3"/>
      <c r="P1073" s="3"/>
      <c r="Q1073" s="3"/>
      <c r="R1073" s="3"/>
      <c r="S1073" s="5"/>
      <c r="T1073" s="3"/>
      <c r="U1073" s="14"/>
      <c r="V1073" s="38"/>
      <c r="W1073" s="38" t="s">
        <v>1881</v>
      </c>
      <c r="X1073" s="38"/>
      <c r="Y1073" s="1445">
        <v>300060007004</v>
      </c>
      <c r="Z1073" s="1445"/>
      <c r="AA1073" s="1445"/>
      <c r="AB1073" s="558"/>
      <c r="AC1073" s="3"/>
      <c r="AD1073" s="3"/>
      <c r="AE1073" s="5"/>
      <c r="AF1073" s="3"/>
      <c r="AG1073" s="216"/>
      <c r="AH1073" s="3"/>
      <c r="AI1073" s="353">
        <v>1.4</v>
      </c>
      <c r="AJ1073" s="3"/>
      <c r="AK1073" s="3"/>
      <c r="AL1073" s="3"/>
      <c r="AM1073" s="51"/>
      <c r="AN1073" s="5" t="s">
        <v>371</v>
      </c>
      <c r="AO1073" s="5" t="s">
        <v>371</v>
      </c>
      <c r="AP1073" s="3" t="s">
        <v>371</v>
      </c>
      <c r="AQ1073" s="3" t="s">
        <v>371</v>
      </c>
      <c r="AR1073" s="5" t="s">
        <v>92</v>
      </c>
      <c r="AS1073" s="3" t="s">
        <v>92</v>
      </c>
      <c r="AT1073" s="5" t="s">
        <v>371</v>
      </c>
      <c r="AU1073" s="5" t="s">
        <v>371</v>
      </c>
      <c r="AV1073" s="5" t="s">
        <v>371</v>
      </c>
      <c r="AW1073" s="3" t="s">
        <v>92</v>
      </c>
      <c r="AX1073" s="5" t="s">
        <v>371</v>
      </c>
      <c r="AY1073" s="5"/>
      <c r="AZ1073" s="740"/>
      <c r="BA1073" s="518"/>
      <c r="BB1073" s="741"/>
      <c r="BC1073" s="741"/>
      <c r="BD1073" s="741"/>
      <c r="BE1073" s="742"/>
    </row>
    <row r="1074" spans="1:57" ht="15" customHeight="1" x14ac:dyDescent="0.4">
      <c r="A1074" s="3"/>
      <c r="B1074" s="4"/>
      <c r="C1074" s="1593"/>
      <c r="D1074" s="1593"/>
      <c r="E1074" s="1593"/>
      <c r="F1074" s="1593"/>
      <c r="G1074" s="1593"/>
      <c r="H1074" s="10"/>
      <c r="I1074" s="4"/>
      <c r="J1074" s="3"/>
      <c r="K1074" s="3"/>
      <c r="L1074" s="3"/>
      <c r="M1074" s="3"/>
      <c r="N1074" s="3"/>
      <c r="O1074" s="3"/>
      <c r="P1074" s="3"/>
      <c r="Q1074" s="3"/>
      <c r="R1074" s="3"/>
      <c r="S1074" s="5"/>
      <c r="T1074" s="3"/>
      <c r="U1074" s="14"/>
      <c r="V1074" s="38"/>
      <c r="W1074" s="38" t="s">
        <v>1882</v>
      </c>
      <c r="X1074" s="38"/>
      <c r="Y1074" s="1445">
        <v>300060007005</v>
      </c>
      <c r="Z1074" s="1445"/>
      <c r="AA1074" s="1445"/>
      <c r="AB1074" s="558"/>
      <c r="AC1074" s="3"/>
      <c r="AD1074" s="3"/>
      <c r="AE1074" s="5"/>
      <c r="AF1074" s="3"/>
      <c r="AG1074" s="216"/>
      <c r="AH1074" s="3"/>
      <c r="AI1074" s="353">
        <v>1.44</v>
      </c>
      <c r="AJ1074" s="3"/>
      <c r="AK1074" s="3"/>
      <c r="AL1074" s="3"/>
      <c r="AM1074" s="51"/>
      <c r="AN1074" s="5" t="s">
        <v>371</v>
      </c>
      <c r="AO1074" s="5" t="s">
        <v>371</v>
      </c>
      <c r="AP1074" s="3" t="s">
        <v>371</v>
      </c>
      <c r="AQ1074" s="3" t="s">
        <v>371</v>
      </c>
      <c r="AR1074" s="5" t="s">
        <v>92</v>
      </c>
      <c r="AS1074" s="3" t="s">
        <v>92</v>
      </c>
      <c r="AT1074" s="5" t="s">
        <v>371</v>
      </c>
      <c r="AU1074" s="5" t="s">
        <v>371</v>
      </c>
      <c r="AV1074" s="5" t="s">
        <v>371</v>
      </c>
      <c r="AW1074" s="3" t="s">
        <v>92</v>
      </c>
      <c r="AX1074" s="5" t="s">
        <v>371</v>
      </c>
      <c r="AY1074" s="5"/>
      <c r="AZ1074" s="740"/>
      <c r="BA1074" s="518"/>
      <c r="BB1074" s="741"/>
      <c r="BC1074" s="741"/>
      <c r="BD1074" s="741"/>
      <c r="BE1074" s="742"/>
    </row>
    <row r="1075" spans="1:57" ht="15" customHeight="1" x14ac:dyDescent="0.4">
      <c r="A1075" s="3"/>
      <c r="B1075" s="4"/>
      <c r="C1075" s="1593"/>
      <c r="D1075" s="1593"/>
      <c r="E1075" s="1593"/>
      <c r="F1075" s="1593"/>
      <c r="G1075" s="1593"/>
      <c r="H1075" s="10"/>
      <c r="I1075" s="4"/>
      <c r="J1075" s="3"/>
      <c r="K1075" s="3"/>
      <c r="L1075" s="3"/>
      <c r="M1075" s="3"/>
      <c r="N1075" s="3"/>
      <c r="O1075" s="3"/>
      <c r="P1075" s="3"/>
      <c r="Q1075" s="3"/>
      <c r="R1075" s="3"/>
      <c r="S1075" s="5"/>
      <c r="T1075" s="3"/>
      <c r="U1075" s="14"/>
      <c r="V1075" s="38"/>
      <c r="W1075" s="38" t="s">
        <v>1883</v>
      </c>
      <c r="X1075" s="38"/>
      <c r="Y1075" s="1445">
        <v>300060007006</v>
      </c>
      <c r="Z1075" s="1445"/>
      <c r="AA1075" s="1445"/>
      <c r="AB1075" s="558"/>
      <c r="AC1075" s="3"/>
      <c r="AD1075" s="3"/>
      <c r="AE1075" s="5"/>
      <c r="AF1075" s="3"/>
      <c r="AG1075" s="216"/>
      <c r="AH1075" s="3"/>
      <c r="AI1075" s="353">
        <v>1.48</v>
      </c>
      <c r="AJ1075" s="3"/>
      <c r="AK1075" s="3"/>
      <c r="AL1075" s="3"/>
      <c r="AM1075" s="51"/>
      <c r="AN1075" s="5" t="s">
        <v>371</v>
      </c>
      <c r="AO1075" s="5" t="s">
        <v>371</v>
      </c>
      <c r="AP1075" s="3" t="s">
        <v>371</v>
      </c>
      <c r="AQ1075" s="3" t="s">
        <v>371</v>
      </c>
      <c r="AR1075" s="5" t="s">
        <v>92</v>
      </c>
      <c r="AS1075" s="3" t="s">
        <v>92</v>
      </c>
      <c r="AT1075" s="5" t="s">
        <v>371</v>
      </c>
      <c r="AU1075" s="5" t="s">
        <v>371</v>
      </c>
      <c r="AV1075" s="5" t="s">
        <v>371</v>
      </c>
      <c r="AW1075" s="3" t="s">
        <v>92</v>
      </c>
      <c r="AX1075" s="5" t="s">
        <v>371</v>
      </c>
      <c r="AY1075" s="5"/>
      <c r="AZ1075" s="740"/>
      <c r="BA1075" s="518"/>
      <c r="BB1075" s="741"/>
      <c r="BC1075" s="741"/>
      <c r="BD1075" s="741"/>
      <c r="BE1075" s="742"/>
    </row>
    <row r="1076" spans="1:57" ht="15" customHeight="1" x14ac:dyDescent="0.4">
      <c r="A1076" s="3"/>
      <c r="B1076" s="4"/>
      <c r="C1076" s="1593"/>
      <c r="D1076" s="1593"/>
      <c r="E1076" s="1593"/>
      <c r="F1076" s="1593"/>
      <c r="G1076" s="1593"/>
      <c r="H1076" s="10"/>
      <c r="I1076" s="4"/>
      <c r="J1076" s="3"/>
      <c r="K1076" s="3"/>
      <c r="L1076" s="3"/>
      <c r="M1076" s="3"/>
      <c r="N1076" s="3"/>
      <c r="O1076" s="3"/>
      <c r="P1076" s="3"/>
      <c r="Q1076" s="3"/>
      <c r="R1076" s="3"/>
      <c r="S1076" s="5"/>
      <c r="T1076" s="3"/>
      <c r="U1076" s="14"/>
      <c r="V1076" s="38"/>
      <c r="W1076" s="38" t="s">
        <v>1884</v>
      </c>
      <c r="X1076" s="38"/>
      <c r="Y1076" s="1445">
        <v>300060007007</v>
      </c>
      <c r="Z1076" s="1445"/>
      <c r="AA1076" s="1445"/>
      <c r="AB1076" s="558"/>
      <c r="AC1076" s="3"/>
      <c r="AD1076" s="3"/>
      <c r="AE1076" s="5"/>
      <c r="AF1076" s="3"/>
      <c r="AG1076" s="216"/>
      <c r="AH1076" s="3"/>
      <c r="AI1076" s="353">
        <v>0.74</v>
      </c>
      <c r="AJ1076" s="3"/>
      <c r="AK1076" s="3"/>
      <c r="AL1076" s="3"/>
      <c r="AM1076" s="51"/>
      <c r="AN1076" s="5" t="s">
        <v>371</v>
      </c>
      <c r="AO1076" s="5" t="s">
        <v>371</v>
      </c>
      <c r="AP1076" s="3" t="s">
        <v>371</v>
      </c>
      <c r="AQ1076" s="3" t="s">
        <v>371</v>
      </c>
      <c r="AR1076" s="5" t="s">
        <v>92</v>
      </c>
      <c r="AS1076" s="3" t="s">
        <v>92</v>
      </c>
      <c r="AT1076" s="5" t="s">
        <v>371</v>
      </c>
      <c r="AU1076" s="5" t="s">
        <v>371</v>
      </c>
      <c r="AV1076" s="5" t="s">
        <v>371</v>
      </c>
      <c r="AW1076" s="3" t="s">
        <v>92</v>
      </c>
      <c r="AX1076" s="5" t="s">
        <v>371</v>
      </c>
      <c r="AY1076" s="5"/>
      <c r="AZ1076" s="740"/>
      <c r="BA1076" s="518"/>
      <c r="BB1076" s="741"/>
      <c r="BC1076" s="741"/>
      <c r="BD1076" s="741"/>
      <c r="BE1076" s="742"/>
    </row>
    <row r="1077" spans="1:57" ht="15" customHeight="1" x14ac:dyDescent="0.4">
      <c r="A1077" s="3"/>
      <c r="B1077" s="4"/>
      <c r="C1077" s="1593"/>
      <c r="D1077" s="1593"/>
      <c r="E1077" s="1593"/>
      <c r="G1077" s="1593"/>
      <c r="H1077" s="10"/>
      <c r="I1077" s="4"/>
      <c r="J1077" s="3"/>
      <c r="K1077" s="3"/>
      <c r="L1077" s="3"/>
      <c r="M1077" s="3"/>
      <c r="N1077" s="3"/>
      <c r="O1077" s="3"/>
      <c r="P1077" s="3"/>
      <c r="Q1077" s="3"/>
      <c r="R1077" s="3"/>
      <c r="S1077" s="5"/>
      <c r="T1077" s="3"/>
      <c r="U1077" s="14"/>
      <c r="V1077" s="38"/>
      <c r="W1077" s="38" t="s">
        <v>1885</v>
      </c>
      <c r="X1077" s="38"/>
      <c r="Y1077" s="1445">
        <v>300060007008</v>
      </c>
      <c r="Z1077" s="1445"/>
      <c r="AA1077" s="1445"/>
      <c r="AB1077" s="558"/>
      <c r="AC1077" s="3"/>
      <c r="AD1077" s="3"/>
      <c r="AE1077" s="5"/>
      <c r="AF1077" s="3"/>
      <c r="AG1077" s="216"/>
      <c r="AH1077" s="3"/>
      <c r="AI1077" s="353">
        <v>1.28</v>
      </c>
      <c r="AJ1077" s="3"/>
      <c r="AK1077" s="3"/>
      <c r="AL1077" s="3"/>
      <c r="AM1077" s="51"/>
      <c r="AN1077" s="5" t="s">
        <v>371</v>
      </c>
      <c r="AO1077" s="5" t="s">
        <v>371</v>
      </c>
      <c r="AP1077" s="3" t="s">
        <v>371</v>
      </c>
      <c r="AQ1077" s="3" t="s">
        <v>371</v>
      </c>
      <c r="AR1077" s="5" t="s">
        <v>92</v>
      </c>
      <c r="AS1077" s="3" t="s">
        <v>92</v>
      </c>
      <c r="AT1077" s="5" t="s">
        <v>371</v>
      </c>
      <c r="AU1077" s="5" t="s">
        <v>371</v>
      </c>
      <c r="AV1077" s="5" t="s">
        <v>371</v>
      </c>
      <c r="AW1077" s="3" t="s">
        <v>92</v>
      </c>
      <c r="AX1077" s="5" t="s">
        <v>371</v>
      </c>
      <c r="AY1077" s="5"/>
      <c r="AZ1077" s="740"/>
      <c r="BA1077" s="518"/>
      <c r="BB1077" s="741"/>
      <c r="BC1077" s="741"/>
      <c r="BD1077" s="741"/>
      <c r="BE1077" s="742"/>
    </row>
    <row r="1078" spans="1:57" ht="15" customHeight="1" x14ac:dyDescent="0.4">
      <c r="A1078" s="3"/>
      <c r="B1078" s="4"/>
      <c r="C1078" s="1594"/>
      <c r="D1078" s="1594"/>
      <c r="E1078" s="1594"/>
      <c r="F1078" s="1594"/>
      <c r="G1078" s="1594"/>
      <c r="H1078" s="743"/>
      <c r="I1078" s="573"/>
      <c r="J1078" s="577"/>
      <c r="K1078" s="577"/>
      <c r="L1078" s="577"/>
      <c r="M1078" s="577"/>
      <c r="N1078" s="577"/>
      <c r="O1078" s="577"/>
      <c r="P1078" s="577"/>
      <c r="Q1078" s="577"/>
      <c r="R1078" s="577"/>
      <c r="S1078" s="575"/>
      <c r="T1078" s="577"/>
      <c r="U1078" s="574"/>
      <c r="V1078" s="579"/>
      <c r="W1078" s="579" t="s">
        <v>1886</v>
      </c>
      <c r="X1078" s="579"/>
      <c r="Y1078" s="1460">
        <v>300060007009</v>
      </c>
      <c r="Z1078" s="1460"/>
      <c r="AA1078" s="1460"/>
      <c r="AB1078" s="738"/>
      <c r="AC1078" s="577"/>
      <c r="AD1078" s="577"/>
      <c r="AE1078" s="575"/>
      <c r="AF1078" s="577"/>
      <c r="AG1078" s="744"/>
      <c r="AH1078" s="577"/>
      <c r="AI1078" s="1425">
        <v>0.63</v>
      </c>
      <c r="AJ1078" s="577"/>
      <c r="AK1078" s="577"/>
      <c r="AL1078" s="577"/>
      <c r="AM1078" s="626"/>
      <c r="AN1078" s="575" t="s">
        <v>371</v>
      </c>
      <c r="AO1078" s="575" t="s">
        <v>371</v>
      </c>
      <c r="AP1078" s="577" t="s">
        <v>371</v>
      </c>
      <c r="AQ1078" s="577" t="s">
        <v>371</v>
      </c>
      <c r="AR1078" s="575" t="s">
        <v>92</v>
      </c>
      <c r="AS1078" s="577" t="s">
        <v>92</v>
      </c>
      <c r="AT1078" s="575" t="s">
        <v>371</v>
      </c>
      <c r="AU1078" s="575" t="s">
        <v>371</v>
      </c>
      <c r="AV1078" s="575" t="s">
        <v>371</v>
      </c>
      <c r="AW1078" s="577" t="s">
        <v>92</v>
      </c>
      <c r="AX1078" s="575" t="s">
        <v>371</v>
      </c>
      <c r="AY1078" s="575"/>
      <c r="AZ1078" s="740"/>
      <c r="BA1078" s="518"/>
      <c r="BB1078" s="741"/>
      <c r="BC1078" s="741"/>
      <c r="BD1078" s="741"/>
      <c r="BE1078" s="742"/>
    </row>
    <row r="1079" spans="1:57" ht="15" customHeight="1" x14ac:dyDescent="0.4">
      <c r="A1079" s="3"/>
      <c r="B1079" s="4"/>
      <c r="C1079" s="2006" t="s">
        <v>2286</v>
      </c>
      <c r="D1079" s="2006"/>
      <c r="E1079" s="2006"/>
      <c r="F1079" s="2006"/>
      <c r="G1079" s="2006"/>
      <c r="H1079" s="1388"/>
      <c r="I1079" s="582" t="s">
        <v>392</v>
      </c>
      <c r="J1079" s="130"/>
      <c r="K1079" s="130"/>
      <c r="L1079" s="130" t="s">
        <v>348</v>
      </c>
      <c r="M1079" s="130">
        <v>-1.25</v>
      </c>
      <c r="N1079" s="130"/>
      <c r="O1079" s="130"/>
      <c r="P1079" s="130"/>
      <c r="Q1079" s="130"/>
      <c r="R1079" s="130" t="s">
        <v>352</v>
      </c>
      <c r="S1079" s="584">
        <f>(SHWidth+M1079)</f>
        <v>37.3125</v>
      </c>
      <c r="T1079" s="130" t="s">
        <v>366</v>
      </c>
      <c r="U1079" s="583"/>
      <c r="V1079" s="587" t="s">
        <v>8</v>
      </c>
      <c r="W1079" s="587" t="s">
        <v>8</v>
      </c>
      <c r="X1079" s="587" t="s">
        <v>8</v>
      </c>
      <c r="Y1079" s="1452">
        <v>300061007</v>
      </c>
      <c r="Z1079" s="1452"/>
      <c r="AA1079" s="1452"/>
      <c r="AB1079" s="1389"/>
      <c r="AC1079" s="130">
        <v>45</v>
      </c>
      <c r="AD1079" s="130">
        <v>2</v>
      </c>
      <c r="AE1079" s="584">
        <f>S1079/12*AD1079+S1080/12*AD1080</f>
        <v>18.552083333333336</v>
      </c>
      <c r="AF1079" s="130" t="s">
        <v>367</v>
      </c>
      <c r="AG1079" s="1390"/>
      <c r="AH1079" s="130"/>
      <c r="AI1079" s="1442"/>
      <c r="AJ1079" s="130"/>
      <c r="AK1079" s="130"/>
      <c r="AL1079" s="130"/>
      <c r="AM1079" s="1046">
        <f>AE1079*AI1079+SUM(AJ1079:AL1079)</f>
        <v>0</v>
      </c>
      <c r="AN1079" s="584" t="s">
        <v>371</v>
      </c>
      <c r="AO1079" s="584" t="s">
        <v>371</v>
      </c>
      <c r="AP1079" s="130" t="s">
        <v>371</v>
      </c>
      <c r="AQ1079" s="130" t="s">
        <v>371</v>
      </c>
      <c r="AR1079" s="584" t="s">
        <v>92</v>
      </c>
      <c r="AS1079" s="130" t="s">
        <v>92</v>
      </c>
      <c r="AT1079" s="584" t="s">
        <v>371</v>
      </c>
      <c r="AU1079" s="584" t="s">
        <v>371</v>
      </c>
      <c r="AV1079" s="584" t="s">
        <v>371</v>
      </c>
      <c r="AW1079" s="130" t="s">
        <v>92</v>
      </c>
      <c r="AX1079" s="584" t="s">
        <v>371</v>
      </c>
      <c r="AY1079" s="584"/>
      <c r="AZ1079" s="740"/>
      <c r="BA1079" s="518"/>
      <c r="BB1079" s="741"/>
      <c r="BC1079" s="741"/>
      <c r="BD1079" s="741"/>
      <c r="BE1079" s="742"/>
    </row>
    <row r="1080" spans="1:57" ht="15" customHeight="1" x14ac:dyDescent="0.4">
      <c r="A1080" s="3"/>
      <c r="B1080" s="4"/>
      <c r="C1080" s="2007"/>
      <c r="D1080" s="2007"/>
      <c r="E1080" s="2007"/>
      <c r="F1080" s="2007"/>
      <c r="G1080" s="2007"/>
      <c r="H1080" s="743"/>
      <c r="I1080" s="573" t="s">
        <v>365</v>
      </c>
      <c r="J1080" s="577"/>
      <c r="K1080" s="577"/>
      <c r="L1080" s="577"/>
      <c r="M1080" s="577"/>
      <c r="N1080" s="577"/>
      <c r="O1080" s="577"/>
      <c r="P1080" s="577"/>
      <c r="Q1080" s="577"/>
      <c r="R1080" s="577" t="s">
        <v>352</v>
      </c>
      <c r="S1080" s="575">
        <f>SHHeight</f>
        <v>74</v>
      </c>
      <c r="T1080" s="577" t="s">
        <v>366</v>
      </c>
      <c r="U1080" s="574"/>
      <c r="V1080" s="579"/>
      <c r="W1080" s="579"/>
      <c r="X1080" s="579"/>
      <c r="Y1080" s="1460"/>
      <c r="Z1080" s="1460"/>
      <c r="AA1080" s="1460"/>
      <c r="AB1080" s="738"/>
      <c r="AC1080" s="577"/>
      <c r="AD1080" s="577">
        <v>2</v>
      </c>
      <c r="AE1080" s="575"/>
      <c r="AF1080" s="577"/>
      <c r="AG1080" s="744"/>
      <c r="AH1080" s="577"/>
      <c r="AI1080" s="1425"/>
      <c r="AJ1080" s="577"/>
      <c r="AK1080" s="577"/>
      <c r="AL1080" s="577"/>
      <c r="AM1080" s="626"/>
      <c r="AN1080" s="575" t="s">
        <v>371</v>
      </c>
      <c r="AO1080" s="575" t="s">
        <v>371</v>
      </c>
      <c r="AP1080" s="577" t="s">
        <v>371</v>
      </c>
      <c r="AQ1080" s="577" t="s">
        <v>371</v>
      </c>
      <c r="AR1080" s="575" t="s">
        <v>92</v>
      </c>
      <c r="AS1080" s="577" t="s">
        <v>92</v>
      </c>
      <c r="AT1080" s="575" t="s">
        <v>371</v>
      </c>
      <c r="AU1080" s="575" t="s">
        <v>371</v>
      </c>
      <c r="AV1080" s="575" t="s">
        <v>371</v>
      </c>
      <c r="AW1080" s="577" t="s">
        <v>92</v>
      </c>
      <c r="AX1080" s="575" t="s">
        <v>371</v>
      </c>
      <c r="AY1080" s="575"/>
      <c r="AZ1080" s="740"/>
      <c r="BA1080" s="518"/>
      <c r="BB1080" s="741"/>
      <c r="BC1080" s="741"/>
      <c r="BD1080" s="741"/>
      <c r="BE1080" s="742"/>
    </row>
    <row r="1081" spans="1:57" ht="15" customHeight="1" x14ac:dyDescent="0.4">
      <c r="A1081" s="3"/>
      <c r="B1081" s="4"/>
      <c r="C1081" s="1953" t="s">
        <v>2277</v>
      </c>
      <c r="D1081" s="1953"/>
      <c r="E1081" s="1953"/>
      <c r="F1081" s="1953"/>
      <c r="G1081" s="1953"/>
      <c r="H1081" s="10"/>
      <c r="I1081" s="4" t="s">
        <v>392</v>
      </c>
      <c r="J1081" s="3"/>
      <c r="K1081" s="3"/>
      <c r="L1081" s="3" t="s">
        <v>348</v>
      </c>
      <c r="M1081" s="3">
        <v>-1.25</v>
      </c>
      <c r="N1081" s="3"/>
      <c r="O1081" s="3"/>
      <c r="P1081" s="3"/>
      <c r="Q1081" s="3"/>
      <c r="R1081" s="3" t="s">
        <v>352</v>
      </c>
      <c r="S1081" s="5">
        <f>(SHWidth+M1081)</f>
        <v>37.3125</v>
      </c>
      <c r="T1081" s="3" t="s">
        <v>366</v>
      </c>
      <c r="U1081" s="14"/>
      <c r="V1081" s="38" t="s">
        <v>8</v>
      </c>
      <c r="W1081" s="38" t="s">
        <v>8</v>
      </c>
      <c r="X1081" s="38" t="s">
        <v>8</v>
      </c>
      <c r="Y1081" s="1443">
        <v>300062007</v>
      </c>
      <c r="Z1081" s="1443"/>
      <c r="AA1081" s="1443"/>
      <c r="AB1081" s="558"/>
      <c r="AC1081" s="3">
        <v>45</v>
      </c>
      <c r="AD1081" s="3">
        <v>2</v>
      </c>
      <c r="AE1081" s="5">
        <f>S1081/12*AD1081+S1082/12*AD1082</f>
        <v>18.552083333333336</v>
      </c>
      <c r="AF1081" s="3" t="s">
        <v>367</v>
      </c>
      <c r="AG1081" s="216"/>
      <c r="AH1081" s="3"/>
      <c r="AI1081" s="353">
        <v>0.47</v>
      </c>
      <c r="AJ1081" s="3"/>
      <c r="AK1081" s="3"/>
      <c r="AL1081" s="3"/>
      <c r="AM1081" s="51">
        <f>AE1081*AI1081+SUM(AJ1081:AL1081)</f>
        <v>8.7194791666666678</v>
      </c>
      <c r="AN1081" s="5" t="s">
        <v>371</v>
      </c>
      <c r="AO1081" s="5" t="s">
        <v>371</v>
      </c>
      <c r="AP1081" s="3" t="s">
        <v>371</v>
      </c>
      <c r="AQ1081" s="5" t="s">
        <v>371</v>
      </c>
      <c r="AR1081" s="5" t="s">
        <v>92</v>
      </c>
      <c r="AS1081" s="3" t="s">
        <v>92</v>
      </c>
      <c r="AT1081" s="5" t="s">
        <v>371</v>
      </c>
      <c r="AU1081" s="5" t="s">
        <v>371</v>
      </c>
      <c r="AV1081" s="5" t="s">
        <v>371</v>
      </c>
      <c r="AW1081" s="3" t="s">
        <v>92</v>
      </c>
      <c r="AX1081" s="5" t="s">
        <v>371</v>
      </c>
      <c r="AY1081" s="5"/>
      <c r="AZ1081" s="740"/>
      <c r="BA1081" s="518"/>
      <c r="BB1081" s="741"/>
      <c r="BC1081" s="741"/>
      <c r="BD1081" s="741"/>
      <c r="BE1081" s="742"/>
    </row>
    <row r="1082" spans="1:57" ht="15" customHeight="1" x14ac:dyDescent="0.4">
      <c r="A1082" s="3"/>
      <c r="B1082" s="4"/>
      <c r="C1082" s="1953"/>
      <c r="D1082" s="1953"/>
      <c r="E1082" s="1953"/>
      <c r="F1082" s="1953"/>
      <c r="G1082" s="1953"/>
      <c r="H1082" s="10"/>
      <c r="I1082" s="4" t="s">
        <v>365</v>
      </c>
      <c r="J1082" s="3"/>
      <c r="K1082" s="3"/>
      <c r="L1082" s="3"/>
      <c r="M1082" s="3"/>
      <c r="N1082" s="3"/>
      <c r="O1082" s="3"/>
      <c r="P1082" s="3"/>
      <c r="Q1082" s="3"/>
      <c r="R1082" s="3" t="s">
        <v>352</v>
      </c>
      <c r="S1082" s="5">
        <f>SHHeight</f>
        <v>74</v>
      </c>
      <c r="T1082" s="3" t="s">
        <v>366</v>
      </c>
      <c r="U1082" s="14"/>
      <c r="V1082" s="38"/>
      <c r="W1082" s="38" t="s">
        <v>1886</v>
      </c>
      <c r="X1082" s="38"/>
      <c r="Y1082" s="1445">
        <v>300062007001</v>
      </c>
      <c r="Z1082" s="1445"/>
      <c r="AA1082" s="1445"/>
      <c r="AB1082" s="558"/>
      <c r="AC1082" s="3"/>
      <c r="AD1082" s="3">
        <v>2</v>
      </c>
      <c r="AE1082" s="5"/>
      <c r="AF1082" s="3"/>
      <c r="AG1082" s="216"/>
      <c r="AH1082" s="3"/>
      <c r="AI1082" s="353">
        <v>1.17</v>
      </c>
      <c r="AJ1082" s="3"/>
      <c r="AK1082" s="3"/>
      <c r="AL1082" s="3"/>
      <c r="AM1082" s="51"/>
      <c r="AN1082" s="5" t="s">
        <v>371</v>
      </c>
      <c r="AO1082" s="5" t="s">
        <v>371</v>
      </c>
      <c r="AP1082" s="3" t="s">
        <v>371</v>
      </c>
      <c r="AQ1082" s="5" t="s">
        <v>371</v>
      </c>
      <c r="AR1082" s="5" t="s">
        <v>92</v>
      </c>
      <c r="AS1082" s="3" t="s">
        <v>92</v>
      </c>
      <c r="AT1082" s="5" t="s">
        <v>371</v>
      </c>
      <c r="AU1082" s="5" t="s">
        <v>371</v>
      </c>
      <c r="AV1082" s="5" t="s">
        <v>371</v>
      </c>
      <c r="AW1082" s="3" t="s">
        <v>92</v>
      </c>
      <c r="AX1082" s="5" t="s">
        <v>371</v>
      </c>
      <c r="AY1082" s="5"/>
      <c r="AZ1082" s="740"/>
      <c r="BA1082" s="518"/>
      <c r="BB1082" s="741"/>
      <c r="BC1082" s="741"/>
      <c r="BD1082" s="741"/>
      <c r="BE1082" s="742"/>
    </row>
    <row r="1083" spans="1:57" ht="15" customHeight="1" x14ac:dyDescent="0.4">
      <c r="A1083" s="3"/>
      <c r="B1083" s="4"/>
      <c r="C1083" s="976"/>
      <c r="D1083" s="976"/>
      <c r="E1083" s="976"/>
      <c r="F1083" s="976"/>
      <c r="G1083" s="976"/>
      <c r="H1083" s="10"/>
      <c r="I1083" s="4"/>
      <c r="J1083" s="3"/>
      <c r="K1083" s="3"/>
      <c r="L1083" s="3"/>
      <c r="M1083" s="3"/>
      <c r="N1083" s="3"/>
      <c r="O1083" s="3"/>
      <c r="P1083" s="3"/>
      <c r="Q1083" s="3"/>
      <c r="R1083" s="3"/>
      <c r="S1083" s="5"/>
      <c r="T1083" s="3"/>
      <c r="U1083" s="14"/>
      <c r="V1083" s="38"/>
      <c r="W1083" s="38" t="s">
        <v>1884</v>
      </c>
      <c r="X1083" s="38"/>
      <c r="Y1083" s="1445">
        <v>300062007002</v>
      </c>
      <c r="Z1083" s="1445"/>
      <c r="AA1083" s="1445"/>
      <c r="AB1083" s="558"/>
      <c r="AC1083" s="3"/>
      <c r="AD1083" s="3"/>
      <c r="AE1083" s="5"/>
      <c r="AF1083" s="3"/>
      <c r="AG1083" s="216"/>
      <c r="AH1083" s="3"/>
      <c r="AI1083" s="353">
        <v>1.31</v>
      </c>
      <c r="AJ1083" s="3"/>
      <c r="AK1083" s="3"/>
      <c r="AL1083" s="3"/>
      <c r="AM1083" s="51"/>
      <c r="AN1083" s="5" t="s">
        <v>371</v>
      </c>
      <c r="AO1083" s="5" t="s">
        <v>371</v>
      </c>
      <c r="AP1083" s="3" t="s">
        <v>371</v>
      </c>
      <c r="AQ1083" s="5" t="s">
        <v>371</v>
      </c>
      <c r="AR1083" s="5" t="s">
        <v>92</v>
      </c>
      <c r="AS1083" s="3" t="s">
        <v>92</v>
      </c>
      <c r="AT1083" s="5" t="s">
        <v>371</v>
      </c>
      <c r="AU1083" s="5" t="s">
        <v>371</v>
      </c>
      <c r="AV1083" s="5" t="s">
        <v>371</v>
      </c>
      <c r="AW1083" s="3" t="s">
        <v>92</v>
      </c>
      <c r="AX1083" s="5" t="s">
        <v>371</v>
      </c>
      <c r="AY1083" s="5"/>
      <c r="AZ1083" s="740"/>
      <c r="BA1083" s="518"/>
      <c r="BB1083" s="741"/>
      <c r="BC1083" s="741"/>
      <c r="BD1083" s="741"/>
      <c r="BE1083" s="742"/>
    </row>
    <row r="1084" spans="1:57" ht="15" customHeight="1" x14ac:dyDescent="0.4">
      <c r="A1084" s="3"/>
      <c r="B1084" s="4"/>
      <c r="C1084" s="976"/>
      <c r="D1084" s="976"/>
      <c r="E1084" s="976"/>
      <c r="F1084" s="976"/>
      <c r="G1084" s="976"/>
      <c r="H1084" s="10"/>
      <c r="I1084" s="4"/>
      <c r="J1084" s="3"/>
      <c r="K1084" s="3"/>
      <c r="L1084" s="3"/>
      <c r="M1084" s="3"/>
      <c r="N1084" s="3"/>
      <c r="O1084" s="3"/>
      <c r="P1084" s="3"/>
      <c r="Q1084" s="3"/>
      <c r="R1084" s="3"/>
      <c r="S1084" s="5"/>
      <c r="T1084" s="3"/>
      <c r="U1084" s="14"/>
      <c r="V1084" s="38"/>
      <c r="W1084" s="38" t="s">
        <v>1887</v>
      </c>
      <c r="X1084" s="38"/>
      <c r="Y1084" s="1445">
        <v>300062007003</v>
      </c>
      <c r="Z1084" s="1445"/>
      <c r="AA1084" s="1445"/>
      <c r="AB1084" s="558"/>
      <c r="AC1084" s="3"/>
      <c r="AD1084" s="3"/>
      <c r="AE1084" s="5"/>
      <c r="AF1084" s="3"/>
      <c r="AG1084" s="216"/>
      <c r="AH1084" s="3"/>
      <c r="AI1084" s="353">
        <v>2.36</v>
      </c>
      <c r="AJ1084" s="3"/>
      <c r="AK1084" s="3"/>
      <c r="AL1084" s="3"/>
      <c r="AM1084" s="51"/>
      <c r="AN1084" s="5" t="s">
        <v>371</v>
      </c>
      <c r="AO1084" s="5" t="s">
        <v>371</v>
      </c>
      <c r="AP1084" s="3" t="s">
        <v>371</v>
      </c>
      <c r="AQ1084" s="5" t="s">
        <v>371</v>
      </c>
      <c r="AR1084" s="5" t="s">
        <v>92</v>
      </c>
      <c r="AS1084" s="3" t="s">
        <v>92</v>
      </c>
      <c r="AT1084" s="5" t="s">
        <v>371</v>
      </c>
      <c r="AU1084" s="5" t="s">
        <v>371</v>
      </c>
      <c r="AV1084" s="5" t="s">
        <v>371</v>
      </c>
      <c r="AW1084" s="3" t="s">
        <v>92</v>
      </c>
      <c r="AX1084" s="5" t="s">
        <v>371</v>
      </c>
      <c r="AY1084" s="5"/>
      <c r="AZ1084" s="740"/>
      <c r="BA1084" s="518"/>
      <c r="BB1084" s="741"/>
      <c r="BC1084" s="741"/>
      <c r="BD1084" s="741"/>
      <c r="BE1084" s="742"/>
    </row>
    <row r="1085" spans="1:57" ht="15" customHeight="1" x14ac:dyDescent="0.4">
      <c r="A1085" s="3"/>
      <c r="B1085" s="4"/>
      <c r="C1085" s="976"/>
      <c r="D1085" s="976"/>
      <c r="E1085" s="976"/>
      <c r="F1085" s="976"/>
      <c r="G1085" s="976"/>
      <c r="H1085" s="10"/>
      <c r="I1085" s="4"/>
      <c r="J1085" s="3"/>
      <c r="K1085" s="3"/>
      <c r="L1085" s="3"/>
      <c r="M1085" s="3"/>
      <c r="N1085" s="3"/>
      <c r="O1085" s="3"/>
      <c r="P1085" s="3"/>
      <c r="Q1085" s="3"/>
      <c r="R1085" s="3"/>
      <c r="S1085" s="5"/>
      <c r="T1085" s="3"/>
      <c r="U1085" s="14"/>
      <c r="V1085" s="38"/>
      <c r="W1085" s="38" t="s">
        <v>1888</v>
      </c>
      <c r="X1085" s="38"/>
      <c r="Y1085" s="1445">
        <v>300062007004</v>
      </c>
      <c r="Z1085" s="1445"/>
      <c r="AA1085" s="1445"/>
      <c r="AB1085" s="558"/>
      <c r="AC1085" s="3"/>
      <c r="AD1085" s="3"/>
      <c r="AE1085" s="5"/>
      <c r="AF1085" s="3"/>
      <c r="AG1085" s="216"/>
      <c r="AH1085" s="3"/>
      <c r="AI1085" s="353">
        <v>2.5099999999999998</v>
      </c>
      <c r="AJ1085" s="3"/>
      <c r="AK1085" s="3"/>
      <c r="AL1085" s="3"/>
      <c r="AM1085" s="51"/>
      <c r="AN1085" s="5" t="s">
        <v>371</v>
      </c>
      <c r="AO1085" s="5" t="s">
        <v>371</v>
      </c>
      <c r="AP1085" s="3" t="s">
        <v>371</v>
      </c>
      <c r="AQ1085" s="5" t="s">
        <v>371</v>
      </c>
      <c r="AR1085" s="5" t="s">
        <v>92</v>
      </c>
      <c r="AS1085" s="3" t="s">
        <v>92</v>
      </c>
      <c r="AT1085" s="5" t="s">
        <v>371</v>
      </c>
      <c r="AU1085" s="5" t="s">
        <v>371</v>
      </c>
      <c r="AV1085" s="5" t="s">
        <v>371</v>
      </c>
      <c r="AW1085" s="3" t="s">
        <v>92</v>
      </c>
      <c r="AX1085" s="5" t="s">
        <v>371</v>
      </c>
      <c r="AY1085" s="5"/>
      <c r="AZ1085" s="740"/>
      <c r="BA1085" s="518"/>
      <c r="BB1085" s="741"/>
      <c r="BC1085" s="741"/>
      <c r="BD1085" s="741"/>
      <c r="BE1085" s="742"/>
    </row>
    <row r="1086" spans="1:57" ht="15" customHeight="1" x14ac:dyDescent="0.4">
      <c r="A1086" s="3"/>
      <c r="B1086" s="4"/>
      <c r="C1086" s="976"/>
      <c r="D1086" s="976"/>
      <c r="E1086" s="976"/>
      <c r="F1086" s="976"/>
      <c r="G1086" s="976"/>
      <c r="H1086" s="10"/>
      <c r="I1086" s="4"/>
      <c r="J1086" s="3"/>
      <c r="K1086" s="3"/>
      <c r="L1086" s="3"/>
      <c r="M1086" s="3"/>
      <c r="N1086" s="3"/>
      <c r="O1086" s="3"/>
      <c r="P1086" s="3"/>
      <c r="Q1086" s="3"/>
      <c r="R1086" s="3"/>
      <c r="S1086" s="5"/>
      <c r="T1086" s="3"/>
      <c r="U1086" s="14"/>
      <c r="V1086" s="38"/>
      <c r="W1086" s="38" t="s">
        <v>1889</v>
      </c>
      <c r="X1086" s="38"/>
      <c r="Y1086" s="1445">
        <v>300062007005</v>
      </c>
      <c r="Z1086" s="1445"/>
      <c r="AA1086" s="1445"/>
      <c r="AB1086" s="558"/>
      <c r="AC1086" s="3"/>
      <c r="AD1086" s="3"/>
      <c r="AE1086" s="5"/>
      <c r="AF1086" s="3"/>
      <c r="AG1086" s="216"/>
      <c r="AH1086" s="3"/>
      <c r="AI1086" s="353">
        <v>2.74</v>
      </c>
      <c r="AJ1086" s="3"/>
      <c r="AK1086" s="3"/>
      <c r="AL1086" s="3"/>
      <c r="AM1086" s="51"/>
      <c r="AN1086" s="5" t="s">
        <v>371</v>
      </c>
      <c r="AO1086" s="5" t="s">
        <v>371</v>
      </c>
      <c r="AP1086" s="3" t="s">
        <v>371</v>
      </c>
      <c r="AQ1086" s="5" t="s">
        <v>371</v>
      </c>
      <c r="AR1086" s="5" t="s">
        <v>92</v>
      </c>
      <c r="AS1086" s="3" t="s">
        <v>92</v>
      </c>
      <c r="AT1086" s="5" t="s">
        <v>371</v>
      </c>
      <c r="AU1086" s="5" t="s">
        <v>371</v>
      </c>
      <c r="AV1086" s="5" t="s">
        <v>371</v>
      </c>
      <c r="AW1086" s="3" t="s">
        <v>92</v>
      </c>
      <c r="AX1086" s="5" t="s">
        <v>371</v>
      </c>
      <c r="AY1086" s="5"/>
      <c r="AZ1086" s="740"/>
      <c r="BA1086" s="518"/>
      <c r="BB1086" s="741"/>
      <c r="BC1086" s="741"/>
      <c r="BD1086" s="741"/>
      <c r="BE1086" s="742"/>
    </row>
    <row r="1087" spans="1:57" ht="15" customHeight="1" x14ac:dyDescent="0.4">
      <c r="A1087" s="3"/>
      <c r="B1087" s="4"/>
      <c r="C1087" s="976"/>
      <c r="D1087" s="976"/>
      <c r="E1087" s="976"/>
      <c r="F1087" s="976"/>
      <c r="G1087" s="976"/>
      <c r="H1087" s="10"/>
      <c r="I1087" s="4"/>
      <c r="J1087" s="3"/>
      <c r="K1087" s="3"/>
      <c r="L1087" s="3"/>
      <c r="M1087" s="3"/>
      <c r="N1087" s="3"/>
      <c r="O1087" s="3"/>
      <c r="P1087" s="3"/>
      <c r="Q1087" s="3"/>
      <c r="R1087" s="3"/>
      <c r="S1087" s="5"/>
      <c r="T1087" s="3"/>
      <c r="U1087" s="14"/>
      <c r="V1087" s="38"/>
      <c r="W1087" s="38" t="s">
        <v>1890</v>
      </c>
      <c r="X1087" s="38"/>
      <c r="Y1087" s="1445">
        <v>300062007006</v>
      </c>
      <c r="Z1087" s="1445"/>
      <c r="AA1087" s="1445"/>
      <c r="AB1087" s="558"/>
      <c r="AC1087" s="3"/>
      <c r="AD1087" s="3"/>
      <c r="AE1087" s="5"/>
      <c r="AF1087" s="3"/>
      <c r="AG1087" s="216"/>
      <c r="AH1087" s="3"/>
      <c r="AI1087" s="353">
        <v>2.82</v>
      </c>
      <c r="AJ1087" s="3"/>
      <c r="AK1087" s="3"/>
      <c r="AL1087" s="3"/>
      <c r="AM1087" s="51"/>
      <c r="AN1087" s="5" t="s">
        <v>371</v>
      </c>
      <c r="AO1087" s="5" t="s">
        <v>371</v>
      </c>
      <c r="AP1087" s="3" t="s">
        <v>371</v>
      </c>
      <c r="AQ1087" s="5" t="s">
        <v>371</v>
      </c>
      <c r="AR1087" s="5" t="s">
        <v>92</v>
      </c>
      <c r="AS1087" s="3" t="s">
        <v>92</v>
      </c>
      <c r="AT1087" s="5" t="s">
        <v>371</v>
      </c>
      <c r="AU1087" s="5" t="s">
        <v>371</v>
      </c>
      <c r="AV1087" s="5" t="s">
        <v>371</v>
      </c>
      <c r="AW1087" s="3" t="s">
        <v>92</v>
      </c>
      <c r="AX1087" s="5" t="s">
        <v>371</v>
      </c>
      <c r="AY1087" s="5"/>
      <c r="AZ1087" s="740"/>
      <c r="BA1087" s="518"/>
      <c r="BB1087" s="741"/>
      <c r="BC1087" s="741"/>
      <c r="BD1087" s="741"/>
      <c r="BE1087" s="742"/>
    </row>
    <row r="1088" spans="1:57" ht="15" customHeight="1" x14ac:dyDescent="0.4">
      <c r="A1088" s="3"/>
      <c r="B1088" s="4"/>
      <c r="C1088" s="1165"/>
      <c r="D1088" s="1165"/>
      <c r="E1088" s="1165"/>
      <c r="F1088" s="1165"/>
      <c r="G1088" s="1165"/>
      <c r="H1088" s="743"/>
      <c r="I1088" s="573"/>
      <c r="J1088" s="577"/>
      <c r="K1088" s="577"/>
      <c r="L1088" s="577"/>
      <c r="M1088" s="577"/>
      <c r="N1088" s="577"/>
      <c r="O1088" s="577"/>
      <c r="P1088" s="577"/>
      <c r="Q1088" s="577"/>
      <c r="R1088" s="577"/>
      <c r="S1088" s="575"/>
      <c r="T1088" s="577"/>
      <c r="U1088" s="574"/>
      <c r="V1088" s="579"/>
      <c r="W1088" s="579" t="s">
        <v>1891</v>
      </c>
      <c r="X1088" s="579"/>
      <c r="Y1088" s="1460">
        <v>300062007007</v>
      </c>
      <c r="Z1088" s="1460"/>
      <c r="AA1088" s="1460"/>
      <c r="AB1088" s="738"/>
      <c r="AC1088" s="577"/>
      <c r="AD1088" s="577"/>
      <c r="AE1088" s="575"/>
      <c r="AF1088" s="577"/>
      <c r="AG1088" s="744"/>
      <c r="AH1088" s="577"/>
      <c r="AI1088" s="1425">
        <v>2.2200000000000002</v>
      </c>
      <c r="AJ1088" s="577"/>
      <c r="AK1088" s="577"/>
      <c r="AL1088" s="577"/>
      <c r="AM1088" s="626"/>
      <c r="AN1088" s="575" t="s">
        <v>371</v>
      </c>
      <c r="AO1088" s="575" t="s">
        <v>371</v>
      </c>
      <c r="AP1088" s="577" t="s">
        <v>371</v>
      </c>
      <c r="AQ1088" s="575" t="s">
        <v>371</v>
      </c>
      <c r="AR1088" s="575" t="s">
        <v>92</v>
      </c>
      <c r="AS1088" s="577" t="s">
        <v>92</v>
      </c>
      <c r="AT1088" s="575" t="s">
        <v>371</v>
      </c>
      <c r="AU1088" s="575" t="s">
        <v>371</v>
      </c>
      <c r="AV1088" s="575" t="s">
        <v>371</v>
      </c>
      <c r="AW1088" s="577" t="s">
        <v>92</v>
      </c>
      <c r="AX1088" s="575" t="s">
        <v>371</v>
      </c>
      <c r="AY1088" s="575"/>
      <c r="AZ1088" s="740"/>
      <c r="BA1088" s="518"/>
      <c r="BB1088" s="741"/>
      <c r="BC1088" s="741"/>
      <c r="BD1088" s="741"/>
      <c r="BE1088" s="742"/>
    </row>
    <row r="1089" spans="1:57" ht="15" customHeight="1" x14ac:dyDescent="0.4">
      <c r="A1089" s="3"/>
      <c r="B1089" s="4"/>
      <c r="C1089" s="2006" t="s">
        <v>2287</v>
      </c>
      <c r="D1089" s="2006"/>
      <c r="E1089" s="2006"/>
      <c r="F1089" s="2006"/>
      <c r="G1089" s="2006"/>
      <c r="H1089" s="1388"/>
      <c r="I1089" s="582" t="s">
        <v>392</v>
      </c>
      <c r="J1089" s="130"/>
      <c r="K1089" s="130"/>
      <c r="L1089" s="130" t="s">
        <v>348</v>
      </c>
      <c r="M1089" s="130">
        <v>-1.25</v>
      </c>
      <c r="N1089" s="130"/>
      <c r="O1089" s="130"/>
      <c r="P1089" s="130"/>
      <c r="Q1089" s="130"/>
      <c r="R1089" s="130" t="s">
        <v>352</v>
      </c>
      <c r="S1089" s="584">
        <f>(SHWidth+M1089)</f>
        <v>37.3125</v>
      </c>
      <c r="T1089" s="130" t="s">
        <v>366</v>
      </c>
      <c r="U1089" s="583"/>
      <c r="V1089" s="587" t="s">
        <v>8</v>
      </c>
      <c r="W1089" s="587" t="s">
        <v>8</v>
      </c>
      <c r="X1089" s="587" t="s">
        <v>8</v>
      </c>
      <c r="Y1089" s="1452">
        <v>300063007</v>
      </c>
      <c r="Z1089" s="1452"/>
      <c r="AA1089" s="1452"/>
      <c r="AB1089" s="1389"/>
      <c r="AC1089" s="130">
        <v>45</v>
      </c>
      <c r="AD1089" s="130">
        <v>2</v>
      </c>
      <c r="AE1089" s="584">
        <f>S1089/12*AD1089+S1090/12*AD1090</f>
        <v>18.552083333333336</v>
      </c>
      <c r="AF1089" s="130" t="s">
        <v>367</v>
      </c>
      <c r="AG1089" s="1390"/>
      <c r="AH1089" s="130"/>
      <c r="AI1089" s="1442"/>
      <c r="AJ1089" s="130"/>
      <c r="AK1089" s="130"/>
      <c r="AL1089" s="130"/>
      <c r="AM1089" s="1046">
        <f>AE1089*AI1089+SUM(AJ1089:AL1089)</f>
        <v>0</v>
      </c>
      <c r="AN1089" s="584" t="s">
        <v>371</v>
      </c>
      <c r="AO1089" s="584" t="s">
        <v>371</v>
      </c>
      <c r="AP1089" s="130" t="s">
        <v>371</v>
      </c>
      <c r="AQ1089" s="130" t="s">
        <v>371</v>
      </c>
      <c r="AR1089" s="584" t="s">
        <v>92</v>
      </c>
      <c r="AS1089" s="130" t="s">
        <v>92</v>
      </c>
      <c r="AT1089" s="584" t="s">
        <v>371</v>
      </c>
      <c r="AU1089" s="584" t="s">
        <v>371</v>
      </c>
      <c r="AV1089" s="584" t="s">
        <v>371</v>
      </c>
      <c r="AW1089" s="130" t="s">
        <v>92</v>
      </c>
      <c r="AX1089" s="584" t="s">
        <v>371</v>
      </c>
      <c r="AY1089" s="584"/>
      <c r="AZ1089" s="740"/>
      <c r="BA1089" s="518"/>
      <c r="BB1089" s="741"/>
      <c r="BC1089" s="741"/>
      <c r="BD1089" s="741"/>
      <c r="BE1089" s="742"/>
    </row>
    <row r="1090" spans="1:57" ht="15" customHeight="1" x14ac:dyDescent="0.4">
      <c r="A1090" s="3"/>
      <c r="B1090" s="4"/>
      <c r="C1090" s="2007"/>
      <c r="D1090" s="2007"/>
      <c r="E1090" s="2007"/>
      <c r="F1090" s="2007"/>
      <c r="G1090" s="2007"/>
      <c r="H1090" s="743"/>
      <c r="I1090" s="573" t="s">
        <v>365</v>
      </c>
      <c r="J1090" s="577"/>
      <c r="K1090" s="577"/>
      <c r="L1090" s="577"/>
      <c r="M1090" s="577"/>
      <c r="N1090" s="577"/>
      <c r="O1090" s="577"/>
      <c r="P1090" s="577"/>
      <c r="Q1090" s="577"/>
      <c r="R1090" s="577" t="s">
        <v>352</v>
      </c>
      <c r="S1090" s="575">
        <f>SHHeight</f>
        <v>74</v>
      </c>
      <c r="T1090" s="577" t="s">
        <v>366</v>
      </c>
      <c r="U1090" s="574"/>
      <c r="V1090" s="579"/>
      <c r="W1090" s="579"/>
      <c r="X1090" s="579"/>
      <c r="Y1090" s="1460"/>
      <c r="Z1090" s="1460"/>
      <c r="AA1090" s="1460"/>
      <c r="AB1090" s="738"/>
      <c r="AC1090" s="577"/>
      <c r="AD1090" s="577">
        <v>2</v>
      </c>
      <c r="AE1090" s="575"/>
      <c r="AF1090" s="577"/>
      <c r="AG1090" s="744"/>
      <c r="AH1090" s="577"/>
      <c r="AI1090" s="1425"/>
      <c r="AJ1090" s="577"/>
      <c r="AK1090" s="577"/>
      <c r="AL1090" s="577"/>
      <c r="AM1090" s="626"/>
      <c r="AN1090" s="575" t="s">
        <v>371</v>
      </c>
      <c r="AO1090" s="575" t="s">
        <v>371</v>
      </c>
      <c r="AP1090" s="577" t="s">
        <v>371</v>
      </c>
      <c r="AQ1090" s="577" t="s">
        <v>371</v>
      </c>
      <c r="AR1090" s="575" t="s">
        <v>92</v>
      </c>
      <c r="AS1090" s="577" t="s">
        <v>92</v>
      </c>
      <c r="AT1090" s="575" t="s">
        <v>371</v>
      </c>
      <c r="AU1090" s="575" t="s">
        <v>371</v>
      </c>
      <c r="AV1090" s="575" t="s">
        <v>371</v>
      </c>
      <c r="AW1090" s="577" t="s">
        <v>92</v>
      </c>
      <c r="AX1090" s="575" t="s">
        <v>371</v>
      </c>
      <c r="AY1090" s="575"/>
      <c r="AZ1090" s="740"/>
      <c r="BA1090" s="518"/>
      <c r="BB1090" s="741"/>
      <c r="BC1090" s="741"/>
      <c r="BD1090" s="741"/>
      <c r="BE1090" s="742"/>
    </row>
    <row r="1091" spans="1:57" ht="15" customHeight="1" x14ac:dyDescent="0.4">
      <c r="A1091" s="3"/>
      <c r="B1091" s="4"/>
      <c r="C1091" s="2006" t="s">
        <v>2276</v>
      </c>
      <c r="D1091" s="2006"/>
      <c r="E1091" s="2006"/>
      <c r="F1091" s="2006"/>
      <c r="G1091" s="2006"/>
      <c r="H1091" s="10"/>
      <c r="I1091" s="4" t="s">
        <v>392</v>
      </c>
      <c r="J1091" s="3"/>
      <c r="K1091" s="3"/>
      <c r="L1091" s="3" t="s">
        <v>348</v>
      </c>
      <c r="M1091" s="3">
        <v>-1.25</v>
      </c>
      <c r="N1091" s="3"/>
      <c r="O1091" s="3"/>
      <c r="P1091" s="3"/>
      <c r="Q1091" s="3"/>
      <c r="R1091" s="3" t="s">
        <v>352</v>
      </c>
      <c r="S1091" s="5">
        <f>(SHWidth+M1091)</f>
        <v>37.3125</v>
      </c>
      <c r="T1091" s="3" t="s">
        <v>366</v>
      </c>
      <c r="U1091" s="14"/>
      <c r="V1091" s="38" t="s">
        <v>8</v>
      </c>
      <c r="W1091" s="38" t="s">
        <v>8</v>
      </c>
      <c r="X1091" s="38" t="s">
        <v>8</v>
      </c>
      <c r="Y1091" s="1443">
        <v>300060000</v>
      </c>
      <c r="Z1091" s="1443"/>
      <c r="AA1091" s="1443"/>
      <c r="AB1091" s="558"/>
      <c r="AC1091" s="3">
        <v>45</v>
      </c>
      <c r="AD1091" s="3">
        <v>2</v>
      </c>
      <c r="AE1091" s="5">
        <f>S1091/12*AD1091+S1092/12*AD1092</f>
        <v>18.552083333333336</v>
      </c>
      <c r="AF1091" s="3" t="s">
        <v>367</v>
      </c>
      <c r="AG1091" s="216"/>
      <c r="AH1091" s="3"/>
      <c r="AI1091" s="353">
        <v>0.875</v>
      </c>
      <c r="AJ1091" s="3"/>
      <c r="AK1091" s="3"/>
      <c r="AL1091" s="3"/>
      <c r="AM1091" s="51">
        <f>AE1091*AI1091+SUM(AJ1091:AL1091)</f>
        <v>16.233072916666668</v>
      </c>
      <c r="AN1091" s="5" t="s">
        <v>371</v>
      </c>
      <c r="AO1091" s="5" t="s">
        <v>371</v>
      </c>
      <c r="AP1091" s="3" t="s">
        <v>371</v>
      </c>
      <c r="AQ1091" s="5" t="s">
        <v>81</v>
      </c>
      <c r="AR1091" s="5" t="s">
        <v>92</v>
      </c>
      <c r="AS1091" s="3" t="s">
        <v>92</v>
      </c>
      <c r="AT1091" s="5" t="s">
        <v>371</v>
      </c>
      <c r="AU1091" s="5" t="s">
        <v>371</v>
      </c>
      <c r="AV1091" s="5" t="s">
        <v>371</v>
      </c>
      <c r="AW1091" s="3" t="s">
        <v>92</v>
      </c>
      <c r="AX1091" s="5" t="s">
        <v>371</v>
      </c>
      <c r="AY1091" s="5"/>
      <c r="AZ1091" s="740"/>
      <c r="BA1091" s="518"/>
      <c r="BB1091" s="741"/>
      <c r="BC1091" s="741"/>
      <c r="BD1091" s="741"/>
      <c r="BE1091" s="742"/>
    </row>
    <row r="1092" spans="1:57" ht="15" customHeight="1" x14ac:dyDescent="0.4">
      <c r="A1092" s="3"/>
      <c r="B1092" s="4"/>
      <c r="C1092" s="2009"/>
      <c r="D1092" s="2009"/>
      <c r="E1092" s="2009"/>
      <c r="F1092" s="2009"/>
      <c r="G1092" s="2009"/>
      <c r="H1092" s="10"/>
      <c r="I1092" s="4" t="s">
        <v>365</v>
      </c>
      <c r="J1092" s="3"/>
      <c r="K1092" s="3"/>
      <c r="L1092" s="3"/>
      <c r="M1092" s="3"/>
      <c r="N1092" s="3"/>
      <c r="O1092" s="3"/>
      <c r="P1092" s="3"/>
      <c r="Q1092" s="3"/>
      <c r="R1092" s="3" t="s">
        <v>352</v>
      </c>
      <c r="S1092" s="5">
        <f>SHHeight</f>
        <v>74</v>
      </c>
      <c r="T1092" s="3" t="s">
        <v>366</v>
      </c>
      <c r="U1092" s="14"/>
      <c r="V1092" s="38"/>
      <c r="W1092" s="38" t="s">
        <v>1878</v>
      </c>
      <c r="X1092" s="38"/>
      <c r="Y1092" s="1445">
        <v>300060000001</v>
      </c>
      <c r="Z1092" s="1445"/>
      <c r="AA1092" s="1445"/>
      <c r="AB1092" s="558"/>
      <c r="AC1092" s="3"/>
      <c r="AD1092" s="3">
        <v>2</v>
      </c>
      <c r="AE1092" s="5"/>
      <c r="AF1092" s="3"/>
      <c r="AG1092" s="216"/>
      <c r="AH1092" s="3"/>
      <c r="AI1092" s="51"/>
      <c r="AJ1092" s="3"/>
      <c r="AK1092" s="3"/>
      <c r="AL1092" s="3"/>
      <c r="AM1092" s="51"/>
      <c r="AN1092" s="5" t="s">
        <v>371</v>
      </c>
      <c r="AO1092" s="5" t="s">
        <v>371</v>
      </c>
      <c r="AP1092" s="3" t="s">
        <v>371</v>
      </c>
      <c r="AQ1092" s="3" t="s">
        <v>371</v>
      </c>
      <c r="AR1092" s="5" t="s">
        <v>92</v>
      </c>
      <c r="AS1092" s="3" t="s">
        <v>92</v>
      </c>
      <c r="AT1092" s="5" t="s">
        <v>371</v>
      </c>
      <c r="AU1092" s="5" t="s">
        <v>371</v>
      </c>
      <c r="AV1092" s="5" t="s">
        <v>371</v>
      </c>
      <c r="AW1092" s="3" t="s">
        <v>92</v>
      </c>
      <c r="AX1092" s="5" t="s">
        <v>371</v>
      </c>
      <c r="AY1092" s="5"/>
      <c r="AZ1092" s="740"/>
      <c r="BA1092" s="518"/>
      <c r="BB1092" s="741"/>
      <c r="BC1092" s="741"/>
      <c r="BD1092" s="741"/>
      <c r="BE1092" s="742"/>
    </row>
    <row r="1093" spans="1:57" ht="15" customHeight="1" x14ac:dyDescent="0.4">
      <c r="A1093" s="3"/>
      <c r="B1093" s="4"/>
      <c r="C1093" s="1593"/>
      <c r="D1093" s="1593"/>
      <c r="E1093" s="1593"/>
      <c r="F1093" s="1593"/>
      <c r="G1093" s="1593"/>
      <c r="H1093" s="10"/>
      <c r="I1093" s="4"/>
      <c r="J1093" s="3"/>
      <c r="K1093" s="3"/>
      <c r="L1093" s="3"/>
      <c r="M1093" s="3"/>
      <c r="N1093" s="3"/>
      <c r="O1093" s="3"/>
      <c r="P1093" s="3"/>
      <c r="Q1093" s="3"/>
      <c r="R1093" s="3"/>
      <c r="S1093" s="5"/>
      <c r="T1093" s="3"/>
      <c r="U1093" s="14"/>
      <c r="V1093" s="38"/>
      <c r="W1093" s="38" t="s">
        <v>1879</v>
      </c>
      <c r="X1093" s="38"/>
      <c r="Y1093" s="1445">
        <v>300060000002</v>
      </c>
      <c r="Z1093" s="1445"/>
      <c r="AA1093" s="1445"/>
      <c r="AB1093" s="558"/>
      <c r="AC1093" s="3"/>
      <c r="AD1093" s="3"/>
      <c r="AE1093" s="5"/>
      <c r="AF1093" s="3"/>
      <c r="AG1093" s="216"/>
      <c r="AH1093" s="3"/>
      <c r="AI1093" s="51"/>
      <c r="AJ1093" s="3"/>
      <c r="AK1093" s="3"/>
      <c r="AL1093" s="3"/>
      <c r="AM1093" s="51"/>
      <c r="AN1093" s="5" t="s">
        <v>371</v>
      </c>
      <c r="AO1093" s="5" t="s">
        <v>371</v>
      </c>
      <c r="AP1093" s="3" t="s">
        <v>371</v>
      </c>
      <c r="AQ1093" s="3" t="s">
        <v>371</v>
      </c>
      <c r="AR1093" s="5" t="s">
        <v>92</v>
      </c>
      <c r="AS1093" s="3" t="s">
        <v>92</v>
      </c>
      <c r="AT1093" s="5" t="s">
        <v>371</v>
      </c>
      <c r="AU1093" s="5" t="s">
        <v>371</v>
      </c>
      <c r="AV1093" s="5" t="s">
        <v>371</v>
      </c>
      <c r="AW1093" s="3" t="s">
        <v>92</v>
      </c>
      <c r="AX1093" s="5" t="s">
        <v>371</v>
      </c>
      <c r="AY1093" s="5"/>
      <c r="AZ1093" s="740"/>
      <c r="BA1093" s="518"/>
      <c r="BB1093" s="741"/>
      <c r="BC1093" s="741"/>
      <c r="BD1093" s="741"/>
      <c r="BE1093" s="742"/>
    </row>
    <row r="1094" spans="1:57" ht="15" customHeight="1" x14ac:dyDescent="0.4">
      <c r="A1094" s="3"/>
      <c r="B1094" s="4"/>
      <c r="C1094" s="1593"/>
      <c r="D1094" s="1593"/>
      <c r="E1094" s="1593"/>
      <c r="F1094" s="1593"/>
      <c r="G1094" s="1593"/>
      <c r="H1094" s="10"/>
      <c r="I1094" s="4"/>
      <c r="J1094" s="3"/>
      <c r="K1094" s="3"/>
      <c r="L1094" s="3"/>
      <c r="M1094" s="3"/>
      <c r="N1094" s="3"/>
      <c r="O1094" s="3"/>
      <c r="P1094" s="3"/>
      <c r="Q1094" s="3"/>
      <c r="R1094" s="3"/>
      <c r="S1094" s="5"/>
      <c r="T1094" s="3"/>
      <c r="U1094" s="14"/>
      <c r="V1094" s="38"/>
      <c r="W1094" s="38" t="s">
        <v>1880</v>
      </c>
      <c r="X1094" s="38"/>
      <c r="Y1094" s="1445">
        <v>300060000003</v>
      </c>
      <c r="Z1094" s="1445"/>
      <c r="AA1094" s="1445"/>
      <c r="AB1094" s="558"/>
      <c r="AC1094" s="3"/>
      <c r="AD1094" s="3"/>
      <c r="AE1094" s="5"/>
      <c r="AF1094" s="3"/>
      <c r="AG1094" s="216"/>
      <c r="AH1094" s="3"/>
      <c r="AI1094" s="51"/>
      <c r="AJ1094" s="3"/>
      <c r="AK1094" s="3"/>
      <c r="AL1094" s="3"/>
      <c r="AM1094" s="51"/>
      <c r="AN1094" s="5" t="s">
        <v>371</v>
      </c>
      <c r="AO1094" s="5" t="s">
        <v>371</v>
      </c>
      <c r="AP1094" s="3" t="s">
        <v>371</v>
      </c>
      <c r="AQ1094" s="3" t="s">
        <v>371</v>
      </c>
      <c r="AR1094" s="5" t="s">
        <v>92</v>
      </c>
      <c r="AS1094" s="3" t="s">
        <v>92</v>
      </c>
      <c r="AT1094" s="5" t="s">
        <v>371</v>
      </c>
      <c r="AU1094" s="5" t="s">
        <v>371</v>
      </c>
      <c r="AV1094" s="5" t="s">
        <v>371</v>
      </c>
      <c r="AW1094" s="3" t="s">
        <v>92</v>
      </c>
      <c r="AX1094" s="5" t="s">
        <v>371</v>
      </c>
      <c r="AY1094" s="5"/>
      <c r="AZ1094" s="740"/>
      <c r="BA1094" s="518"/>
      <c r="BB1094" s="741"/>
      <c r="BC1094" s="741"/>
      <c r="BD1094" s="741"/>
      <c r="BE1094" s="742"/>
    </row>
    <row r="1095" spans="1:57" ht="15" customHeight="1" x14ac:dyDescent="0.4">
      <c r="A1095" s="3"/>
      <c r="B1095" s="4"/>
      <c r="C1095" s="1593"/>
      <c r="D1095" s="1593"/>
      <c r="E1095" s="1593"/>
      <c r="F1095" s="1593"/>
      <c r="G1095" s="1593"/>
      <c r="H1095" s="10"/>
      <c r="I1095" s="4"/>
      <c r="J1095" s="3"/>
      <c r="K1095" s="3"/>
      <c r="L1095" s="3"/>
      <c r="M1095" s="3"/>
      <c r="N1095" s="3"/>
      <c r="O1095" s="3"/>
      <c r="P1095" s="3"/>
      <c r="Q1095" s="3"/>
      <c r="R1095" s="3"/>
      <c r="S1095" s="5"/>
      <c r="T1095" s="3"/>
      <c r="U1095" s="14"/>
      <c r="V1095" s="38"/>
      <c r="W1095" s="38" t="s">
        <v>1881</v>
      </c>
      <c r="X1095" s="38"/>
      <c r="Y1095" s="1445">
        <v>300060000004</v>
      </c>
      <c r="Z1095" s="1445"/>
      <c r="AA1095" s="1445"/>
      <c r="AB1095" s="558"/>
      <c r="AC1095" s="3"/>
      <c r="AD1095" s="3"/>
      <c r="AE1095" s="5"/>
      <c r="AF1095" s="3"/>
      <c r="AG1095" s="216"/>
      <c r="AH1095" s="3"/>
      <c r="AI1095" s="51"/>
      <c r="AJ1095" s="3"/>
      <c r="AK1095" s="3"/>
      <c r="AL1095" s="3"/>
      <c r="AM1095" s="51"/>
      <c r="AN1095" s="5" t="s">
        <v>371</v>
      </c>
      <c r="AO1095" s="5" t="s">
        <v>371</v>
      </c>
      <c r="AP1095" s="3" t="s">
        <v>371</v>
      </c>
      <c r="AQ1095" s="3" t="s">
        <v>371</v>
      </c>
      <c r="AR1095" s="5" t="s">
        <v>92</v>
      </c>
      <c r="AS1095" s="3" t="s">
        <v>92</v>
      </c>
      <c r="AT1095" s="5" t="s">
        <v>371</v>
      </c>
      <c r="AU1095" s="5" t="s">
        <v>371</v>
      </c>
      <c r="AV1095" s="5" t="s">
        <v>371</v>
      </c>
      <c r="AW1095" s="3" t="s">
        <v>92</v>
      </c>
      <c r="AX1095" s="5" t="s">
        <v>371</v>
      </c>
      <c r="AY1095" s="5"/>
      <c r="AZ1095" s="740"/>
      <c r="BA1095" s="518"/>
      <c r="BB1095" s="741"/>
      <c r="BC1095" s="741"/>
      <c r="BD1095" s="741"/>
      <c r="BE1095" s="742"/>
    </row>
    <row r="1096" spans="1:57" ht="15" customHeight="1" x14ac:dyDescent="0.4">
      <c r="A1096" s="3"/>
      <c r="B1096" s="4"/>
      <c r="C1096" s="1593"/>
      <c r="D1096" s="1593"/>
      <c r="E1096" s="1593"/>
      <c r="F1096" s="1593"/>
      <c r="G1096" s="1593"/>
      <c r="H1096" s="10"/>
      <c r="I1096" s="4"/>
      <c r="J1096" s="3"/>
      <c r="K1096" s="3"/>
      <c r="L1096" s="3"/>
      <c r="M1096" s="3"/>
      <c r="N1096" s="3"/>
      <c r="O1096" s="3"/>
      <c r="P1096" s="3"/>
      <c r="Q1096" s="3"/>
      <c r="R1096" s="3"/>
      <c r="S1096" s="5"/>
      <c r="T1096" s="3"/>
      <c r="U1096" s="14"/>
      <c r="V1096" s="38"/>
      <c r="W1096" s="38" t="s">
        <v>1882</v>
      </c>
      <c r="X1096" s="38"/>
      <c r="Y1096" s="1445">
        <v>300060000005</v>
      </c>
      <c r="Z1096" s="1445"/>
      <c r="AA1096" s="1445"/>
      <c r="AB1096" s="558"/>
      <c r="AC1096" s="3"/>
      <c r="AD1096" s="3"/>
      <c r="AE1096" s="5"/>
      <c r="AF1096" s="3"/>
      <c r="AG1096" s="216"/>
      <c r="AH1096" s="3"/>
      <c r="AI1096" s="51"/>
      <c r="AJ1096" s="3"/>
      <c r="AK1096" s="3"/>
      <c r="AL1096" s="3"/>
      <c r="AM1096" s="51"/>
      <c r="AN1096" s="5" t="s">
        <v>371</v>
      </c>
      <c r="AO1096" s="5" t="s">
        <v>371</v>
      </c>
      <c r="AP1096" s="3" t="s">
        <v>371</v>
      </c>
      <c r="AQ1096" s="3" t="s">
        <v>371</v>
      </c>
      <c r="AR1096" s="5" t="s">
        <v>92</v>
      </c>
      <c r="AS1096" s="3" t="s">
        <v>92</v>
      </c>
      <c r="AT1096" s="5" t="s">
        <v>371</v>
      </c>
      <c r="AU1096" s="5" t="s">
        <v>371</v>
      </c>
      <c r="AV1096" s="5" t="s">
        <v>371</v>
      </c>
      <c r="AW1096" s="3" t="s">
        <v>92</v>
      </c>
      <c r="AX1096" s="5" t="s">
        <v>371</v>
      </c>
      <c r="AY1096" s="5"/>
      <c r="AZ1096" s="740"/>
      <c r="BA1096" s="518"/>
      <c r="BB1096" s="741"/>
      <c r="BC1096" s="741"/>
      <c r="BD1096" s="741"/>
      <c r="BE1096" s="742"/>
    </row>
    <row r="1097" spans="1:57" ht="15" customHeight="1" x14ac:dyDescent="0.4">
      <c r="A1097" s="3"/>
      <c r="B1097" s="4"/>
      <c r="C1097" s="1594"/>
      <c r="D1097" s="1594"/>
      <c r="E1097" s="1594"/>
      <c r="F1097" s="1594"/>
      <c r="G1097" s="1594"/>
      <c r="H1097" s="743"/>
      <c r="I1097" s="573"/>
      <c r="J1097" s="577"/>
      <c r="K1097" s="577"/>
      <c r="L1097" s="577"/>
      <c r="M1097" s="577"/>
      <c r="N1097" s="577"/>
      <c r="O1097" s="577"/>
      <c r="P1097" s="577"/>
      <c r="Q1097" s="577"/>
      <c r="R1097" s="577"/>
      <c r="S1097" s="575"/>
      <c r="T1097" s="577"/>
      <c r="U1097" s="574"/>
      <c r="V1097" s="579"/>
      <c r="W1097" s="579" t="s">
        <v>1883</v>
      </c>
      <c r="X1097" s="579"/>
      <c r="Y1097" s="1460">
        <v>300060000006</v>
      </c>
      <c r="Z1097" s="1460"/>
      <c r="AA1097" s="1460"/>
      <c r="AB1097" s="738"/>
      <c r="AC1097" s="577"/>
      <c r="AD1097" s="577"/>
      <c r="AE1097" s="575"/>
      <c r="AF1097" s="577"/>
      <c r="AG1097" s="744"/>
      <c r="AH1097" s="577"/>
      <c r="AI1097" s="626"/>
      <c r="AJ1097" s="577"/>
      <c r="AK1097" s="577"/>
      <c r="AL1097" s="577"/>
      <c r="AM1097" s="626"/>
      <c r="AN1097" s="575" t="s">
        <v>371</v>
      </c>
      <c r="AO1097" s="575" t="s">
        <v>371</v>
      </c>
      <c r="AP1097" s="577" t="s">
        <v>371</v>
      </c>
      <c r="AQ1097" s="577" t="s">
        <v>371</v>
      </c>
      <c r="AR1097" s="575" t="s">
        <v>92</v>
      </c>
      <c r="AS1097" s="577" t="s">
        <v>92</v>
      </c>
      <c r="AT1097" s="575" t="s">
        <v>371</v>
      </c>
      <c r="AU1097" s="575" t="s">
        <v>371</v>
      </c>
      <c r="AV1097" s="575" t="s">
        <v>371</v>
      </c>
      <c r="AW1097" s="577" t="s">
        <v>92</v>
      </c>
      <c r="AX1097" s="575" t="s">
        <v>371</v>
      </c>
      <c r="AY1097" s="575"/>
      <c r="AZ1097" s="740"/>
      <c r="BA1097" s="518"/>
      <c r="BB1097" s="741"/>
      <c r="BC1097" s="741"/>
      <c r="BD1097" s="741"/>
      <c r="BE1097" s="742"/>
    </row>
    <row r="1098" spans="1:57" ht="15" customHeight="1" x14ac:dyDescent="0.4">
      <c r="A1098" s="3"/>
      <c r="B1098" s="4"/>
      <c r="C1098" s="2006" t="s">
        <v>2288</v>
      </c>
      <c r="D1098" s="2006"/>
      <c r="E1098" s="2006"/>
      <c r="F1098" s="2006"/>
      <c r="G1098" s="2006"/>
      <c r="H1098" s="1388"/>
      <c r="I1098" s="582" t="s">
        <v>392</v>
      </c>
      <c r="J1098" s="130"/>
      <c r="K1098" s="130"/>
      <c r="L1098" s="130" t="s">
        <v>348</v>
      </c>
      <c r="M1098" s="130">
        <v>-1.25</v>
      </c>
      <c r="N1098" s="130"/>
      <c r="O1098" s="130"/>
      <c r="P1098" s="130"/>
      <c r="Q1098" s="130"/>
      <c r="R1098" s="130" t="s">
        <v>352</v>
      </c>
      <c r="S1098" s="584">
        <f>(SHWidth+M1098)</f>
        <v>37.3125</v>
      </c>
      <c r="T1098" s="130" t="s">
        <v>366</v>
      </c>
      <c r="U1098" s="583"/>
      <c r="V1098" s="587" t="s">
        <v>8</v>
      </c>
      <c r="W1098" s="587" t="s">
        <v>8</v>
      </c>
      <c r="X1098" s="587" t="s">
        <v>8</v>
      </c>
      <c r="Y1098" s="1452">
        <v>300061000</v>
      </c>
      <c r="Z1098" s="1452"/>
      <c r="AA1098" s="1452"/>
      <c r="AB1098" s="1389"/>
      <c r="AC1098" s="130">
        <v>45</v>
      </c>
      <c r="AD1098" s="130">
        <v>2</v>
      </c>
      <c r="AE1098" s="584">
        <f>S1098/12*AD1098+S1099/12*AD1099</f>
        <v>18.552083333333336</v>
      </c>
      <c r="AF1098" s="130" t="s">
        <v>367</v>
      </c>
      <c r="AG1098" s="1390"/>
      <c r="AH1098" s="130"/>
      <c r="AI1098" s="1442"/>
      <c r="AJ1098" s="130"/>
      <c r="AK1098" s="130"/>
      <c r="AL1098" s="130"/>
      <c r="AM1098" s="1046">
        <f>AE1098*AI1098+SUM(AJ1098:AL1098)</f>
        <v>0</v>
      </c>
      <c r="AN1098" s="584" t="s">
        <v>371</v>
      </c>
      <c r="AO1098" s="584" t="s">
        <v>371</v>
      </c>
      <c r="AP1098" s="130" t="s">
        <v>371</v>
      </c>
      <c r="AQ1098" s="130" t="s">
        <v>371</v>
      </c>
      <c r="AR1098" s="584" t="s">
        <v>92</v>
      </c>
      <c r="AS1098" s="130" t="s">
        <v>92</v>
      </c>
      <c r="AT1098" s="584" t="s">
        <v>371</v>
      </c>
      <c r="AU1098" s="584" t="s">
        <v>371</v>
      </c>
      <c r="AV1098" s="584" t="s">
        <v>371</v>
      </c>
      <c r="AW1098" s="130" t="s">
        <v>92</v>
      </c>
      <c r="AX1098" s="584" t="s">
        <v>371</v>
      </c>
      <c r="AY1098" s="584"/>
      <c r="AZ1098" s="740"/>
      <c r="BA1098" s="518"/>
      <c r="BB1098" s="741"/>
      <c r="BC1098" s="741"/>
      <c r="BD1098" s="741"/>
      <c r="BE1098" s="742"/>
    </row>
    <row r="1099" spans="1:57" ht="15" customHeight="1" x14ac:dyDescent="0.4">
      <c r="A1099" s="3"/>
      <c r="B1099" s="4"/>
      <c r="C1099" s="2007"/>
      <c r="D1099" s="2007"/>
      <c r="E1099" s="2007"/>
      <c r="F1099" s="2007"/>
      <c r="G1099" s="2007"/>
      <c r="H1099" s="743"/>
      <c r="I1099" s="573" t="s">
        <v>365</v>
      </c>
      <c r="J1099" s="577"/>
      <c r="K1099" s="577"/>
      <c r="L1099" s="577"/>
      <c r="M1099" s="577"/>
      <c r="N1099" s="577"/>
      <c r="O1099" s="577"/>
      <c r="P1099" s="577"/>
      <c r="Q1099" s="577"/>
      <c r="R1099" s="577" t="s">
        <v>352</v>
      </c>
      <c r="S1099" s="575">
        <f>SHHeight</f>
        <v>74</v>
      </c>
      <c r="T1099" s="577" t="s">
        <v>366</v>
      </c>
      <c r="U1099" s="574"/>
      <c r="V1099" s="579"/>
      <c r="W1099" s="579"/>
      <c r="X1099" s="579"/>
      <c r="Y1099" s="1460"/>
      <c r="Z1099" s="1460"/>
      <c r="AA1099" s="1460"/>
      <c r="AB1099" s="738"/>
      <c r="AC1099" s="577"/>
      <c r="AD1099" s="577">
        <v>2</v>
      </c>
      <c r="AE1099" s="575"/>
      <c r="AF1099" s="577"/>
      <c r="AG1099" s="744"/>
      <c r="AH1099" s="577"/>
      <c r="AI1099" s="1425"/>
      <c r="AJ1099" s="577"/>
      <c r="AK1099" s="577"/>
      <c r="AL1099" s="577"/>
      <c r="AM1099" s="626"/>
      <c r="AN1099" s="575" t="s">
        <v>371</v>
      </c>
      <c r="AO1099" s="575" t="s">
        <v>371</v>
      </c>
      <c r="AP1099" s="577" t="s">
        <v>371</v>
      </c>
      <c r="AQ1099" s="577" t="s">
        <v>371</v>
      </c>
      <c r="AR1099" s="575" t="s">
        <v>92</v>
      </c>
      <c r="AS1099" s="577" t="s">
        <v>92</v>
      </c>
      <c r="AT1099" s="575" t="s">
        <v>371</v>
      </c>
      <c r="AU1099" s="575" t="s">
        <v>371</v>
      </c>
      <c r="AV1099" s="575" t="s">
        <v>371</v>
      </c>
      <c r="AW1099" s="577" t="s">
        <v>92</v>
      </c>
      <c r="AX1099" s="575" t="s">
        <v>371</v>
      </c>
      <c r="AY1099" s="575"/>
      <c r="AZ1099" s="740"/>
      <c r="BA1099" s="518"/>
      <c r="BB1099" s="741"/>
      <c r="BC1099" s="741"/>
      <c r="BD1099" s="741"/>
      <c r="BE1099" s="742"/>
    </row>
    <row r="1100" spans="1:57" ht="15" customHeight="1" x14ac:dyDescent="0.4">
      <c r="A1100" s="3"/>
      <c r="B1100" s="4"/>
      <c r="C1100" s="1953" t="s">
        <v>2289</v>
      </c>
      <c r="D1100" s="1953"/>
      <c r="E1100" s="1953"/>
      <c r="F1100" s="1953"/>
      <c r="G1100" s="1953"/>
      <c r="H1100" s="10"/>
      <c r="I1100" s="4" t="s">
        <v>392</v>
      </c>
      <c r="J1100" s="3"/>
      <c r="K1100" s="3"/>
      <c r="L1100" s="3" t="s">
        <v>348</v>
      </c>
      <c r="M1100" s="3">
        <v>-1.25</v>
      </c>
      <c r="N1100" s="3"/>
      <c r="O1100" s="3"/>
      <c r="P1100" s="3"/>
      <c r="Q1100" s="3"/>
      <c r="R1100" s="3" t="s">
        <v>352</v>
      </c>
      <c r="S1100" s="5">
        <f>(SHWidth+M1100)</f>
        <v>37.3125</v>
      </c>
      <c r="T1100" s="3" t="s">
        <v>366</v>
      </c>
      <c r="U1100" s="14"/>
      <c r="V1100" s="38" t="s">
        <v>8</v>
      </c>
      <c r="W1100" s="38" t="s">
        <v>8</v>
      </c>
      <c r="X1100" s="38" t="s">
        <v>8</v>
      </c>
      <c r="Y1100" s="1443">
        <v>300062000</v>
      </c>
      <c r="Z1100" s="1443"/>
      <c r="AA1100" s="1443"/>
      <c r="AB1100" s="558"/>
      <c r="AC1100" s="3">
        <v>45</v>
      </c>
      <c r="AD1100" s="3">
        <v>2</v>
      </c>
      <c r="AE1100" s="5">
        <f>S1100/12*AD1100+S1101/12*AD1101</f>
        <v>18.552083333333336</v>
      </c>
      <c r="AF1100" s="3" t="s">
        <v>367</v>
      </c>
      <c r="AG1100" s="216"/>
      <c r="AH1100" s="3"/>
      <c r="AI1100" s="353"/>
      <c r="AJ1100" s="3"/>
      <c r="AK1100" s="3"/>
      <c r="AL1100" s="3"/>
      <c r="AM1100" s="51">
        <f>AE1100*AI1100+SUM(AJ1100:AL1100)</f>
        <v>0</v>
      </c>
      <c r="AN1100" s="5" t="s">
        <v>371</v>
      </c>
      <c r="AO1100" s="5" t="s">
        <v>371</v>
      </c>
      <c r="AP1100" s="3" t="s">
        <v>371</v>
      </c>
      <c r="AQ1100" s="5" t="s">
        <v>371</v>
      </c>
      <c r="AR1100" s="5" t="s">
        <v>92</v>
      </c>
      <c r="AS1100" s="3" t="s">
        <v>92</v>
      </c>
      <c r="AT1100" s="5" t="s">
        <v>371</v>
      </c>
      <c r="AU1100" s="5" t="s">
        <v>371</v>
      </c>
      <c r="AV1100" s="5" t="s">
        <v>371</v>
      </c>
      <c r="AW1100" s="3" t="s">
        <v>92</v>
      </c>
      <c r="AX1100" s="5" t="s">
        <v>371</v>
      </c>
      <c r="AY1100" s="5"/>
      <c r="AZ1100" s="740"/>
      <c r="BA1100" s="518"/>
      <c r="BB1100" s="741"/>
      <c r="BC1100" s="741"/>
      <c r="BD1100" s="741"/>
      <c r="BE1100" s="742"/>
    </row>
    <row r="1101" spans="1:57" ht="15" customHeight="1" x14ac:dyDescent="0.4">
      <c r="A1101" s="3"/>
      <c r="B1101" s="4"/>
      <c r="C1101" s="1953"/>
      <c r="D1101" s="1953"/>
      <c r="E1101" s="1953"/>
      <c r="F1101" s="1953"/>
      <c r="G1101" s="1953"/>
      <c r="H1101" s="10"/>
      <c r="I1101" s="4" t="s">
        <v>365</v>
      </c>
      <c r="J1101" s="3"/>
      <c r="K1101" s="3"/>
      <c r="L1101" s="3"/>
      <c r="M1101" s="3"/>
      <c r="N1101" s="3"/>
      <c r="O1101" s="3"/>
      <c r="P1101" s="3"/>
      <c r="Q1101" s="3"/>
      <c r="R1101" s="3" t="s">
        <v>352</v>
      </c>
      <c r="S1101" s="5">
        <f>SHHeight</f>
        <v>74</v>
      </c>
      <c r="T1101" s="3" t="s">
        <v>366</v>
      </c>
      <c r="U1101" s="14"/>
      <c r="V1101" s="38"/>
      <c r="W1101" s="38"/>
      <c r="X1101" s="38"/>
      <c r="Y1101" s="1445"/>
      <c r="Z1101" s="1445"/>
      <c r="AA1101" s="1445"/>
      <c r="AB1101" s="558"/>
      <c r="AC1101" s="3"/>
      <c r="AD1101" s="3">
        <v>2</v>
      </c>
      <c r="AE1101" s="5"/>
      <c r="AF1101" s="3"/>
      <c r="AG1101" s="216"/>
      <c r="AH1101" s="3"/>
      <c r="AI1101" s="353"/>
      <c r="AJ1101" s="3"/>
      <c r="AK1101" s="3"/>
      <c r="AL1101" s="3"/>
      <c r="AM1101" s="51"/>
      <c r="AN1101" s="575" t="s">
        <v>371</v>
      </c>
      <c r="AO1101" s="575" t="s">
        <v>371</v>
      </c>
      <c r="AP1101" s="577" t="s">
        <v>371</v>
      </c>
      <c r="AQ1101" s="577" t="s">
        <v>371</v>
      </c>
      <c r="AR1101" s="575" t="s">
        <v>92</v>
      </c>
      <c r="AS1101" s="577" t="s">
        <v>92</v>
      </c>
      <c r="AT1101" s="575" t="s">
        <v>371</v>
      </c>
      <c r="AU1101" s="575" t="s">
        <v>371</v>
      </c>
      <c r="AV1101" s="575" t="s">
        <v>371</v>
      </c>
      <c r="AW1101" s="577" t="s">
        <v>92</v>
      </c>
      <c r="AX1101" s="575" t="s">
        <v>371</v>
      </c>
      <c r="AY1101" s="5"/>
      <c r="AZ1101" s="740"/>
      <c r="BA1101" s="518"/>
      <c r="BB1101" s="741"/>
      <c r="BC1101" s="741"/>
      <c r="BD1101" s="741"/>
      <c r="BE1101" s="742"/>
    </row>
    <row r="1102" spans="1:57" ht="15" customHeight="1" x14ac:dyDescent="0.4">
      <c r="A1102" s="3"/>
      <c r="B1102" s="4"/>
      <c r="C1102" s="2006" t="s">
        <v>2290</v>
      </c>
      <c r="D1102" s="2006"/>
      <c r="E1102" s="2006"/>
      <c r="F1102" s="2006"/>
      <c r="G1102" s="2006"/>
      <c r="H1102" s="1388"/>
      <c r="I1102" s="582" t="s">
        <v>392</v>
      </c>
      <c r="J1102" s="130"/>
      <c r="K1102" s="130"/>
      <c r="L1102" s="130" t="s">
        <v>348</v>
      </c>
      <c r="M1102" s="130">
        <v>-1.25</v>
      </c>
      <c r="N1102" s="130"/>
      <c r="O1102" s="130"/>
      <c r="P1102" s="130"/>
      <c r="Q1102" s="130"/>
      <c r="R1102" s="130" t="s">
        <v>352</v>
      </c>
      <c r="S1102" s="584">
        <f>(SHWidth+M1102)</f>
        <v>37.3125</v>
      </c>
      <c r="T1102" s="130" t="s">
        <v>366</v>
      </c>
      <c r="U1102" s="583"/>
      <c r="V1102" s="587" t="s">
        <v>8</v>
      </c>
      <c r="W1102" s="587" t="s">
        <v>8</v>
      </c>
      <c r="X1102" s="587" t="s">
        <v>8</v>
      </c>
      <c r="Y1102" s="1452">
        <v>300063000</v>
      </c>
      <c r="Z1102" s="1452"/>
      <c r="AA1102" s="1452"/>
      <c r="AB1102" s="1389"/>
      <c r="AC1102" s="130">
        <v>45</v>
      </c>
      <c r="AD1102" s="130">
        <v>2</v>
      </c>
      <c r="AE1102" s="584">
        <f>S1102/12*AD1102+S1103/12*AD1103</f>
        <v>18.552083333333336</v>
      </c>
      <c r="AF1102" s="130" t="s">
        <v>367</v>
      </c>
      <c r="AG1102" s="1390"/>
      <c r="AH1102" s="130"/>
      <c r="AI1102" s="1442"/>
      <c r="AJ1102" s="130"/>
      <c r="AK1102" s="130"/>
      <c r="AL1102" s="130"/>
      <c r="AM1102" s="1046">
        <f>AE1102*AI1102+SUM(AJ1102:AL1102)</f>
        <v>0</v>
      </c>
      <c r="AN1102" s="584" t="s">
        <v>371</v>
      </c>
      <c r="AO1102" s="584" t="s">
        <v>371</v>
      </c>
      <c r="AP1102" s="130" t="s">
        <v>371</v>
      </c>
      <c r="AQ1102" s="130" t="s">
        <v>371</v>
      </c>
      <c r="AR1102" s="584" t="s">
        <v>92</v>
      </c>
      <c r="AS1102" s="130" t="s">
        <v>92</v>
      </c>
      <c r="AT1102" s="584" t="s">
        <v>371</v>
      </c>
      <c r="AU1102" s="584" t="s">
        <v>371</v>
      </c>
      <c r="AV1102" s="584" t="s">
        <v>371</v>
      </c>
      <c r="AW1102" s="130" t="s">
        <v>92</v>
      </c>
      <c r="AX1102" s="584" t="s">
        <v>371</v>
      </c>
      <c r="AY1102" s="584"/>
      <c r="AZ1102" s="740"/>
      <c r="BA1102" s="518"/>
      <c r="BB1102" s="741"/>
      <c r="BC1102" s="741"/>
      <c r="BD1102" s="741"/>
      <c r="BE1102" s="742"/>
    </row>
    <row r="1103" spans="1:57" ht="15" customHeight="1" thickBot="1" x14ac:dyDescent="0.45">
      <c r="A1103" s="3"/>
      <c r="B1103" s="4"/>
      <c r="C1103" s="2008"/>
      <c r="D1103" s="2008"/>
      <c r="E1103" s="2008"/>
      <c r="F1103" s="2008"/>
      <c r="G1103" s="2008"/>
      <c r="H1103" s="1422"/>
      <c r="I1103" s="968" t="s">
        <v>365</v>
      </c>
      <c r="J1103" s="889"/>
      <c r="K1103" s="889"/>
      <c r="L1103" s="889"/>
      <c r="M1103" s="889"/>
      <c r="N1103" s="889"/>
      <c r="O1103" s="889"/>
      <c r="P1103" s="889"/>
      <c r="Q1103" s="889"/>
      <c r="R1103" s="889" t="s">
        <v>352</v>
      </c>
      <c r="S1103" s="945">
        <f>SHHeight</f>
        <v>74</v>
      </c>
      <c r="T1103" s="889" t="s">
        <v>366</v>
      </c>
      <c r="U1103" s="948"/>
      <c r="V1103" s="888"/>
      <c r="W1103" s="888"/>
      <c r="X1103" s="888"/>
      <c r="Y1103" s="1451"/>
      <c r="Z1103" s="1451"/>
      <c r="AA1103" s="1451"/>
      <c r="AB1103" s="1596"/>
      <c r="AC1103" s="889"/>
      <c r="AD1103" s="889">
        <v>2</v>
      </c>
      <c r="AE1103" s="945"/>
      <c r="AF1103" s="889"/>
      <c r="AG1103" s="1597"/>
      <c r="AH1103" s="889"/>
      <c r="AI1103" s="1424"/>
      <c r="AJ1103" s="889"/>
      <c r="AK1103" s="889"/>
      <c r="AL1103" s="889"/>
      <c r="AM1103" s="937"/>
      <c r="AN1103" s="945" t="s">
        <v>371</v>
      </c>
      <c r="AO1103" s="945" t="s">
        <v>371</v>
      </c>
      <c r="AP1103" s="889" t="s">
        <v>371</v>
      </c>
      <c r="AQ1103" s="889" t="s">
        <v>371</v>
      </c>
      <c r="AR1103" s="945" t="s">
        <v>92</v>
      </c>
      <c r="AS1103" s="889" t="s">
        <v>92</v>
      </c>
      <c r="AT1103" s="945" t="s">
        <v>371</v>
      </c>
      <c r="AU1103" s="945" t="s">
        <v>371</v>
      </c>
      <c r="AV1103" s="945" t="s">
        <v>371</v>
      </c>
      <c r="AW1103" s="889" t="s">
        <v>92</v>
      </c>
      <c r="AX1103" s="945" t="s">
        <v>371</v>
      </c>
      <c r="AY1103" s="945"/>
      <c r="AZ1103" s="740"/>
      <c r="BA1103" s="518"/>
      <c r="BB1103" s="741"/>
      <c r="BC1103" s="741"/>
      <c r="BD1103" s="741"/>
      <c r="BE1103" s="742"/>
    </row>
    <row r="1104" spans="1:57" ht="15" customHeight="1" x14ac:dyDescent="0.4">
      <c r="A1104" s="3"/>
      <c r="B1104" s="4"/>
      <c r="C1104" s="1953" t="s">
        <v>2278</v>
      </c>
      <c r="D1104" s="1953"/>
      <c r="E1104" s="1953"/>
      <c r="F1104" s="1953"/>
      <c r="G1104" s="1953"/>
      <c r="H1104" s="10"/>
      <c r="I1104" s="4" t="s">
        <v>392</v>
      </c>
      <c r="J1104" s="3"/>
      <c r="K1104" s="3"/>
      <c r="L1104" s="3" t="s">
        <v>348</v>
      </c>
      <c r="M1104" s="3">
        <v>-1.25</v>
      </c>
      <c r="N1104" s="3"/>
      <c r="O1104" s="3"/>
      <c r="P1104" s="3"/>
      <c r="Q1104" s="3"/>
      <c r="R1104" s="3" t="s">
        <v>352</v>
      </c>
      <c r="S1104" s="5">
        <f>(SHWidth+M1104)</f>
        <v>37.3125</v>
      </c>
      <c r="T1104" s="3" t="s">
        <v>366</v>
      </c>
      <c r="U1104" s="14"/>
      <c r="V1104" s="38" t="s">
        <v>8</v>
      </c>
      <c r="W1104" s="38" t="s">
        <v>8</v>
      </c>
      <c r="X1104" s="38" t="s">
        <v>8</v>
      </c>
      <c r="Y1104" s="1443">
        <v>300064007</v>
      </c>
      <c r="Z1104" s="1443"/>
      <c r="AA1104" s="1443"/>
      <c r="AB1104" s="558"/>
      <c r="AC1104" s="3">
        <v>45</v>
      </c>
      <c r="AD1104" s="3">
        <v>2</v>
      </c>
      <c r="AE1104" s="5">
        <f>S1104/12*AD1104+S1105/12*AD1105</f>
        <v>18.552083333333336</v>
      </c>
      <c r="AF1104" s="3" t="s">
        <v>367</v>
      </c>
      <c r="AG1104" s="216"/>
      <c r="AH1104" s="3"/>
      <c r="AI1104" s="353">
        <v>0.3</v>
      </c>
      <c r="AJ1104" s="3"/>
      <c r="AK1104" s="3"/>
      <c r="AL1104" s="3"/>
      <c r="AM1104" s="51">
        <f>AE1104*AI1104+SUM(AJ1104:AL1104)</f>
        <v>5.5656250000000007</v>
      </c>
      <c r="AN1104" s="5" t="s">
        <v>92</v>
      </c>
      <c r="AO1104" s="5" t="s">
        <v>92</v>
      </c>
      <c r="AP1104" s="5" t="s">
        <v>92</v>
      </c>
      <c r="AQ1104" s="5" t="s">
        <v>92</v>
      </c>
      <c r="AR1104" s="5" t="s">
        <v>371</v>
      </c>
      <c r="AS1104" s="5" t="s">
        <v>81</v>
      </c>
      <c r="AT1104" s="5" t="s">
        <v>92</v>
      </c>
      <c r="AU1104" s="5" t="s">
        <v>92</v>
      </c>
      <c r="AV1104" s="5" t="s">
        <v>92</v>
      </c>
      <c r="AW1104" s="5" t="s">
        <v>371</v>
      </c>
      <c r="AX1104" s="5" t="s">
        <v>92</v>
      </c>
      <c r="AY1104" s="5"/>
      <c r="AZ1104" s="740"/>
      <c r="BA1104" s="518"/>
      <c r="BB1104" s="741"/>
      <c r="BC1104" s="741"/>
      <c r="BD1104" s="741"/>
      <c r="BE1104" s="742"/>
    </row>
    <row r="1105" spans="1:57" ht="15" customHeight="1" x14ac:dyDescent="0.4">
      <c r="A1105" s="3"/>
      <c r="B1105" s="4"/>
      <c r="C1105" s="1953"/>
      <c r="D1105" s="1953"/>
      <c r="E1105" s="1953"/>
      <c r="F1105" s="1953"/>
      <c r="G1105" s="1953"/>
      <c r="H1105" s="10"/>
      <c r="I1105" s="4" t="s">
        <v>365</v>
      </c>
      <c r="J1105" s="3"/>
      <c r="K1105" s="3"/>
      <c r="L1105" s="3"/>
      <c r="M1105" s="3"/>
      <c r="N1105" s="3"/>
      <c r="O1105" s="3"/>
      <c r="P1105" s="3"/>
      <c r="Q1105" s="3"/>
      <c r="R1105" s="3" t="s">
        <v>352</v>
      </c>
      <c r="S1105" s="5">
        <f>SHHeight</f>
        <v>74</v>
      </c>
      <c r="T1105" s="3" t="s">
        <v>366</v>
      </c>
      <c r="U1105" s="14"/>
      <c r="V1105" s="38"/>
      <c r="W1105" s="38" t="s">
        <v>1884</v>
      </c>
      <c r="X1105" s="38"/>
      <c r="Y1105" s="1445">
        <v>300064007001</v>
      </c>
      <c r="Z1105" s="1445"/>
      <c r="AA1105" s="1445"/>
      <c r="AB1105" s="558"/>
      <c r="AC1105" s="3"/>
      <c r="AD1105" s="3">
        <v>2</v>
      </c>
      <c r="AE1105" s="5"/>
      <c r="AF1105" s="3"/>
      <c r="AG1105" s="216"/>
      <c r="AH1105" s="3"/>
      <c r="AI1105" s="353">
        <v>0.79</v>
      </c>
      <c r="AJ1105" s="3"/>
      <c r="AK1105" s="3"/>
      <c r="AL1105" s="3"/>
      <c r="AM1105" s="51"/>
      <c r="AN1105" s="5" t="s">
        <v>92</v>
      </c>
      <c r="AO1105" s="5" t="s">
        <v>92</v>
      </c>
      <c r="AP1105" s="3" t="s">
        <v>92</v>
      </c>
      <c r="AQ1105" s="5" t="s">
        <v>92</v>
      </c>
      <c r="AR1105" s="5" t="s">
        <v>371</v>
      </c>
      <c r="AS1105" s="3" t="s">
        <v>371</v>
      </c>
      <c r="AT1105" s="5" t="s">
        <v>92</v>
      </c>
      <c r="AU1105" s="5" t="s">
        <v>92</v>
      </c>
      <c r="AV1105" s="5" t="s">
        <v>92</v>
      </c>
      <c r="AW1105" s="5" t="s">
        <v>371</v>
      </c>
      <c r="AX1105" s="5" t="s">
        <v>92</v>
      </c>
      <c r="AY1105" s="5"/>
      <c r="AZ1105" s="740"/>
      <c r="BA1105" s="518"/>
      <c r="BB1105" s="741"/>
      <c r="BC1105" s="741"/>
      <c r="BD1105" s="741"/>
      <c r="BE1105" s="742"/>
    </row>
    <row r="1106" spans="1:57" ht="15" customHeight="1" x14ac:dyDescent="0.4">
      <c r="A1106" s="3"/>
      <c r="B1106" s="4"/>
      <c r="C1106" s="1165"/>
      <c r="D1106" s="1165"/>
      <c r="E1106" s="1165"/>
      <c r="F1106" s="1165"/>
      <c r="G1106" s="1165"/>
      <c r="H1106" s="743"/>
      <c r="I1106" s="573"/>
      <c r="J1106" s="577"/>
      <c r="K1106" s="577"/>
      <c r="L1106" s="577"/>
      <c r="M1106" s="577"/>
      <c r="N1106" s="577"/>
      <c r="O1106" s="577"/>
      <c r="P1106" s="577"/>
      <c r="Q1106" s="577"/>
      <c r="R1106" s="577"/>
      <c r="S1106" s="575"/>
      <c r="T1106" s="577"/>
      <c r="U1106" s="574"/>
      <c r="V1106" s="579"/>
      <c r="W1106" s="579" t="s">
        <v>1889</v>
      </c>
      <c r="X1106" s="579"/>
      <c r="Y1106" s="1460">
        <v>300064007002</v>
      </c>
      <c r="Z1106" s="1460"/>
      <c r="AA1106" s="1460"/>
      <c r="AB1106" s="738"/>
      <c r="AC1106" s="577"/>
      <c r="AD1106" s="577"/>
      <c r="AE1106" s="575"/>
      <c r="AF1106" s="577"/>
      <c r="AG1106" s="744"/>
      <c r="AH1106" s="577"/>
      <c r="AI1106" s="1425">
        <v>1.62</v>
      </c>
      <c r="AJ1106" s="577"/>
      <c r="AK1106" s="577"/>
      <c r="AL1106" s="577"/>
      <c r="AM1106" s="626"/>
      <c r="AN1106" s="575" t="s">
        <v>92</v>
      </c>
      <c r="AO1106" s="575" t="s">
        <v>92</v>
      </c>
      <c r="AP1106" s="577" t="s">
        <v>92</v>
      </c>
      <c r="AQ1106" s="575" t="s">
        <v>92</v>
      </c>
      <c r="AR1106" s="575" t="s">
        <v>371</v>
      </c>
      <c r="AS1106" s="577" t="s">
        <v>371</v>
      </c>
      <c r="AT1106" s="575" t="s">
        <v>92</v>
      </c>
      <c r="AU1106" s="575" t="s">
        <v>92</v>
      </c>
      <c r="AV1106" s="575" t="s">
        <v>92</v>
      </c>
      <c r="AW1106" s="575" t="s">
        <v>371</v>
      </c>
      <c r="AX1106" s="575" t="s">
        <v>92</v>
      </c>
      <c r="AY1106" s="575"/>
      <c r="AZ1106" s="740"/>
      <c r="BA1106" s="518"/>
      <c r="BB1106" s="741"/>
      <c r="BC1106" s="741"/>
      <c r="BD1106" s="741"/>
      <c r="BE1106" s="742"/>
    </row>
    <row r="1107" spans="1:57" ht="15" customHeight="1" x14ac:dyDescent="0.4">
      <c r="A1107" s="3"/>
      <c r="B1107" s="4"/>
      <c r="C1107" s="1953" t="s">
        <v>2282</v>
      </c>
      <c r="D1107" s="1953"/>
      <c r="E1107" s="1953"/>
      <c r="F1107" s="1953"/>
      <c r="G1107" s="1953"/>
      <c r="H1107" s="10"/>
      <c r="I1107" s="4" t="s">
        <v>392</v>
      </c>
      <c r="J1107" s="3"/>
      <c r="K1107" s="3"/>
      <c r="L1107" s="3" t="s">
        <v>348</v>
      </c>
      <c r="M1107" s="3">
        <v>-1.25</v>
      </c>
      <c r="N1107" s="3"/>
      <c r="O1107" s="3"/>
      <c r="P1107" s="3"/>
      <c r="Q1107" s="3"/>
      <c r="R1107" s="3" t="s">
        <v>352</v>
      </c>
      <c r="S1107" s="5">
        <f>(SHWidth+M1107)</f>
        <v>37.3125</v>
      </c>
      <c r="T1107" s="3" t="s">
        <v>366</v>
      </c>
      <c r="U1107" s="14"/>
      <c r="V1107" s="38" t="s">
        <v>8</v>
      </c>
      <c r="W1107" s="38" t="s">
        <v>8</v>
      </c>
      <c r="X1107" s="38" t="s">
        <v>8</v>
      </c>
      <c r="Y1107" s="1443">
        <v>300065007</v>
      </c>
      <c r="Z1107" s="1443"/>
      <c r="AA1107" s="1443"/>
      <c r="AB1107" s="558"/>
      <c r="AC1107" s="3">
        <v>45</v>
      </c>
      <c r="AD1107" s="3">
        <v>2</v>
      </c>
      <c r="AE1107" s="5">
        <f>S1107/12*AD1107+S1108/12*AD1108</f>
        <v>18.552083333333336</v>
      </c>
      <c r="AF1107" s="3" t="s">
        <v>367</v>
      </c>
      <c r="AG1107" s="216"/>
      <c r="AH1107" s="3"/>
      <c r="AI1107" s="51"/>
      <c r="AJ1107" s="3"/>
      <c r="AK1107" s="3"/>
      <c r="AL1107" s="3"/>
      <c r="AM1107" s="51">
        <f>AE1107*AI1107+SUM(AJ1107:AL1107)</f>
        <v>0</v>
      </c>
      <c r="AN1107" s="5" t="s">
        <v>92</v>
      </c>
      <c r="AO1107" s="5" t="s">
        <v>92</v>
      </c>
      <c r="AP1107" s="5" t="s">
        <v>92</v>
      </c>
      <c r="AQ1107" s="5" t="s">
        <v>92</v>
      </c>
      <c r="AR1107" s="5" t="s">
        <v>371</v>
      </c>
      <c r="AS1107" s="3" t="s">
        <v>371</v>
      </c>
      <c r="AT1107" s="5" t="s">
        <v>92</v>
      </c>
      <c r="AU1107" s="5" t="s">
        <v>92</v>
      </c>
      <c r="AV1107" s="5" t="s">
        <v>92</v>
      </c>
      <c r="AW1107" s="5" t="s">
        <v>371</v>
      </c>
      <c r="AX1107" s="5" t="s">
        <v>92</v>
      </c>
      <c r="AY1107" s="5"/>
      <c r="AZ1107" s="740"/>
      <c r="BA1107" s="518"/>
      <c r="BB1107" s="741"/>
      <c r="BC1107" s="741"/>
      <c r="BD1107" s="741"/>
      <c r="BE1107" s="742"/>
    </row>
    <row r="1108" spans="1:57" ht="15" customHeight="1" x14ac:dyDescent="0.4">
      <c r="A1108" s="3"/>
      <c r="B1108" s="4"/>
      <c r="C1108" s="1954"/>
      <c r="D1108" s="1954"/>
      <c r="E1108" s="1954"/>
      <c r="F1108" s="1954"/>
      <c r="G1108" s="1954"/>
      <c r="H1108" s="743"/>
      <c r="I1108" s="573" t="s">
        <v>365</v>
      </c>
      <c r="J1108" s="577"/>
      <c r="K1108" s="577"/>
      <c r="L1108" s="577"/>
      <c r="M1108" s="577"/>
      <c r="N1108" s="577"/>
      <c r="O1108" s="577"/>
      <c r="P1108" s="577"/>
      <c r="Q1108" s="577"/>
      <c r="R1108" s="577" t="s">
        <v>352</v>
      </c>
      <c r="S1108" s="575">
        <f>SHHeight</f>
        <v>74</v>
      </c>
      <c r="T1108" s="577" t="s">
        <v>366</v>
      </c>
      <c r="U1108" s="574"/>
      <c r="V1108" s="579"/>
      <c r="W1108" s="579"/>
      <c r="X1108" s="579"/>
      <c r="Y1108" s="1446"/>
      <c r="Z1108" s="1446"/>
      <c r="AA1108" s="1446"/>
      <c r="AB1108" s="738"/>
      <c r="AC1108" s="577"/>
      <c r="AD1108" s="577">
        <v>2</v>
      </c>
      <c r="AE1108" s="577"/>
      <c r="AF1108" s="577"/>
      <c r="AG1108" s="744"/>
      <c r="AH1108" s="577"/>
      <c r="AI1108" s="626"/>
      <c r="AJ1108" s="577"/>
      <c r="AK1108" s="577"/>
      <c r="AL1108" s="577"/>
      <c r="AM1108" s="626"/>
      <c r="AN1108" s="575" t="s">
        <v>92</v>
      </c>
      <c r="AO1108" s="575" t="s">
        <v>92</v>
      </c>
      <c r="AP1108" s="577" t="s">
        <v>92</v>
      </c>
      <c r="AQ1108" s="575" t="s">
        <v>92</v>
      </c>
      <c r="AR1108" s="575" t="s">
        <v>371</v>
      </c>
      <c r="AS1108" s="577" t="s">
        <v>371</v>
      </c>
      <c r="AT1108" s="575" t="s">
        <v>92</v>
      </c>
      <c r="AU1108" s="575" t="s">
        <v>92</v>
      </c>
      <c r="AV1108" s="575" t="s">
        <v>92</v>
      </c>
      <c r="AW1108" s="575" t="s">
        <v>371</v>
      </c>
      <c r="AX1108" s="575" t="s">
        <v>92</v>
      </c>
      <c r="AY1108" s="575"/>
      <c r="AZ1108" s="740"/>
      <c r="BA1108" s="518"/>
      <c r="BB1108" s="741"/>
      <c r="BC1108" s="741"/>
      <c r="BD1108" s="741"/>
      <c r="BE1108" s="742"/>
    </row>
    <row r="1109" spans="1:57" ht="15" customHeight="1" x14ac:dyDescent="0.4">
      <c r="A1109" s="3"/>
      <c r="B1109" s="4"/>
      <c r="C1109" s="1953" t="s">
        <v>2281</v>
      </c>
      <c r="D1109" s="1953"/>
      <c r="E1109" s="1953"/>
      <c r="F1109" s="1953"/>
      <c r="G1109" s="1953"/>
      <c r="H1109" s="10"/>
      <c r="I1109" s="4" t="s">
        <v>392</v>
      </c>
      <c r="J1109" s="3"/>
      <c r="K1109" s="3"/>
      <c r="L1109" s="3" t="s">
        <v>348</v>
      </c>
      <c r="M1109" s="3">
        <v>-1.25</v>
      </c>
      <c r="N1109" s="3"/>
      <c r="O1109" s="3"/>
      <c r="P1109" s="3"/>
      <c r="Q1109" s="3"/>
      <c r="R1109" s="3" t="s">
        <v>352</v>
      </c>
      <c r="S1109" s="5">
        <f>(SHWidth+M1109)</f>
        <v>37.3125</v>
      </c>
      <c r="T1109" s="3" t="s">
        <v>366</v>
      </c>
      <c r="U1109" s="14"/>
      <c r="V1109" s="38" t="s">
        <v>8</v>
      </c>
      <c r="W1109" s="38" t="s">
        <v>8</v>
      </c>
      <c r="X1109" s="38" t="s">
        <v>8</v>
      </c>
      <c r="Y1109" s="1443">
        <v>300066007</v>
      </c>
      <c r="Z1109" s="1443"/>
      <c r="AA1109" s="1443"/>
      <c r="AB1109" s="558"/>
      <c r="AC1109" s="3">
        <v>45</v>
      </c>
      <c r="AD1109" s="3">
        <v>2</v>
      </c>
      <c r="AE1109" s="5">
        <f>S1109/12*AD1109+S1110/12*AD1110</f>
        <v>18.552083333333336</v>
      </c>
      <c r="AF1109" s="3" t="s">
        <v>367</v>
      </c>
      <c r="AG1109" s="216"/>
      <c r="AH1109" s="3"/>
      <c r="AI1109" s="353">
        <v>0.52</v>
      </c>
      <c r="AJ1109" s="3"/>
      <c r="AK1109" s="3"/>
      <c r="AL1109" s="3"/>
      <c r="AM1109" s="51">
        <f>AE1109*AI1109+SUM(AJ1109:AL1109)</f>
        <v>9.6470833333333346</v>
      </c>
      <c r="AN1109" s="5" t="s">
        <v>92</v>
      </c>
      <c r="AO1109" s="5" t="s">
        <v>92</v>
      </c>
      <c r="AP1109" s="5" t="s">
        <v>92</v>
      </c>
      <c r="AQ1109" s="5" t="s">
        <v>92</v>
      </c>
      <c r="AR1109" s="5" t="s">
        <v>371</v>
      </c>
      <c r="AS1109" s="3" t="s">
        <v>371</v>
      </c>
      <c r="AT1109" s="5" t="s">
        <v>92</v>
      </c>
      <c r="AU1109" s="5" t="s">
        <v>92</v>
      </c>
      <c r="AV1109" s="5" t="s">
        <v>92</v>
      </c>
      <c r="AW1109" s="5" t="s">
        <v>371</v>
      </c>
      <c r="AX1109" s="5" t="s">
        <v>92</v>
      </c>
      <c r="AY1109" s="5"/>
      <c r="AZ1109" s="740"/>
      <c r="BA1109" s="518"/>
      <c r="BB1109" s="741"/>
      <c r="BC1109" s="741"/>
      <c r="BD1109" s="741"/>
      <c r="BE1109" s="742"/>
    </row>
    <row r="1110" spans="1:57" ht="15" customHeight="1" x14ac:dyDescent="0.4">
      <c r="A1110" s="3"/>
      <c r="B1110" s="4"/>
      <c r="C1110" s="1954"/>
      <c r="D1110" s="1954"/>
      <c r="E1110" s="1954"/>
      <c r="F1110" s="1954"/>
      <c r="G1110" s="1954"/>
      <c r="H1110" s="743"/>
      <c r="I1110" s="573" t="s">
        <v>365</v>
      </c>
      <c r="J1110" s="577"/>
      <c r="K1110" s="577"/>
      <c r="L1110" s="577"/>
      <c r="M1110" s="577"/>
      <c r="N1110" s="577"/>
      <c r="O1110" s="577"/>
      <c r="P1110" s="577"/>
      <c r="Q1110" s="577"/>
      <c r="R1110" s="577" t="s">
        <v>352</v>
      </c>
      <c r="S1110" s="575">
        <f>SHHeight</f>
        <v>74</v>
      </c>
      <c r="T1110" s="577" t="s">
        <v>366</v>
      </c>
      <c r="U1110" s="574"/>
      <c r="V1110" s="579"/>
      <c r="W1110" s="579"/>
      <c r="X1110" s="579"/>
      <c r="Y1110" s="1446"/>
      <c r="Z1110" s="1446"/>
      <c r="AA1110" s="1446"/>
      <c r="AB1110" s="738"/>
      <c r="AC1110" s="577"/>
      <c r="AD1110" s="577">
        <v>2</v>
      </c>
      <c r="AE1110" s="577"/>
      <c r="AF1110" s="577"/>
      <c r="AG1110" s="744"/>
      <c r="AH1110" s="577"/>
      <c r="AI1110" s="626"/>
      <c r="AJ1110" s="577"/>
      <c r="AK1110" s="577"/>
      <c r="AL1110" s="577"/>
      <c r="AM1110" s="626"/>
      <c r="AN1110" s="575" t="s">
        <v>92</v>
      </c>
      <c r="AO1110" s="575" t="s">
        <v>92</v>
      </c>
      <c r="AP1110" s="577" t="s">
        <v>92</v>
      </c>
      <c r="AQ1110" s="575" t="s">
        <v>92</v>
      </c>
      <c r="AR1110" s="575" t="s">
        <v>371</v>
      </c>
      <c r="AS1110" s="577" t="s">
        <v>371</v>
      </c>
      <c r="AT1110" s="575" t="s">
        <v>92</v>
      </c>
      <c r="AU1110" s="575" t="s">
        <v>92</v>
      </c>
      <c r="AV1110" s="575" t="s">
        <v>92</v>
      </c>
      <c r="AW1110" s="575" t="s">
        <v>371</v>
      </c>
      <c r="AX1110" s="575" t="s">
        <v>92</v>
      </c>
      <c r="AY1110" s="575"/>
      <c r="AZ1110" s="740"/>
      <c r="BA1110" s="518"/>
      <c r="BB1110" s="741"/>
      <c r="BC1110" s="741"/>
      <c r="BD1110" s="741"/>
      <c r="BE1110" s="742"/>
    </row>
    <row r="1111" spans="1:57" ht="15" customHeight="1" x14ac:dyDescent="0.4">
      <c r="A1111" s="3"/>
      <c r="B1111" s="4"/>
      <c r="C1111" s="1953" t="s">
        <v>2284</v>
      </c>
      <c r="D1111" s="1953"/>
      <c r="E1111" s="1953"/>
      <c r="F1111" s="1953"/>
      <c r="G1111" s="1953"/>
      <c r="H1111" s="10"/>
      <c r="I1111" s="4" t="s">
        <v>392</v>
      </c>
      <c r="J1111" s="3"/>
      <c r="K1111" s="3"/>
      <c r="L1111" s="3" t="s">
        <v>348</v>
      </c>
      <c r="M1111" s="3">
        <v>-1.25</v>
      </c>
      <c r="N1111" s="3"/>
      <c r="O1111" s="3"/>
      <c r="P1111" s="3"/>
      <c r="Q1111" s="3"/>
      <c r="R1111" s="3" t="s">
        <v>352</v>
      </c>
      <c r="S1111" s="5">
        <f>(SHWidth+M1111)</f>
        <v>37.3125</v>
      </c>
      <c r="T1111" s="3" t="s">
        <v>366</v>
      </c>
      <c r="U1111" s="14"/>
      <c r="V1111" s="38" t="s">
        <v>8</v>
      </c>
      <c r="W1111" s="38" t="s">
        <v>8</v>
      </c>
      <c r="X1111" s="38" t="s">
        <v>8</v>
      </c>
      <c r="Y1111" s="1443">
        <v>300067007</v>
      </c>
      <c r="Z1111" s="1443"/>
      <c r="AA1111" s="1443"/>
      <c r="AB1111" s="558"/>
      <c r="AC1111" s="3">
        <v>45</v>
      </c>
      <c r="AD1111" s="3">
        <v>2</v>
      </c>
      <c r="AE1111" s="5">
        <f>S1111/12*AD1111+S1112/12*AD1112</f>
        <v>18.552083333333336</v>
      </c>
      <c r="AF1111" s="3" t="s">
        <v>367</v>
      </c>
      <c r="AG1111" s="216"/>
      <c r="AH1111" s="3"/>
      <c r="AI1111" s="51"/>
      <c r="AJ1111" s="3"/>
      <c r="AK1111" s="3"/>
      <c r="AL1111" s="3"/>
      <c r="AM1111" s="51">
        <f>AE1111*AI1111+SUM(AJ1111:AL1111)</f>
        <v>0</v>
      </c>
      <c r="AN1111" s="5" t="s">
        <v>92</v>
      </c>
      <c r="AO1111" s="5" t="s">
        <v>92</v>
      </c>
      <c r="AP1111" s="5" t="s">
        <v>92</v>
      </c>
      <c r="AQ1111" s="5" t="s">
        <v>92</v>
      </c>
      <c r="AR1111" s="5" t="s">
        <v>371</v>
      </c>
      <c r="AS1111" s="3" t="s">
        <v>371</v>
      </c>
      <c r="AT1111" s="5" t="s">
        <v>92</v>
      </c>
      <c r="AU1111" s="5" t="s">
        <v>92</v>
      </c>
      <c r="AV1111" s="5" t="s">
        <v>92</v>
      </c>
      <c r="AW1111" s="5" t="s">
        <v>371</v>
      </c>
      <c r="AX1111" s="5" t="s">
        <v>92</v>
      </c>
      <c r="AY1111" s="5"/>
      <c r="AZ1111" s="740"/>
      <c r="BA1111" s="518"/>
      <c r="BB1111" s="741"/>
      <c r="BC1111" s="741"/>
      <c r="BD1111" s="741"/>
      <c r="BE1111" s="742"/>
    </row>
    <row r="1112" spans="1:57" ht="15" customHeight="1" x14ac:dyDescent="0.4">
      <c r="A1112" s="3"/>
      <c r="B1112" s="4"/>
      <c r="C1112" s="1954"/>
      <c r="D1112" s="1954"/>
      <c r="E1112" s="1954"/>
      <c r="F1112" s="1954"/>
      <c r="G1112" s="1954"/>
      <c r="H1112" s="743"/>
      <c r="I1112" s="573" t="s">
        <v>365</v>
      </c>
      <c r="J1112" s="577"/>
      <c r="K1112" s="577"/>
      <c r="L1112" s="577"/>
      <c r="M1112" s="577"/>
      <c r="N1112" s="577"/>
      <c r="O1112" s="577"/>
      <c r="P1112" s="577"/>
      <c r="Q1112" s="577"/>
      <c r="R1112" s="577" t="s">
        <v>352</v>
      </c>
      <c r="S1112" s="575">
        <f>SHHeight</f>
        <v>74</v>
      </c>
      <c r="T1112" s="577" t="s">
        <v>366</v>
      </c>
      <c r="U1112" s="574"/>
      <c r="V1112" s="579"/>
      <c r="W1112" s="579"/>
      <c r="X1112" s="579"/>
      <c r="Y1112" s="1446"/>
      <c r="Z1112" s="1446"/>
      <c r="AA1112" s="1446"/>
      <c r="AB1112" s="738"/>
      <c r="AC1112" s="577"/>
      <c r="AD1112" s="577">
        <v>2</v>
      </c>
      <c r="AE1112" s="577"/>
      <c r="AF1112" s="577"/>
      <c r="AG1112" s="744"/>
      <c r="AH1112" s="577"/>
      <c r="AI1112" s="626"/>
      <c r="AJ1112" s="577"/>
      <c r="AK1112" s="577"/>
      <c r="AL1112" s="577"/>
      <c r="AM1112" s="626"/>
      <c r="AN1112" s="575" t="s">
        <v>92</v>
      </c>
      <c r="AO1112" s="575" t="s">
        <v>92</v>
      </c>
      <c r="AP1112" s="577" t="s">
        <v>92</v>
      </c>
      <c r="AQ1112" s="575" t="s">
        <v>92</v>
      </c>
      <c r="AR1112" s="575" t="s">
        <v>371</v>
      </c>
      <c r="AS1112" s="577" t="s">
        <v>371</v>
      </c>
      <c r="AT1112" s="575" t="s">
        <v>92</v>
      </c>
      <c r="AU1112" s="575" t="s">
        <v>92</v>
      </c>
      <c r="AV1112" s="575" t="s">
        <v>92</v>
      </c>
      <c r="AW1112" s="575" t="s">
        <v>371</v>
      </c>
      <c r="AX1112" s="575" t="s">
        <v>92</v>
      </c>
      <c r="AY1112" s="575"/>
      <c r="AZ1112" s="740"/>
      <c r="BA1112" s="518"/>
      <c r="BB1112" s="741"/>
      <c r="BC1112" s="741"/>
      <c r="BD1112" s="741"/>
      <c r="BE1112" s="742"/>
    </row>
    <row r="1113" spans="1:57" ht="15" customHeight="1" x14ac:dyDescent="0.4">
      <c r="A1113" s="3"/>
      <c r="B1113" s="4"/>
      <c r="C1113" s="1953" t="s">
        <v>2279</v>
      </c>
      <c r="D1113" s="1953"/>
      <c r="E1113" s="1953"/>
      <c r="F1113" s="1953"/>
      <c r="G1113" s="1953"/>
      <c r="H1113" s="10"/>
      <c r="I1113" s="4" t="s">
        <v>392</v>
      </c>
      <c r="J1113" s="3"/>
      <c r="K1113" s="3"/>
      <c r="L1113" s="3" t="s">
        <v>348</v>
      </c>
      <c r="M1113" s="3">
        <v>-1.25</v>
      </c>
      <c r="N1113" s="3"/>
      <c r="O1113" s="3"/>
      <c r="P1113" s="3"/>
      <c r="Q1113" s="3"/>
      <c r="R1113" s="3" t="s">
        <v>352</v>
      </c>
      <c r="S1113" s="5">
        <f>(SHWidth+M1113)</f>
        <v>37.3125</v>
      </c>
      <c r="T1113" s="3" t="s">
        <v>366</v>
      </c>
      <c r="U1113" s="14"/>
      <c r="V1113" s="38" t="s">
        <v>8</v>
      </c>
      <c r="W1113" s="38" t="s">
        <v>8</v>
      </c>
      <c r="X1113" s="38" t="s">
        <v>8</v>
      </c>
      <c r="Y1113" s="1443">
        <v>300064000</v>
      </c>
      <c r="Z1113" s="1443"/>
      <c r="AA1113" s="1443"/>
      <c r="AB1113" s="558"/>
      <c r="AC1113" s="3">
        <v>45</v>
      </c>
      <c r="AD1113" s="3">
        <v>2</v>
      </c>
      <c r="AE1113" s="5">
        <f>S1113/12*AD1113+S1114/12*AD1114</f>
        <v>18.552083333333336</v>
      </c>
      <c r="AF1113" s="3" t="s">
        <v>367</v>
      </c>
      <c r="AG1113" s="216"/>
      <c r="AH1113" s="3"/>
      <c r="AI1113" s="353">
        <v>0.4899</v>
      </c>
      <c r="AJ1113" s="3"/>
      <c r="AK1113" s="3"/>
      <c r="AL1113" s="3"/>
      <c r="AM1113" s="51">
        <f>AE1113*AI1113+SUM(AJ1113:AL1113)</f>
        <v>9.0886656250000009</v>
      </c>
      <c r="AN1113" s="5" t="s">
        <v>92</v>
      </c>
      <c r="AO1113" s="5" t="s">
        <v>92</v>
      </c>
      <c r="AP1113" s="5" t="s">
        <v>92</v>
      </c>
      <c r="AQ1113" s="5" t="s">
        <v>92</v>
      </c>
      <c r="AR1113" s="5" t="s">
        <v>371</v>
      </c>
      <c r="AS1113" s="3" t="s">
        <v>371</v>
      </c>
      <c r="AT1113" s="5" t="s">
        <v>92</v>
      </c>
      <c r="AU1113" s="5" t="s">
        <v>92</v>
      </c>
      <c r="AV1113" s="5" t="s">
        <v>92</v>
      </c>
      <c r="AW1113" s="5" t="s">
        <v>371</v>
      </c>
      <c r="AX1113" s="5" t="s">
        <v>92</v>
      </c>
      <c r="AY1113" s="5"/>
      <c r="AZ1113" s="740"/>
      <c r="BA1113" s="518"/>
      <c r="BB1113" s="741"/>
      <c r="BC1113" s="741"/>
      <c r="BD1113" s="741"/>
      <c r="BE1113" s="742"/>
    </row>
    <row r="1114" spans="1:57" ht="15" customHeight="1" x14ac:dyDescent="0.4">
      <c r="A1114" s="3"/>
      <c r="B1114" s="4"/>
      <c r="C1114" s="1954"/>
      <c r="D1114" s="1954"/>
      <c r="E1114" s="1954"/>
      <c r="F1114" s="1954"/>
      <c r="G1114" s="1954"/>
      <c r="H1114" s="743"/>
      <c r="I1114" s="573" t="s">
        <v>365</v>
      </c>
      <c r="J1114" s="577"/>
      <c r="K1114" s="577"/>
      <c r="L1114" s="577"/>
      <c r="M1114" s="577"/>
      <c r="N1114" s="577"/>
      <c r="O1114" s="577"/>
      <c r="P1114" s="577"/>
      <c r="Q1114" s="577"/>
      <c r="R1114" s="577" t="s">
        <v>352</v>
      </c>
      <c r="S1114" s="575">
        <f>SHHeight</f>
        <v>74</v>
      </c>
      <c r="T1114" s="577" t="s">
        <v>366</v>
      </c>
      <c r="U1114" s="574"/>
      <c r="V1114" s="579"/>
      <c r="W1114" s="579"/>
      <c r="X1114" s="579"/>
      <c r="Y1114" s="1446"/>
      <c r="Z1114" s="1446"/>
      <c r="AA1114" s="1446"/>
      <c r="AB1114" s="738"/>
      <c r="AC1114" s="577"/>
      <c r="AD1114" s="577">
        <v>2</v>
      </c>
      <c r="AE1114" s="577"/>
      <c r="AF1114" s="577"/>
      <c r="AG1114" s="744"/>
      <c r="AH1114" s="577"/>
      <c r="AI1114" s="626"/>
      <c r="AJ1114" s="577"/>
      <c r="AK1114" s="577"/>
      <c r="AL1114" s="577"/>
      <c r="AM1114" s="626"/>
      <c r="AN1114" s="575" t="s">
        <v>92</v>
      </c>
      <c r="AO1114" s="575" t="s">
        <v>92</v>
      </c>
      <c r="AP1114" s="577" t="s">
        <v>92</v>
      </c>
      <c r="AQ1114" s="575" t="s">
        <v>92</v>
      </c>
      <c r="AR1114" s="575" t="s">
        <v>371</v>
      </c>
      <c r="AS1114" s="577" t="s">
        <v>371</v>
      </c>
      <c r="AT1114" s="575" t="s">
        <v>92</v>
      </c>
      <c r="AU1114" s="575" t="s">
        <v>92</v>
      </c>
      <c r="AV1114" s="575" t="s">
        <v>92</v>
      </c>
      <c r="AW1114" s="575" t="s">
        <v>371</v>
      </c>
      <c r="AX1114" s="575" t="s">
        <v>92</v>
      </c>
      <c r="AY1114" s="575"/>
      <c r="AZ1114" s="740"/>
      <c r="BA1114" s="518"/>
      <c r="BB1114" s="741"/>
      <c r="BC1114" s="741"/>
      <c r="BD1114" s="741"/>
      <c r="BE1114" s="742"/>
    </row>
    <row r="1115" spans="1:57" ht="15" customHeight="1" x14ac:dyDescent="0.4">
      <c r="A1115" s="3"/>
      <c r="B1115" s="4"/>
      <c r="C1115" s="1953" t="s">
        <v>2280</v>
      </c>
      <c r="D1115" s="1953"/>
      <c r="E1115" s="1953"/>
      <c r="F1115" s="1953"/>
      <c r="G1115" s="1953"/>
      <c r="H1115" s="10"/>
      <c r="I1115" s="4" t="s">
        <v>392</v>
      </c>
      <c r="J1115" s="3"/>
      <c r="K1115" s="3"/>
      <c r="L1115" s="3" t="s">
        <v>348</v>
      </c>
      <c r="M1115" s="3">
        <v>-1.25</v>
      </c>
      <c r="N1115" s="3"/>
      <c r="O1115" s="3"/>
      <c r="P1115" s="3"/>
      <c r="Q1115" s="3"/>
      <c r="R1115" s="3" t="s">
        <v>352</v>
      </c>
      <c r="S1115" s="5">
        <f>(SHWidth+M1115)</f>
        <v>37.3125</v>
      </c>
      <c r="T1115" s="3" t="s">
        <v>366</v>
      </c>
      <c r="U1115" s="14"/>
      <c r="V1115" s="38" t="s">
        <v>8</v>
      </c>
      <c r="W1115" s="38" t="s">
        <v>8</v>
      </c>
      <c r="X1115" s="38" t="s">
        <v>8</v>
      </c>
      <c r="Y1115" s="1443">
        <v>300065000</v>
      </c>
      <c r="Z1115" s="1443"/>
      <c r="AA1115" s="1443"/>
      <c r="AB1115" s="558"/>
      <c r="AC1115" s="3">
        <v>45</v>
      </c>
      <c r="AD1115" s="3">
        <v>2</v>
      </c>
      <c r="AE1115" s="5">
        <f>S1115/12*AD1115+S1116/12*AD1116</f>
        <v>18.552083333333336</v>
      </c>
      <c r="AF1115" s="3" t="s">
        <v>367</v>
      </c>
      <c r="AG1115" s="216"/>
      <c r="AH1115" s="3"/>
      <c r="AI1115" s="51"/>
      <c r="AJ1115" s="3"/>
      <c r="AK1115" s="3"/>
      <c r="AL1115" s="3"/>
      <c r="AM1115" s="51">
        <f>AE1115*AI1115+SUM(AJ1115:AL1115)</f>
        <v>0</v>
      </c>
      <c r="AN1115" s="5" t="s">
        <v>92</v>
      </c>
      <c r="AO1115" s="5" t="s">
        <v>92</v>
      </c>
      <c r="AP1115" s="5" t="s">
        <v>92</v>
      </c>
      <c r="AQ1115" s="5" t="s">
        <v>92</v>
      </c>
      <c r="AR1115" s="5" t="s">
        <v>371</v>
      </c>
      <c r="AS1115" s="3" t="s">
        <v>371</v>
      </c>
      <c r="AT1115" s="5" t="s">
        <v>92</v>
      </c>
      <c r="AU1115" s="5" t="s">
        <v>92</v>
      </c>
      <c r="AV1115" s="5" t="s">
        <v>92</v>
      </c>
      <c r="AW1115" s="5" t="s">
        <v>371</v>
      </c>
      <c r="AX1115" s="5" t="s">
        <v>92</v>
      </c>
      <c r="AY1115" s="5"/>
      <c r="AZ1115" s="740"/>
      <c r="BA1115" s="518"/>
      <c r="BB1115" s="741"/>
      <c r="BC1115" s="741"/>
      <c r="BD1115" s="741"/>
      <c r="BE1115" s="742"/>
    </row>
    <row r="1116" spans="1:57" ht="15" customHeight="1" x14ac:dyDescent="0.4">
      <c r="A1116" s="3"/>
      <c r="B1116" s="4"/>
      <c r="C1116" s="1954"/>
      <c r="D1116" s="1954"/>
      <c r="E1116" s="1954"/>
      <c r="F1116" s="1954"/>
      <c r="G1116" s="1954"/>
      <c r="H1116" s="743"/>
      <c r="I1116" s="573" t="s">
        <v>365</v>
      </c>
      <c r="J1116" s="577"/>
      <c r="K1116" s="577"/>
      <c r="L1116" s="577"/>
      <c r="M1116" s="577"/>
      <c r="N1116" s="577"/>
      <c r="O1116" s="577"/>
      <c r="P1116" s="577"/>
      <c r="Q1116" s="577"/>
      <c r="R1116" s="577" t="s">
        <v>352</v>
      </c>
      <c r="S1116" s="575">
        <f>SHHeight</f>
        <v>74</v>
      </c>
      <c r="T1116" s="577" t="s">
        <v>366</v>
      </c>
      <c r="U1116" s="574"/>
      <c r="V1116" s="579"/>
      <c r="W1116" s="579"/>
      <c r="X1116" s="579"/>
      <c r="Y1116" s="1446"/>
      <c r="Z1116" s="1446"/>
      <c r="AA1116" s="1446"/>
      <c r="AB1116" s="738"/>
      <c r="AC1116" s="577"/>
      <c r="AD1116" s="577">
        <v>2</v>
      </c>
      <c r="AE1116" s="577"/>
      <c r="AF1116" s="577"/>
      <c r="AG1116" s="744"/>
      <c r="AH1116" s="577"/>
      <c r="AI1116" s="626"/>
      <c r="AJ1116" s="577"/>
      <c r="AK1116" s="577"/>
      <c r="AL1116" s="577"/>
      <c r="AM1116" s="626"/>
      <c r="AN1116" s="575" t="s">
        <v>92</v>
      </c>
      <c r="AO1116" s="575" t="s">
        <v>92</v>
      </c>
      <c r="AP1116" s="577" t="s">
        <v>92</v>
      </c>
      <c r="AQ1116" s="575" t="s">
        <v>92</v>
      </c>
      <c r="AR1116" s="575" t="s">
        <v>371</v>
      </c>
      <c r="AS1116" s="577" t="s">
        <v>371</v>
      </c>
      <c r="AT1116" s="575" t="s">
        <v>92</v>
      </c>
      <c r="AU1116" s="575" t="s">
        <v>92</v>
      </c>
      <c r="AV1116" s="575" t="s">
        <v>92</v>
      </c>
      <c r="AW1116" s="575" t="s">
        <v>371</v>
      </c>
      <c r="AX1116" s="575" t="s">
        <v>92</v>
      </c>
      <c r="AY1116" s="575"/>
      <c r="AZ1116" s="740"/>
      <c r="BA1116" s="518"/>
      <c r="BB1116" s="741"/>
      <c r="BC1116" s="741"/>
      <c r="BD1116" s="741"/>
      <c r="BE1116" s="742"/>
    </row>
    <row r="1117" spans="1:57" ht="15" customHeight="1" x14ac:dyDescent="0.4">
      <c r="A1117" s="3"/>
      <c r="B1117" s="4"/>
      <c r="C1117" s="1953" t="s">
        <v>2283</v>
      </c>
      <c r="D1117" s="1953"/>
      <c r="E1117" s="1953"/>
      <c r="F1117" s="1953"/>
      <c r="G1117" s="1953"/>
      <c r="H1117" s="10"/>
      <c r="I1117" s="4" t="s">
        <v>392</v>
      </c>
      <c r="J1117" s="3"/>
      <c r="K1117" s="3"/>
      <c r="L1117" s="3" t="s">
        <v>348</v>
      </c>
      <c r="M1117" s="3">
        <v>-1.25</v>
      </c>
      <c r="N1117" s="3"/>
      <c r="O1117" s="3"/>
      <c r="P1117" s="3"/>
      <c r="Q1117" s="3"/>
      <c r="R1117" s="3" t="s">
        <v>352</v>
      </c>
      <c r="S1117" s="5">
        <f>(SHWidth+M1117)</f>
        <v>37.3125</v>
      </c>
      <c r="T1117" s="3" t="s">
        <v>366</v>
      </c>
      <c r="U1117" s="14"/>
      <c r="V1117" s="38" t="s">
        <v>8</v>
      </c>
      <c r="W1117" s="38" t="s">
        <v>8</v>
      </c>
      <c r="X1117" s="38" t="s">
        <v>8</v>
      </c>
      <c r="Y1117" s="1443">
        <v>300066000</v>
      </c>
      <c r="Z1117" s="1443"/>
      <c r="AA1117" s="1443"/>
      <c r="AB1117" s="558"/>
      <c r="AC1117" s="3">
        <v>45</v>
      </c>
      <c r="AD1117" s="3">
        <v>2</v>
      </c>
      <c r="AE1117" s="5">
        <f>S1117/12*AD1117+S1118/12*AD1118</f>
        <v>18.552083333333336</v>
      </c>
      <c r="AF1117" s="3" t="s">
        <v>367</v>
      </c>
      <c r="AG1117" s="216"/>
      <c r="AH1117" s="3"/>
      <c r="AI1117" s="353">
        <v>1.0633999999999999</v>
      </c>
      <c r="AJ1117" s="3"/>
      <c r="AK1117" s="3"/>
      <c r="AL1117" s="3"/>
      <c r="AM1117" s="51">
        <f>AE1117*AI1117+SUM(AJ1117:AL1117)</f>
        <v>19.728285416666669</v>
      </c>
      <c r="AN1117" s="5" t="s">
        <v>92</v>
      </c>
      <c r="AO1117" s="5" t="s">
        <v>92</v>
      </c>
      <c r="AP1117" s="5" t="s">
        <v>92</v>
      </c>
      <c r="AQ1117" s="5" t="s">
        <v>92</v>
      </c>
      <c r="AR1117" s="5" t="s">
        <v>371</v>
      </c>
      <c r="AS1117" s="3" t="s">
        <v>371</v>
      </c>
      <c r="AT1117" s="5" t="s">
        <v>92</v>
      </c>
      <c r="AU1117" s="5" t="s">
        <v>92</v>
      </c>
      <c r="AV1117" s="5" t="s">
        <v>92</v>
      </c>
      <c r="AW1117" s="5" t="s">
        <v>371</v>
      </c>
      <c r="AX1117" s="5" t="s">
        <v>92</v>
      </c>
      <c r="AY1117" s="5"/>
      <c r="AZ1117" s="740"/>
      <c r="BA1117" s="518"/>
      <c r="BB1117" s="741"/>
      <c r="BC1117" s="741"/>
      <c r="BD1117" s="741"/>
      <c r="BE1117" s="742"/>
    </row>
    <row r="1118" spans="1:57" ht="15" customHeight="1" x14ac:dyDescent="0.4">
      <c r="A1118" s="3"/>
      <c r="B1118" s="4"/>
      <c r="C1118" s="1954"/>
      <c r="D1118" s="1954"/>
      <c r="E1118" s="1954"/>
      <c r="F1118" s="1954"/>
      <c r="G1118" s="1954"/>
      <c r="H1118" s="743"/>
      <c r="I1118" s="573" t="s">
        <v>365</v>
      </c>
      <c r="J1118" s="577"/>
      <c r="K1118" s="577"/>
      <c r="L1118" s="577"/>
      <c r="M1118" s="577"/>
      <c r="N1118" s="577"/>
      <c r="O1118" s="577"/>
      <c r="P1118" s="577"/>
      <c r="Q1118" s="577"/>
      <c r="R1118" s="577" t="s">
        <v>352</v>
      </c>
      <c r="S1118" s="575">
        <f>SHHeight</f>
        <v>74</v>
      </c>
      <c r="T1118" s="577" t="s">
        <v>366</v>
      </c>
      <c r="U1118" s="574"/>
      <c r="V1118" s="579"/>
      <c r="W1118" s="579"/>
      <c r="X1118" s="579"/>
      <c r="Y1118" s="1446"/>
      <c r="Z1118" s="1446"/>
      <c r="AA1118" s="1446"/>
      <c r="AB1118" s="738"/>
      <c r="AC1118" s="577"/>
      <c r="AD1118" s="577">
        <v>2</v>
      </c>
      <c r="AE1118" s="577"/>
      <c r="AF1118" s="577"/>
      <c r="AG1118" s="744"/>
      <c r="AH1118" s="577"/>
      <c r="AI1118" s="626"/>
      <c r="AJ1118" s="577"/>
      <c r="AK1118" s="577"/>
      <c r="AL1118" s="577"/>
      <c r="AM1118" s="626"/>
      <c r="AN1118" s="575" t="s">
        <v>92</v>
      </c>
      <c r="AO1118" s="575" t="s">
        <v>92</v>
      </c>
      <c r="AP1118" s="577" t="s">
        <v>92</v>
      </c>
      <c r="AQ1118" s="575" t="s">
        <v>92</v>
      </c>
      <c r="AR1118" s="575" t="s">
        <v>371</v>
      </c>
      <c r="AS1118" s="577" t="s">
        <v>371</v>
      </c>
      <c r="AT1118" s="575" t="s">
        <v>92</v>
      </c>
      <c r="AU1118" s="575" t="s">
        <v>92</v>
      </c>
      <c r="AV1118" s="575" t="s">
        <v>92</v>
      </c>
      <c r="AW1118" s="575" t="s">
        <v>371</v>
      </c>
      <c r="AX1118" s="575" t="s">
        <v>92</v>
      </c>
      <c r="AY1118" s="575"/>
      <c r="AZ1118" s="740"/>
      <c r="BA1118" s="518"/>
      <c r="BB1118" s="741"/>
      <c r="BC1118" s="741"/>
      <c r="BD1118" s="741"/>
      <c r="BE1118" s="742"/>
    </row>
    <row r="1119" spans="1:57" ht="15" customHeight="1" x14ac:dyDescent="0.4">
      <c r="A1119" s="3"/>
      <c r="B1119" s="4"/>
      <c r="C1119" s="1971" t="s">
        <v>2285</v>
      </c>
      <c r="D1119" s="1971"/>
      <c r="E1119" s="1971"/>
      <c r="F1119" s="1971"/>
      <c r="G1119" s="1971"/>
      <c r="H1119" s="1388"/>
      <c r="I1119" s="582" t="s">
        <v>392</v>
      </c>
      <c r="J1119" s="130"/>
      <c r="K1119" s="130"/>
      <c r="L1119" s="130" t="s">
        <v>348</v>
      </c>
      <c r="M1119" s="130">
        <v>-1.25</v>
      </c>
      <c r="N1119" s="130"/>
      <c r="O1119" s="130"/>
      <c r="P1119" s="130"/>
      <c r="Q1119" s="130"/>
      <c r="R1119" s="130" t="s">
        <v>352</v>
      </c>
      <c r="S1119" s="584">
        <f>(SHWidth+M1119)</f>
        <v>37.3125</v>
      </c>
      <c r="T1119" s="130" t="s">
        <v>366</v>
      </c>
      <c r="U1119" s="583"/>
      <c r="V1119" s="587" t="s">
        <v>8</v>
      </c>
      <c r="W1119" s="587" t="s">
        <v>8</v>
      </c>
      <c r="X1119" s="587" t="s">
        <v>8</v>
      </c>
      <c r="Y1119" s="1452">
        <v>300067000</v>
      </c>
      <c r="Z1119" s="1452"/>
      <c r="AA1119" s="1452"/>
      <c r="AB1119" s="1389"/>
      <c r="AC1119" s="130">
        <v>45</v>
      </c>
      <c r="AD1119" s="130">
        <v>2</v>
      </c>
      <c r="AE1119" s="584">
        <f>S1119/12*AD1119+S1120/12*AD1120</f>
        <v>18.552083333333336</v>
      </c>
      <c r="AF1119" s="130" t="s">
        <v>367</v>
      </c>
      <c r="AG1119" s="1390"/>
      <c r="AH1119" s="130"/>
      <c r="AI1119" s="1046"/>
      <c r="AJ1119" s="130"/>
      <c r="AK1119" s="130"/>
      <c r="AL1119" s="130"/>
      <c r="AM1119" s="1046">
        <f>AE1119*AI1119+SUM(AJ1119:AL1119)</f>
        <v>0</v>
      </c>
      <c r="AN1119" s="584" t="s">
        <v>92</v>
      </c>
      <c r="AO1119" s="584" t="s">
        <v>92</v>
      </c>
      <c r="AP1119" s="584" t="s">
        <v>92</v>
      </c>
      <c r="AQ1119" s="584" t="s">
        <v>92</v>
      </c>
      <c r="AR1119" s="584" t="s">
        <v>371</v>
      </c>
      <c r="AS1119" s="130" t="s">
        <v>371</v>
      </c>
      <c r="AT1119" s="584" t="s">
        <v>92</v>
      </c>
      <c r="AU1119" s="584" t="s">
        <v>92</v>
      </c>
      <c r="AV1119" s="584" t="s">
        <v>92</v>
      </c>
      <c r="AW1119" s="584" t="s">
        <v>371</v>
      </c>
      <c r="AX1119" s="584" t="s">
        <v>92</v>
      </c>
      <c r="AY1119" s="584"/>
      <c r="AZ1119" s="740"/>
      <c r="BA1119" s="518"/>
      <c r="BB1119" s="741"/>
      <c r="BC1119" s="741"/>
      <c r="BD1119" s="741"/>
      <c r="BE1119" s="742"/>
    </row>
    <row r="1120" spans="1:57" ht="15" customHeight="1" thickBot="1" x14ac:dyDescent="0.45">
      <c r="A1120" s="3"/>
      <c r="B1120" s="4"/>
      <c r="C1120" s="1972"/>
      <c r="D1120" s="1972"/>
      <c r="E1120" s="1972"/>
      <c r="F1120" s="1972"/>
      <c r="G1120" s="1972"/>
      <c r="H1120" s="1422"/>
      <c r="I1120" s="968" t="s">
        <v>365</v>
      </c>
      <c r="J1120" s="889"/>
      <c r="K1120" s="889"/>
      <c r="L1120" s="889"/>
      <c r="M1120" s="889"/>
      <c r="N1120" s="889"/>
      <c r="O1120" s="889"/>
      <c r="P1120" s="889"/>
      <c r="Q1120" s="889"/>
      <c r="R1120" s="889" t="s">
        <v>352</v>
      </c>
      <c r="S1120" s="945">
        <f>SHHeight</f>
        <v>74</v>
      </c>
      <c r="T1120" s="889" t="s">
        <v>366</v>
      </c>
      <c r="U1120" s="948"/>
      <c r="V1120" s="888"/>
      <c r="W1120" s="888"/>
      <c r="X1120" s="888"/>
      <c r="Y1120" s="1444"/>
      <c r="Z1120" s="1444"/>
      <c r="AA1120" s="1444"/>
      <c r="AB1120" s="1596"/>
      <c r="AC1120" s="889"/>
      <c r="AD1120" s="889">
        <v>2</v>
      </c>
      <c r="AE1120" s="889"/>
      <c r="AF1120" s="889"/>
      <c r="AG1120" s="1597"/>
      <c r="AH1120" s="889"/>
      <c r="AI1120" s="937"/>
      <c r="AJ1120" s="889"/>
      <c r="AK1120" s="889"/>
      <c r="AL1120" s="889"/>
      <c r="AM1120" s="937"/>
      <c r="AN1120" s="945" t="s">
        <v>92</v>
      </c>
      <c r="AO1120" s="945" t="s">
        <v>92</v>
      </c>
      <c r="AP1120" s="889" t="s">
        <v>92</v>
      </c>
      <c r="AQ1120" s="945" t="s">
        <v>92</v>
      </c>
      <c r="AR1120" s="945" t="s">
        <v>371</v>
      </c>
      <c r="AS1120" s="889" t="s">
        <v>371</v>
      </c>
      <c r="AT1120" s="945" t="s">
        <v>92</v>
      </c>
      <c r="AU1120" s="945" t="s">
        <v>92</v>
      </c>
      <c r="AV1120" s="945" t="s">
        <v>92</v>
      </c>
      <c r="AW1120" s="945" t="s">
        <v>371</v>
      </c>
      <c r="AX1120" s="945" t="s">
        <v>92</v>
      </c>
      <c r="AY1120" s="945"/>
      <c r="AZ1120" s="740"/>
      <c r="BA1120" s="518"/>
      <c r="BB1120" s="741"/>
      <c r="BC1120" s="741"/>
      <c r="BD1120" s="741"/>
      <c r="BE1120" s="742"/>
    </row>
    <row r="1121" spans="1:57" ht="15" customHeight="1" x14ac:dyDescent="0.4">
      <c r="A1121" s="3"/>
      <c r="B1121" s="4"/>
      <c r="C1121" s="1953" t="s">
        <v>2291</v>
      </c>
      <c r="D1121" s="1953"/>
      <c r="E1121" s="1953"/>
      <c r="F1121" s="1953"/>
      <c r="G1121" s="1953"/>
      <c r="H1121" s="10"/>
      <c r="I1121" s="4" t="s">
        <v>392</v>
      </c>
      <c r="J1121" s="3"/>
      <c r="K1121" s="3"/>
      <c r="L1121" s="3" t="s">
        <v>348</v>
      </c>
      <c r="M1121" s="3">
        <v>-1.25</v>
      </c>
      <c r="N1121" s="3"/>
      <c r="O1121" s="3"/>
      <c r="P1121" s="3"/>
      <c r="Q1121" s="3"/>
      <c r="R1121" s="3" t="s">
        <v>352</v>
      </c>
      <c r="S1121" s="5">
        <f>(SHWidth+M1121)</f>
        <v>37.3125</v>
      </c>
      <c r="T1121" s="3" t="s">
        <v>366</v>
      </c>
      <c r="U1121" s="14"/>
      <c r="V1121" s="38" t="s">
        <v>8</v>
      </c>
      <c r="W1121" s="38" t="s">
        <v>8</v>
      </c>
      <c r="X1121" s="38" t="s">
        <v>8</v>
      </c>
      <c r="Y1121" s="1443">
        <v>300076007</v>
      </c>
      <c r="Z1121" s="1443"/>
      <c r="AA1121" s="1443"/>
      <c r="AB1121" s="558"/>
      <c r="AC1121" s="3">
        <v>45</v>
      </c>
      <c r="AD1121" s="3">
        <v>2</v>
      </c>
      <c r="AE1121" s="5">
        <f>S1121/12*AD1121+S1122/12*AD1122</f>
        <v>18.552083333333336</v>
      </c>
      <c r="AF1121" s="3" t="s">
        <v>367</v>
      </c>
      <c r="AG1121" s="216"/>
      <c r="AH1121" s="3"/>
      <c r="AI1121" s="353">
        <v>0.72</v>
      </c>
      <c r="AJ1121" s="3"/>
      <c r="AK1121" s="3"/>
      <c r="AL1121" s="3"/>
      <c r="AM1121" s="51">
        <f>AE1121*AI1121+SUM(AJ1121:AL1121)</f>
        <v>13.357500000000002</v>
      </c>
      <c r="AN1121" s="5" t="s">
        <v>92</v>
      </c>
      <c r="AO1121" s="5" t="s">
        <v>92</v>
      </c>
      <c r="AP1121" s="5" t="s">
        <v>92</v>
      </c>
      <c r="AQ1121" s="5" t="s">
        <v>92</v>
      </c>
      <c r="AR1121" s="5" t="s">
        <v>371</v>
      </c>
      <c r="AS1121" s="3" t="s">
        <v>371</v>
      </c>
      <c r="AT1121" s="5" t="s">
        <v>92</v>
      </c>
      <c r="AU1121" s="5" t="s">
        <v>92</v>
      </c>
      <c r="AV1121" s="5" t="s">
        <v>92</v>
      </c>
      <c r="AW1121" s="5" t="s">
        <v>371</v>
      </c>
      <c r="AX1121" s="5" t="s">
        <v>92</v>
      </c>
      <c r="AY1121" s="5"/>
      <c r="AZ1121" s="740"/>
      <c r="BA1121" s="518"/>
      <c r="BB1121" s="741"/>
      <c r="BC1121" s="741"/>
      <c r="BD1121" s="741"/>
      <c r="BE1121" s="742"/>
    </row>
    <row r="1122" spans="1:57" ht="15" customHeight="1" x14ac:dyDescent="0.4">
      <c r="A1122" s="3"/>
      <c r="B1122" s="4"/>
      <c r="C1122" s="1954"/>
      <c r="D1122" s="1954"/>
      <c r="E1122" s="1954"/>
      <c r="F1122" s="1954"/>
      <c r="G1122" s="1954"/>
      <c r="H1122" s="743"/>
      <c r="I1122" s="573" t="s">
        <v>365</v>
      </c>
      <c r="J1122" s="577"/>
      <c r="K1122" s="577"/>
      <c r="L1122" s="577"/>
      <c r="M1122" s="577"/>
      <c r="N1122" s="577"/>
      <c r="O1122" s="577"/>
      <c r="P1122" s="577"/>
      <c r="Q1122" s="577"/>
      <c r="R1122" s="577" t="s">
        <v>352</v>
      </c>
      <c r="S1122" s="575">
        <f>SHHeight</f>
        <v>74</v>
      </c>
      <c r="T1122" s="577" t="s">
        <v>366</v>
      </c>
      <c r="U1122" s="574"/>
      <c r="V1122" s="579"/>
      <c r="W1122" s="579"/>
      <c r="X1122" s="579"/>
      <c r="Y1122" s="1446"/>
      <c r="Z1122" s="1446"/>
      <c r="AA1122" s="1446"/>
      <c r="AB1122" s="738"/>
      <c r="AC1122" s="577"/>
      <c r="AD1122" s="577">
        <v>2</v>
      </c>
      <c r="AE1122" s="577"/>
      <c r="AF1122" s="577"/>
      <c r="AG1122" s="744"/>
      <c r="AH1122" s="577"/>
      <c r="AI1122" s="626"/>
      <c r="AJ1122" s="577"/>
      <c r="AK1122" s="577"/>
      <c r="AL1122" s="577"/>
      <c r="AM1122" s="626"/>
      <c r="AN1122" s="575" t="s">
        <v>92</v>
      </c>
      <c r="AO1122" s="575" t="s">
        <v>92</v>
      </c>
      <c r="AP1122" s="577" t="s">
        <v>92</v>
      </c>
      <c r="AQ1122" s="575" t="s">
        <v>92</v>
      </c>
      <c r="AR1122" s="575" t="s">
        <v>371</v>
      </c>
      <c r="AS1122" s="577" t="s">
        <v>371</v>
      </c>
      <c r="AT1122" s="575" t="s">
        <v>92</v>
      </c>
      <c r="AU1122" s="575" t="s">
        <v>92</v>
      </c>
      <c r="AV1122" s="575" t="s">
        <v>92</v>
      </c>
      <c r="AW1122" s="575" t="s">
        <v>371</v>
      </c>
      <c r="AX1122" s="575" t="s">
        <v>92</v>
      </c>
      <c r="AY1122" s="575"/>
      <c r="AZ1122" s="740"/>
      <c r="BA1122" s="518"/>
      <c r="BB1122" s="741"/>
      <c r="BC1122" s="741"/>
      <c r="BD1122" s="741"/>
      <c r="BE1122" s="742"/>
    </row>
    <row r="1123" spans="1:57" ht="15" customHeight="1" x14ac:dyDescent="0.4">
      <c r="A1123" s="3"/>
      <c r="B1123" s="4"/>
      <c r="C1123" s="1953" t="s">
        <v>2135</v>
      </c>
      <c r="D1123" s="1953"/>
      <c r="E1123" s="1953"/>
      <c r="F1123" s="1953"/>
      <c r="G1123" s="1953"/>
      <c r="H1123" s="10"/>
      <c r="I1123" s="4" t="s">
        <v>392</v>
      </c>
      <c r="J1123" s="3"/>
      <c r="K1123" s="3"/>
      <c r="L1123" s="3" t="s">
        <v>348</v>
      </c>
      <c r="M1123" s="3">
        <v>-1.25</v>
      </c>
      <c r="N1123" s="3"/>
      <c r="O1123" s="3"/>
      <c r="P1123" s="3"/>
      <c r="Q1123" s="3"/>
      <c r="R1123" s="3" t="s">
        <v>352</v>
      </c>
      <c r="S1123" s="5">
        <f>(SHWidth+M1123)</f>
        <v>37.3125</v>
      </c>
      <c r="T1123" s="3" t="s">
        <v>366</v>
      </c>
      <c r="U1123" s="14"/>
      <c r="V1123" s="38" t="s">
        <v>8</v>
      </c>
      <c r="W1123" s="38" t="s">
        <v>8</v>
      </c>
      <c r="X1123" s="38" t="s">
        <v>8</v>
      </c>
      <c r="Y1123" s="1443">
        <v>300076000</v>
      </c>
      <c r="Z1123" s="1443"/>
      <c r="AA1123" s="1443"/>
      <c r="AB1123" s="558"/>
      <c r="AC1123" s="3">
        <v>45</v>
      </c>
      <c r="AD1123" s="3">
        <v>2</v>
      </c>
      <c r="AE1123" s="5">
        <f>S1123/12*AD1123+S1124/12*AD1124</f>
        <v>18.552083333333336</v>
      </c>
      <c r="AF1123" s="3" t="s">
        <v>367</v>
      </c>
      <c r="AG1123" s="216"/>
      <c r="AH1123" s="3"/>
      <c r="AI1123" s="353">
        <v>0.72</v>
      </c>
      <c r="AJ1123" s="3"/>
      <c r="AK1123" s="3"/>
      <c r="AL1123" s="3"/>
      <c r="AM1123" s="51">
        <f>AE1123*AI1123+SUM(AJ1123:AL1123)</f>
        <v>13.357500000000002</v>
      </c>
      <c r="AN1123" s="5" t="s">
        <v>92</v>
      </c>
      <c r="AO1123" s="5" t="s">
        <v>92</v>
      </c>
      <c r="AP1123" s="5" t="s">
        <v>92</v>
      </c>
      <c r="AQ1123" s="5" t="s">
        <v>92</v>
      </c>
      <c r="AR1123" s="5" t="s">
        <v>371</v>
      </c>
      <c r="AS1123" s="3" t="s">
        <v>371</v>
      </c>
      <c r="AT1123" s="5" t="s">
        <v>92</v>
      </c>
      <c r="AU1123" s="5" t="s">
        <v>92</v>
      </c>
      <c r="AV1123" s="5" t="s">
        <v>92</v>
      </c>
      <c r="AW1123" s="5" t="s">
        <v>371</v>
      </c>
      <c r="AX1123" s="5" t="s">
        <v>92</v>
      </c>
      <c r="AY1123" s="5"/>
      <c r="AZ1123" s="740"/>
      <c r="BA1123" s="518"/>
      <c r="BB1123" s="741"/>
      <c r="BC1123" s="741"/>
      <c r="BD1123" s="741"/>
      <c r="BE1123" s="742"/>
    </row>
    <row r="1124" spans="1:57" ht="15" customHeight="1" x14ac:dyDescent="0.4">
      <c r="A1124" s="3"/>
      <c r="B1124" s="4"/>
      <c r="C1124" s="1954"/>
      <c r="D1124" s="1954"/>
      <c r="E1124" s="1954"/>
      <c r="F1124" s="1954"/>
      <c r="G1124" s="1954"/>
      <c r="H1124" s="743"/>
      <c r="I1124" s="573" t="s">
        <v>365</v>
      </c>
      <c r="J1124" s="577"/>
      <c r="K1124" s="577"/>
      <c r="L1124" s="577"/>
      <c r="M1124" s="577"/>
      <c r="N1124" s="577"/>
      <c r="O1124" s="577"/>
      <c r="P1124" s="577"/>
      <c r="Q1124" s="577"/>
      <c r="R1124" s="577" t="s">
        <v>352</v>
      </c>
      <c r="S1124" s="575">
        <f>SHHeight</f>
        <v>74</v>
      </c>
      <c r="T1124" s="577" t="s">
        <v>366</v>
      </c>
      <c r="U1124" s="574"/>
      <c r="V1124" s="579"/>
      <c r="W1124" s="579"/>
      <c r="X1124" s="579"/>
      <c r="Y1124" s="1446"/>
      <c r="Z1124" s="1446"/>
      <c r="AA1124" s="1446"/>
      <c r="AB1124" s="738"/>
      <c r="AC1124" s="577"/>
      <c r="AD1124" s="577">
        <v>2</v>
      </c>
      <c r="AE1124" s="577"/>
      <c r="AF1124" s="577"/>
      <c r="AG1124" s="744"/>
      <c r="AH1124" s="577"/>
      <c r="AI1124" s="626"/>
      <c r="AJ1124" s="577"/>
      <c r="AK1124" s="577"/>
      <c r="AL1124" s="577"/>
      <c r="AM1124" s="626"/>
      <c r="AN1124" s="575" t="s">
        <v>92</v>
      </c>
      <c r="AO1124" s="575" t="s">
        <v>92</v>
      </c>
      <c r="AP1124" s="577" t="s">
        <v>92</v>
      </c>
      <c r="AQ1124" s="575" t="s">
        <v>92</v>
      </c>
      <c r="AR1124" s="575" t="s">
        <v>371</v>
      </c>
      <c r="AS1124" s="577" t="s">
        <v>371</v>
      </c>
      <c r="AT1124" s="575" t="s">
        <v>92</v>
      </c>
      <c r="AU1124" s="575" t="s">
        <v>92</v>
      </c>
      <c r="AV1124" s="575" t="s">
        <v>92</v>
      </c>
      <c r="AW1124" s="575" t="s">
        <v>371</v>
      </c>
      <c r="AX1124" s="575" t="s">
        <v>92</v>
      </c>
      <c r="AY1124" s="575"/>
      <c r="AZ1124" s="740"/>
      <c r="BA1124" s="518"/>
      <c r="BB1124" s="741"/>
      <c r="BC1124" s="741"/>
      <c r="BD1124" s="741"/>
      <c r="BE1124" s="742"/>
    </row>
    <row r="1125" spans="1:57" ht="15" customHeight="1" x14ac:dyDescent="0.4">
      <c r="A1125" s="3"/>
      <c r="B1125" s="4"/>
      <c r="C1125" s="4" t="s">
        <v>2306</v>
      </c>
      <c r="D1125" s="976"/>
      <c r="E1125" s="976"/>
      <c r="F1125" s="976"/>
      <c r="G1125" s="976"/>
      <c r="H1125" s="10"/>
      <c r="I1125" s="4" t="s">
        <v>923</v>
      </c>
      <c r="J1125" s="3"/>
      <c r="K1125" s="3"/>
      <c r="L1125" s="3"/>
      <c r="M1125" s="3"/>
      <c r="N1125" s="3"/>
      <c r="O1125" s="3"/>
      <c r="P1125" s="3"/>
      <c r="Q1125" s="3"/>
      <c r="R1125" s="3" t="s">
        <v>352</v>
      </c>
      <c r="S1125" s="56">
        <v>4</v>
      </c>
      <c r="T1125" s="3" t="s">
        <v>385</v>
      </c>
      <c r="U1125" s="14"/>
      <c r="V1125" s="38" t="s">
        <v>8</v>
      </c>
      <c r="W1125" s="38" t="s">
        <v>8</v>
      </c>
      <c r="X1125" s="38" t="s">
        <v>8</v>
      </c>
      <c r="Y1125" s="1443">
        <v>440083000</v>
      </c>
      <c r="Z1125" s="3">
        <v>221189</v>
      </c>
      <c r="AA1125" s="3"/>
      <c r="AB1125" s="14"/>
      <c r="AD1125" s="3">
        <v>4</v>
      </c>
      <c r="AE1125" s="3">
        <f>S1125*AD1125</f>
        <v>16</v>
      </c>
      <c r="AF1125" s="3" t="s">
        <v>385</v>
      </c>
      <c r="AG1125" s="216"/>
      <c r="AH1125" s="3"/>
      <c r="AI1125" s="353">
        <v>1.9E-3</v>
      </c>
      <c r="AJ1125" s="3"/>
      <c r="AK1125" s="3"/>
      <c r="AL1125" s="3"/>
      <c r="AM1125" s="51">
        <f>AE1125*AI1125+SUM(AJ1125:AL1125)</f>
        <v>3.04E-2</v>
      </c>
      <c r="AN1125" s="5" t="s">
        <v>371</v>
      </c>
      <c r="AO1125" s="5" t="s">
        <v>371</v>
      </c>
      <c r="AP1125" s="3" t="s">
        <v>371</v>
      </c>
      <c r="AQ1125" s="5" t="s">
        <v>81</v>
      </c>
      <c r="AR1125" s="5" t="s">
        <v>371</v>
      </c>
      <c r="AS1125" s="3" t="s">
        <v>81</v>
      </c>
      <c r="AT1125" s="5" t="s">
        <v>371</v>
      </c>
      <c r="AU1125" s="5" t="s">
        <v>371</v>
      </c>
      <c r="AV1125" s="5" t="s">
        <v>371</v>
      </c>
      <c r="AW1125" s="5" t="s">
        <v>371</v>
      </c>
      <c r="AX1125" s="5" t="s">
        <v>371</v>
      </c>
      <c r="AY1125" s="5"/>
      <c r="AZ1125" s="740"/>
      <c r="BA1125" s="518"/>
      <c r="BB1125" s="741"/>
      <c r="BC1125" s="741"/>
      <c r="BD1125" s="741"/>
      <c r="BE1125" s="742"/>
    </row>
    <row r="1126" spans="1:57" ht="15" customHeight="1" x14ac:dyDescent="0.4">
      <c r="A1126" s="3"/>
      <c r="B1126" s="4"/>
      <c r="C1126" s="1165"/>
      <c r="D1126" s="694" t="s">
        <v>924</v>
      </c>
      <c r="E1126" s="1165"/>
      <c r="F1126" s="1165"/>
      <c r="G1126" s="1165"/>
      <c r="H1126" s="743"/>
      <c r="I1126" s="573"/>
      <c r="J1126" s="577"/>
      <c r="K1126" s="577"/>
      <c r="L1126" s="577"/>
      <c r="M1126" s="577"/>
      <c r="N1126" s="577"/>
      <c r="O1126" s="577"/>
      <c r="P1126" s="577"/>
      <c r="Q1126" s="577"/>
      <c r="R1126" s="577"/>
      <c r="S1126" s="575"/>
      <c r="T1126" s="577"/>
      <c r="U1126" s="574"/>
      <c r="V1126" s="579"/>
      <c r="W1126" s="579"/>
      <c r="X1126" s="579"/>
      <c r="Y1126" s="577"/>
      <c r="Z1126" s="577"/>
      <c r="AA1126" s="577"/>
      <c r="AB1126" s="738"/>
      <c r="AC1126" s="577"/>
      <c r="AD1126" s="577"/>
      <c r="AE1126" s="577"/>
      <c r="AF1126" s="577"/>
      <c r="AG1126" s="744"/>
      <c r="AH1126" s="577"/>
      <c r="AI1126" s="626"/>
      <c r="AJ1126" s="577"/>
      <c r="AK1126" s="577"/>
      <c r="AL1126" s="577"/>
      <c r="AM1126" s="626"/>
      <c r="AN1126" s="575" t="s">
        <v>371</v>
      </c>
      <c r="AO1126" s="575" t="s">
        <v>371</v>
      </c>
      <c r="AP1126" s="577" t="s">
        <v>371</v>
      </c>
      <c r="AQ1126" s="575" t="s">
        <v>81</v>
      </c>
      <c r="AR1126" s="575" t="s">
        <v>371</v>
      </c>
      <c r="AS1126" s="577" t="s">
        <v>81</v>
      </c>
      <c r="AT1126" s="575" t="s">
        <v>371</v>
      </c>
      <c r="AU1126" s="575" t="s">
        <v>371</v>
      </c>
      <c r="AV1126" s="575" t="s">
        <v>371</v>
      </c>
      <c r="AW1126" s="575" t="s">
        <v>371</v>
      </c>
      <c r="AX1126" s="575" t="s">
        <v>371</v>
      </c>
      <c r="AY1126" s="575"/>
      <c r="AZ1126" s="740"/>
      <c r="BA1126" s="518"/>
      <c r="BB1126" s="741"/>
      <c r="BC1126" s="741"/>
      <c r="BD1126" s="741"/>
      <c r="BE1126" s="742"/>
    </row>
    <row r="1127" spans="1:57" ht="15" customHeight="1" x14ac:dyDescent="0.4">
      <c r="A1127" s="3"/>
      <c r="B1127" s="4"/>
      <c r="C1127" s="4" t="s">
        <v>925</v>
      </c>
      <c r="D1127" s="4"/>
      <c r="E1127" s="4"/>
      <c r="F1127" s="4"/>
      <c r="G1127" s="4"/>
      <c r="H1127" s="10"/>
      <c r="I1127" s="4" t="s">
        <v>926</v>
      </c>
      <c r="J1127" s="3"/>
      <c r="K1127" s="3"/>
      <c r="L1127" s="3"/>
      <c r="M1127" s="3"/>
      <c r="N1127" s="3"/>
      <c r="O1127" s="3"/>
      <c r="P1127" s="3"/>
      <c r="Q1127" s="3"/>
      <c r="R1127" s="3" t="s">
        <v>352</v>
      </c>
      <c r="S1127" s="3">
        <v>6</v>
      </c>
      <c r="T1127" s="3" t="s">
        <v>385</v>
      </c>
      <c r="U1127" s="14"/>
      <c r="V1127" s="38" t="s">
        <v>8</v>
      </c>
      <c r="W1127" s="3" t="s">
        <v>817</v>
      </c>
      <c r="X1127" s="38" t="s">
        <v>8</v>
      </c>
      <c r="Y1127" s="1445">
        <v>200056008001</v>
      </c>
      <c r="Z1127" s="1445"/>
      <c r="AA1127" s="1445"/>
      <c r="AB1127" s="558"/>
      <c r="AC1127" s="3">
        <v>45</v>
      </c>
      <c r="AD1127" s="56">
        <v>6</v>
      </c>
      <c r="AE1127" s="56">
        <f>AD1127+AD1128</f>
        <v>16</v>
      </c>
      <c r="AF1127" s="3" t="s">
        <v>385</v>
      </c>
      <c r="AG1127" s="216"/>
      <c r="AH1127" s="3"/>
      <c r="AI1127" s="353">
        <v>2.3400000000000001E-2</v>
      </c>
      <c r="AJ1127" s="3"/>
      <c r="AK1127" s="3"/>
      <c r="AL1127" s="3"/>
      <c r="AM1127" s="51">
        <f>AE1127*AI1127+SUM(AJ1127:AL1127)</f>
        <v>0.37440000000000001</v>
      </c>
      <c r="AN1127" s="5" t="s">
        <v>371</v>
      </c>
      <c r="AO1127" s="5" t="s">
        <v>371</v>
      </c>
      <c r="AP1127" s="3" t="s">
        <v>371</v>
      </c>
      <c r="AQ1127" s="5" t="s">
        <v>81</v>
      </c>
      <c r="AR1127" s="5" t="s">
        <v>371</v>
      </c>
      <c r="AS1127" s="3" t="s">
        <v>81</v>
      </c>
      <c r="AT1127" s="5" t="s">
        <v>371</v>
      </c>
      <c r="AU1127" s="5" t="s">
        <v>371</v>
      </c>
      <c r="AV1127" s="5" t="s">
        <v>371</v>
      </c>
      <c r="AW1127" s="5" t="s">
        <v>371</v>
      </c>
      <c r="AX1127" s="5" t="s">
        <v>371</v>
      </c>
      <c r="AY1127" s="5"/>
      <c r="AZ1127" s="740"/>
      <c r="BA1127" s="518"/>
      <c r="BB1127" s="741"/>
      <c r="BC1127" s="741"/>
      <c r="BD1127" s="741"/>
      <c r="BE1127" s="742"/>
    </row>
    <row r="1128" spans="1:57" ht="15" customHeight="1" x14ac:dyDescent="0.4">
      <c r="A1128" s="3"/>
      <c r="B1128" s="4"/>
      <c r="C1128" s="573"/>
      <c r="D1128" s="573" t="s">
        <v>2136</v>
      </c>
      <c r="E1128" s="573"/>
      <c r="F1128" s="573"/>
      <c r="G1128" s="573"/>
      <c r="H1128" s="743"/>
      <c r="I1128" s="573" t="s">
        <v>928</v>
      </c>
      <c r="J1128" s="577"/>
      <c r="K1128" s="577"/>
      <c r="L1128" s="577"/>
      <c r="M1128" s="577"/>
      <c r="N1128" s="577"/>
      <c r="O1128" s="577"/>
      <c r="P1128" s="577"/>
      <c r="Q1128" s="577"/>
      <c r="R1128" s="577" t="s">
        <v>352</v>
      </c>
      <c r="S1128" s="577" t="s">
        <v>929</v>
      </c>
      <c r="T1128" s="577" t="s">
        <v>385</v>
      </c>
      <c r="U1128" s="574"/>
      <c r="V1128" s="579"/>
      <c r="W1128" s="579"/>
      <c r="X1128" s="579"/>
      <c r="Y1128" s="577"/>
      <c r="Z1128" s="577"/>
      <c r="AA1128" s="577"/>
      <c r="AB1128" s="738"/>
      <c r="AC1128" s="577">
        <v>45</v>
      </c>
      <c r="AD1128" s="576">
        <f>IF(SHHeight&lt;73.5,8,10)</f>
        <v>10</v>
      </c>
      <c r="AE1128" s="577"/>
      <c r="AF1128" s="577"/>
      <c r="AG1128" s="744"/>
      <c r="AH1128" s="577"/>
      <c r="AI1128" s="626"/>
      <c r="AJ1128" s="577"/>
      <c r="AK1128" s="577"/>
      <c r="AL1128" s="577"/>
      <c r="AM1128" s="626"/>
      <c r="AN1128" s="575" t="s">
        <v>371</v>
      </c>
      <c r="AO1128" s="575" t="s">
        <v>371</v>
      </c>
      <c r="AP1128" s="577" t="s">
        <v>371</v>
      </c>
      <c r="AQ1128" s="575" t="s">
        <v>81</v>
      </c>
      <c r="AR1128" s="575" t="s">
        <v>371</v>
      </c>
      <c r="AS1128" s="577" t="s">
        <v>81</v>
      </c>
      <c r="AT1128" s="575" t="s">
        <v>371</v>
      </c>
      <c r="AU1128" s="575" t="s">
        <v>371</v>
      </c>
      <c r="AV1128" s="575" t="s">
        <v>371</v>
      </c>
      <c r="AW1128" s="575" t="s">
        <v>371</v>
      </c>
      <c r="AX1128" s="575" t="s">
        <v>371</v>
      </c>
      <c r="AY1128" s="575"/>
      <c r="AZ1128" s="740"/>
      <c r="BA1128" s="518"/>
      <c r="BB1128" s="741"/>
      <c r="BC1128" s="741"/>
      <c r="BD1128" s="741"/>
      <c r="BE1128" s="742"/>
    </row>
    <row r="1129" spans="1:57" ht="15" customHeight="1" x14ac:dyDescent="0.4">
      <c r="A1129" s="3"/>
      <c r="B1129" s="4"/>
      <c r="C1129" s="4" t="s">
        <v>2307</v>
      </c>
      <c r="D1129" s="4"/>
      <c r="E1129" s="4"/>
      <c r="F1129" s="4"/>
      <c r="G1129" s="4"/>
      <c r="H1129" s="10"/>
      <c r="I1129" s="4" t="s">
        <v>930</v>
      </c>
      <c r="J1129" s="3"/>
      <c r="K1129" s="3"/>
      <c r="L1129" s="3"/>
      <c r="M1129" s="3"/>
      <c r="N1129" s="3"/>
      <c r="O1129" s="3"/>
      <c r="P1129" s="3"/>
      <c r="Q1129" s="3"/>
      <c r="R1129" s="3"/>
      <c r="S1129" s="56">
        <v>4</v>
      </c>
      <c r="T1129" s="3" t="s">
        <v>385</v>
      </c>
      <c r="U1129" s="14"/>
      <c r="V1129" s="38" t="s">
        <v>8</v>
      </c>
      <c r="W1129" s="38" t="s">
        <v>8</v>
      </c>
      <c r="X1129" s="38" t="s">
        <v>8</v>
      </c>
      <c r="Y1129" s="1443">
        <v>440084000</v>
      </c>
      <c r="Z1129" s="3">
        <v>186475</v>
      </c>
      <c r="AA1129" s="3"/>
      <c r="AB1129" s="558"/>
      <c r="AC1129" s="3">
        <v>45</v>
      </c>
      <c r="AD1129" s="56">
        <f>AD1127+AD1128</f>
        <v>16</v>
      </c>
      <c r="AE1129" s="3">
        <f>S1129*AD1129</f>
        <v>64</v>
      </c>
      <c r="AF1129" s="3" t="s">
        <v>385</v>
      </c>
      <c r="AG1129" s="216"/>
      <c r="AH1129" s="3"/>
      <c r="AI1129" s="353">
        <v>1E-3</v>
      </c>
      <c r="AJ1129" s="3"/>
      <c r="AK1129" s="3"/>
      <c r="AL1129" s="3"/>
      <c r="AM1129" s="51">
        <f>AE1129*AI1129+SUM(AJ1129:AL1129)</f>
        <v>6.4000000000000001E-2</v>
      </c>
      <c r="AN1129" s="5" t="s">
        <v>371</v>
      </c>
      <c r="AO1129" s="5" t="s">
        <v>371</v>
      </c>
      <c r="AP1129" s="3" t="s">
        <v>371</v>
      </c>
      <c r="AQ1129" s="5" t="s">
        <v>81</v>
      </c>
      <c r="AR1129" s="5" t="s">
        <v>371</v>
      </c>
      <c r="AS1129" s="3" t="s">
        <v>81</v>
      </c>
      <c r="AT1129" s="5" t="s">
        <v>371</v>
      </c>
      <c r="AU1129" s="5" t="s">
        <v>371</v>
      </c>
      <c r="AV1129" s="5" t="s">
        <v>371</v>
      </c>
      <c r="AW1129" s="5" t="s">
        <v>371</v>
      </c>
      <c r="AX1129" s="5" t="s">
        <v>371</v>
      </c>
      <c r="AY1129" s="5"/>
      <c r="AZ1129" s="740"/>
      <c r="BA1129" s="518"/>
      <c r="BB1129" s="741"/>
      <c r="BC1129" s="741"/>
      <c r="BD1129" s="741"/>
      <c r="BE1129" s="742"/>
    </row>
    <row r="1130" spans="1:57" ht="15" customHeight="1" x14ac:dyDescent="0.4">
      <c r="A1130" s="3"/>
      <c r="B1130" s="4"/>
      <c r="C1130" s="4"/>
      <c r="D1130" s="8" t="s">
        <v>931</v>
      </c>
      <c r="E1130" s="4"/>
      <c r="F1130" s="4"/>
      <c r="G1130" s="4"/>
      <c r="H1130" s="10"/>
      <c r="I1130" s="4"/>
      <c r="J1130" s="3"/>
      <c r="K1130" s="3"/>
      <c r="L1130" s="3"/>
      <c r="M1130" s="3"/>
      <c r="N1130" s="3"/>
      <c r="O1130" s="3"/>
      <c r="P1130" s="3"/>
      <c r="Q1130" s="3"/>
      <c r="R1130" s="3"/>
      <c r="S1130" s="56"/>
      <c r="T1130" s="3"/>
      <c r="U1130" s="14"/>
      <c r="V1130" s="38"/>
      <c r="W1130" s="38"/>
      <c r="X1130" s="38"/>
      <c r="Y1130" s="3"/>
      <c r="Z1130" s="3"/>
      <c r="AA1130" s="3"/>
      <c r="AB1130" s="558"/>
      <c r="AC1130" s="3"/>
      <c r="AD1130" s="56"/>
      <c r="AE1130" s="3"/>
      <c r="AF1130" s="3"/>
      <c r="AG1130" s="216"/>
      <c r="AH1130" s="3"/>
      <c r="AI1130" s="51"/>
      <c r="AJ1130" s="3"/>
      <c r="AK1130" s="3"/>
      <c r="AL1130" s="3"/>
      <c r="AM1130" s="51"/>
      <c r="AN1130" s="5" t="s">
        <v>371</v>
      </c>
      <c r="AO1130" s="5" t="s">
        <v>371</v>
      </c>
      <c r="AP1130" s="3" t="s">
        <v>371</v>
      </c>
      <c r="AQ1130" s="5" t="s">
        <v>81</v>
      </c>
      <c r="AR1130" s="5" t="s">
        <v>371</v>
      </c>
      <c r="AS1130" s="3" t="s">
        <v>81</v>
      </c>
      <c r="AT1130" s="5" t="s">
        <v>371</v>
      </c>
      <c r="AU1130" s="5" t="s">
        <v>371</v>
      </c>
      <c r="AV1130" s="5" t="s">
        <v>371</v>
      </c>
      <c r="AW1130" s="5" t="s">
        <v>371</v>
      </c>
      <c r="AX1130" s="5" t="s">
        <v>371</v>
      </c>
      <c r="AY1130" s="5"/>
      <c r="AZ1130" s="740"/>
      <c r="BA1130" s="518"/>
      <c r="BB1130" s="741"/>
      <c r="BC1130" s="741"/>
      <c r="BD1130" s="741"/>
      <c r="BE1130" s="742"/>
    </row>
    <row r="1131" spans="1:57" ht="15" customHeight="1" x14ac:dyDescent="0.4">
      <c r="A1131" s="3"/>
      <c r="B1131" s="728" t="s">
        <v>932</v>
      </c>
      <c r="C1131" s="745"/>
      <c r="D1131" s="729"/>
      <c r="E1131" s="729"/>
      <c r="F1131" s="729"/>
      <c r="G1131" s="728"/>
      <c r="H1131" s="728"/>
      <c r="I1131" s="730"/>
      <c r="J1131" s="731"/>
      <c r="K1131" s="731"/>
      <c r="L1131" s="731"/>
      <c r="M1131" s="731"/>
      <c r="N1131" s="731"/>
      <c r="O1131" s="731"/>
      <c r="P1131" s="731"/>
      <c r="Q1131" s="731"/>
      <c r="R1131" s="731"/>
      <c r="S1131" s="618"/>
      <c r="T1131" s="618"/>
      <c r="U1131" s="618"/>
      <c r="V1131" s="618"/>
      <c r="W1131" s="618"/>
      <c r="X1131" s="618"/>
      <c r="Y1131" s="618"/>
      <c r="Z1131" s="618"/>
      <c r="AA1131" s="618"/>
      <c r="AB1131" s="615"/>
      <c r="AC1131" s="615"/>
      <c r="AD1131" s="615"/>
      <c r="AE1131" s="615"/>
      <c r="AF1131" s="615"/>
      <c r="AG1131" s="746"/>
      <c r="AH1131" s="731"/>
      <c r="AI1131" s="747"/>
      <c r="AJ1131" s="748"/>
      <c r="AK1131" s="748"/>
      <c r="AL1131" s="735" t="s">
        <v>933</v>
      </c>
      <c r="AM1131" s="736">
        <f>SUM(AM1132+AM1141+AM1165+AM1175+AM1183+AM1191)</f>
        <v>6.6530022666666664</v>
      </c>
      <c r="AN1131" s="1467" t="s">
        <v>2002</v>
      </c>
      <c r="AO1131" s="734"/>
      <c r="AP1131" s="734"/>
      <c r="AQ1131" s="734"/>
      <c r="AR1131" s="734"/>
      <c r="AS1131" s="734"/>
      <c r="AT1131" s="734"/>
      <c r="AU1131" s="734"/>
      <c r="AV1131" s="734"/>
      <c r="AW1131" s="734"/>
      <c r="AX1131" s="1467" t="s">
        <v>2002</v>
      </c>
      <c r="AY1131" s="734"/>
      <c r="AZ1131" s="520"/>
      <c r="BA1131" s="521"/>
      <c r="BB1131" s="261"/>
      <c r="BC1131" s="261"/>
      <c r="BD1131" s="261"/>
      <c r="BE1131" s="262"/>
    </row>
    <row r="1132" spans="1:57" ht="15" customHeight="1" x14ac:dyDescent="0.4">
      <c r="A1132" s="3" t="s">
        <v>934</v>
      </c>
      <c r="B1132" s="641" t="s">
        <v>1981</v>
      </c>
      <c r="C1132" s="749"/>
      <c r="D1132" s="749"/>
      <c r="E1132" s="749"/>
      <c r="F1132" s="749"/>
      <c r="G1132" s="749"/>
      <c r="H1132" s="750"/>
      <c r="I1132" s="750"/>
      <c r="J1132" s="750"/>
      <c r="K1132" s="750"/>
      <c r="L1132" s="750"/>
      <c r="M1132" s="750"/>
      <c r="N1132" s="750"/>
      <c r="O1132" s="750"/>
      <c r="P1132" s="750"/>
      <c r="Q1132" s="750"/>
      <c r="R1132" s="750"/>
      <c r="S1132" s="645"/>
      <c r="T1132" s="645"/>
      <c r="U1132" s="645"/>
      <c r="V1132" s="645"/>
      <c r="W1132" s="645"/>
      <c r="X1132" s="645"/>
      <c r="Y1132" s="645"/>
      <c r="Z1132" s="645"/>
      <c r="AA1132" s="645"/>
      <c r="AB1132" s="645"/>
      <c r="AC1132" s="645"/>
      <c r="AD1132" s="645"/>
      <c r="AE1132" s="645"/>
      <c r="AF1132" s="645"/>
      <c r="AG1132" s="751"/>
      <c r="AH1132" s="752"/>
      <c r="AI1132" s="753"/>
      <c r="AJ1132" s="754"/>
      <c r="AK1132" s="754"/>
      <c r="AL1132" s="648" t="s">
        <v>1987</v>
      </c>
      <c r="AM1132" s="755">
        <f>SUBTOTAL(109,AM1133:AM1140)</f>
        <v>0.2858</v>
      </c>
      <c r="AN1132" s="750"/>
      <c r="AO1132" s="750"/>
      <c r="AP1132" s="750"/>
      <c r="AQ1132" s="750"/>
      <c r="AR1132" s="750"/>
      <c r="AS1132" s="750"/>
      <c r="AT1132" s="750"/>
      <c r="AU1132" s="750"/>
      <c r="AV1132" s="750"/>
      <c r="AW1132" s="750"/>
      <c r="AX1132" s="750"/>
      <c r="AY1132" s="750"/>
      <c r="AZ1132" s="520"/>
      <c r="BA1132" s="521"/>
      <c r="BB1132" s="261"/>
      <c r="BC1132" s="261"/>
      <c r="BD1132" s="261"/>
      <c r="BE1132" s="262"/>
    </row>
    <row r="1133" spans="1:57" ht="15" customHeight="1" x14ac:dyDescent="0.4">
      <c r="A1133" s="3"/>
      <c r="B1133" s="965" t="s">
        <v>937</v>
      </c>
      <c r="C1133" s="8"/>
      <c r="D1133" s="3"/>
      <c r="E1133" s="4"/>
      <c r="F1133" s="4"/>
      <c r="G1133" s="4"/>
      <c r="H1133" s="14"/>
      <c r="I1133" s="3"/>
      <c r="J1133" s="3"/>
      <c r="K1133" s="3"/>
      <c r="L1133" s="3"/>
      <c r="M1133" s="5"/>
      <c r="N1133" s="5"/>
      <c r="O1133" s="5"/>
      <c r="P1133" s="42" t="s">
        <v>938</v>
      </c>
      <c r="Q1133" s="756">
        <v>23.5</v>
      </c>
      <c r="R1133" s="3"/>
      <c r="S1133" s="56">
        <v>1</v>
      </c>
      <c r="T1133" s="376" t="s">
        <v>385</v>
      </c>
      <c r="U1133" s="14"/>
      <c r="V1133" s="38" t="s">
        <v>8</v>
      </c>
      <c r="W1133" s="38" t="s">
        <v>8</v>
      </c>
      <c r="X1133" s="38" t="s">
        <v>8</v>
      </c>
      <c r="Y1133" s="1443">
        <v>170094000</v>
      </c>
      <c r="Z1133" s="1443"/>
      <c r="AA1133" s="1443"/>
      <c r="AB1133" s="558"/>
      <c r="AC1133" s="3">
        <v>45</v>
      </c>
      <c r="AD1133" s="3">
        <v>1</v>
      </c>
      <c r="AE1133" s="56">
        <f>IF(SHWidth&gt;=Q1133,1,0)</f>
        <v>1</v>
      </c>
      <c r="AF1133" s="5" t="s">
        <v>385</v>
      </c>
      <c r="AG1133" s="38" t="s">
        <v>8</v>
      </c>
      <c r="AH1133" s="38" t="s">
        <v>8</v>
      </c>
      <c r="AI1133" s="353">
        <v>7.9100000000000004E-2</v>
      </c>
      <c r="AJ1133" s="51"/>
      <c r="AK1133" s="51"/>
      <c r="AL1133" s="51"/>
      <c r="AM1133" s="51">
        <f>AE1133*AI1133+SUM(AJ1133:AL1133)</f>
        <v>7.9100000000000004E-2</v>
      </c>
      <c r="AN1133" s="3" t="str">
        <f>IF($AE1133=1,"B","O")</f>
        <v>B</v>
      </c>
      <c r="AO1133" s="3" t="str">
        <f>IF($AE1133=1,"B","O")</f>
        <v>B</v>
      </c>
      <c r="AP1133" s="3" t="str">
        <f t="shared" ref="AP1133:AS1134" si="125">IF($AE1133=1,"B","O")</f>
        <v>B</v>
      </c>
      <c r="AQ1133" s="3" t="str">
        <f t="shared" si="125"/>
        <v>B</v>
      </c>
      <c r="AR1133" s="3" t="str">
        <f t="shared" si="125"/>
        <v>B</v>
      </c>
      <c r="AS1133" s="3" t="str">
        <f t="shared" si="125"/>
        <v>B</v>
      </c>
      <c r="AT1133" s="3" t="str">
        <f t="shared" ref="AT1133:AW1134" si="126">IF($AE1133=1,"B","O")</f>
        <v>B</v>
      </c>
      <c r="AU1133" s="3" t="str">
        <f t="shared" si="126"/>
        <v>B</v>
      </c>
      <c r="AV1133" s="3" t="str">
        <f t="shared" si="126"/>
        <v>B</v>
      </c>
      <c r="AW1133" s="3" t="str">
        <f t="shared" si="126"/>
        <v>B</v>
      </c>
      <c r="AX1133" s="3" t="str">
        <f>IF($AE1133=1,"B","O")</f>
        <v>B</v>
      </c>
      <c r="AY1133" s="3"/>
      <c r="AZ1133" s="757"/>
      <c r="BA1133" s="521"/>
      <c r="BB1133" s="521"/>
      <c r="BC1133" s="521"/>
      <c r="BD1133" s="521"/>
      <c r="BE1133" s="155"/>
    </row>
    <row r="1134" spans="1:57" ht="15" customHeight="1" x14ac:dyDescent="0.4">
      <c r="A1134" s="3"/>
      <c r="B1134" s="965" t="s">
        <v>939</v>
      </c>
      <c r="C1134" s="8"/>
      <c r="D1134" s="3"/>
      <c r="E1134" s="4"/>
      <c r="F1134" s="4"/>
      <c r="G1134" s="4"/>
      <c r="H1134" s="14"/>
      <c r="I1134" s="3"/>
      <c r="J1134" s="38"/>
      <c r="K1134" s="3"/>
      <c r="L1134" s="3"/>
      <c r="M1134" s="5"/>
      <c r="N1134" s="5"/>
      <c r="O1134" s="5"/>
      <c r="P1134" s="42" t="s">
        <v>940</v>
      </c>
      <c r="Q1134" s="5">
        <f>Q1133</f>
        <v>23.5</v>
      </c>
      <c r="R1134" s="3"/>
      <c r="S1134" s="56">
        <v>1</v>
      </c>
      <c r="T1134" s="376" t="s">
        <v>385</v>
      </c>
      <c r="U1134" s="14"/>
      <c r="V1134" s="38" t="s">
        <v>8</v>
      </c>
      <c r="W1134" s="38" t="s">
        <v>8</v>
      </c>
      <c r="X1134" s="38" t="s">
        <v>8</v>
      </c>
      <c r="Y1134" s="1443">
        <v>170006000</v>
      </c>
      <c r="Z1134" s="1443"/>
      <c r="AA1134" s="1443"/>
      <c r="AB1134" s="558"/>
      <c r="AC1134" s="3">
        <v>45</v>
      </c>
      <c r="AD1134" s="3">
        <v>1</v>
      </c>
      <c r="AE1134" s="56">
        <f>IF(SHWidth&lt;Q1134,1,0)</f>
        <v>0</v>
      </c>
      <c r="AF1134" s="5" t="s">
        <v>385</v>
      </c>
      <c r="AG1134" s="38" t="s">
        <v>8</v>
      </c>
      <c r="AH1134" s="38" t="s">
        <v>8</v>
      </c>
      <c r="AI1134" s="353">
        <v>5.7299999999999997E-2</v>
      </c>
      <c r="AJ1134" s="51"/>
      <c r="AK1134" s="51"/>
      <c r="AL1134" s="51"/>
      <c r="AM1134" s="51">
        <f>AE1134*AI1134+SUM(AJ1134:AL1134)</f>
        <v>0</v>
      </c>
      <c r="AN1134" s="3" t="str">
        <f>IF($AE1134=1,"B","O")</f>
        <v>O</v>
      </c>
      <c r="AO1134" s="3" t="str">
        <f>IF($AE1134=1,"B","O")</f>
        <v>O</v>
      </c>
      <c r="AP1134" s="3" t="str">
        <f t="shared" si="125"/>
        <v>O</v>
      </c>
      <c r="AQ1134" s="3" t="str">
        <f t="shared" si="125"/>
        <v>O</v>
      </c>
      <c r="AR1134" s="3" t="str">
        <f t="shared" si="125"/>
        <v>O</v>
      </c>
      <c r="AS1134" s="3" t="str">
        <f t="shared" si="125"/>
        <v>O</v>
      </c>
      <c r="AT1134" s="3" t="str">
        <f t="shared" si="126"/>
        <v>O</v>
      </c>
      <c r="AU1134" s="3" t="str">
        <f t="shared" si="126"/>
        <v>O</v>
      </c>
      <c r="AV1134" s="3" t="str">
        <f t="shared" si="126"/>
        <v>O</v>
      </c>
      <c r="AW1134" s="3" t="str">
        <f t="shared" si="126"/>
        <v>O</v>
      </c>
      <c r="AX1134" s="3" t="str">
        <f>IF($AE1134=1,"B","O")</f>
        <v>O</v>
      </c>
      <c r="AY1134" s="3"/>
      <c r="AZ1134" s="520"/>
      <c r="BA1134" s="521"/>
      <c r="BB1134" s="521"/>
      <c r="BC1134" s="521"/>
      <c r="BD1134" s="521"/>
      <c r="BE1134" s="155"/>
    </row>
    <row r="1135" spans="1:57" ht="15" customHeight="1" x14ac:dyDescent="0.4">
      <c r="A1135" s="3"/>
      <c r="B1135" s="965" t="s">
        <v>941</v>
      </c>
      <c r="C1135" s="8"/>
      <c r="D1135" s="3"/>
      <c r="E1135" s="4"/>
      <c r="F1135" s="4"/>
      <c r="G1135" s="4"/>
      <c r="H1135" s="14"/>
      <c r="I1135" s="3"/>
      <c r="J1135" s="38"/>
      <c r="K1135" s="3"/>
      <c r="L1135" s="3"/>
      <c r="M1135" s="5"/>
      <c r="N1135" s="5"/>
      <c r="O1135" s="5"/>
      <c r="P1135" s="42" t="s">
        <v>938</v>
      </c>
      <c r="Q1135" s="5">
        <f>Q1133</f>
        <v>23.5</v>
      </c>
      <c r="R1135" s="3"/>
      <c r="S1135" s="56">
        <v>1</v>
      </c>
      <c r="T1135" s="376" t="s">
        <v>385</v>
      </c>
      <c r="U1135" s="14"/>
      <c r="V1135" s="38" t="s">
        <v>8</v>
      </c>
      <c r="W1135" s="38" t="s">
        <v>8</v>
      </c>
      <c r="X1135" s="38" t="s">
        <v>8</v>
      </c>
      <c r="Y1135" s="1443">
        <v>170093000</v>
      </c>
      <c r="Z1135" s="1443"/>
      <c r="AA1135" s="1443"/>
      <c r="AB1135" s="558"/>
      <c r="AC1135" s="3">
        <v>45</v>
      </c>
      <c r="AD1135" s="3">
        <v>1</v>
      </c>
      <c r="AE1135" s="56">
        <f>IF(SHWidth&gt;=Q1135,1,0)</f>
        <v>1</v>
      </c>
      <c r="AF1135" s="5" t="s">
        <v>385</v>
      </c>
      <c r="AG1135" s="38" t="s">
        <v>8</v>
      </c>
      <c r="AH1135" s="38" t="s">
        <v>8</v>
      </c>
      <c r="AI1135" s="353">
        <v>0.12770000000000001</v>
      </c>
      <c r="AJ1135" s="51"/>
      <c r="AK1135" s="51"/>
      <c r="AL1135" s="51"/>
      <c r="AM1135" s="51">
        <f t="shared" ref="AM1135:AM1140" si="127">AE1135*AI1135+SUM(AJ1135:AL1135)</f>
        <v>0.12770000000000001</v>
      </c>
      <c r="AN1135" s="3" t="s">
        <v>371</v>
      </c>
      <c r="AO1135" s="3" t="s">
        <v>371</v>
      </c>
      <c r="AP1135" s="3" t="s">
        <v>371</v>
      </c>
      <c r="AQ1135" s="3" t="s">
        <v>371</v>
      </c>
      <c r="AR1135" s="3" t="s">
        <v>371</v>
      </c>
      <c r="AS1135" s="3" t="s">
        <v>371</v>
      </c>
      <c r="AT1135" s="3" t="s">
        <v>371</v>
      </c>
      <c r="AU1135" s="3" t="s">
        <v>371</v>
      </c>
      <c r="AV1135" s="3" t="s">
        <v>371</v>
      </c>
      <c r="AW1135" s="3" t="s">
        <v>371</v>
      </c>
      <c r="AX1135" s="3" t="s">
        <v>371</v>
      </c>
      <c r="AY1135" s="3"/>
      <c r="AZ1135" s="757"/>
      <c r="BA1135" s="521"/>
      <c r="BB1135" s="521"/>
      <c r="BC1135" s="521"/>
      <c r="BD1135" s="521"/>
      <c r="BE1135" s="155"/>
    </row>
    <row r="1136" spans="1:57" ht="15" customHeight="1" x14ac:dyDescent="0.4">
      <c r="A1136" s="3"/>
      <c r="B1136" s="965" t="s">
        <v>942</v>
      </c>
      <c r="C1136" s="8"/>
      <c r="D1136" s="3"/>
      <c r="E1136" s="4"/>
      <c r="F1136" s="4"/>
      <c r="G1136" s="4"/>
      <c r="H1136" s="14"/>
      <c r="I1136" s="3"/>
      <c r="J1136" s="38"/>
      <c r="K1136" s="3"/>
      <c r="L1136" s="3"/>
      <c r="M1136" s="5"/>
      <c r="N1136" s="5"/>
      <c r="O1136" s="5"/>
      <c r="P1136" s="42" t="s">
        <v>940</v>
      </c>
      <c r="Q1136" s="5">
        <f>Q1134</f>
        <v>23.5</v>
      </c>
      <c r="R1136" s="3"/>
      <c r="S1136" s="56">
        <v>1</v>
      </c>
      <c r="T1136" s="376" t="s">
        <v>385</v>
      </c>
      <c r="U1136" s="14"/>
      <c r="V1136" s="38" t="s">
        <v>8</v>
      </c>
      <c r="W1136" s="38" t="s">
        <v>8</v>
      </c>
      <c r="X1136" s="38" t="s">
        <v>8</v>
      </c>
      <c r="Y1136" s="1443">
        <v>170002000</v>
      </c>
      <c r="Z1136" s="1443"/>
      <c r="AA1136" s="1443"/>
      <c r="AB1136" s="558"/>
      <c r="AC1136" s="3">
        <v>45</v>
      </c>
      <c r="AD1136" s="3">
        <v>1</v>
      </c>
      <c r="AE1136" s="56">
        <f>IF(SHWidth&lt;Q1136,1,0)</f>
        <v>0</v>
      </c>
      <c r="AF1136" s="5" t="s">
        <v>385</v>
      </c>
      <c r="AG1136" s="38" t="s">
        <v>8</v>
      </c>
      <c r="AH1136" s="38" t="s">
        <v>8</v>
      </c>
      <c r="AI1136" s="353">
        <v>5.3100000000000001E-2</v>
      </c>
      <c r="AJ1136" s="51"/>
      <c r="AK1136" s="51"/>
      <c r="AL1136" s="51"/>
      <c r="AM1136" s="51">
        <f t="shared" si="127"/>
        <v>0</v>
      </c>
      <c r="AN1136" s="3" t="s">
        <v>371</v>
      </c>
      <c r="AO1136" s="3" t="s">
        <v>371</v>
      </c>
      <c r="AP1136" s="3" t="s">
        <v>371</v>
      </c>
      <c r="AQ1136" s="3" t="s">
        <v>371</v>
      </c>
      <c r="AR1136" s="3" t="s">
        <v>371</v>
      </c>
      <c r="AS1136" s="3" t="s">
        <v>371</v>
      </c>
      <c r="AT1136" s="3" t="s">
        <v>371</v>
      </c>
      <c r="AU1136" s="3" t="s">
        <v>371</v>
      </c>
      <c r="AV1136" s="3" t="s">
        <v>371</v>
      </c>
      <c r="AW1136" s="3" t="s">
        <v>371</v>
      </c>
      <c r="AX1136" s="3" t="s">
        <v>371</v>
      </c>
      <c r="AY1136" s="3"/>
      <c r="AZ1136" s="520"/>
      <c r="BA1136" s="521"/>
      <c r="BB1136" s="521"/>
      <c r="BC1136" s="521"/>
      <c r="BD1136" s="521"/>
      <c r="BE1136" s="155"/>
    </row>
    <row r="1137" spans="1:57" ht="15" customHeight="1" x14ac:dyDescent="0.4">
      <c r="A1137" s="3"/>
      <c r="B1137" s="965" t="s">
        <v>943</v>
      </c>
      <c r="C1137" s="8"/>
      <c r="D1137" s="3"/>
      <c r="E1137" s="4"/>
      <c r="F1137" s="4"/>
      <c r="G1137" s="4"/>
      <c r="H1137" s="14"/>
      <c r="I1137" s="3"/>
      <c r="J1137" s="38"/>
      <c r="K1137" s="3"/>
      <c r="L1137" s="3"/>
      <c r="M1137" s="5"/>
      <c r="N1137" s="5"/>
      <c r="O1137" s="5"/>
      <c r="P1137" s="42" t="s">
        <v>938</v>
      </c>
      <c r="Q1137" s="5">
        <f>Q1133</f>
        <v>23.5</v>
      </c>
      <c r="R1137" s="3"/>
      <c r="S1137" s="56">
        <v>1</v>
      </c>
      <c r="T1137" s="376" t="s">
        <v>385</v>
      </c>
      <c r="U1137" s="14"/>
      <c r="V1137" s="38" t="s">
        <v>8</v>
      </c>
      <c r="W1137" s="38" t="s">
        <v>8</v>
      </c>
      <c r="X1137" s="38" t="s">
        <v>8</v>
      </c>
      <c r="Y1137" s="1443">
        <v>170095000</v>
      </c>
      <c r="Z1137" s="1443"/>
      <c r="AA1137" s="1443"/>
      <c r="AB1137" s="558"/>
      <c r="AC1137" s="3">
        <v>40</v>
      </c>
      <c r="AD1137" s="3">
        <v>1</v>
      </c>
      <c r="AE1137" s="56">
        <f>IF(SHWidth&gt;=Q1137,1,0)</f>
        <v>1</v>
      </c>
      <c r="AF1137" s="5" t="s">
        <v>385</v>
      </c>
      <c r="AG1137" s="38" t="s">
        <v>8</v>
      </c>
      <c r="AH1137" s="38" t="s">
        <v>8</v>
      </c>
      <c r="AI1137" s="353">
        <v>7.9000000000000001E-2</v>
      </c>
      <c r="AJ1137" s="51"/>
      <c r="AK1137" s="51"/>
      <c r="AL1137" s="51"/>
      <c r="AM1137" s="51">
        <f t="shared" si="127"/>
        <v>7.9000000000000001E-2</v>
      </c>
      <c r="AN1137" s="3" t="s">
        <v>371</v>
      </c>
      <c r="AO1137" s="3" t="s">
        <v>371</v>
      </c>
      <c r="AP1137" s="3" t="s">
        <v>371</v>
      </c>
      <c r="AQ1137" s="3" t="s">
        <v>371</v>
      </c>
      <c r="AR1137" s="3" t="s">
        <v>371</v>
      </c>
      <c r="AS1137" s="3" t="s">
        <v>371</v>
      </c>
      <c r="AT1137" s="3" t="s">
        <v>371</v>
      </c>
      <c r="AU1137" s="3" t="s">
        <v>371</v>
      </c>
      <c r="AV1137" s="3" t="s">
        <v>371</v>
      </c>
      <c r="AW1137" s="3" t="s">
        <v>371</v>
      </c>
      <c r="AX1137" s="3" t="s">
        <v>371</v>
      </c>
      <c r="AY1137" s="3"/>
      <c r="AZ1137" s="757"/>
      <c r="BA1137" s="521"/>
      <c r="BB1137" s="521"/>
      <c r="BC1137" s="521"/>
      <c r="BD1137" s="521"/>
      <c r="BE1137" s="155"/>
    </row>
    <row r="1138" spans="1:57" ht="15" customHeight="1" x14ac:dyDescent="0.4">
      <c r="A1138" s="3"/>
      <c r="B1138" s="965" t="s">
        <v>944</v>
      </c>
      <c r="C1138" s="8"/>
      <c r="D1138" s="3"/>
      <c r="E1138" s="4"/>
      <c r="F1138" s="4"/>
      <c r="G1138" s="4"/>
      <c r="H1138" s="14"/>
      <c r="I1138" s="3"/>
      <c r="J1138" s="38"/>
      <c r="K1138" s="3"/>
      <c r="L1138" s="3"/>
      <c r="M1138" s="5"/>
      <c r="N1138" s="5"/>
      <c r="O1138" s="5"/>
      <c r="P1138" s="42" t="s">
        <v>940</v>
      </c>
      <c r="Q1138" s="5">
        <f>Q1134</f>
        <v>23.5</v>
      </c>
      <c r="R1138" s="3"/>
      <c r="S1138" s="56">
        <v>1</v>
      </c>
      <c r="T1138" s="376" t="s">
        <v>385</v>
      </c>
      <c r="U1138" s="14"/>
      <c r="V1138" s="38" t="s">
        <v>8</v>
      </c>
      <c r="W1138" s="38" t="s">
        <v>8</v>
      </c>
      <c r="X1138" s="38" t="s">
        <v>8</v>
      </c>
      <c r="Y1138" s="1443">
        <v>170078000</v>
      </c>
      <c r="Z1138" s="1443"/>
      <c r="AA1138" s="1443"/>
      <c r="AB1138" s="558"/>
      <c r="AC1138" s="3">
        <v>40</v>
      </c>
      <c r="AD1138" s="3">
        <v>1</v>
      </c>
      <c r="AE1138" s="56">
        <f>IF(SHWidth&lt;Q1138,1,0)</f>
        <v>0</v>
      </c>
      <c r="AF1138" s="5" t="s">
        <v>385</v>
      </c>
      <c r="AG1138" s="38" t="s">
        <v>8</v>
      </c>
      <c r="AH1138" s="38" t="s">
        <v>8</v>
      </c>
      <c r="AI1138" s="353">
        <v>5.1200000000000002E-2</v>
      </c>
      <c r="AJ1138" s="51"/>
      <c r="AK1138" s="51"/>
      <c r="AL1138" s="51"/>
      <c r="AM1138" s="51">
        <f t="shared" si="127"/>
        <v>0</v>
      </c>
      <c r="AN1138" s="3" t="s">
        <v>371</v>
      </c>
      <c r="AO1138" s="3" t="s">
        <v>371</v>
      </c>
      <c r="AP1138" s="3" t="s">
        <v>371</v>
      </c>
      <c r="AQ1138" s="3" t="s">
        <v>371</v>
      </c>
      <c r="AR1138" s="3" t="s">
        <v>371</v>
      </c>
      <c r="AS1138" s="3" t="s">
        <v>371</v>
      </c>
      <c r="AT1138" s="3" t="s">
        <v>371</v>
      </c>
      <c r="AU1138" s="3" t="s">
        <v>371</v>
      </c>
      <c r="AV1138" s="3" t="s">
        <v>371</v>
      </c>
      <c r="AW1138" s="3" t="s">
        <v>371</v>
      </c>
      <c r="AX1138" s="3" t="s">
        <v>371</v>
      </c>
      <c r="AY1138" s="3"/>
      <c r="AZ1138" s="520"/>
      <c r="BA1138" s="521"/>
      <c r="BB1138" s="521"/>
      <c r="BC1138" s="521"/>
      <c r="BD1138" s="521"/>
      <c r="BE1138" s="155"/>
    </row>
    <row r="1139" spans="1:57" ht="15" customHeight="1" x14ac:dyDescent="0.4">
      <c r="A1139" s="3"/>
      <c r="B1139" s="965" t="s">
        <v>945</v>
      </c>
      <c r="C1139" s="8"/>
      <c r="D1139" s="3"/>
      <c r="E1139" s="4"/>
      <c r="F1139" s="4"/>
      <c r="G1139" s="4"/>
      <c r="H1139" s="14"/>
      <c r="I1139" s="3"/>
      <c r="J1139" s="38"/>
      <c r="K1139" s="3"/>
      <c r="L1139" s="3"/>
      <c r="M1139" s="5"/>
      <c r="N1139" s="5"/>
      <c r="O1139" s="5"/>
      <c r="P1139" s="42" t="s">
        <v>938</v>
      </c>
      <c r="Q1139" s="5">
        <f>Q1133</f>
        <v>23.5</v>
      </c>
      <c r="R1139" s="3"/>
      <c r="S1139" s="56">
        <v>1</v>
      </c>
      <c r="T1139" s="376" t="s">
        <v>385</v>
      </c>
      <c r="U1139" s="14"/>
      <c r="V1139" s="38" t="s">
        <v>8</v>
      </c>
      <c r="W1139" s="38" t="s">
        <v>8</v>
      </c>
      <c r="X1139" s="38" t="s">
        <v>8</v>
      </c>
      <c r="Y1139" s="1443">
        <v>170154000</v>
      </c>
      <c r="Z1139" s="1443"/>
      <c r="AA1139" s="1443"/>
      <c r="AB1139" s="558"/>
      <c r="AC1139" s="3">
        <v>40</v>
      </c>
      <c r="AD1139" s="3">
        <v>1</v>
      </c>
      <c r="AE1139" s="56">
        <f>IF(SHWidth&gt;=Q1139,1,0)</f>
        <v>1</v>
      </c>
      <c r="AF1139" s="5" t="s">
        <v>385</v>
      </c>
      <c r="AG1139" s="38" t="s">
        <v>8</v>
      </c>
      <c r="AH1139" s="38" t="s">
        <v>8</v>
      </c>
      <c r="AI1139" s="844">
        <v>0</v>
      </c>
      <c r="AJ1139" s="51"/>
      <c r="AK1139" s="51"/>
      <c r="AL1139" s="51"/>
      <c r="AM1139" s="51">
        <f t="shared" si="127"/>
        <v>0</v>
      </c>
      <c r="AN1139" s="3" t="s">
        <v>371</v>
      </c>
      <c r="AO1139" s="3" t="s">
        <v>371</v>
      </c>
      <c r="AP1139" s="3" t="s">
        <v>371</v>
      </c>
      <c r="AQ1139" s="3" t="s">
        <v>371</v>
      </c>
      <c r="AR1139" s="3" t="s">
        <v>371</v>
      </c>
      <c r="AS1139" s="3" t="s">
        <v>371</v>
      </c>
      <c r="AT1139" s="3" t="s">
        <v>371</v>
      </c>
      <c r="AU1139" s="3" t="s">
        <v>371</v>
      </c>
      <c r="AV1139" s="3" t="s">
        <v>371</v>
      </c>
      <c r="AW1139" s="3" t="s">
        <v>371</v>
      </c>
      <c r="AX1139" s="3" t="s">
        <v>371</v>
      </c>
      <c r="AY1139" s="3"/>
      <c r="AZ1139" s="757"/>
      <c r="BA1139" s="521"/>
      <c r="BB1139" s="521"/>
      <c r="BC1139" s="521"/>
      <c r="BD1139" s="521"/>
      <c r="BE1139" s="155"/>
    </row>
    <row r="1140" spans="1:57" ht="15" customHeight="1" x14ac:dyDescent="0.4">
      <c r="A1140" s="3"/>
      <c r="B1140" s="965" t="s">
        <v>946</v>
      </c>
      <c r="C1140" s="8"/>
      <c r="D1140" s="3"/>
      <c r="E1140" s="4"/>
      <c r="F1140" s="4"/>
      <c r="G1140" s="4"/>
      <c r="H1140" s="14"/>
      <c r="I1140" s="3"/>
      <c r="J1140" s="38"/>
      <c r="K1140" s="3"/>
      <c r="L1140" s="3"/>
      <c r="M1140" s="5"/>
      <c r="N1140" s="5"/>
      <c r="O1140" s="5"/>
      <c r="P1140" s="42" t="s">
        <v>940</v>
      </c>
      <c r="Q1140" s="5">
        <f>Q1134</f>
        <v>23.5</v>
      </c>
      <c r="R1140" s="3"/>
      <c r="S1140" s="56">
        <v>1</v>
      </c>
      <c r="T1140" s="376" t="s">
        <v>385</v>
      </c>
      <c r="U1140" s="14"/>
      <c r="V1140" s="38" t="s">
        <v>8</v>
      </c>
      <c r="W1140" s="38" t="s">
        <v>8</v>
      </c>
      <c r="X1140" s="38" t="s">
        <v>8</v>
      </c>
      <c r="Y1140" s="1443">
        <v>170182000</v>
      </c>
      <c r="Z1140" s="1443" t="s">
        <v>2264</v>
      </c>
      <c r="AA1140" s="1443"/>
      <c r="AB1140" s="558"/>
      <c r="AC1140" s="3">
        <v>40</v>
      </c>
      <c r="AD1140" s="3">
        <v>1</v>
      </c>
      <c r="AE1140" s="56">
        <f>IF(SHWidth&lt;Q1140,1,0)</f>
        <v>0</v>
      </c>
      <c r="AF1140" s="5" t="s">
        <v>385</v>
      </c>
      <c r="AG1140" s="38" t="s">
        <v>8</v>
      </c>
      <c r="AH1140" s="38" t="s">
        <v>8</v>
      </c>
      <c r="AI1140" s="844">
        <v>0</v>
      </c>
      <c r="AJ1140" s="51"/>
      <c r="AK1140" s="51"/>
      <c r="AL1140" s="51"/>
      <c r="AM1140" s="51">
        <f t="shared" si="127"/>
        <v>0</v>
      </c>
      <c r="AN1140" s="3" t="s">
        <v>371</v>
      </c>
      <c r="AO1140" s="3" t="s">
        <v>371</v>
      </c>
      <c r="AP1140" s="3" t="s">
        <v>371</v>
      </c>
      <c r="AQ1140" s="3" t="s">
        <v>371</v>
      </c>
      <c r="AR1140" s="3" t="s">
        <v>371</v>
      </c>
      <c r="AS1140" s="3" t="s">
        <v>371</v>
      </c>
      <c r="AT1140" s="3" t="s">
        <v>371</v>
      </c>
      <c r="AU1140" s="3" t="s">
        <v>371</v>
      </c>
      <c r="AV1140" s="3" t="s">
        <v>371</v>
      </c>
      <c r="AW1140" s="3" t="s">
        <v>371</v>
      </c>
      <c r="AX1140" s="3" t="s">
        <v>371</v>
      </c>
      <c r="AY1140" s="3"/>
      <c r="AZ1140" s="520"/>
      <c r="BA1140" s="521"/>
      <c r="BB1140" s="521"/>
      <c r="BC1140" s="521"/>
      <c r="BD1140" s="521"/>
      <c r="BE1140" s="155"/>
    </row>
    <row r="1141" spans="1:57" ht="15" customHeight="1" x14ac:dyDescent="0.4">
      <c r="A1141" s="3"/>
      <c r="B1141" s="641" t="s">
        <v>1985</v>
      </c>
      <c r="C1141" s="749"/>
      <c r="D1141" s="749"/>
      <c r="E1141" s="749"/>
      <c r="F1141" s="749"/>
      <c r="G1141" s="749"/>
      <c r="H1141" s="750"/>
      <c r="I1141" s="750"/>
      <c r="J1141" s="750"/>
      <c r="K1141" s="750"/>
      <c r="L1141" s="750"/>
      <c r="M1141" s="750"/>
      <c r="N1141" s="750"/>
      <c r="O1141" s="750"/>
      <c r="P1141" s="750"/>
      <c r="Q1141" s="750"/>
      <c r="R1141" s="750"/>
      <c r="S1141" s="645"/>
      <c r="T1141" s="645"/>
      <c r="U1141" s="645"/>
      <c r="V1141" s="645"/>
      <c r="W1141" s="645"/>
      <c r="X1141" s="645"/>
      <c r="Y1141" s="1453"/>
      <c r="Z1141" s="1453"/>
      <c r="AA1141" s="1453"/>
      <c r="AB1141" s="645"/>
      <c r="AC1141" s="645"/>
      <c r="AD1141" s="645"/>
      <c r="AE1141" s="645"/>
      <c r="AF1141" s="645"/>
      <c r="AG1141" s="751"/>
      <c r="AH1141" s="752"/>
      <c r="AI1141" s="753"/>
      <c r="AJ1141" s="754"/>
      <c r="AK1141" s="754"/>
      <c r="AL1141" s="648" t="s">
        <v>1988</v>
      </c>
      <c r="AM1141" s="755">
        <f>SUBTOTAL(109,AM1142:AM1155)</f>
        <v>3.4458316666666664</v>
      </c>
      <c r="AN1141" s="754"/>
      <c r="AO1141" s="754"/>
      <c r="AP1141" s="754"/>
      <c r="AQ1141" s="754"/>
      <c r="AR1141" s="754"/>
      <c r="AS1141" s="754"/>
      <c r="AT1141" s="754"/>
      <c r="AU1141" s="754"/>
      <c r="AV1141" s="754"/>
      <c r="AW1141" s="754"/>
      <c r="AX1141" s="754"/>
      <c r="AY1141" s="754"/>
      <c r="AZ1141" s="520"/>
      <c r="BA1141" s="521"/>
      <c r="BB1141" s="521"/>
      <c r="BC1141" s="521"/>
      <c r="BD1141" s="521"/>
      <c r="BE1141" s="155"/>
    </row>
    <row r="1142" spans="1:57" ht="15" customHeight="1" x14ac:dyDescent="0.4">
      <c r="A1142" s="3"/>
      <c r="B1142" s="1423" t="s">
        <v>1982</v>
      </c>
      <c r="C1142" s="3"/>
      <c r="D1142" s="3"/>
      <c r="E1142" s="4"/>
      <c r="F1142" s="4"/>
      <c r="G1142" s="4"/>
      <c r="H1142" s="14"/>
      <c r="I1142" s="8"/>
      <c r="J1142" s="38"/>
      <c r="K1142" s="3"/>
      <c r="L1142" s="3"/>
      <c r="M1142" s="5"/>
      <c r="N1142" s="5"/>
      <c r="O1142" s="5"/>
      <c r="P1142" s="5"/>
      <c r="Q1142" s="5"/>
      <c r="R1142" s="30"/>
      <c r="S1142" s="5"/>
      <c r="T1142" s="376"/>
      <c r="U1142" s="14"/>
      <c r="V1142" s="38"/>
      <c r="W1142" s="38"/>
      <c r="X1142" s="38"/>
      <c r="Y1142" s="1443"/>
      <c r="Z1142" s="1443"/>
      <c r="AA1142" s="1443"/>
      <c r="AB1142" s="558"/>
      <c r="AC1142" s="3"/>
      <c r="AD1142" s="3"/>
      <c r="AE1142" s="5"/>
      <c r="AF1142" s="5"/>
      <c r="AG1142" s="38"/>
      <c r="AH1142" s="38"/>
      <c r="AI1142" s="51"/>
      <c r="AJ1142" s="51"/>
      <c r="AK1142" s="51"/>
      <c r="AL1142" s="51"/>
      <c r="AM1142" s="3"/>
      <c r="AN1142" s="3"/>
      <c r="AO1142" s="3"/>
      <c r="AP1142" s="3"/>
      <c r="AQ1142" s="3"/>
      <c r="AR1142" s="3"/>
      <c r="AS1142" s="3"/>
      <c r="AT1142" s="3"/>
      <c r="AU1142" s="3"/>
      <c r="AV1142" s="3"/>
      <c r="AW1142" s="3"/>
      <c r="AX1142" s="3"/>
      <c r="AY1142" s="3"/>
      <c r="AZ1142" s="739"/>
      <c r="BA1142" s="521"/>
      <c r="BB1142" s="521"/>
      <c r="BC1142" s="521"/>
      <c r="BD1142" s="521"/>
      <c r="BE1142" s="155"/>
    </row>
    <row r="1143" spans="1:57" ht="15" customHeight="1" x14ac:dyDescent="0.4">
      <c r="A1143" s="3"/>
      <c r="B1143" s="966" t="s">
        <v>949</v>
      </c>
      <c r="C1143" s="3"/>
      <c r="D1143" s="3"/>
      <c r="E1143" s="4"/>
      <c r="F1143" s="4"/>
      <c r="G1143" s="4"/>
      <c r="H1143" s="14"/>
      <c r="I1143" s="8" t="s">
        <v>950</v>
      </c>
      <c r="J1143" s="38"/>
      <c r="K1143" s="3"/>
      <c r="L1143" s="3"/>
      <c r="M1143" s="5"/>
      <c r="N1143" s="5"/>
      <c r="O1143" s="5"/>
      <c r="P1143" s="5"/>
      <c r="Q1143" s="5"/>
      <c r="R1143" s="30"/>
      <c r="S1143" s="56">
        <v>1</v>
      </c>
      <c r="T1143" s="376" t="s">
        <v>385</v>
      </c>
      <c r="U1143" s="14"/>
      <c r="V1143" s="38" t="s">
        <v>8</v>
      </c>
      <c r="W1143" s="38" t="s">
        <v>8</v>
      </c>
      <c r="X1143" s="38" t="s">
        <v>8</v>
      </c>
      <c r="Y1143" s="1443">
        <v>100041000</v>
      </c>
      <c r="Z1143" s="1443"/>
      <c r="AA1143" s="1443"/>
      <c r="AB1143" s="558"/>
      <c r="AC1143" s="3">
        <v>45</v>
      </c>
      <c r="AD1143" s="3">
        <v>4</v>
      </c>
      <c r="AE1143" s="5">
        <f>S1143*AD1143</f>
        <v>4</v>
      </c>
      <c r="AF1143" s="5" t="s">
        <v>385</v>
      </c>
      <c r="AG1143" s="38" t="s">
        <v>8</v>
      </c>
      <c r="AH1143" s="38" t="s">
        <v>8</v>
      </c>
      <c r="AI1143" s="353">
        <v>0.109</v>
      </c>
      <c r="AJ1143" s="51"/>
      <c r="AK1143" s="51"/>
      <c r="AL1143" s="51"/>
      <c r="AM1143" s="51">
        <f>AE1143*AI1143+SUM(AJ1143:AL1143)</f>
        <v>0.436</v>
      </c>
      <c r="AN1143" s="3" t="s">
        <v>81</v>
      </c>
      <c r="AO1143" s="3" t="s">
        <v>81</v>
      </c>
      <c r="AP1143" s="3" t="s">
        <v>81</v>
      </c>
      <c r="AQ1143" s="519" t="s">
        <v>81</v>
      </c>
      <c r="AR1143" s="3" t="s">
        <v>81</v>
      </c>
      <c r="AS1143" s="3" t="s">
        <v>81</v>
      </c>
      <c r="AT1143" s="3" t="s">
        <v>81</v>
      </c>
      <c r="AU1143" s="3" t="s">
        <v>81</v>
      </c>
      <c r="AV1143" s="3" t="s">
        <v>81</v>
      </c>
      <c r="AW1143" s="3" t="s">
        <v>81</v>
      </c>
      <c r="AX1143" s="3" t="s">
        <v>81</v>
      </c>
      <c r="AY1143" s="3"/>
      <c r="AZ1143" s="520"/>
      <c r="BA1143" s="521"/>
      <c r="BB1143" s="521"/>
      <c r="BC1143" s="521"/>
      <c r="BD1143" s="521"/>
      <c r="BE1143" s="155"/>
    </row>
    <row r="1144" spans="1:57" ht="15" customHeight="1" x14ac:dyDescent="0.4">
      <c r="A1144" s="3"/>
      <c r="B1144" s="966" t="s">
        <v>951</v>
      </c>
      <c r="C1144" s="3"/>
      <c r="D1144" s="3"/>
      <c r="E1144" s="4"/>
      <c r="F1144" s="4"/>
      <c r="G1144" s="4"/>
      <c r="H1144" s="14"/>
      <c r="I1144" s="8" t="s">
        <v>952</v>
      </c>
      <c r="J1144" s="38"/>
      <c r="K1144" s="3"/>
      <c r="L1144" s="3"/>
      <c r="M1144" s="5"/>
      <c r="N1144" s="5"/>
      <c r="O1144" s="5"/>
      <c r="P1144" s="5"/>
      <c r="Q1144" s="5"/>
      <c r="R1144" s="30"/>
      <c r="S1144" s="5">
        <f>1/12</f>
        <v>8.3333333333333329E-2</v>
      </c>
      <c r="T1144" s="376" t="s">
        <v>385</v>
      </c>
      <c r="U1144" s="14"/>
      <c r="V1144" s="38" t="s">
        <v>8</v>
      </c>
      <c r="W1144" s="38" t="s">
        <v>8</v>
      </c>
      <c r="X1144" s="38" t="s">
        <v>8</v>
      </c>
      <c r="Y1144" s="1443">
        <v>100032000</v>
      </c>
      <c r="Z1144" s="1443"/>
      <c r="AA1144" s="1443"/>
      <c r="AB1144" s="558"/>
      <c r="AC1144" s="3">
        <v>45</v>
      </c>
      <c r="AD1144" s="3">
        <v>4</v>
      </c>
      <c r="AE1144" s="5">
        <f>S1144*AD1144</f>
        <v>0.33333333333333331</v>
      </c>
      <c r="AF1144" s="5" t="s">
        <v>385</v>
      </c>
      <c r="AG1144" s="38" t="s">
        <v>8</v>
      </c>
      <c r="AH1144" s="38" t="s">
        <v>8</v>
      </c>
      <c r="AI1144" s="353">
        <v>4.21</v>
      </c>
      <c r="AJ1144" s="51"/>
      <c r="AK1144" s="51"/>
      <c r="AL1144" s="51"/>
      <c r="AM1144" s="51">
        <f>AE1144*AI1144+SUM(AJ1144:AL1144)</f>
        <v>1.4033333333333333</v>
      </c>
      <c r="AN1144" s="3" t="s">
        <v>371</v>
      </c>
      <c r="AO1144" s="3" t="s">
        <v>371</v>
      </c>
      <c r="AP1144" s="3" t="s">
        <v>371</v>
      </c>
      <c r="AQ1144" s="3" t="s">
        <v>371</v>
      </c>
      <c r="AR1144" s="3" t="s">
        <v>371</v>
      </c>
      <c r="AS1144" s="3" t="s">
        <v>371</v>
      </c>
      <c r="AT1144" s="3" t="s">
        <v>371</v>
      </c>
      <c r="AU1144" s="3" t="s">
        <v>371</v>
      </c>
      <c r="AV1144" s="3" t="s">
        <v>371</v>
      </c>
      <c r="AW1144" s="3" t="s">
        <v>371</v>
      </c>
      <c r="AX1144" s="3" t="s">
        <v>371</v>
      </c>
      <c r="AY1144" s="3"/>
      <c r="AZ1144" s="739"/>
      <c r="BA1144" s="521"/>
      <c r="BB1144" s="521"/>
      <c r="BC1144" s="521"/>
      <c r="BD1144" s="521"/>
      <c r="BE1144" s="155"/>
    </row>
    <row r="1145" spans="1:57" ht="15" customHeight="1" x14ac:dyDescent="0.4">
      <c r="A1145" s="3"/>
      <c r="B1145" s="1420" t="s">
        <v>953</v>
      </c>
      <c r="C1145" s="577"/>
      <c r="D1145" s="577"/>
      <c r="E1145" s="573"/>
      <c r="F1145" s="573"/>
      <c r="G1145" s="573"/>
      <c r="H1145" s="574"/>
      <c r="I1145" s="694" t="s">
        <v>954</v>
      </c>
      <c r="J1145" s="579"/>
      <c r="K1145" s="577"/>
      <c r="L1145" s="577"/>
      <c r="M1145" s="575"/>
      <c r="N1145" s="575"/>
      <c r="O1145" s="575"/>
      <c r="P1145" s="575"/>
      <c r="Q1145" s="575"/>
      <c r="R1145" s="737"/>
      <c r="S1145" s="575">
        <v>1</v>
      </c>
      <c r="T1145" s="578" t="s">
        <v>385</v>
      </c>
      <c r="U1145" s="574"/>
      <c r="V1145" s="579" t="s">
        <v>8</v>
      </c>
      <c r="W1145" s="579" t="s">
        <v>8</v>
      </c>
      <c r="X1145" s="579" t="s">
        <v>8</v>
      </c>
      <c r="Y1145" s="1446">
        <v>100003000</v>
      </c>
      <c r="Z1145" s="1446"/>
      <c r="AA1145" s="1446"/>
      <c r="AB1145" s="738"/>
      <c r="AC1145" s="577">
        <v>45</v>
      </c>
      <c r="AD1145" s="577">
        <v>4</v>
      </c>
      <c r="AE1145" s="575">
        <f>S1145*AD1145</f>
        <v>4</v>
      </c>
      <c r="AF1145" s="575" t="s">
        <v>385</v>
      </c>
      <c r="AG1145" s="579" t="s">
        <v>8</v>
      </c>
      <c r="AH1145" s="579" t="s">
        <v>8</v>
      </c>
      <c r="AI1145" s="1425">
        <v>0.124</v>
      </c>
      <c r="AJ1145" s="626"/>
      <c r="AK1145" s="626"/>
      <c r="AL1145" s="626"/>
      <c r="AM1145" s="626">
        <f>AE1145*AI1145+SUM(AJ1145:AL1145)</f>
        <v>0.496</v>
      </c>
      <c r="AN1145" s="577" t="s">
        <v>371</v>
      </c>
      <c r="AO1145" s="577" t="s">
        <v>371</v>
      </c>
      <c r="AP1145" s="577" t="s">
        <v>371</v>
      </c>
      <c r="AQ1145" s="577" t="s">
        <v>371</v>
      </c>
      <c r="AR1145" s="577" t="s">
        <v>371</v>
      </c>
      <c r="AS1145" s="577" t="s">
        <v>371</v>
      </c>
      <c r="AT1145" s="577" t="s">
        <v>371</v>
      </c>
      <c r="AU1145" s="577" t="s">
        <v>371</v>
      </c>
      <c r="AV1145" s="577" t="s">
        <v>371</v>
      </c>
      <c r="AW1145" s="577" t="s">
        <v>371</v>
      </c>
      <c r="AX1145" s="577" t="s">
        <v>371</v>
      </c>
      <c r="AY1145" s="577"/>
      <c r="AZ1145" s="739"/>
      <c r="BA1145" s="521"/>
      <c r="BB1145" s="521"/>
      <c r="BC1145" s="521"/>
      <c r="BD1145" s="521"/>
      <c r="BE1145" s="155"/>
    </row>
    <row r="1146" spans="1:57" ht="15" customHeight="1" x14ac:dyDescent="0.4">
      <c r="A1146" s="3"/>
      <c r="B1146" s="966" t="s">
        <v>1990</v>
      </c>
      <c r="C1146" s="3"/>
      <c r="D1146" s="3"/>
      <c r="E1146" s="4"/>
      <c r="F1146" s="4"/>
      <c r="G1146" s="4"/>
      <c r="H1146" s="14"/>
      <c r="I1146" s="8"/>
      <c r="J1146" s="38"/>
      <c r="K1146" s="3"/>
      <c r="L1146" s="3"/>
      <c r="M1146" s="5"/>
      <c r="N1146" s="5"/>
      <c r="O1146" s="5"/>
      <c r="P1146" s="5"/>
      <c r="Q1146" s="5"/>
      <c r="R1146" s="30"/>
      <c r="S1146" s="5"/>
      <c r="T1146" s="376"/>
      <c r="U1146" s="14"/>
      <c r="V1146" s="38" t="s">
        <v>8</v>
      </c>
      <c r="W1146" s="38" t="s">
        <v>8</v>
      </c>
      <c r="X1146" s="38" t="s">
        <v>8</v>
      </c>
      <c r="Y1146" s="1443">
        <v>120043000</v>
      </c>
      <c r="Z1146" s="3" t="s">
        <v>1991</v>
      </c>
      <c r="AA1146" s="3"/>
      <c r="AB1146" s="558"/>
      <c r="AC1146" s="3">
        <v>45</v>
      </c>
      <c r="AD1146" s="3">
        <v>1</v>
      </c>
      <c r="AE1146" s="5">
        <f>S1148/12*AD1146</f>
        <v>43.5625</v>
      </c>
      <c r="AF1146" s="5" t="s">
        <v>367</v>
      </c>
      <c r="AG1146" s="38" t="s">
        <v>8</v>
      </c>
      <c r="AH1146" s="38" t="s">
        <v>8</v>
      </c>
      <c r="AI1146" s="353">
        <v>2E-3</v>
      </c>
      <c r="AJ1146" s="51"/>
      <c r="AK1146" s="51"/>
      <c r="AL1146" s="51"/>
      <c r="AM1146" s="51">
        <f>AE1146*AI1146+SUM(AJ1146:AL1146)</f>
        <v>8.7125000000000008E-2</v>
      </c>
      <c r="AN1146" s="3" t="s">
        <v>81</v>
      </c>
      <c r="AO1146" s="3" t="s">
        <v>81</v>
      </c>
      <c r="AP1146" s="3" t="s">
        <v>81</v>
      </c>
      <c r="AQ1146" s="519" t="s">
        <v>81</v>
      </c>
      <c r="AR1146" s="3" t="s">
        <v>81</v>
      </c>
      <c r="AS1146" s="3" t="s">
        <v>81</v>
      </c>
      <c r="AT1146" s="3" t="s">
        <v>81</v>
      </c>
      <c r="AU1146" s="3" t="s">
        <v>81</v>
      </c>
      <c r="AV1146" s="3" t="s">
        <v>81</v>
      </c>
      <c r="AW1146" s="3" t="s">
        <v>81</v>
      </c>
      <c r="AX1146" s="3" t="s">
        <v>81</v>
      </c>
      <c r="AY1146" s="3"/>
      <c r="AZ1146" s="739"/>
      <c r="BA1146" s="521"/>
      <c r="BB1146" s="521"/>
      <c r="BC1146" s="521"/>
      <c r="BD1146" s="521"/>
      <c r="BE1146" s="155"/>
    </row>
    <row r="1147" spans="1:57" ht="15" customHeight="1" x14ac:dyDescent="0.4">
      <c r="A1147" s="3"/>
      <c r="B1147" s="965"/>
      <c r="C1147" s="4"/>
      <c r="D1147" s="4"/>
      <c r="E1147" s="4"/>
      <c r="F1147" s="4"/>
      <c r="G1147" s="42" t="s">
        <v>967</v>
      </c>
      <c r="H1147" s="14"/>
      <c r="I1147" s="3" t="s">
        <v>392</v>
      </c>
      <c r="J1147" s="3" t="s">
        <v>483</v>
      </c>
      <c r="K1147" s="3">
        <v>2</v>
      </c>
      <c r="L1147" s="38" t="s">
        <v>348</v>
      </c>
      <c r="M1147" s="5">
        <v>5</v>
      </c>
      <c r="N1147" s="5" t="s">
        <v>483</v>
      </c>
      <c r="O1147" s="5">
        <v>2</v>
      </c>
      <c r="P1147" s="5"/>
      <c r="Q1147" s="5"/>
      <c r="R1147" s="30" t="s">
        <v>352</v>
      </c>
      <c r="S1147" s="758">
        <f>(SHWidth*K1147)+(M1147*O1147)</f>
        <v>87.125</v>
      </c>
      <c r="T1147" s="376" t="s">
        <v>590</v>
      </c>
      <c r="U1147" s="14"/>
      <c r="V1147" s="3"/>
      <c r="W1147" s="3"/>
      <c r="X1147" s="3"/>
      <c r="Y1147" s="3"/>
      <c r="Z1147" s="3"/>
      <c r="AA1147" s="3"/>
      <c r="AB1147" s="10"/>
      <c r="AC1147" s="3"/>
      <c r="AD1147" s="56"/>
      <c r="AE1147" s="5"/>
      <c r="AF1147" s="5"/>
      <c r="AG1147" s="38"/>
      <c r="AH1147" s="38"/>
      <c r="AI1147" s="51"/>
      <c r="AJ1147" s="51"/>
      <c r="AK1147" s="51"/>
      <c r="AL1147" s="51"/>
      <c r="AM1147" s="39"/>
      <c r="AN1147" s="3" t="s">
        <v>81</v>
      </c>
      <c r="AO1147" s="3" t="s">
        <v>81</v>
      </c>
      <c r="AP1147" s="3" t="s">
        <v>81</v>
      </c>
      <c r="AQ1147" s="519" t="s">
        <v>81</v>
      </c>
      <c r="AR1147" s="3" t="s">
        <v>81</v>
      </c>
      <c r="AS1147" s="3" t="s">
        <v>81</v>
      </c>
      <c r="AT1147" s="3" t="s">
        <v>81</v>
      </c>
      <c r="AU1147" s="3" t="s">
        <v>81</v>
      </c>
      <c r="AV1147" s="3" t="s">
        <v>81</v>
      </c>
      <c r="AW1147" s="3" t="s">
        <v>81</v>
      </c>
      <c r="AX1147" s="3" t="s">
        <v>81</v>
      </c>
      <c r="AY1147" s="3"/>
      <c r="AZ1147" s="139"/>
      <c r="BA1147" s="139"/>
      <c r="BB1147" s="139"/>
      <c r="BC1147" s="139"/>
      <c r="BD1147" s="139"/>
      <c r="BE1147" s="3"/>
    </row>
    <row r="1148" spans="1:57" ht="15" customHeight="1" x14ac:dyDescent="0.4">
      <c r="A1148" s="3"/>
      <c r="B1148" s="965"/>
      <c r="C1148" s="4"/>
      <c r="D1148" s="4"/>
      <c r="E1148" s="4"/>
      <c r="F1148" s="4"/>
      <c r="G1148" s="42" t="s">
        <v>1989</v>
      </c>
      <c r="H1148" s="14"/>
      <c r="I1148" s="1970" t="s">
        <v>969</v>
      </c>
      <c r="J1148" s="1970"/>
      <c r="K1148" s="1970"/>
      <c r="L1148" s="3"/>
      <c r="M1148" s="5"/>
      <c r="N1148" s="5" t="s">
        <v>483</v>
      </c>
      <c r="O1148" s="5">
        <v>6</v>
      </c>
      <c r="P1148" s="5"/>
      <c r="Q1148" s="5"/>
      <c r="R1148" s="30" t="s">
        <v>352</v>
      </c>
      <c r="S1148" s="758">
        <f>S1147*O1148</f>
        <v>522.75</v>
      </c>
      <c r="T1148" s="376" t="s">
        <v>590</v>
      </c>
      <c r="U1148" s="14"/>
      <c r="V1148" s="3"/>
      <c r="W1148" s="3"/>
      <c r="X1148" s="3"/>
      <c r="Y1148" s="3"/>
      <c r="Z1148" s="3"/>
      <c r="AA1148" s="3"/>
      <c r="AB1148" s="10"/>
      <c r="AC1148" s="3"/>
      <c r="AD1148" s="56"/>
      <c r="AE1148" s="5"/>
      <c r="AF1148" s="5"/>
      <c r="AG1148" s="38"/>
      <c r="AH1148" s="38"/>
      <c r="AI1148" s="51"/>
      <c r="AJ1148" s="51"/>
      <c r="AK1148" s="51"/>
      <c r="AL1148" s="51"/>
      <c r="AM1148" s="39"/>
      <c r="AN1148" s="3" t="s">
        <v>81</v>
      </c>
      <c r="AO1148" s="3" t="s">
        <v>81</v>
      </c>
      <c r="AP1148" s="3" t="s">
        <v>81</v>
      </c>
      <c r="AQ1148" s="519" t="s">
        <v>81</v>
      </c>
      <c r="AR1148" s="3" t="s">
        <v>81</v>
      </c>
      <c r="AS1148" s="3" t="s">
        <v>81</v>
      </c>
      <c r="AT1148" s="3" t="s">
        <v>81</v>
      </c>
      <c r="AU1148" s="3" t="s">
        <v>81</v>
      </c>
      <c r="AV1148" s="3" t="s">
        <v>81</v>
      </c>
      <c r="AW1148" s="3" t="s">
        <v>81</v>
      </c>
      <c r="AX1148" s="3" t="s">
        <v>81</v>
      </c>
      <c r="AY1148" s="3"/>
      <c r="AZ1148" s="139"/>
      <c r="BA1148" s="139"/>
      <c r="BB1148" s="139"/>
      <c r="BC1148" s="139"/>
      <c r="BD1148" s="139"/>
      <c r="BE1148" s="3"/>
    </row>
    <row r="1149" spans="1:57" ht="15" customHeight="1" x14ac:dyDescent="0.4">
      <c r="A1149" s="3"/>
      <c r="B1149" s="1420"/>
      <c r="C1149" s="577"/>
      <c r="D1149" s="577"/>
      <c r="E1149" s="573"/>
      <c r="F1149" s="573"/>
      <c r="G1149" s="573"/>
      <c r="H1149" s="574"/>
      <c r="I1149" s="694"/>
      <c r="J1149" s="579"/>
      <c r="K1149" s="577"/>
      <c r="L1149" s="577"/>
      <c r="M1149" s="575"/>
      <c r="N1149" s="575"/>
      <c r="O1149" s="575"/>
      <c r="P1149" s="575"/>
      <c r="Q1149" s="575"/>
      <c r="R1149" s="737"/>
      <c r="S1149" s="575"/>
      <c r="T1149" s="578"/>
      <c r="U1149" s="574"/>
      <c r="V1149" s="579"/>
      <c r="W1149" s="579"/>
      <c r="X1149" s="579"/>
      <c r="Y1149" s="577"/>
      <c r="Z1149" s="577"/>
      <c r="AA1149" s="577"/>
      <c r="AB1149" s="738"/>
      <c r="AC1149" s="577"/>
      <c r="AD1149" s="577"/>
      <c r="AE1149" s="575"/>
      <c r="AF1149" s="575"/>
      <c r="AG1149" s="579"/>
      <c r="AH1149" s="579"/>
      <c r="AI1149" s="626"/>
      <c r="AJ1149" s="626"/>
      <c r="AK1149" s="626"/>
      <c r="AL1149" s="626"/>
      <c r="AM1149" s="626"/>
      <c r="AN1149" s="577"/>
      <c r="AO1149" s="577"/>
      <c r="AP1149" s="577"/>
      <c r="AQ1149" s="577"/>
      <c r="AR1149" s="577"/>
      <c r="AS1149" s="577"/>
      <c r="AT1149" s="577"/>
      <c r="AU1149" s="577"/>
      <c r="AV1149" s="577"/>
      <c r="AW1149" s="577"/>
      <c r="AX1149" s="577"/>
      <c r="AY1149" s="577"/>
      <c r="AZ1149" s="739"/>
      <c r="BA1149" s="521"/>
      <c r="BB1149" s="521"/>
      <c r="BC1149" s="521"/>
      <c r="BD1149" s="521"/>
      <c r="BE1149" s="155"/>
    </row>
    <row r="1150" spans="1:57" ht="15" customHeight="1" x14ac:dyDescent="0.4">
      <c r="A1150" s="3"/>
      <c r="B1150" s="966" t="s">
        <v>1986</v>
      </c>
      <c r="C1150" s="3"/>
      <c r="D1150" s="4"/>
      <c r="E1150" s="4"/>
      <c r="F1150" s="4"/>
      <c r="G1150" s="4"/>
      <c r="H1150" s="14"/>
      <c r="I1150" s="3"/>
      <c r="J1150" s="38"/>
      <c r="K1150" s="3"/>
      <c r="L1150" s="3"/>
      <c r="M1150" s="5"/>
      <c r="N1150" s="5"/>
      <c r="O1150" s="5"/>
      <c r="P1150" s="5"/>
      <c r="Q1150" s="5"/>
      <c r="R1150" s="30"/>
      <c r="S1150" s="5"/>
      <c r="T1150" s="376"/>
      <c r="U1150" s="14"/>
      <c r="V1150" s="38" t="s">
        <v>8</v>
      </c>
      <c r="W1150" s="38" t="s">
        <v>8</v>
      </c>
      <c r="X1150" s="38" t="s">
        <v>8</v>
      </c>
      <c r="Y1150" s="1443">
        <v>120027000</v>
      </c>
      <c r="Z1150" s="3">
        <v>49464</v>
      </c>
      <c r="AA1150" s="3"/>
      <c r="AB1150" s="10"/>
      <c r="AC1150" s="3">
        <v>45</v>
      </c>
      <c r="AD1150" s="56">
        <v>1</v>
      </c>
      <c r="AE1150" s="5">
        <f>S1154/12*AD1150</f>
        <v>46.466666666666669</v>
      </c>
      <c r="AF1150" s="5" t="s">
        <v>367</v>
      </c>
      <c r="AG1150" s="38" t="s">
        <v>8</v>
      </c>
      <c r="AH1150" s="38" t="s">
        <v>8</v>
      </c>
      <c r="AI1150" s="353">
        <v>4.8999999999999998E-3</v>
      </c>
      <c r="AJ1150" s="51"/>
      <c r="AK1150" s="51"/>
      <c r="AL1150" s="51"/>
      <c r="AM1150" s="51">
        <f>AE$1150*AI1150+SUM(AJ1150:AL1150)</f>
        <v>0.22768666666666668</v>
      </c>
      <c r="AN1150" s="3" t="s">
        <v>371</v>
      </c>
      <c r="AO1150" s="3" t="s">
        <v>371</v>
      </c>
      <c r="AP1150" s="3" t="s">
        <v>371</v>
      </c>
      <c r="AQ1150" s="3" t="s">
        <v>371</v>
      </c>
      <c r="AR1150" s="3" t="s">
        <v>371</v>
      </c>
      <c r="AS1150" s="3" t="s">
        <v>371</v>
      </c>
      <c r="AT1150" s="3" t="s">
        <v>371</v>
      </c>
      <c r="AU1150" s="3" t="s">
        <v>371</v>
      </c>
      <c r="AV1150" s="3" t="s">
        <v>371</v>
      </c>
      <c r="AW1150" s="3" t="s">
        <v>371</v>
      </c>
      <c r="AX1150" s="3" t="s">
        <v>371</v>
      </c>
      <c r="AY1150" s="3"/>
      <c r="AZ1150" s="139"/>
      <c r="BA1150" s="139"/>
      <c r="BB1150" s="139"/>
      <c r="BC1150" s="139"/>
      <c r="BD1150" s="139"/>
      <c r="BE1150" s="3"/>
    </row>
    <row r="1151" spans="1:57" ht="15" customHeight="1" x14ac:dyDescent="0.4">
      <c r="A1151" s="3"/>
      <c r="B1151" s="965"/>
      <c r="C1151" s="4"/>
      <c r="D1151" s="4"/>
      <c r="E1151" s="4"/>
      <c r="F1151" s="4"/>
      <c r="G1151" s="42" t="s">
        <v>993</v>
      </c>
      <c r="H1151" s="14"/>
      <c r="I1151" s="8" t="s">
        <v>965</v>
      </c>
      <c r="J1151" s="38"/>
      <c r="K1151" s="3" t="s">
        <v>365</v>
      </c>
      <c r="L1151" s="38" t="s">
        <v>346</v>
      </c>
      <c r="M1151" s="5">
        <v>18</v>
      </c>
      <c r="N1151" s="5"/>
      <c r="O1151" s="5"/>
      <c r="P1151" s="5"/>
      <c r="Q1151" s="5"/>
      <c r="R1151" s="30" t="s">
        <v>352</v>
      </c>
      <c r="S1151" s="56">
        <f>ROUND(SHHeight/M1151,0)</f>
        <v>4</v>
      </c>
      <c r="T1151" s="376" t="s">
        <v>966</v>
      </c>
      <c r="U1151" s="14"/>
      <c r="V1151" s="3"/>
      <c r="W1151" s="3"/>
      <c r="X1151" s="3"/>
      <c r="Y1151" s="3"/>
      <c r="Z1151" s="3"/>
      <c r="AA1151" s="3"/>
      <c r="AB1151" s="10"/>
      <c r="AC1151" s="3"/>
      <c r="AD1151" s="56"/>
      <c r="AE1151" s="5"/>
      <c r="AF1151" s="5"/>
      <c r="AG1151" s="38"/>
      <c r="AH1151" s="38"/>
      <c r="AI1151" s="51"/>
      <c r="AJ1151" s="51"/>
      <c r="AK1151" s="51"/>
      <c r="AL1151" s="51"/>
      <c r="AM1151" s="39"/>
      <c r="AN1151" s="3" t="s">
        <v>371</v>
      </c>
      <c r="AO1151" s="3" t="s">
        <v>371</v>
      </c>
      <c r="AP1151" s="3" t="s">
        <v>371</v>
      </c>
      <c r="AQ1151" s="3" t="s">
        <v>371</v>
      </c>
      <c r="AR1151" s="3" t="s">
        <v>371</v>
      </c>
      <c r="AS1151" s="3" t="s">
        <v>371</v>
      </c>
      <c r="AT1151" s="3" t="s">
        <v>371</v>
      </c>
      <c r="AU1151" s="3" t="s">
        <v>371</v>
      </c>
      <c r="AV1151" s="3" t="s">
        <v>371</v>
      </c>
      <c r="AW1151" s="3" t="s">
        <v>371</v>
      </c>
      <c r="AX1151" s="3" t="s">
        <v>371</v>
      </c>
      <c r="AY1151" s="3"/>
      <c r="AZ1151" s="139"/>
      <c r="BA1151" s="139"/>
      <c r="BB1151" s="139"/>
      <c r="BC1151" s="139"/>
      <c r="BD1151" s="139"/>
      <c r="BE1151" s="3"/>
    </row>
    <row r="1152" spans="1:57" ht="15" customHeight="1" x14ac:dyDescent="0.4">
      <c r="A1152" s="3"/>
      <c r="B1152" s="965"/>
      <c r="C1152" s="4"/>
      <c r="D1152" s="4"/>
      <c r="E1152" s="4"/>
      <c r="F1152" s="4"/>
      <c r="G1152" s="42" t="s">
        <v>967</v>
      </c>
      <c r="H1152" s="14"/>
      <c r="I1152" s="3" t="s">
        <v>392</v>
      </c>
      <c r="J1152" s="3" t="s">
        <v>483</v>
      </c>
      <c r="K1152" s="3">
        <v>2</v>
      </c>
      <c r="L1152" s="38" t="s">
        <v>348</v>
      </c>
      <c r="M1152" s="5">
        <v>5</v>
      </c>
      <c r="N1152" s="5" t="s">
        <v>483</v>
      </c>
      <c r="O1152" s="5">
        <v>2</v>
      </c>
      <c r="P1152" s="5"/>
      <c r="Q1152" s="5"/>
      <c r="R1152" s="30" t="s">
        <v>352</v>
      </c>
      <c r="S1152" s="758">
        <f>(SHWidth*K1152)+(M1152*O1152)</f>
        <v>87.125</v>
      </c>
      <c r="T1152" s="376" t="s">
        <v>590</v>
      </c>
      <c r="U1152" s="14"/>
      <c r="V1152" s="3"/>
      <c r="W1152" s="3"/>
      <c r="X1152" s="3"/>
      <c r="Y1152" s="3"/>
      <c r="Z1152" s="3"/>
      <c r="AA1152" s="3"/>
      <c r="AB1152" s="10"/>
      <c r="AC1152" s="3"/>
      <c r="AD1152" s="56"/>
      <c r="AE1152" s="5"/>
      <c r="AF1152" s="5"/>
      <c r="AG1152" s="38"/>
      <c r="AH1152" s="38"/>
      <c r="AI1152" s="51"/>
      <c r="AJ1152" s="51"/>
      <c r="AK1152" s="51"/>
      <c r="AL1152" s="51"/>
      <c r="AM1152" s="39"/>
      <c r="AN1152" s="3" t="s">
        <v>371</v>
      </c>
      <c r="AO1152" s="3" t="s">
        <v>371</v>
      </c>
      <c r="AP1152" s="3" t="s">
        <v>371</v>
      </c>
      <c r="AQ1152" s="3" t="s">
        <v>371</v>
      </c>
      <c r="AR1152" s="3" t="s">
        <v>371</v>
      </c>
      <c r="AS1152" s="3" t="s">
        <v>371</v>
      </c>
      <c r="AT1152" s="3" t="s">
        <v>371</v>
      </c>
      <c r="AU1152" s="3" t="s">
        <v>371</v>
      </c>
      <c r="AV1152" s="3" t="s">
        <v>371</v>
      </c>
      <c r="AW1152" s="3" t="s">
        <v>371</v>
      </c>
      <c r="AX1152" s="3" t="s">
        <v>371</v>
      </c>
      <c r="AY1152" s="3"/>
      <c r="AZ1152" s="139"/>
      <c r="BA1152" s="139"/>
      <c r="BB1152" s="139"/>
      <c r="BC1152" s="139"/>
      <c r="BD1152" s="139"/>
      <c r="BE1152" s="3"/>
    </row>
    <row r="1153" spans="1:57" ht="15" customHeight="1" x14ac:dyDescent="0.4">
      <c r="A1153" s="3"/>
      <c r="B1153" s="965"/>
      <c r="C1153" s="4"/>
      <c r="D1153" s="4"/>
      <c r="E1153" s="4"/>
      <c r="F1153" s="4"/>
      <c r="G1153" s="42" t="s">
        <v>968</v>
      </c>
      <c r="H1153" s="14"/>
      <c r="I1153" s="1970" t="s">
        <v>969</v>
      </c>
      <c r="J1153" s="1970"/>
      <c r="K1153" s="1970"/>
      <c r="L1153" s="3" t="s">
        <v>483</v>
      </c>
      <c r="M1153" s="5" t="s">
        <v>970</v>
      </c>
      <c r="N1153" s="38" t="s">
        <v>348</v>
      </c>
      <c r="O1153" s="5" t="s">
        <v>971</v>
      </c>
      <c r="P1153" s="5"/>
      <c r="Q1153" s="5"/>
      <c r="R1153" s="30" t="s">
        <v>352</v>
      </c>
      <c r="S1153" s="758">
        <f>S1152*(S1151+4)</f>
        <v>697</v>
      </c>
      <c r="T1153" s="376" t="s">
        <v>590</v>
      </c>
      <c r="U1153" s="14"/>
      <c r="V1153" s="3"/>
      <c r="W1153" s="3"/>
      <c r="X1153" s="3"/>
      <c r="Y1153" s="3"/>
      <c r="Z1153" s="3"/>
      <c r="AA1153" s="3"/>
      <c r="AB1153" s="10"/>
      <c r="AC1153" s="3"/>
      <c r="AD1153" s="56"/>
      <c r="AE1153" s="5"/>
      <c r="AF1153" s="5"/>
      <c r="AG1153" s="38"/>
      <c r="AH1153" s="38"/>
      <c r="AI1153" s="51"/>
      <c r="AJ1153" s="51"/>
      <c r="AK1153" s="51"/>
      <c r="AL1153" s="51"/>
      <c r="AM1153" s="39"/>
      <c r="AN1153" s="3" t="s">
        <v>371</v>
      </c>
      <c r="AO1153" s="3" t="s">
        <v>371</v>
      </c>
      <c r="AP1153" s="3" t="s">
        <v>371</v>
      </c>
      <c r="AQ1153" s="3" t="s">
        <v>371</v>
      </c>
      <c r="AR1153" s="3" t="s">
        <v>371</v>
      </c>
      <c r="AS1153" s="3" t="s">
        <v>371</v>
      </c>
      <c r="AT1153" s="3" t="s">
        <v>371</v>
      </c>
      <c r="AU1153" s="3" t="s">
        <v>371</v>
      </c>
      <c r="AV1153" s="3" t="s">
        <v>371</v>
      </c>
      <c r="AW1153" s="3" t="s">
        <v>371</v>
      </c>
      <c r="AX1153" s="3" t="s">
        <v>371</v>
      </c>
      <c r="AY1153" s="3"/>
      <c r="AZ1153" s="139"/>
      <c r="BA1153" s="139"/>
      <c r="BB1153" s="139"/>
      <c r="BC1153" s="139"/>
      <c r="BD1153" s="139"/>
      <c r="BE1153" s="3"/>
    </row>
    <row r="1154" spans="1:57" ht="15" customHeight="1" thickBot="1" x14ac:dyDescent="0.45">
      <c r="A1154" s="3"/>
      <c r="B1154" s="967"/>
      <c r="C1154" s="968"/>
      <c r="D1154" s="968"/>
      <c r="E1154" s="968"/>
      <c r="F1154" s="968"/>
      <c r="G1154" s="1154" t="s">
        <v>972</v>
      </c>
      <c r="H1154" s="948"/>
      <c r="I1154" s="2004" t="s">
        <v>973</v>
      </c>
      <c r="J1154" s="2004"/>
      <c r="K1154" s="2004"/>
      <c r="L1154" s="889" t="s">
        <v>483</v>
      </c>
      <c r="M1154" s="945">
        <v>0.8</v>
      </c>
      <c r="N1154" s="945"/>
      <c r="O1154" s="945"/>
      <c r="P1154" s="945"/>
      <c r="Q1154" s="945"/>
      <c r="R1154" s="969" t="s">
        <v>352</v>
      </c>
      <c r="S1154" s="1421">
        <f>S1153*0.8</f>
        <v>557.6</v>
      </c>
      <c r="T1154" s="970" t="s">
        <v>590</v>
      </c>
      <c r="U1154" s="948"/>
      <c r="V1154" s="889"/>
      <c r="W1154" s="889"/>
      <c r="X1154" s="889"/>
      <c r="Y1154" s="889"/>
      <c r="Z1154" s="889"/>
      <c r="AA1154" s="889"/>
      <c r="AB1154" s="1422"/>
      <c r="AC1154" s="889"/>
      <c r="AD1154" s="889"/>
      <c r="AE1154" s="889"/>
      <c r="AF1154" s="889"/>
      <c r="AG1154" s="889"/>
      <c r="AH1154" s="889"/>
      <c r="AI1154" s="889"/>
      <c r="AJ1154" s="889"/>
      <c r="AK1154" s="889"/>
      <c r="AL1154" s="889"/>
      <c r="AM1154" s="889"/>
      <c r="AN1154" s="889" t="s">
        <v>371</v>
      </c>
      <c r="AO1154" s="889" t="s">
        <v>371</v>
      </c>
      <c r="AP1154" s="889" t="s">
        <v>371</v>
      </c>
      <c r="AQ1154" s="889" t="s">
        <v>371</v>
      </c>
      <c r="AR1154" s="889" t="s">
        <v>371</v>
      </c>
      <c r="AS1154" s="889" t="s">
        <v>371</v>
      </c>
      <c r="AT1154" s="889" t="s">
        <v>371</v>
      </c>
      <c r="AU1154" s="889" t="s">
        <v>371</v>
      </c>
      <c r="AV1154" s="889" t="s">
        <v>371</v>
      </c>
      <c r="AW1154" s="889" t="s">
        <v>371</v>
      </c>
      <c r="AX1154" s="889" t="s">
        <v>371</v>
      </c>
      <c r="AY1154" s="889"/>
      <c r="AZ1154" s="139"/>
      <c r="BA1154" s="139"/>
      <c r="BB1154" s="139"/>
      <c r="BC1154" s="139"/>
      <c r="BD1154" s="139"/>
      <c r="BE1154" s="3"/>
    </row>
    <row r="1155" spans="1:57" ht="15" customHeight="1" x14ac:dyDescent="0.4">
      <c r="A1155" s="3"/>
      <c r="B1155" s="1423" t="s">
        <v>955</v>
      </c>
      <c r="C1155" s="3"/>
      <c r="D1155" s="3"/>
      <c r="E1155" s="4"/>
      <c r="F1155" s="4"/>
      <c r="G1155" s="4"/>
      <c r="H1155" s="14"/>
      <c r="I1155" s="8"/>
      <c r="J1155" s="38"/>
      <c r="K1155" s="3"/>
      <c r="L1155" s="3"/>
      <c r="M1155" s="5"/>
      <c r="N1155" s="5"/>
      <c r="O1155" s="5"/>
      <c r="P1155" s="5"/>
      <c r="Q1155" s="5"/>
      <c r="R1155" s="30"/>
      <c r="S1155" s="5"/>
      <c r="T1155" s="376"/>
      <c r="U1155" s="14"/>
      <c r="V1155" s="38"/>
      <c r="W1155" s="38"/>
      <c r="X1155" s="38"/>
      <c r="Y1155" s="3"/>
      <c r="Z1155" s="3"/>
      <c r="AA1155" s="3"/>
      <c r="AB1155" s="558"/>
      <c r="AC1155" s="3"/>
      <c r="AD1155" s="3"/>
      <c r="AE1155" s="5"/>
      <c r="AF1155" s="5"/>
      <c r="AG1155" s="38"/>
      <c r="AH1155" s="38"/>
      <c r="AI1155" s="51"/>
      <c r="AJ1155" s="51"/>
      <c r="AK1155" s="51"/>
      <c r="AL1155" s="51"/>
      <c r="AM1155" s="667">
        <f>SUM(AM1156:AM1160)</f>
        <v>0.79568666666666676</v>
      </c>
      <c r="AN1155" s="3" t="s">
        <v>371</v>
      </c>
      <c r="AO1155" s="3" t="s">
        <v>371</v>
      </c>
      <c r="AP1155" s="3" t="s">
        <v>371</v>
      </c>
      <c r="AQ1155" s="3" t="s">
        <v>371</v>
      </c>
      <c r="AR1155" s="3" t="s">
        <v>371</v>
      </c>
      <c r="AS1155" s="3" t="s">
        <v>371</v>
      </c>
      <c r="AT1155" s="3" t="s">
        <v>371</v>
      </c>
      <c r="AU1155" s="3" t="s">
        <v>371</v>
      </c>
      <c r="AV1155" s="3" t="s">
        <v>371</v>
      </c>
      <c r="AW1155" s="3" t="s">
        <v>371</v>
      </c>
      <c r="AX1155" s="3" t="s">
        <v>371</v>
      </c>
      <c r="AY1155" s="3"/>
      <c r="AZ1155" s="739"/>
      <c r="BA1155" s="521"/>
      <c r="BB1155" s="521"/>
      <c r="BC1155" s="521"/>
      <c r="BD1155" s="521"/>
      <c r="BE1155" s="155"/>
    </row>
    <row r="1156" spans="1:57" ht="15" customHeight="1" x14ac:dyDescent="0.4">
      <c r="A1156" s="3"/>
      <c r="B1156" s="966" t="s">
        <v>956</v>
      </c>
      <c r="C1156" s="4"/>
      <c r="D1156" s="3"/>
      <c r="E1156" s="4"/>
      <c r="F1156" s="4"/>
      <c r="G1156" s="4"/>
      <c r="H1156" s="14"/>
      <c r="I1156" s="8" t="s">
        <v>957</v>
      </c>
      <c r="J1156" s="38"/>
      <c r="K1156" s="3"/>
      <c r="L1156" s="3"/>
      <c r="M1156" s="5"/>
      <c r="N1156" s="5"/>
      <c r="O1156" s="5"/>
      <c r="P1156" s="5"/>
      <c r="Q1156" s="5"/>
      <c r="R1156" s="30"/>
      <c r="S1156" s="5">
        <v>1</v>
      </c>
      <c r="T1156" s="376" t="s">
        <v>385</v>
      </c>
      <c r="U1156" s="14"/>
      <c r="V1156" s="38" t="s">
        <v>8</v>
      </c>
      <c r="W1156" s="38" t="s">
        <v>8</v>
      </c>
      <c r="X1156" s="38" t="s">
        <v>8</v>
      </c>
      <c r="Y1156" s="1443">
        <v>100054000</v>
      </c>
      <c r="Z1156" s="3">
        <v>251172</v>
      </c>
      <c r="AA1156" s="3"/>
      <c r="AB1156" s="558"/>
      <c r="AC1156" s="3">
        <v>45</v>
      </c>
      <c r="AD1156" s="3">
        <v>2</v>
      </c>
      <c r="AE1156" s="56">
        <f>S1156*AD1156</f>
        <v>2</v>
      </c>
      <c r="AF1156" s="5" t="s">
        <v>385</v>
      </c>
      <c r="AG1156" s="38" t="s">
        <v>8</v>
      </c>
      <c r="AH1156" s="38" t="s">
        <v>8</v>
      </c>
      <c r="AI1156" s="353">
        <v>0.10199999999999999</v>
      </c>
      <c r="AJ1156" s="51"/>
      <c r="AK1156" s="51"/>
      <c r="AL1156" s="51"/>
      <c r="AM1156" s="51">
        <f>AE1156*AI1156+SUM(AJ1156:AL1156)</f>
        <v>0.20399999999999999</v>
      </c>
      <c r="AN1156" s="3" t="s">
        <v>371</v>
      </c>
      <c r="AO1156" s="3" t="s">
        <v>371</v>
      </c>
      <c r="AP1156" s="3" t="s">
        <v>371</v>
      </c>
      <c r="AQ1156" s="3" t="s">
        <v>371</v>
      </c>
      <c r="AR1156" s="3" t="s">
        <v>371</v>
      </c>
      <c r="AS1156" s="3" t="s">
        <v>371</v>
      </c>
      <c r="AT1156" s="3" t="s">
        <v>371</v>
      </c>
      <c r="AU1156" s="3" t="s">
        <v>371</v>
      </c>
      <c r="AV1156" s="3" t="s">
        <v>371</v>
      </c>
      <c r="AW1156" s="3" t="s">
        <v>371</v>
      </c>
      <c r="AX1156" s="3" t="s">
        <v>371</v>
      </c>
      <c r="AY1156" s="3"/>
      <c r="AZ1156" s="739"/>
      <c r="BA1156" s="521"/>
      <c r="BB1156" s="521"/>
      <c r="BC1156" s="521"/>
      <c r="BD1156" s="521"/>
      <c r="BE1156" s="155"/>
    </row>
    <row r="1157" spans="1:57" ht="15" customHeight="1" x14ac:dyDescent="0.4">
      <c r="A1157" s="3"/>
      <c r="B1157" s="966" t="s">
        <v>958</v>
      </c>
      <c r="C1157" s="4"/>
      <c r="D1157" s="3"/>
      <c r="E1157" s="4"/>
      <c r="F1157" s="4"/>
      <c r="G1157" s="4"/>
      <c r="H1157" s="14"/>
      <c r="I1157" s="8" t="s">
        <v>959</v>
      </c>
      <c r="J1157" s="38"/>
      <c r="K1157" s="3"/>
      <c r="L1157" s="3"/>
      <c r="M1157" s="5"/>
      <c r="N1157" s="5"/>
      <c r="O1157" s="5"/>
      <c r="P1157" s="5"/>
      <c r="Q1157" s="5"/>
      <c r="R1157" s="30"/>
      <c r="S1157" s="5">
        <v>1</v>
      </c>
      <c r="T1157" s="376" t="s">
        <v>385</v>
      </c>
      <c r="U1157" s="14"/>
      <c r="V1157" s="38" t="s">
        <v>8</v>
      </c>
      <c r="W1157" s="38" t="s">
        <v>8</v>
      </c>
      <c r="X1157" s="38" t="s">
        <v>8</v>
      </c>
      <c r="Y1157" s="3"/>
      <c r="Z1157" s="3">
        <v>250836</v>
      </c>
      <c r="AA1157" s="3"/>
      <c r="AB1157" s="558"/>
      <c r="AC1157" s="3">
        <v>45</v>
      </c>
      <c r="AD1157" s="3">
        <v>2</v>
      </c>
      <c r="AE1157" s="56">
        <f>S1157*AD1157</f>
        <v>2</v>
      </c>
      <c r="AF1157" s="5" t="s">
        <v>385</v>
      </c>
      <c r="AG1157" s="38" t="s">
        <v>8</v>
      </c>
      <c r="AH1157" s="38" t="s">
        <v>8</v>
      </c>
      <c r="AI1157" s="353">
        <v>2.9000000000000001E-2</v>
      </c>
      <c r="AJ1157" s="51"/>
      <c r="AK1157" s="51"/>
      <c r="AL1157" s="51"/>
      <c r="AM1157" s="51">
        <f>AE1157*AI1157+SUM(AJ1157:AL1157)</f>
        <v>5.8000000000000003E-2</v>
      </c>
      <c r="AN1157" s="3" t="s">
        <v>371</v>
      </c>
      <c r="AO1157" s="3" t="s">
        <v>371</v>
      </c>
      <c r="AP1157" s="3" t="s">
        <v>371</v>
      </c>
      <c r="AQ1157" s="3" t="s">
        <v>371</v>
      </c>
      <c r="AR1157" s="3" t="s">
        <v>371</v>
      </c>
      <c r="AS1157" s="3" t="s">
        <v>371</v>
      </c>
      <c r="AT1157" s="3" t="s">
        <v>371</v>
      </c>
      <c r="AU1157" s="3" t="s">
        <v>371</v>
      </c>
      <c r="AV1157" s="3" t="s">
        <v>371</v>
      </c>
      <c r="AW1157" s="3" t="s">
        <v>371</v>
      </c>
      <c r="AX1157" s="3" t="s">
        <v>371</v>
      </c>
      <c r="AY1157" s="3"/>
      <c r="AZ1157" s="739"/>
      <c r="BA1157" s="521"/>
      <c r="BB1157" s="521"/>
      <c r="BC1157" s="521"/>
      <c r="BD1157" s="521"/>
      <c r="BE1157" s="155"/>
    </row>
    <row r="1158" spans="1:57" ht="15" customHeight="1" x14ac:dyDescent="0.4">
      <c r="A1158" s="3"/>
      <c r="B1158" s="966" t="s">
        <v>960</v>
      </c>
      <c r="C1158" s="4"/>
      <c r="D1158" s="3"/>
      <c r="E1158" s="4"/>
      <c r="F1158" s="4"/>
      <c r="G1158" s="4"/>
      <c r="H1158" s="14"/>
      <c r="I1158" s="8" t="s">
        <v>959</v>
      </c>
      <c r="J1158" s="38"/>
      <c r="K1158" s="3"/>
      <c r="L1158" s="3"/>
      <c r="M1158" s="5"/>
      <c r="N1158" s="5"/>
      <c r="O1158" s="5"/>
      <c r="P1158" s="5"/>
      <c r="Q1158" s="5"/>
      <c r="R1158" s="30"/>
      <c r="S1158" s="5">
        <v>1</v>
      </c>
      <c r="T1158" s="376" t="s">
        <v>385</v>
      </c>
      <c r="U1158" s="14"/>
      <c r="V1158" s="38" t="s">
        <v>8</v>
      </c>
      <c r="W1158" s="38" t="s">
        <v>8</v>
      </c>
      <c r="X1158" s="38" t="s">
        <v>8</v>
      </c>
      <c r="Y1158" s="3"/>
      <c r="Z1158" s="3">
        <v>250836</v>
      </c>
      <c r="AA1158" s="3"/>
      <c r="AB1158" s="558"/>
      <c r="AC1158" s="3">
        <v>45</v>
      </c>
      <c r="AD1158" s="3">
        <v>2</v>
      </c>
      <c r="AE1158" s="56">
        <f>S1158*AD1158</f>
        <v>2</v>
      </c>
      <c r="AF1158" s="5" t="s">
        <v>385</v>
      </c>
      <c r="AG1158" s="38" t="s">
        <v>8</v>
      </c>
      <c r="AH1158" s="38" t="s">
        <v>8</v>
      </c>
      <c r="AI1158" s="51">
        <f>AI1157</f>
        <v>2.9000000000000001E-2</v>
      </c>
      <c r="AJ1158" s="51"/>
      <c r="AK1158" s="51"/>
      <c r="AL1158" s="51"/>
      <c r="AM1158" s="51">
        <f>AE1158*AI1158+SUM(AJ1158:AL1158)</f>
        <v>5.8000000000000003E-2</v>
      </c>
      <c r="AN1158" s="3" t="s">
        <v>371</v>
      </c>
      <c r="AO1158" s="3" t="s">
        <v>371</v>
      </c>
      <c r="AP1158" s="3" t="s">
        <v>371</v>
      </c>
      <c r="AQ1158" s="3" t="s">
        <v>371</v>
      </c>
      <c r="AR1158" s="3" t="s">
        <v>371</v>
      </c>
      <c r="AS1158" s="3" t="s">
        <v>371</v>
      </c>
      <c r="AT1158" s="3" t="s">
        <v>371</v>
      </c>
      <c r="AU1158" s="3" t="s">
        <v>371</v>
      </c>
      <c r="AV1158" s="3" t="s">
        <v>371</v>
      </c>
      <c r="AW1158" s="3" t="s">
        <v>371</v>
      </c>
      <c r="AX1158" s="3" t="s">
        <v>371</v>
      </c>
      <c r="AY1158" s="3"/>
      <c r="AZ1158" s="739"/>
      <c r="BA1158" s="521"/>
      <c r="BB1158" s="521"/>
      <c r="BC1158" s="521"/>
      <c r="BD1158" s="521"/>
      <c r="BE1158" s="155"/>
    </row>
    <row r="1159" spans="1:57" ht="15" customHeight="1" x14ac:dyDescent="0.4">
      <c r="A1159" s="3"/>
      <c r="B1159" s="966" t="s">
        <v>961</v>
      </c>
      <c r="C1159" s="4"/>
      <c r="D1159" s="3"/>
      <c r="E1159" s="4"/>
      <c r="F1159" s="4"/>
      <c r="G1159" s="4"/>
      <c r="H1159" s="14"/>
      <c r="I1159" s="8" t="s">
        <v>962</v>
      </c>
      <c r="J1159" s="38"/>
      <c r="K1159" s="3"/>
      <c r="L1159" s="3"/>
      <c r="M1159" s="5"/>
      <c r="N1159" s="5"/>
      <c r="O1159" s="5"/>
      <c r="P1159" s="5"/>
      <c r="Q1159" s="5"/>
      <c r="R1159" s="30"/>
      <c r="S1159" s="5">
        <v>1</v>
      </c>
      <c r="T1159" s="376" t="s">
        <v>385</v>
      </c>
      <c r="U1159" s="14"/>
      <c r="V1159" s="38" t="s">
        <v>8</v>
      </c>
      <c r="W1159" s="38" t="s">
        <v>8</v>
      </c>
      <c r="X1159" s="38" t="s">
        <v>8</v>
      </c>
      <c r="Y1159" s="1443">
        <v>100042000</v>
      </c>
      <c r="Z1159" s="1443"/>
      <c r="AA1159" s="1443"/>
      <c r="AB1159" s="558"/>
      <c r="AC1159" s="3">
        <v>45</v>
      </c>
      <c r="AD1159" s="3">
        <v>2</v>
      </c>
      <c r="AE1159" s="56">
        <f>S1159*AD1159</f>
        <v>2</v>
      </c>
      <c r="AF1159" s="5" t="s">
        <v>385</v>
      </c>
      <c r="AG1159" s="38" t="s">
        <v>8</v>
      </c>
      <c r="AH1159" s="38" t="s">
        <v>8</v>
      </c>
      <c r="AI1159" s="353">
        <v>0.124</v>
      </c>
      <c r="AJ1159" s="51"/>
      <c r="AK1159" s="51"/>
      <c r="AL1159" s="51"/>
      <c r="AM1159" s="51">
        <f>AE1159*AI1159+SUM(AJ1159:AL1159)</f>
        <v>0.248</v>
      </c>
      <c r="AN1159" s="3" t="s">
        <v>371</v>
      </c>
      <c r="AO1159" s="3" t="s">
        <v>371</v>
      </c>
      <c r="AP1159" s="3" t="s">
        <v>371</v>
      </c>
      <c r="AQ1159" s="3" t="s">
        <v>371</v>
      </c>
      <c r="AR1159" s="3" t="s">
        <v>371</v>
      </c>
      <c r="AS1159" s="3" t="s">
        <v>371</v>
      </c>
      <c r="AT1159" s="3" t="s">
        <v>371</v>
      </c>
      <c r="AU1159" s="3" t="s">
        <v>371</v>
      </c>
      <c r="AV1159" s="3" t="s">
        <v>371</v>
      </c>
      <c r="AW1159" s="3" t="s">
        <v>371</v>
      </c>
      <c r="AX1159" s="3" t="s">
        <v>371</v>
      </c>
      <c r="AY1159" s="3"/>
      <c r="AZ1159" s="739"/>
      <c r="BA1159" s="521"/>
      <c r="BB1159" s="521"/>
      <c r="BC1159" s="521"/>
      <c r="BD1159" s="521"/>
      <c r="BE1159" s="155"/>
    </row>
    <row r="1160" spans="1:57" ht="15" customHeight="1" x14ac:dyDescent="0.4">
      <c r="A1160" s="3"/>
      <c r="B1160" s="966" t="s">
        <v>963</v>
      </c>
      <c r="C1160" s="3"/>
      <c r="D1160" s="4"/>
      <c r="E1160" s="4"/>
      <c r="F1160" s="4"/>
      <c r="G1160" s="4"/>
      <c r="H1160" s="14"/>
      <c r="I1160" s="3"/>
      <c r="J1160" s="38"/>
      <c r="K1160" s="3"/>
      <c r="L1160" s="3"/>
      <c r="M1160" s="5"/>
      <c r="N1160" s="5"/>
      <c r="O1160" s="5"/>
      <c r="P1160" s="5"/>
      <c r="Q1160" s="5"/>
      <c r="R1160" s="30"/>
      <c r="S1160" s="5"/>
      <c r="T1160" s="376"/>
      <c r="U1160" s="14"/>
      <c r="V1160" s="38" t="s">
        <v>8</v>
      </c>
      <c r="W1160" s="38" t="s">
        <v>8</v>
      </c>
      <c r="X1160" s="38" t="s">
        <v>8</v>
      </c>
      <c r="Y1160" s="1443">
        <v>120027000</v>
      </c>
      <c r="Z1160" s="3">
        <v>49464</v>
      </c>
      <c r="AA1160" s="3"/>
      <c r="AB1160" s="10"/>
      <c r="AC1160" s="3">
        <v>45</v>
      </c>
      <c r="AD1160" s="56">
        <v>1</v>
      </c>
      <c r="AE1160" s="5">
        <f>S1164/12*AD1160</f>
        <v>34.85</v>
      </c>
      <c r="AF1160" s="5" t="s">
        <v>367</v>
      </c>
      <c r="AG1160" s="38" t="s">
        <v>8</v>
      </c>
      <c r="AH1160" s="38" t="s">
        <v>8</v>
      </c>
      <c r="AI1160" s="353">
        <v>4.8999999999999998E-3</v>
      </c>
      <c r="AJ1160" s="51"/>
      <c r="AK1160" s="51"/>
      <c r="AL1160" s="51"/>
      <c r="AM1160" s="51">
        <f>AE$1150*AI1160+SUM(AJ1160:AL1160)</f>
        <v>0.22768666666666668</v>
      </c>
      <c r="AN1160" s="3" t="s">
        <v>371</v>
      </c>
      <c r="AO1160" s="3" t="s">
        <v>371</v>
      </c>
      <c r="AP1160" s="3" t="s">
        <v>371</v>
      </c>
      <c r="AQ1160" s="3" t="s">
        <v>371</v>
      </c>
      <c r="AR1160" s="3" t="s">
        <v>371</v>
      </c>
      <c r="AS1160" s="3" t="s">
        <v>371</v>
      </c>
      <c r="AT1160" s="3" t="s">
        <v>371</v>
      </c>
      <c r="AU1160" s="3" t="s">
        <v>371</v>
      </c>
      <c r="AV1160" s="3" t="s">
        <v>371</v>
      </c>
      <c r="AW1160" s="3" t="s">
        <v>371</v>
      </c>
      <c r="AX1160" s="3" t="s">
        <v>371</v>
      </c>
      <c r="AY1160" s="3"/>
      <c r="AZ1160" s="139"/>
      <c r="BA1160" s="139"/>
      <c r="BB1160" s="139"/>
      <c r="BC1160" s="139"/>
      <c r="BD1160" s="139"/>
      <c r="BE1160" s="3"/>
    </row>
    <row r="1161" spans="1:57" ht="15" customHeight="1" x14ac:dyDescent="0.4">
      <c r="A1161" s="3"/>
      <c r="B1161" s="965"/>
      <c r="C1161" s="4"/>
      <c r="D1161" s="4"/>
      <c r="E1161" s="4"/>
      <c r="F1161" s="4"/>
      <c r="G1161" s="42" t="s">
        <v>964</v>
      </c>
      <c r="H1161" s="14"/>
      <c r="I1161" s="8" t="s">
        <v>965</v>
      </c>
      <c r="J1161" s="38"/>
      <c r="K1161" s="3" t="s">
        <v>365</v>
      </c>
      <c r="L1161" s="38" t="s">
        <v>346</v>
      </c>
      <c r="M1161" s="5">
        <v>2</v>
      </c>
      <c r="N1161" s="38" t="s">
        <v>346</v>
      </c>
      <c r="O1161" s="5">
        <v>18</v>
      </c>
      <c r="P1161" s="5"/>
      <c r="Q1161" s="5"/>
      <c r="R1161" s="30" t="s">
        <v>352</v>
      </c>
      <c r="S1161" s="56">
        <f>ROUND(SHHeight/M1161/O1161,0)</f>
        <v>2</v>
      </c>
      <c r="T1161" s="376" t="s">
        <v>966</v>
      </c>
      <c r="U1161" s="14"/>
      <c r="V1161" s="3"/>
      <c r="W1161" s="3"/>
      <c r="X1161" s="3"/>
      <c r="Y1161" s="3"/>
      <c r="Z1161" s="3"/>
      <c r="AA1161" s="3"/>
      <c r="AB1161" s="10"/>
      <c r="AC1161" s="3"/>
      <c r="AD1161" s="56"/>
      <c r="AE1161" s="5"/>
      <c r="AF1161" s="5"/>
      <c r="AG1161" s="38"/>
      <c r="AH1161" s="38"/>
      <c r="AI1161" s="51"/>
      <c r="AJ1161" s="51"/>
      <c r="AK1161" s="51"/>
      <c r="AL1161" s="51"/>
      <c r="AM1161" s="39"/>
      <c r="AN1161" s="3" t="s">
        <v>371</v>
      </c>
      <c r="AO1161" s="3" t="s">
        <v>371</v>
      </c>
      <c r="AP1161" s="3" t="s">
        <v>371</v>
      </c>
      <c r="AQ1161" s="3" t="s">
        <v>371</v>
      </c>
      <c r="AR1161" s="3" t="s">
        <v>371</v>
      </c>
      <c r="AS1161" s="3" t="s">
        <v>371</v>
      </c>
      <c r="AT1161" s="3" t="s">
        <v>371</v>
      </c>
      <c r="AU1161" s="3" t="s">
        <v>371</v>
      </c>
      <c r="AV1161" s="3" t="s">
        <v>371</v>
      </c>
      <c r="AW1161" s="3" t="s">
        <v>371</v>
      </c>
      <c r="AX1161" s="3" t="s">
        <v>371</v>
      </c>
      <c r="AY1161" s="3"/>
      <c r="AZ1161" s="139"/>
      <c r="BA1161" s="139"/>
      <c r="BB1161" s="139"/>
      <c r="BC1161" s="139"/>
      <c r="BD1161" s="139"/>
      <c r="BE1161" s="3"/>
    </row>
    <row r="1162" spans="1:57" ht="15" customHeight="1" x14ac:dyDescent="0.4">
      <c r="A1162" s="3"/>
      <c r="B1162" s="965"/>
      <c r="C1162" s="4"/>
      <c r="D1162" s="4"/>
      <c r="E1162" s="4"/>
      <c r="F1162" s="4"/>
      <c r="G1162" s="42" t="s">
        <v>967</v>
      </c>
      <c r="H1162" s="14"/>
      <c r="I1162" s="3" t="s">
        <v>392</v>
      </c>
      <c r="J1162" s="3" t="s">
        <v>483</v>
      </c>
      <c r="K1162" s="3">
        <v>2</v>
      </c>
      <c r="L1162" s="38" t="s">
        <v>348</v>
      </c>
      <c r="M1162" s="5">
        <v>5</v>
      </c>
      <c r="N1162" s="5" t="s">
        <v>483</v>
      </c>
      <c r="O1162" s="5">
        <v>2</v>
      </c>
      <c r="P1162" s="5"/>
      <c r="Q1162" s="5"/>
      <c r="R1162" s="30" t="s">
        <v>352</v>
      </c>
      <c r="S1162" s="758">
        <f>(SHWidth*K1162)+(M1162*O1162)</f>
        <v>87.125</v>
      </c>
      <c r="T1162" s="376" t="s">
        <v>590</v>
      </c>
      <c r="U1162" s="14"/>
      <c r="V1162" s="3"/>
      <c r="W1162" s="3"/>
      <c r="X1162" s="3"/>
      <c r="Y1162" s="3"/>
      <c r="Z1162" s="3"/>
      <c r="AA1162" s="3"/>
      <c r="AB1162" s="10"/>
      <c r="AC1162" s="3"/>
      <c r="AD1162" s="56"/>
      <c r="AE1162" s="5"/>
      <c r="AF1162" s="5"/>
      <c r="AG1162" s="38"/>
      <c r="AH1162" s="38"/>
      <c r="AI1162" s="51"/>
      <c r="AJ1162" s="51"/>
      <c r="AK1162" s="51"/>
      <c r="AL1162" s="51"/>
      <c r="AM1162" s="39"/>
      <c r="AN1162" s="3" t="s">
        <v>371</v>
      </c>
      <c r="AO1162" s="3" t="s">
        <v>371</v>
      </c>
      <c r="AP1162" s="3" t="s">
        <v>371</v>
      </c>
      <c r="AQ1162" s="3" t="s">
        <v>371</v>
      </c>
      <c r="AR1162" s="3" t="s">
        <v>371</v>
      </c>
      <c r="AS1162" s="3" t="s">
        <v>371</v>
      </c>
      <c r="AT1162" s="3" t="s">
        <v>371</v>
      </c>
      <c r="AU1162" s="3" t="s">
        <v>371</v>
      </c>
      <c r="AV1162" s="3" t="s">
        <v>371</v>
      </c>
      <c r="AW1162" s="3" t="s">
        <v>371</v>
      </c>
      <c r="AX1162" s="3" t="s">
        <v>371</v>
      </c>
      <c r="AY1162" s="3"/>
      <c r="AZ1162" s="139"/>
      <c r="BA1162" s="139"/>
      <c r="BB1162" s="139"/>
      <c r="BC1162" s="139"/>
      <c r="BD1162" s="139"/>
      <c r="BE1162" s="3"/>
    </row>
    <row r="1163" spans="1:57" ht="15" customHeight="1" x14ac:dyDescent="0.4">
      <c r="A1163" s="3"/>
      <c r="B1163" s="965"/>
      <c r="C1163" s="4"/>
      <c r="D1163" s="4"/>
      <c r="E1163" s="4"/>
      <c r="F1163" s="4"/>
      <c r="G1163" s="42" t="s">
        <v>968</v>
      </c>
      <c r="H1163" s="14"/>
      <c r="I1163" s="1970" t="s">
        <v>969</v>
      </c>
      <c r="J1163" s="1970"/>
      <c r="K1163" s="1970"/>
      <c r="L1163" s="3" t="s">
        <v>483</v>
      </c>
      <c r="M1163" s="5" t="s">
        <v>970</v>
      </c>
      <c r="N1163" s="38" t="s">
        <v>348</v>
      </c>
      <c r="O1163" s="5" t="s">
        <v>971</v>
      </c>
      <c r="P1163" s="5"/>
      <c r="Q1163" s="5"/>
      <c r="R1163" s="30" t="s">
        <v>352</v>
      </c>
      <c r="S1163" s="758">
        <f>S1162*(S1161+4)</f>
        <v>522.75</v>
      </c>
      <c r="T1163" s="376" t="s">
        <v>590</v>
      </c>
      <c r="U1163" s="14"/>
      <c r="V1163" s="3"/>
      <c r="W1163" s="3"/>
      <c r="X1163" s="3"/>
      <c r="Y1163" s="3"/>
      <c r="Z1163" s="3"/>
      <c r="AA1163" s="3"/>
      <c r="AB1163" s="10"/>
      <c r="AC1163" s="3"/>
      <c r="AD1163" s="56"/>
      <c r="AE1163" s="5"/>
      <c r="AF1163" s="5"/>
      <c r="AG1163" s="38"/>
      <c r="AH1163" s="38"/>
      <c r="AI1163" s="51"/>
      <c r="AJ1163" s="51"/>
      <c r="AK1163" s="51"/>
      <c r="AL1163" s="51"/>
      <c r="AM1163" s="39"/>
      <c r="AN1163" s="3" t="s">
        <v>371</v>
      </c>
      <c r="AO1163" s="3" t="s">
        <v>371</v>
      </c>
      <c r="AP1163" s="3" t="s">
        <v>371</v>
      </c>
      <c r="AQ1163" s="3" t="s">
        <v>371</v>
      </c>
      <c r="AR1163" s="3" t="s">
        <v>371</v>
      </c>
      <c r="AS1163" s="3" t="s">
        <v>371</v>
      </c>
      <c r="AT1163" s="3" t="s">
        <v>371</v>
      </c>
      <c r="AU1163" s="3" t="s">
        <v>371</v>
      </c>
      <c r="AV1163" s="3" t="s">
        <v>371</v>
      </c>
      <c r="AW1163" s="3" t="s">
        <v>371</v>
      </c>
      <c r="AX1163" s="3" t="s">
        <v>371</v>
      </c>
      <c r="AY1163" s="3"/>
      <c r="AZ1163" s="139"/>
      <c r="BA1163" s="139"/>
      <c r="BB1163" s="139"/>
      <c r="BC1163" s="139"/>
      <c r="BD1163" s="139"/>
      <c r="BE1163" s="3"/>
    </row>
    <row r="1164" spans="1:57" ht="15" customHeight="1" x14ac:dyDescent="0.4">
      <c r="A1164" s="3"/>
      <c r="B1164" s="965"/>
      <c r="C1164" s="4"/>
      <c r="D1164" s="4"/>
      <c r="E1164" s="4"/>
      <c r="F1164" s="4"/>
      <c r="G1164" s="42" t="s">
        <v>972</v>
      </c>
      <c r="H1164" s="14"/>
      <c r="I1164" s="1970" t="s">
        <v>973</v>
      </c>
      <c r="J1164" s="1970"/>
      <c r="K1164" s="1970"/>
      <c r="L1164" s="3" t="s">
        <v>483</v>
      </c>
      <c r="M1164" s="5">
        <v>0.8</v>
      </c>
      <c r="N1164" s="5"/>
      <c r="O1164" s="5"/>
      <c r="P1164" s="5"/>
      <c r="Q1164" s="5"/>
      <c r="R1164" s="30" t="s">
        <v>352</v>
      </c>
      <c r="S1164" s="758">
        <f>S1163*0.8</f>
        <v>418.20000000000005</v>
      </c>
      <c r="T1164" s="376" t="s">
        <v>590</v>
      </c>
      <c r="U1164" s="14"/>
      <c r="V1164" s="3"/>
      <c r="W1164" s="3"/>
      <c r="X1164" s="3"/>
      <c r="Y1164" s="3"/>
      <c r="Z1164" s="3"/>
      <c r="AA1164" s="3"/>
      <c r="AB1164" s="10"/>
      <c r="AC1164" s="3"/>
      <c r="AD1164" s="3"/>
      <c r="AE1164" s="3"/>
      <c r="AF1164" s="3"/>
      <c r="AG1164" s="3"/>
      <c r="AH1164" s="3"/>
      <c r="AI1164" s="3"/>
      <c r="AJ1164" s="3"/>
      <c r="AK1164" s="3"/>
      <c r="AL1164" s="3"/>
      <c r="AM1164" s="3"/>
      <c r="AN1164" s="3" t="s">
        <v>371</v>
      </c>
      <c r="AO1164" s="3" t="s">
        <v>371</v>
      </c>
      <c r="AP1164" s="3" t="s">
        <v>371</v>
      </c>
      <c r="AQ1164" s="3" t="s">
        <v>371</v>
      </c>
      <c r="AR1164" s="3" t="s">
        <v>371</v>
      </c>
      <c r="AS1164" s="3" t="s">
        <v>371</v>
      </c>
      <c r="AT1164" s="3" t="s">
        <v>371</v>
      </c>
      <c r="AU1164" s="3" t="s">
        <v>371</v>
      </c>
      <c r="AV1164" s="3" t="s">
        <v>371</v>
      </c>
      <c r="AW1164" s="3" t="s">
        <v>371</v>
      </c>
      <c r="AX1164" s="3" t="s">
        <v>371</v>
      </c>
      <c r="AY1164" s="3"/>
      <c r="AZ1164" s="139"/>
      <c r="BA1164" s="139"/>
      <c r="BB1164" s="139"/>
      <c r="BC1164" s="139"/>
      <c r="BD1164" s="139"/>
      <c r="BE1164" s="3"/>
    </row>
    <row r="1165" spans="1:57" ht="15" customHeight="1" x14ac:dyDescent="0.4">
      <c r="A1165" s="3"/>
      <c r="B1165" s="641" t="s">
        <v>974</v>
      </c>
      <c r="C1165" s="749"/>
      <c r="D1165" s="749"/>
      <c r="E1165" s="749"/>
      <c r="F1165" s="749"/>
      <c r="G1165" s="749"/>
      <c r="H1165" s="750"/>
      <c r="I1165" s="750"/>
      <c r="J1165" s="750"/>
      <c r="K1165" s="750"/>
      <c r="L1165" s="750"/>
      <c r="M1165" s="750"/>
      <c r="N1165" s="750"/>
      <c r="O1165" s="750"/>
      <c r="P1165" s="750"/>
      <c r="Q1165" s="750"/>
      <c r="R1165" s="750"/>
      <c r="S1165" s="645"/>
      <c r="T1165" s="645"/>
      <c r="U1165" s="645"/>
      <c r="V1165" s="645"/>
      <c r="W1165" s="645"/>
      <c r="X1165" s="645"/>
      <c r="Y1165" s="645"/>
      <c r="Z1165" s="645"/>
      <c r="AA1165" s="645"/>
      <c r="AB1165" s="645"/>
      <c r="AC1165" s="645"/>
      <c r="AD1165" s="645"/>
      <c r="AE1165" s="645"/>
      <c r="AF1165" s="645"/>
      <c r="AG1165" s="751"/>
      <c r="AH1165" s="752"/>
      <c r="AI1165" s="753"/>
      <c r="AJ1165" s="754"/>
      <c r="AK1165" s="754"/>
      <c r="AL1165" s="648" t="s">
        <v>975</v>
      </c>
      <c r="AM1165" s="755">
        <f>SUBTOTAL(109,AM1166:AM1174)</f>
        <v>0.16589999999999999</v>
      </c>
      <c r="AN1165" s="750"/>
      <c r="AO1165" s="750"/>
      <c r="AP1165" s="750"/>
      <c r="AQ1165" s="750"/>
      <c r="AR1165" s="750"/>
      <c r="AS1165" s="750"/>
      <c r="AT1165" s="750"/>
      <c r="AU1165" s="750"/>
      <c r="AV1165" s="750"/>
      <c r="AW1165" s="750"/>
      <c r="AX1165" s="750"/>
      <c r="AY1165" s="750"/>
      <c r="AZ1165" s="739"/>
      <c r="BA1165" s="521"/>
      <c r="BB1165" s="521"/>
      <c r="BC1165" s="521"/>
      <c r="BD1165" s="521"/>
      <c r="BE1165" s="155"/>
    </row>
    <row r="1166" spans="1:57" ht="15" customHeight="1" x14ac:dyDescent="0.4">
      <c r="A1166" s="3"/>
      <c r="B1166" s="965" t="s">
        <v>976</v>
      </c>
      <c r="C1166" s="3"/>
      <c r="D1166" s="4"/>
      <c r="E1166" s="4"/>
      <c r="F1166" s="4"/>
      <c r="G1166" s="4"/>
      <c r="H1166" s="14"/>
      <c r="I1166" s="3"/>
      <c r="J1166" s="38"/>
      <c r="K1166" s="3"/>
      <c r="L1166" s="3"/>
      <c r="M1166" s="5"/>
      <c r="N1166" s="5"/>
      <c r="O1166" s="5"/>
      <c r="P1166" s="5"/>
      <c r="Q1166" s="5"/>
      <c r="R1166" s="30"/>
      <c r="S1166" s="56">
        <v>1</v>
      </c>
      <c r="T1166" s="376" t="s">
        <v>385</v>
      </c>
      <c r="U1166" s="14"/>
      <c r="V1166" s="38" t="s">
        <v>8</v>
      </c>
      <c r="W1166" s="38" t="s">
        <v>8</v>
      </c>
      <c r="X1166" s="38" t="s">
        <v>8</v>
      </c>
      <c r="Y1166" s="1445">
        <v>170318000001</v>
      </c>
      <c r="Z1166" s="3">
        <v>253660</v>
      </c>
      <c r="AA1166" s="3"/>
      <c r="AB1166" s="10"/>
      <c r="AC1166" s="3">
        <v>45</v>
      </c>
      <c r="AD1166" s="3">
        <v>1</v>
      </c>
      <c r="AE1166" s="56">
        <f>S1166*AD1166</f>
        <v>1</v>
      </c>
      <c r="AF1166" s="5" t="s">
        <v>385</v>
      </c>
      <c r="AG1166" s="38" t="s">
        <v>8</v>
      </c>
      <c r="AH1166" s="38" t="s">
        <v>8</v>
      </c>
      <c r="AI1166" s="353">
        <v>9.9000000000000008E-3</v>
      </c>
      <c r="AJ1166" s="51"/>
      <c r="AK1166" s="51"/>
      <c r="AL1166" s="51"/>
      <c r="AM1166" s="51">
        <f>AE1166*AI1166+SUM(AJ1166:AL1166)</f>
        <v>9.9000000000000008E-3</v>
      </c>
      <c r="AN1166" s="3" t="s">
        <v>81</v>
      </c>
      <c r="AO1166" s="3" t="s">
        <v>81</v>
      </c>
      <c r="AP1166" s="3" t="s">
        <v>81</v>
      </c>
      <c r="AQ1166" s="3" t="s">
        <v>81</v>
      </c>
      <c r="AR1166" s="3" t="s">
        <v>81</v>
      </c>
      <c r="AS1166" s="3" t="s">
        <v>81</v>
      </c>
      <c r="AT1166" s="3" t="s">
        <v>81</v>
      </c>
      <c r="AU1166" s="3" t="s">
        <v>81</v>
      </c>
      <c r="AV1166" s="3" t="s">
        <v>81</v>
      </c>
      <c r="AW1166" s="3" t="s">
        <v>81</v>
      </c>
      <c r="AX1166" s="3" t="s">
        <v>81</v>
      </c>
      <c r="AY1166" s="3"/>
      <c r="AZ1166" s="139"/>
      <c r="BA1166" s="139"/>
      <c r="BB1166" s="139"/>
      <c r="BC1166" s="139"/>
      <c r="BD1166" s="139"/>
      <c r="BE1166" s="3"/>
    </row>
    <row r="1167" spans="1:57" ht="15" customHeight="1" x14ac:dyDescent="0.4">
      <c r="A1167" s="3"/>
      <c r="B1167" s="965" t="s">
        <v>977</v>
      </c>
      <c r="C1167" s="3"/>
      <c r="D1167" s="4"/>
      <c r="E1167" s="4"/>
      <c r="F1167" s="4"/>
      <c r="G1167" s="4"/>
      <c r="H1167" s="14"/>
      <c r="I1167" s="3"/>
      <c r="J1167" s="38"/>
      <c r="K1167" s="3"/>
      <c r="L1167" s="3"/>
      <c r="M1167" s="5"/>
      <c r="N1167" s="5"/>
      <c r="O1167" s="5"/>
      <c r="P1167" s="5"/>
      <c r="Q1167" s="5"/>
      <c r="R1167" s="30"/>
      <c r="S1167" s="56">
        <v>1</v>
      </c>
      <c r="T1167" s="376" t="s">
        <v>385</v>
      </c>
      <c r="U1167" s="14"/>
      <c r="V1167" s="38" t="s">
        <v>8</v>
      </c>
      <c r="W1167" s="38" t="s">
        <v>8</v>
      </c>
      <c r="X1167" s="38" t="s">
        <v>8</v>
      </c>
      <c r="Y1167" s="1445">
        <v>170318000001</v>
      </c>
      <c r="Z1167" s="3">
        <v>253660</v>
      </c>
      <c r="AA1167" s="3"/>
      <c r="AB1167" s="10"/>
      <c r="AC1167" s="3">
        <v>45</v>
      </c>
      <c r="AD1167" s="3">
        <v>1</v>
      </c>
      <c r="AE1167" s="56">
        <f t="shared" ref="AE1167:AE1181" si="128">S1167*AD1167</f>
        <v>1</v>
      </c>
      <c r="AF1167" s="5" t="s">
        <v>385</v>
      </c>
      <c r="AG1167" s="38" t="s">
        <v>8</v>
      </c>
      <c r="AH1167" s="38" t="s">
        <v>8</v>
      </c>
      <c r="AI1167" s="51">
        <f>AI1166</f>
        <v>9.9000000000000008E-3</v>
      </c>
      <c r="AJ1167" s="51"/>
      <c r="AK1167" s="51"/>
      <c r="AL1167" s="51"/>
      <c r="AM1167" s="51">
        <f t="shared" ref="AM1167:AM1182" si="129">AE1167*AI1167+SUM(AJ1167:AL1167)</f>
        <v>9.9000000000000008E-3</v>
      </c>
      <c r="AN1167" s="3" t="s">
        <v>81</v>
      </c>
      <c r="AO1167" s="3" t="s">
        <v>81</v>
      </c>
      <c r="AP1167" s="3" t="s">
        <v>81</v>
      </c>
      <c r="AQ1167" s="3" t="s">
        <v>81</v>
      </c>
      <c r="AR1167" s="3" t="s">
        <v>81</v>
      </c>
      <c r="AS1167" s="3" t="s">
        <v>81</v>
      </c>
      <c r="AT1167" s="3" t="s">
        <v>81</v>
      </c>
      <c r="AU1167" s="3" t="s">
        <v>81</v>
      </c>
      <c r="AV1167" s="3" t="s">
        <v>81</v>
      </c>
      <c r="AW1167" s="3" t="s">
        <v>81</v>
      </c>
      <c r="AX1167" s="3" t="s">
        <v>81</v>
      </c>
      <c r="AY1167" s="3"/>
      <c r="AZ1167" s="139"/>
      <c r="BA1167" s="139"/>
      <c r="BB1167" s="139"/>
      <c r="BC1167" s="139"/>
      <c r="BD1167" s="139"/>
      <c r="BE1167" s="3"/>
    </row>
    <row r="1168" spans="1:57" ht="15" customHeight="1" x14ac:dyDescent="0.4">
      <c r="A1168" s="3"/>
      <c r="B1168" s="965" t="s">
        <v>2093</v>
      </c>
      <c r="C1168" s="3"/>
      <c r="D1168" s="4"/>
      <c r="E1168" s="4"/>
      <c r="F1168" s="4"/>
      <c r="G1168" s="4"/>
      <c r="H1168" s="14"/>
      <c r="I1168" s="3"/>
      <c r="J1168" s="38"/>
      <c r="K1168" s="3"/>
      <c r="L1168" s="3"/>
      <c r="M1168" s="5"/>
      <c r="N1168" s="5"/>
      <c r="O1168" s="5"/>
      <c r="P1168" s="5"/>
      <c r="Q1168" s="5"/>
      <c r="R1168" s="30"/>
      <c r="S1168" s="56">
        <v>1</v>
      </c>
      <c r="T1168" s="376" t="s">
        <v>385</v>
      </c>
      <c r="U1168" s="14"/>
      <c r="V1168" s="38" t="s">
        <v>8</v>
      </c>
      <c r="W1168" s="38" t="s">
        <v>8</v>
      </c>
      <c r="X1168" s="38" t="s">
        <v>8</v>
      </c>
      <c r="Y1168" s="1443">
        <v>170158000</v>
      </c>
      <c r="Z1168" s="3">
        <v>253195</v>
      </c>
      <c r="AA1168" s="3"/>
      <c r="AB1168" s="10"/>
      <c r="AC1168" s="3">
        <v>45</v>
      </c>
      <c r="AD1168" s="3">
        <v>1</v>
      </c>
      <c r="AE1168" s="56">
        <f t="shared" si="128"/>
        <v>1</v>
      </c>
      <c r="AF1168" s="5" t="s">
        <v>385</v>
      </c>
      <c r="AG1168" s="38" t="s">
        <v>8</v>
      </c>
      <c r="AH1168" s="38" t="s">
        <v>8</v>
      </c>
      <c r="AI1168" s="353">
        <v>1.6500000000000001E-2</v>
      </c>
      <c r="AJ1168" s="51"/>
      <c r="AK1168" s="51"/>
      <c r="AL1168" s="51"/>
      <c r="AM1168" s="51">
        <f t="shared" si="129"/>
        <v>1.6500000000000001E-2</v>
      </c>
      <c r="AN1168" s="3" t="s">
        <v>81</v>
      </c>
      <c r="AO1168" s="3" t="s">
        <v>81</v>
      </c>
      <c r="AP1168" s="3" t="s">
        <v>81</v>
      </c>
      <c r="AQ1168" s="3" t="s">
        <v>81</v>
      </c>
      <c r="AR1168" s="3" t="s">
        <v>81</v>
      </c>
      <c r="AS1168" s="3" t="s">
        <v>81</v>
      </c>
      <c r="AT1168" s="3" t="s">
        <v>81</v>
      </c>
      <c r="AU1168" s="3" t="s">
        <v>81</v>
      </c>
      <c r="AV1168" s="3" t="s">
        <v>81</v>
      </c>
      <c r="AW1168" s="3" t="s">
        <v>81</v>
      </c>
      <c r="AX1168" s="3" t="s">
        <v>81</v>
      </c>
      <c r="AY1168" s="3"/>
      <c r="AZ1168" s="139"/>
      <c r="BA1168" s="139"/>
      <c r="BB1168" s="139"/>
      <c r="BC1168" s="139"/>
      <c r="BD1168" s="139"/>
      <c r="BE1168" s="3"/>
    </row>
    <row r="1169" spans="1:57" ht="15" customHeight="1" x14ac:dyDescent="0.4">
      <c r="A1169" s="3"/>
      <c r="B1169" s="965" t="s">
        <v>2092</v>
      </c>
      <c r="C1169" s="3"/>
      <c r="D1169" s="4"/>
      <c r="E1169" s="4"/>
      <c r="F1169" s="4"/>
      <c r="G1169" s="4"/>
      <c r="H1169" s="14"/>
      <c r="I1169" s="3"/>
      <c r="J1169" s="38"/>
      <c r="K1169" s="3"/>
      <c r="L1169" s="3"/>
      <c r="M1169" s="5"/>
      <c r="N1169" s="5"/>
      <c r="O1169" s="5"/>
      <c r="P1169" s="5"/>
      <c r="Q1169" s="5"/>
      <c r="R1169" s="30"/>
      <c r="S1169" s="56">
        <v>1</v>
      </c>
      <c r="T1169" s="376" t="s">
        <v>385</v>
      </c>
      <c r="U1169" s="14"/>
      <c r="V1169" s="38" t="s">
        <v>8</v>
      </c>
      <c r="W1169" s="38" t="s">
        <v>8</v>
      </c>
      <c r="X1169" s="38" t="s">
        <v>8</v>
      </c>
      <c r="Y1169" s="1443">
        <v>170188000</v>
      </c>
      <c r="Z1169" s="1443"/>
      <c r="AA1169" s="1443"/>
      <c r="AB1169" s="10"/>
      <c r="AC1169" s="3">
        <v>45</v>
      </c>
      <c r="AD1169" s="3">
        <v>1</v>
      </c>
      <c r="AE1169" s="56">
        <f t="shared" si="128"/>
        <v>1</v>
      </c>
      <c r="AF1169" s="5" t="s">
        <v>385</v>
      </c>
      <c r="AG1169" s="38" t="s">
        <v>8</v>
      </c>
      <c r="AH1169" s="38" t="s">
        <v>8</v>
      </c>
      <c r="AI1169" s="353">
        <v>1.6400000000000001E-2</v>
      </c>
      <c r="AJ1169" s="51"/>
      <c r="AK1169" s="51"/>
      <c r="AL1169" s="51"/>
      <c r="AM1169" s="51">
        <f t="shared" si="129"/>
        <v>1.6400000000000001E-2</v>
      </c>
      <c r="AN1169" s="3" t="s">
        <v>81</v>
      </c>
      <c r="AO1169" s="3" t="s">
        <v>81</v>
      </c>
      <c r="AP1169" s="3" t="s">
        <v>81</v>
      </c>
      <c r="AQ1169" s="3" t="s">
        <v>81</v>
      </c>
      <c r="AR1169" s="3" t="s">
        <v>81</v>
      </c>
      <c r="AS1169" s="3" t="s">
        <v>81</v>
      </c>
      <c r="AT1169" s="3" t="s">
        <v>81</v>
      </c>
      <c r="AU1169" s="3" t="s">
        <v>81</v>
      </c>
      <c r="AV1169" s="3" t="s">
        <v>81</v>
      </c>
      <c r="AW1169" s="3" t="s">
        <v>81</v>
      </c>
      <c r="AX1169" s="3" t="s">
        <v>81</v>
      </c>
      <c r="AY1169" s="3"/>
      <c r="AZ1169" s="139"/>
      <c r="BA1169" s="139"/>
      <c r="BB1169" s="139"/>
      <c r="BC1169" s="139"/>
      <c r="BD1169" s="139"/>
      <c r="BE1169" s="3"/>
    </row>
    <row r="1170" spans="1:57" ht="15" customHeight="1" x14ac:dyDescent="0.4">
      <c r="A1170" s="3"/>
      <c r="B1170" s="965" t="s">
        <v>978</v>
      </c>
      <c r="C1170" s="3"/>
      <c r="D1170" s="4"/>
      <c r="E1170" s="4"/>
      <c r="F1170" s="4"/>
      <c r="G1170" s="4"/>
      <c r="H1170" s="14"/>
      <c r="I1170" s="3"/>
      <c r="J1170" s="38"/>
      <c r="K1170" s="3"/>
      <c r="L1170" s="3"/>
      <c r="M1170" s="5"/>
      <c r="N1170" s="5"/>
      <c r="O1170" s="5"/>
      <c r="P1170" s="5"/>
      <c r="Q1170" s="5"/>
      <c r="R1170" s="30"/>
      <c r="S1170" s="56">
        <v>1</v>
      </c>
      <c r="T1170" s="376" t="s">
        <v>385</v>
      </c>
      <c r="U1170" s="14"/>
      <c r="V1170" s="38" t="s">
        <v>8</v>
      </c>
      <c r="W1170" s="38" t="s">
        <v>8</v>
      </c>
      <c r="X1170" s="38" t="s">
        <v>8</v>
      </c>
      <c r="Y1170" s="1443">
        <v>170200000</v>
      </c>
      <c r="Z1170" s="3">
        <v>253666</v>
      </c>
      <c r="AA1170" s="3"/>
      <c r="AB1170" s="10"/>
      <c r="AC1170" s="3">
        <v>45</v>
      </c>
      <c r="AD1170" s="3">
        <v>2</v>
      </c>
      <c r="AE1170" s="56">
        <f t="shared" si="128"/>
        <v>2</v>
      </c>
      <c r="AF1170" s="5" t="s">
        <v>385</v>
      </c>
      <c r="AG1170" s="38" t="s">
        <v>8</v>
      </c>
      <c r="AH1170" s="38" t="s">
        <v>8</v>
      </c>
      <c r="AI1170" s="353">
        <v>9.5999999999999992E-3</v>
      </c>
      <c r="AJ1170" s="51"/>
      <c r="AK1170" s="51"/>
      <c r="AL1170" s="51"/>
      <c r="AM1170" s="51">
        <f t="shared" si="129"/>
        <v>1.9199999999999998E-2</v>
      </c>
      <c r="AN1170" s="3" t="s">
        <v>81</v>
      </c>
      <c r="AO1170" s="3" t="s">
        <v>81</v>
      </c>
      <c r="AP1170" s="3" t="s">
        <v>81</v>
      </c>
      <c r="AQ1170" s="3" t="s">
        <v>81</v>
      </c>
      <c r="AR1170" s="3" t="s">
        <v>81</v>
      </c>
      <c r="AS1170" s="3" t="s">
        <v>81</v>
      </c>
      <c r="AT1170" s="3" t="s">
        <v>81</v>
      </c>
      <c r="AU1170" s="3" t="s">
        <v>81</v>
      </c>
      <c r="AV1170" s="3" t="s">
        <v>81</v>
      </c>
      <c r="AW1170" s="3" t="s">
        <v>81</v>
      </c>
      <c r="AX1170" s="3" t="s">
        <v>81</v>
      </c>
      <c r="AY1170" s="3"/>
      <c r="AZ1170" s="139"/>
      <c r="BA1170" s="139"/>
      <c r="BB1170" s="139"/>
      <c r="BC1170" s="139"/>
      <c r="BD1170" s="139"/>
      <c r="BE1170" s="3"/>
    </row>
    <row r="1171" spans="1:57" ht="15" customHeight="1" x14ac:dyDescent="0.4">
      <c r="A1171" s="3"/>
      <c r="B1171" s="965" t="s">
        <v>979</v>
      </c>
      <c r="C1171" s="3"/>
      <c r="D1171" s="4"/>
      <c r="E1171" s="4"/>
      <c r="F1171" s="4"/>
      <c r="G1171" s="4"/>
      <c r="H1171" s="14"/>
      <c r="I1171" s="3"/>
      <c r="J1171" s="3"/>
      <c r="K1171" s="3"/>
      <c r="L1171" s="3"/>
      <c r="M1171" s="5"/>
      <c r="N1171" s="5"/>
      <c r="O1171" s="5"/>
      <c r="P1171" s="5"/>
      <c r="Q1171" s="5"/>
      <c r="R1171" s="376"/>
      <c r="S1171" s="56">
        <v>1</v>
      </c>
      <c r="T1171" s="376" t="s">
        <v>385</v>
      </c>
      <c r="U1171" s="14"/>
      <c r="V1171" s="38" t="s">
        <v>8</v>
      </c>
      <c r="W1171" s="38" t="s">
        <v>8</v>
      </c>
      <c r="X1171" s="38" t="s">
        <v>8</v>
      </c>
      <c r="Y1171" s="1443">
        <v>170228000</v>
      </c>
      <c r="Z1171" s="3">
        <v>253668</v>
      </c>
      <c r="AA1171" s="3"/>
      <c r="AB1171" s="10"/>
      <c r="AC1171" s="3">
        <v>45</v>
      </c>
      <c r="AD1171" s="3">
        <v>1</v>
      </c>
      <c r="AE1171" s="56">
        <f t="shared" si="128"/>
        <v>1</v>
      </c>
      <c r="AF1171" s="5" t="s">
        <v>385</v>
      </c>
      <c r="AG1171" s="38" t="s">
        <v>8</v>
      </c>
      <c r="AH1171" s="38" t="s">
        <v>8</v>
      </c>
      <c r="AI1171" s="353">
        <v>6.4000000000000003E-3</v>
      </c>
      <c r="AJ1171" s="51"/>
      <c r="AK1171" s="51"/>
      <c r="AL1171" s="51"/>
      <c r="AM1171" s="51">
        <f t="shared" si="129"/>
        <v>6.4000000000000003E-3</v>
      </c>
      <c r="AN1171" s="3" t="s">
        <v>81</v>
      </c>
      <c r="AO1171" s="3" t="s">
        <v>81</v>
      </c>
      <c r="AP1171" s="3" t="s">
        <v>81</v>
      </c>
      <c r="AQ1171" s="3" t="s">
        <v>81</v>
      </c>
      <c r="AR1171" s="3" t="s">
        <v>81</v>
      </c>
      <c r="AS1171" s="3" t="s">
        <v>81</v>
      </c>
      <c r="AT1171" s="3" t="s">
        <v>81</v>
      </c>
      <c r="AU1171" s="3" t="s">
        <v>81</v>
      </c>
      <c r="AV1171" s="3" t="s">
        <v>81</v>
      </c>
      <c r="AW1171" s="3" t="s">
        <v>81</v>
      </c>
      <c r="AX1171" s="3" t="s">
        <v>81</v>
      </c>
      <c r="AY1171" s="3"/>
      <c r="AZ1171" s="139"/>
      <c r="BA1171" s="139"/>
      <c r="BB1171" s="139"/>
      <c r="BC1171" s="139"/>
      <c r="BD1171" s="139"/>
      <c r="BE1171" s="3"/>
    </row>
    <row r="1172" spans="1:57" ht="15" customHeight="1" x14ac:dyDescent="0.4">
      <c r="A1172" s="3"/>
      <c r="B1172" s="965" t="s">
        <v>980</v>
      </c>
      <c r="C1172" s="3"/>
      <c r="D1172" s="4"/>
      <c r="E1172" s="4"/>
      <c r="F1172" s="4"/>
      <c r="G1172" s="4"/>
      <c r="H1172" s="14"/>
      <c r="I1172" s="3"/>
      <c r="J1172" s="3"/>
      <c r="K1172" s="3"/>
      <c r="L1172" s="3"/>
      <c r="M1172" s="5"/>
      <c r="N1172" s="5"/>
      <c r="O1172" s="5"/>
      <c r="P1172" s="5"/>
      <c r="Q1172" s="5"/>
      <c r="R1172" s="376"/>
      <c r="S1172" s="56">
        <v>1</v>
      </c>
      <c r="T1172" s="376" t="s">
        <v>385</v>
      </c>
      <c r="U1172" s="14"/>
      <c r="V1172" s="38" t="s">
        <v>8</v>
      </c>
      <c r="W1172" s="38" t="s">
        <v>8</v>
      </c>
      <c r="X1172" s="38" t="s">
        <v>8</v>
      </c>
      <c r="Y1172" s="1443">
        <v>170196000</v>
      </c>
      <c r="Z1172" s="3">
        <v>253674</v>
      </c>
      <c r="AA1172" s="3"/>
      <c r="AB1172" s="10"/>
      <c r="AC1172" s="3">
        <v>45</v>
      </c>
      <c r="AD1172" s="3">
        <v>1</v>
      </c>
      <c r="AE1172" s="56">
        <f t="shared" si="128"/>
        <v>1</v>
      </c>
      <c r="AF1172" s="5" t="s">
        <v>385</v>
      </c>
      <c r="AG1172" s="38" t="s">
        <v>8</v>
      </c>
      <c r="AH1172" s="38" t="s">
        <v>8</v>
      </c>
      <c r="AI1172" s="353">
        <v>2.92E-2</v>
      </c>
      <c r="AJ1172" s="51"/>
      <c r="AK1172" s="51"/>
      <c r="AL1172" s="51"/>
      <c r="AM1172" s="51">
        <f t="shared" si="129"/>
        <v>2.92E-2</v>
      </c>
      <c r="AN1172" s="3" t="s">
        <v>81</v>
      </c>
      <c r="AO1172" s="3" t="s">
        <v>81</v>
      </c>
      <c r="AP1172" s="3" t="s">
        <v>81</v>
      </c>
      <c r="AQ1172" s="3" t="s">
        <v>81</v>
      </c>
      <c r="AR1172" s="3" t="s">
        <v>81</v>
      </c>
      <c r="AS1172" s="3" t="s">
        <v>81</v>
      </c>
      <c r="AT1172" s="3" t="s">
        <v>81</v>
      </c>
      <c r="AU1172" s="3" t="s">
        <v>81</v>
      </c>
      <c r="AV1172" s="3" t="s">
        <v>81</v>
      </c>
      <c r="AW1172" s="3" t="s">
        <v>81</v>
      </c>
      <c r="AX1172" s="3" t="s">
        <v>81</v>
      </c>
      <c r="AY1172" s="3"/>
      <c r="AZ1172" s="139"/>
      <c r="BA1172" s="139"/>
      <c r="BB1172" s="139"/>
      <c r="BC1172" s="139"/>
      <c r="BD1172" s="139"/>
      <c r="BE1172" s="3"/>
    </row>
    <row r="1173" spans="1:57" ht="15" customHeight="1" x14ac:dyDescent="0.4">
      <c r="A1173" s="3"/>
      <c r="B1173" s="965" t="s">
        <v>981</v>
      </c>
      <c r="C1173" s="3"/>
      <c r="D1173" s="4"/>
      <c r="E1173" s="4"/>
      <c r="F1173" s="4"/>
      <c r="G1173" s="4"/>
      <c r="H1173" s="14"/>
      <c r="I1173" s="3"/>
      <c r="J1173" s="3"/>
      <c r="K1173" s="3"/>
      <c r="L1173" s="3"/>
      <c r="M1173" s="5"/>
      <c r="N1173" s="5"/>
      <c r="O1173" s="5"/>
      <c r="P1173" s="5"/>
      <c r="Q1173" s="5"/>
      <c r="R1173" s="376"/>
      <c r="S1173" s="56">
        <v>1</v>
      </c>
      <c r="T1173" s="376" t="s">
        <v>385</v>
      </c>
      <c r="U1173" s="14"/>
      <c r="V1173" s="38" t="s">
        <v>8</v>
      </c>
      <c r="W1173" s="38" t="s">
        <v>8</v>
      </c>
      <c r="X1173" s="38" t="s">
        <v>8</v>
      </c>
      <c r="Y1173" s="1443">
        <v>170196000</v>
      </c>
      <c r="Z1173" s="3">
        <v>253674</v>
      </c>
      <c r="AA1173" s="3"/>
      <c r="AB1173" s="10"/>
      <c r="AC1173" s="3">
        <v>45</v>
      </c>
      <c r="AD1173" s="3">
        <v>1</v>
      </c>
      <c r="AE1173" s="56">
        <f t="shared" si="128"/>
        <v>1</v>
      </c>
      <c r="AF1173" s="5" t="s">
        <v>385</v>
      </c>
      <c r="AG1173" s="38" t="s">
        <v>8</v>
      </c>
      <c r="AH1173" s="38" t="s">
        <v>8</v>
      </c>
      <c r="AI1173" s="51">
        <f>AI1172</f>
        <v>2.92E-2</v>
      </c>
      <c r="AJ1173" s="51"/>
      <c r="AK1173" s="51"/>
      <c r="AL1173" s="51"/>
      <c r="AM1173" s="51">
        <f t="shared" si="129"/>
        <v>2.92E-2</v>
      </c>
      <c r="AN1173" s="3" t="s">
        <v>81</v>
      </c>
      <c r="AO1173" s="3" t="s">
        <v>81</v>
      </c>
      <c r="AP1173" s="3" t="s">
        <v>81</v>
      </c>
      <c r="AQ1173" s="3" t="s">
        <v>81</v>
      </c>
      <c r="AR1173" s="3" t="s">
        <v>81</v>
      </c>
      <c r="AS1173" s="3" t="s">
        <v>81</v>
      </c>
      <c r="AT1173" s="3" t="s">
        <v>81</v>
      </c>
      <c r="AU1173" s="3" t="s">
        <v>81</v>
      </c>
      <c r="AV1173" s="3" t="s">
        <v>81</v>
      </c>
      <c r="AW1173" s="3" t="s">
        <v>81</v>
      </c>
      <c r="AX1173" s="3" t="s">
        <v>81</v>
      </c>
      <c r="AY1173" s="3"/>
      <c r="AZ1173" s="139"/>
      <c r="BA1173" s="139"/>
      <c r="BB1173" s="139"/>
      <c r="BC1173" s="139"/>
      <c r="BD1173" s="139"/>
      <c r="BE1173" s="3"/>
    </row>
    <row r="1174" spans="1:57" ht="15" customHeight="1" x14ac:dyDescent="0.4">
      <c r="A1174" s="3"/>
      <c r="B1174" s="965" t="s">
        <v>982</v>
      </c>
      <c r="C1174" s="3"/>
      <c r="D1174" s="4"/>
      <c r="E1174" s="4"/>
      <c r="F1174" s="4"/>
      <c r="G1174" s="4"/>
      <c r="H1174" s="14"/>
      <c r="I1174" s="3"/>
      <c r="J1174" s="3"/>
      <c r="K1174" s="3"/>
      <c r="L1174" s="3"/>
      <c r="M1174" s="5"/>
      <c r="N1174" s="5"/>
      <c r="O1174" s="5"/>
      <c r="P1174" s="5"/>
      <c r="Q1174" s="5"/>
      <c r="R1174" s="376"/>
      <c r="S1174" s="56">
        <v>1</v>
      </c>
      <c r="T1174" s="376" t="s">
        <v>385</v>
      </c>
      <c r="U1174" s="14"/>
      <c r="V1174" s="38" t="s">
        <v>8</v>
      </c>
      <c r="W1174" s="38" t="s">
        <v>8</v>
      </c>
      <c r="X1174" s="38" t="s">
        <v>8</v>
      </c>
      <c r="Y1174" s="1443">
        <v>170196000</v>
      </c>
      <c r="Z1174" s="3">
        <v>253674</v>
      </c>
      <c r="AA1174" s="3"/>
      <c r="AB1174" s="10"/>
      <c r="AC1174" s="3">
        <v>45</v>
      </c>
      <c r="AD1174" s="3">
        <v>1</v>
      </c>
      <c r="AE1174" s="56">
        <f t="shared" si="128"/>
        <v>1</v>
      </c>
      <c r="AF1174" s="5" t="s">
        <v>385</v>
      </c>
      <c r="AG1174" s="38" t="s">
        <v>8</v>
      </c>
      <c r="AH1174" s="38" t="s">
        <v>8</v>
      </c>
      <c r="AI1174" s="51">
        <f>AI1172</f>
        <v>2.92E-2</v>
      </c>
      <c r="AJ1174" s="51"/>
      <c r="AK1174" s="51"/>
      <c r="AL1174" s="51"/>
      <c r="AM1174" s="51">
        <f t="shared" si="129"/>
        <v>2.92E-2</v>
      </c>
      <c r="AN1174" s="3" t="s">
        <v>81</v>
      </c>
      <c r="AO1174" s="3" t="s">
        <v>81</v>
      </c>
      <c r="AP1174" s="3" t="s">
        <v>81</v>
      </c>
      <c r="AQ1174" s="3" t="s">
        <v>81</v>
      </c>
      <c r="AR1174" s="3" t="s">
        <v>81</v>
      </c>
      <c r="AS1174" s="3" t="s">
        <v>81</v>
      </c>
      <c r="AT1174" s="3" t="s">
        <v>81</v>
      </c>
      <c r="AU1174" s="3" t="s">
        <v>81</v>
      </c>
      <c r="AV1174" s="3" t="s">
        <v>81</v>
      </c>
      <c r="AW1174" s="3" t="s">
        <v>81</v>
      </c>
      <c r="AX1174" s="3" t="s">
        <v>81</v>
      </c>
      <c r="AY1174" s="3"/>
      <c r="AZ1174" s="139"/>
      <c r="BA1174" s="139"/>
      <c r="BB1174" s="139"/>
      <c r="BC1174" s="139"/>
      <c r="BD1174" s="139"/>
      <c r="BE1174" s="3"/>
    </row>
    <row r="1175" spans="1:57" ht="15" customHeight="1" x14ac:dyDescent="0.4">
      <c r="A1175" s="3"/>
      <c r="B1175" s="641" t="s">
        <v>983</v>
      </c>
      <c r="C1175" s="749"/>
      <c r="D1175" s="749"/>
      <c r="E1175" s="749"/>
      <c r="F1175" s="749"/>
      <c r="G1175" s="749"/>
      <c r="H1175" s="750"/>
      <c r="I1175" s="750"/>
      <c r="J1175" s="750"/>
      <c r="K1175" s="750"/>
      <c r="L1175" s="750"/>
      <c r="M1175" s="750"/>
      <c r="N1175" s="750"/>
      <c r="O1175" s="750"/>
      <c r="P1175" s="750"/>
      <c r="Q1175" s="750"/>
      <c r="R1175" s="750"/>
      <c r="S1175" s="645"/>
      <c r="T1175" s="645"/>
      <c r="U1175" s="645"/>
      <c r="V1175" s="645"/>
      <c r="W1175" s="645"/>
      <c r="X1175" s="645"/>
      <c r="Y1175" s="645"/>
      <c r="Z1175" s="645"/>
      <c r="AA1175" s="645"/>
      <c r="AB1175" s="645"/>
      <c r="AC1175" s="645"/>
      <c r="AD1175" s="645"/>
      <c r="AE1175" s="645"/>
      <c r="AF1175" s="645"/>
      <c r="AG1175" s="751"/>
      <c r="AH1175" s="752"/>
      <c r="AI1175" s="753"/>
      <c r="AJ1175" s="754"/>
      <c r="AK1175" s="754"/>
      <c r="AL1175" s="648" t="s">
        <v>984</v>
      </c>
      <c r="AM1175" s="755">
        <f>SUBTOTAL(109,AM1176:AM1182)</f>
        <v>1.2111000000000001</v>
      </c>
      <c r="AN1175" s="750"/>
      <c r="AO1175" s="750"/>
      <c r="AP1175" s="750"/>
      <c r="AQ1175" s="750"/>
      <c r="AR1175" s="750"/>
      <c r="AS1175" s="750"/>
      <c r="AT1175" s="750"/>
      <c r="AU1175" s="750"/>
      <c r="AV1175" s="750"/>
      <c r="AW1175" s="750"/>
      <c r="AX1175" s="750"/>
      <c r="AY1175" s="750"/>
      <c r="AZ1175" s="739"/>
      <c r="BA1175" s="521"/>
      <c r="BB1175" s="521"/>
      <c r="BC1175" s="521"/>
      <c r="BD1175" s="521"/>
      <c r="BE1175" s="155"/>
    </row>
    <row r="1176" spans="1:57" ht="15" customHeight="1" x14ac:dyDescent="0.4">
      <c r="A1176" s="3"/>
      <c r="B1176" s="965" t="s">
        <v>985</v>
      </c>
      <c r="C1176" s="3"/>
      <c r="D1176" s="3"/>
      <c r="E1176" s="4"/>
      <c r="F1176" s="4"/>
      <c r="G1176" s="4"/>
      <c r="H1176" s="14"/>
      <c r="I1176" s="3"/>
      <c r="J1176" s="38"/>
      <c r="K1176" s="3"/>
      <c r="L1176" s="3"/>
      <c r="M1176" s="5"/>
      <c r="N1176" s="5"/>
      <c r="O1176" s="5"/>
      <c r="P1176" s="5"/>
      <c r="Q1176" s="5"/>
      <c r="R1176" s="30"/>
      <c r="S1176" s="56">
        <v>1</v>
      </c>
      <c r="T1176" s="376" t="s">
        <v>385</v>
      </c>
      <c r="U1176" s="14"/>
      <c r="V1176" s="38" t="s">
        <v>8</v>
      </c>
      <c r="W1176" s="38" t="s">
        <v>8</v>
      </c>
      <c r="X1176" s="38" t="s">
        <v>8</v>
      </c>
      <c r="Y1176" s="1443">
        <v>170201000</v>
      </c>
      <c r="Z1176" s="3">
        <v>151965</v>
      </c>
      <c r="AA1176" s="3"/>
      <c r="AB1176" s="10"/>
      <c r="AC1176" s="3">
        <v>45</v>
      </c>
      <c r="AD1176" s="3">
        <v>2</v>
      </c>
      <c r="AE1176" s="56">
        <f t="shared" si="128"/>
        <v>2</v>
      </c>
      <c r="AF1176" s="5" t="s">
        <v>385</v>
      </c>
      <c r="AG1176" s="38" t="s">
        <v>8</v>
      </c>
      <c r="AH1176" s="38" t="s">
        <v>8</v>
      </c>
      <c r="AI1176" s="353">
        <v>0.3</v>
      </c>
      <c r="AJ1176" s="51"/>
      <c r="AK1176" s="51"/>
      <c r="AL1176" s="51"/>
      <c r="AM1176" s="51">
        <f t="shared" si="129"/>
        <v>0.6</v>
      </c>
      <c r="AN1176" s="3" t="s">
        <v>371</v>
      </c>
      <c r="AO1176" s="3" t="s">
        <v>371</v>
      </c>
      <c r="AP1176" s="3" t="s">
        <v>371</v>
      </c>
      <c r="AQ1176" s="3" t="s">
        <v>371</v>
      </c>
      <c r="AR1176" s="3" t="s">
        <v>371</v>
      </c>
      <c r="AS1176" s="3" t="s">
        <v>371</v>
      </c>
      <c r="AT1176" s="3" t="s">
        <v>371</v>
      </c>
      <c r="AU1176" s="3" t="s">
        <v>371</v>
      </c>
      <c r="AV1176" s="3" t="s">
        <v>371</v>
      </c>
      <c r="AW1176" s="3" t="s">
        <v>371</v>
      </c>
      <c r="AX1176" s="3" t="s">
        <v>371</v>
      </c>
      <c r="AY1176" s="3"/>
      <c r="AZ1176" s="139"/>
      <c r="BA1176" s="139"/>
      <c r="BB1176" s="139"/>
      <c r="BC1176" s="139"/>
      <c r="BD1176" s="139"/>
      <c r="BE1176" s="3"/>
    </row>
    <row r="1177" spans="1:57" ht="15" customHeight="1" x14ac:dyDescent="0.4">
      <c r="A1177" s="3"/>
      <c r="B1177" s="965" t="s">
        <v>986</v>
      </c>
      <c r="C1177" s="3"/>
      <c r="D1177" s="3"/>
      <c r="E1177" s="4"/>
      <c r="F1177" s="4"/>
      <c r="G1177" s="4"/>
      <c r="H1177" s="14"/>
      <c r="I1177" s="3"/>
      <c r="J1177" s="38"/>
      <c r="K1177" s="3"/>
      <c r="L1177" s="3"/>
      <c r="M1177" s="5"/>
      <c r="N1177" s="5"/>
      <c r="O1177" s="5"/>
      <c r="P1177" s="5"/>
      <c r="Q1177" s="5"/>
      <c r="R1177" s="30"/>
      <c r="S1177" s="56">
        <v>1</v>
      </c>
      <c r="T1177" s="376" t="s">
        <v>385</v>
      </c>
      <c r="U1177" s="14"/>
      <c r="V1177" s="38" t="s">
        <v>8</v>
      </c>
      <c r="W1177" s="38" t="s">
        <v>8</v>
      </c>
      <c r="X1177" s="38" t="s">
        <v>8</v>
      </c>
      <c r="Y1177" s="1443">
        <v>170152000</v>
      </c>
      <c r="Z1177" s="1443"/>
      <c r="AA1177" s="1443"/>
      <c r="AB1177" s="558"/>
      <c r="AC1177" s="3">
        <v>45</v>
      </c>
      <c r="AD1177" s="3">
        <v>1</v>
      </c>
      <c r="AE1177" s="56">
        <f t="shared" si="128"/>
        <v>1</v>
      </c>
      <c r="AF1177" s="5" t="s">
        <v>385</v>
      </c>
      <c r="AG1177" s="38" t="s">
        <v>8</v>
      </c>
      <c r="AH1177" s="38" t="s">
        <v>8</v>
      </c>
      <c r="AI1177" s="353">
        <v>5.3900000000000003E-2</v>
      </c>
      <c r="AJ1177" s="51"/>
      <c r="AK1177" s="51"/>
      <c r="AL1177" s="51"/>
      <c r="AM1177" s="51">
        <f t="shared" si="129"/>
        <v>5.3900000000000003E-2</v>
      </c>
      <c r="AN1177" s="3" t="s">
        <v>371</v>
      </c>
      <c r="AO1177" s="3" t="s">
        <v>371</v>
      </c>
      <c r="AP1177" s="3" t="s">
        <v>81</v>
      </c>
      <c r="AQ1177" s="3" t="s">
        <v>371</v>
      </c>
      <c r="AR1177" s="3" t="s">
        <v>81</v>
      </c>
      <c r="AS1177" s="3" t="s">
        <v>81</v>
      </c>
      <c r="AT1177" s="3" t="s">
        <v>371</v>
      </c>
      <c r="AU1177" s="3" t="s">
        <v>371</v>
      </c>
      <c r="AV1177" s="3" t="s">
        <v>371</v>
      </c>
      <c r="AW1177" s="3" t="s">
        <v>371</v>
      </c>
      <c r="AX1177" s="3" t="s">
        <v>371</v>
      </c>
      <c r="AY1177" s="3"/>
      <c r="AZ1177" s="520"/>
      <c r="BA1177" s="521"/>
      <c r="BB1177" s="521"/>
      <c r="BC1177" s="521"/>
      <c r="BD1177" s="521"/>
      <c r="BE1177" s="155"/>
    </row>
    <row r="1178" spans="1:57" ht="15" customHeight="1" x14ac:dyDescent="0.4">
      <c r="A1178" s="3"/>
      <c r="B1178" s="965" t="s">
        <v>987</v>
      </c>
      <c r="C1178" s="3"/>
      <c r="D1178" s="3"/>
      <c r="E1178" s="4"/>
      <c r="F1178" s="4"/>
      <c r="G1178" s="4"/>
      <c r="H1178" s="14"/>
      <c r="I1178" s="3"/>
      <c r="J1178" s="38"/>
      <c r="K1178" s="3"/>
      <c r="L1178" s="3"/>
      <c r="M1178" s="5"/>
      <c r="N1178" s="5"/>
      <c r="O1178" s="5"/>
      <c r="P1178" s="5"/>
      <c r="Q1178" s="5"/>
      <c r="R1178" s="30"/>
      <c r="S1178" s="56">
        <v>1</v>
      </c>
      <c r="T1178" s="376" t="s">
        <v>385</v>
      </c>
      <c r="U1178" s="14"/>
      <c r="V1178" s="38" t="s">
        <v>8</v>
      </c>
      <c r="W1178" s="38" t="s">
        <v>8</v>
      </c>
      <c r="X1178" s="38" t="s">
        <v>8</v>
      </c>
      <c r="Y1178" s="1443">
        <v>170153000</v>
      </c>
      <c r="Z1178" s="1443"/>
      <c r="AA1178" s="1443"/>
      <c r="AB1178" s="558"/>
      <c r="AC1178" s="3">
        <v>45</v>
      </c>
      <c r="AD1178" s="3">
        <v>1</v>
      </c>
      <c r="AE1178" s="56">
        <f t="shared" si="128"/>
        <v>1</v>
      </c>
      <c r="AF1178" s="5" t="s">
        <v>385</v>
      </c>
      <c r="AG1178" s="38" t="s">
        <v>8</v>
      </c>
      <c r="AH1178" s="38" t="s">
        <v>8</v>
      </c>
      <c r="AI1178" s="353">
        <v>0.26750000000000002</v>
      </c>
      <c r="AJ1178" s="51"/>
      <c r="AK1178" s="51"/>
      <c r="AL1178" s="51"/>
      <c r="AM1178" s="51">
        <f t="shared" si="129"/>
        <v>0.26750000000000002</v>
      </c>
      <c r="AN1178" s="3" t="s">
        <v>371</v>
      </c>
      <c r="AO1178" s="3" t="s">
        <v>371</v>
      </c>
      <c r="AP1178" s="3" t="s">
        <v>371</v>
      </c>
      <c r="AQ1178" s="3" t="s">
        <v>371</v>
      </c>
      <c r="AR1178" s="3" t="s">
        <v>371</v>
      </c>
      <c r="AS1178" s="3" t="s">
        <v>371</v>
      </c>
      <c r="AT1178" s="3" t="s">
        <v>371</v>
      </c>
      <c r="AU1178" s="3" t="s">
        <v>371</v>
      </c>
      <c r="AV1178" s="3" t="s">
        <v>371</v>
      </c>
      <c r="AW1178" s="3" t="s">
        <v>371</v>
      </c>
      <c r="AX1178" s="3" t="s">
        <v>371</v>
      </c>
      <c r="AY1178" s="3"/>
      <c r="AZ1178" s="757"/>
      <c r="BA1178" s="521"/>
      <c r="BB1178" s="521"/>
      <c r="BC1178" s="521"/>
      <c r="BD1178" s="521"/>
      <c r="BE1178" s="155"/>
    </row>
    <row r="1179" spans="1:57" ht="15" customHeight="1" x14ac:dyDescent="0.4">
      <c r="A1179" s="3"/>
      <c r="B1179" s="965" t="s">
        <v>988</v>
      </c>
      <c r="C1179" s="3"/>
      <c r="D1179" s="3"/>
      <c r="E1179" s="4"/>
      <c r="F1179" s="4"/>
      <c r="G1179" s="4"/>
      <c r="H1179" s="14"/>
      <c r="I1179" s="3"/>
      <c r="J1179" s="38"/>
      <c r="K1179" s="3"/>
      <c r="L1179" s="3"/>
      <c r="M1179" s="5"/>
      <c r="N1179" s="5"/>
      <c r="O1179" s="5"/>
      <c r="P1179" s="5"/>
      <c r="Q1179" s="5"/>
      <c r="R1179" s="30"/>
      <c r="S1179" s="56">
        <v>1</v>
      </c>
      <c r="T1179" s="376" t="s">
        <v>385</v>
      </c>
      <c r="U1179" s="14"/>
      <c r="V1179" s="38" t="s">
        <v>8</v>
      </c>
      <c r="W1179" s="38" t="s">
        <v>8</v>
      </c>
      <c r="X1179" s="38" t="s">
        <v>8</v>
      </c>
      <c r="Y1179" s="1443">
        <v>170171000</v>
      </c>
      <c r="Z1179" s="1443"/>
      <c r="AA1179" s="1443"/>
      <c r="AB1179" s="558"/>
      <c r="AC1179" s="3">
        <v>45</v>
      </c>
      <c r="AD1179" s="3">
        <v>1</v>
      </c>
      <c r="AE1179" s="56">
        <f t="shared" si="128"/>
        <v>1</v>
      </c>
      <c r="AF1179" s="5" t="s">
        <v>385</v>
      </c>
      <c r="AG1179" s="38" t="s">
        <v>8</v>
      </c>
      <c r="AH1179" s="38" t="s">
        <v>8</v>
      </c>
      <c r="AI1179" s="844">
        <v>0</v>
      </c>
      <c r="AJ1179" s="51"/>
      <c r="AK1179" s="51"/>
      <c r="AL1179" s="51"/>
      <c r="AM1179" s="51">
        <f t="shared" si="129"/>
        <v>0</v>
      </c>
      <c r="AN1179" s="3" t="s">
        <v>371</v>
      </c>
      <c r="AO1179" s="3" t="s">
        <v>371</v>
      </c>
      <c r="AP1179" s="3" t="s">
        <v>371</v>
      </c>
      <c r="AQ1179" s="3" t="s">
        <v>371</v>
      </c>
      <c r="AR1179" s="3" t="s">
        <v>371</v>
      </c>
      <c r="AS1179" s="3" t="s">
        <v>371</v>
      </c>
      <c r="AT1179" s="3" t="s">
        <v>371</v>
      </c>
      <c r="AU1179" s="3" t="s">
        <v>371</v>
      </c>
      <c r="AV1179" s="3" t="s">
        <v>371</v>
      </c>
      <c r="AW1179" s="3" t="s">
        <v>371</v>
      </c>
      <c r="AX1179" s="3" t="s">
        <v>371</v>
      </c>
      <c r="AY1179" s="3"/>
      <c r="AZ1179" s="520"/>
      <c r="BA1179" s="521"/>
      <c r="BB1179" s="521"/>
      <c r="BC1179" s="521"/>
      <c r="BD1179" s="521"/>
      <c r="BE1179" s="155"/>
    </row>
    <row r="1180" spans="1:57" ht="15" customHeight="1" x14ac:dyDescent="0.4">
      <c r="A1180" s="3"/>
      <c r="B1180" s="965" t="s">
        <v>989</v>
      </c>
      <c r="C1180" s="3"/>
      <c r="D1180" s="3"/>
      <c r="E1180" s="4"/>
      <c r="F1180" s="4"/>
      <c r="G1180" s="4"/>
      <c r="H1180" s="14"/>
      <c r="I1180" s="3"/>
      <c r="J1180" s="38"/>
      <c r="K1180" s="3"/>
      <c r="L1180" s="3"/>
      <c r="M1180" s="5"/>
      <c r="N1180" s="5"/>
      <c r="O1180" s="5"/>
      <c r="P1180" s="5"/>
      <c r="Q1180" s="5"/>
      <c r="R1180" s="30"/>
      <c r="S1180" s="56">
        <v>1</v>
      </c>
      <c r="T1180" s="376" t="s">
        <v>385</v>
      </c>
      <c r="U1180" s="14"/>
      <c r="V1180" s="38" t="s">
        <v>8</v>
      </c>
      <c r="W1180" s="38" t="s">
        <v>8</v>
      </c>
      <c r="X1180" s="38" t="s">
        <v>8</v>
      </c>
      <c r="Y1180" s="1443">
        <v>170043000</v>
      </c>
      <c r="Z1180" s="1443"/>
      <c r="AA1180" s="1443"/>
      <c r="AB1180" s="558"/>
      <c r="AC1180" s="3">
        <v>45</v>
      </c>
      <c r="AD1180" s="3">
        <v>1</v>
      </c>
      <c r="AE1180" s="56">
        <f t="shared" si="128"/>
        <v>1</v>
      </c>
      <c r="AF1180" s="5" t="s">
        <v>385</v>
      </c>
      <c r="AG1180" s="38" t="s">
        <v>8</v>
      </c>
      <c r="AH1180" s="38" t="s">
        <v>8</v>
      </c>
      <c r="AI1180" s="353">
        <v>5.9700000000000003E-2</v>
      </c>
      <c r="AJ1180" s="51"/>
      <c r="AK1180" s="51"/>
      <c r="AL1180" s="51"/>
      <c r="AM1180" s="51">
        <f t="shared" si="129"/>
        <v>5.9700000000000003E-2</v>
      </c>
      <c r="AN1180" s="3" t="s">
        <v>371</v>
      </c>
      <c r="AO1180" s="3" t="s">
        <v>371</v>
      </c>
      <c r="AP1180" s="3" t="s">
        <v>371</v>
      </c>
      <c r="AQ1180" s="3" t="s">
        <v>371</v>
      </c>
      <c r="AR1180" s="3" t="s">
        <v>371</v>
      </c>
      <c r="AS1180" s="3" t="s">
        <v>371</v>
      </c>
      <c r="AT1180" s="3" t="s">
        <v>371</v>
      </c>
      <c r="AU1180" s="3" t="s">
        <v>371</v>
      </c>
      <c r="AV1180" s="3" t="s">
        <v>371</v>
      </c>
      <c r="AW1180" s="3" t="s">
        <v>371</v>
      </c>
      <c r="AX1180" s="3" t="s">
        <v>371</v>
      </c>
      <c r="AY1180" s="3"/>
      <c r="AZ1180" s="520"/>
      <c r="BA1180" s="521"/>
      <c r="BB1180" s="521"/>
      <c r="BC1180" s="521"/>
      <c r="BD1180" s="521"/>
      <c r="BE1180" s="155"/>
    </row>
    <row r="1181" spans="1:57" ht="15" customHeight="1" x14ac:dyDescent="0.4">
      <c r="A1181" s="3"/>
      <c r="B1181" s="965" t="s">
        <v>990</v>
      </c>
      <c r="C1181" s="3"/>
      <c r="D1181" s="3"/>
      <c r="E1181" s="4"/>
      <c r="F1181" s="4"/>
      <c r="G1181" s="4"/>
      <c r="H1181" s="14"/>
      <c r="I1181" s="3"/>
      <c r="J1181" s="38"/>
      <c r="K1181" s="3"/>
      <c r="L1181" s="3"/>
      <c r="M1181" s="5"/>
      <c r="N1181" s="5"/>
      <c r="O1181" s="5"/>
      <c r="P1181" s="5"/>
      <c r="Q1181" s="5"/>
      <c r="R1181" s="30"/>
      <c r="S1181" s="56">
        <v>1</v>
      </c>
      <c r="T1181" s="376" t="s">
        <v>385</v>
      </c>
      <c r="U1181" s="14"/>
      <c r="V1181" s="38" t="s">
        <v>8</v>
      </c>
      <c r="W1181" s="38" t="s">
        <v>8</v>
      </c>
      <c r="X1181" s="38" t="s">
        <v>8</v>
      </c>
      <c r="Y1181" s="1443">
        <v>170151000</v>
      </c>
      <c r="Z1181" s="1443"/>
      <c r="AA1181" s="1443"/>
      <c r="AB1181" s="10"/>
      <c r="AC1181" s="3">
        <v>45</v>
      </c>
      <c r="AD1181" s="3">
        <v>1</v>
      </c>
      <c r="AE1181" s="56">
        <f t="shared" si="128"/>
        <v>1</v>
      </c>
      <c r="AF1181" s="5" t="s">
        <v>385</v>
      </c>
      <c r="AG1181" s="38" t="s">
        <v>8</v>
      </c>
      <c r="AH1181" s="38" t="s">
        <v>8</v>
      </c>
      <c r="AI1181" s="353">
        <v>0.18</v>
      </c>
      <c r="AJ1181" s="51"/>
      <c r="AK1181" s="51"/>
      <c r="AL1181" s="51"/>
      <c r="AM1181" s="51">
        <f t="shared" si="129"/>
        <v>0.18</v>
      </c>
      <c r="AN1181" s="3" t="s">
        <v>371</v>
      </c>
      <c r="AO1181" s="3" t="s">
        <v>371</v>
      </c>
      <c r="AP1181" s="3" t="s">
        <v>371</v>
      </c>
      <c r="AQ1181" s="3" t="s">
        <v>371</v>
      </c>
      <c r="AR1181" s="3" t="s">
        <v>371</v>
      </c>
      <c r="AS1181" s="3" t="s">
        <v>371</v>
      </c>
      <c r="AT1181" s="3" t="s">
        <v>371</v>
      </c>
      <c r="AU1181" s="3" t="s">
        <v>371</v>
      </c>
      <c r="AV1181" s="3" t="s">
        <v>371</v>
      </c>
      <c r="AW1181" s="3" t="s">
        <v>371</v>
      </c>
      <c r="AX1181" s="3" t="s">
        <v>371</v>
      </c>
      <c r="AY1181" s="3"/>
      <c r="AZ1181" s="139"/>
      <c r="BA1181" s="139"/>
      <c r="BB1181" s="139"/>
      <c r="BC1181" s="139"/>
      <c r="BD1181" s="139"/>
      <c r="BE1181" s="3"/>
    </row>
    <row r="1182" spans="1:57" ht="15" customHeight="1" x14ac:dyDescent="0.4">
      <c r="A1182" s="3"/>
      <c r="B1182" s="965" t="s">
        <v>1855</v>
      </c>
      <c r="C1182" s="3"/>
      <c r="D1182" s="3"/>
      <c r="E1182" s="4"/>
      <c r="F1182" s="4"/>
      <c r="G1182" s="4"/>
      <c r="H1182" s="14"/>
      <c r="I1182" s="3"/>
      <c r="J1182" s="38"/>
      <c r="K1182" s="3"/>
      <c r="L1182" s="3"/>
      <c r="M1182" s="5"/>
      <c r="N1182" s="5"/>
      <c r="O1182" s="5"/>
      <c r="P1182" s="5"/>
      <c r="Q1182" s="5"/>
      <c r="R1182" s="30"/>
      <c r="S1182" s="56">
        <v>1</v>
      </c>
      <c r="T1182" s="376" t="s">
        <v>385</v>
      </c>
      <c r="U1182" s="14"/>
      <c r="V1182" s="38"/>
      <c r="W1182" s="38"/>
      <c r="X1182" s="38"/>
      <c r="Y1182" s="1443">
        <v>170294000</v>
      </c>
      <c r="Z1182" s="1443"/>
      <c r="AA1182" s="1443"/>
      <c r="AB1182" s="10"/>
      <c r="AC1182" s="3">
        <v>45</v>
      </c>
      <c r="AD1182" s="3">
        <v>1</v>
      </c>
      <c r="AE1182" s="56">
        <v>1</v>
      </c>
      <c r="AF1182" s="5" t="s">
        <v>385</v>
      </c>
      <c r="AG1182" s="38" t="s">
        <v>8</v>
      </c>
      <c r="AH1182" s="38" t="s">
        <v>8</v>
      </c>
      <c r="AI1182" s="353">
        <v>0.05</v>
      </c>
      <c r="AJ1182" s="51"/>
      <c r="AK1182" s="51"/>
      <c r="AL1182" s="51"/>
      <c r="AM1182" s="51">
        <f t="shared" si="129"/>
        <v>0.05</v>
      </c>
      <c r="AN1182" s="3" t="s">
        <v>371</v>
      </c>
      <c r="AO1182" s="3" t="s">
        <v>371</v>
      </c>
      <c r="AP1182" s="3" t="s">
        <v>371</v>
      </c>
      <c r="AQ1182" s="3" t="s">
        <v>371</v>
      </c>
      <c r="AR1182" s="3" t="s">
        <v>371</v>
      </c>
      <c r="AS1182" s="3" t="s">
        <v>371</v>
      </c>
      <c r="AT1182" s="3" t="s">
        <v>371</v>
      </c>
      <c r="AU1182" s="3" t="s">
        <v>371</v>
      </c>
      <c r="AV1182" s="3" t="s">
        <v>371</v>
      </c>
      <c r="AW1182" s="3" t="s">
        <v>371</v>
      </c>
      <c r="AX1182" s="3" t="s">
        <v>371</v>
      </c>
      <c r="AY1182" s="3"/>
      <c r="AZ1182" s="139"/>
      <c r="BA1182" s="139"/>
      <c r="BB1182" s="139"/>
      <c r="BC1182" s="139"/>
      <c r="BD1182" s="139"/>
      <c r="BE1182" s="3"/>
    </row>
    <row r="1183" spans="1:57" ht="15" customHeight="1" x14ac:dyDescent="0.4">
      <c r="A1183" s="3"/>
      <c r="B1183" s="641" t="s">
        <v>1983</v>
      </c>
      <c r="C1183" s="749"/>
      <c r="D1183" s="749"/>
      <c r="E1183" s="749"/>
      <c r="F1183" s="749"/>
      <c r="G1183" s="749"/>
      <c r="H1183" s="750"/>
      <c r="I1183" s="750"/>
      <c r="J1183" s="750"/>
      <c r="K1183" s="750"/>
      <c r="L1183" s="750"/>
      <c r="M1183" s="750"/>
      <c r="N1183" s="750"/>
      <c r="O1183" s="750"/>
      <c r="P1183" s="750"/>
      <c r="Q1183" s="750"/>
      <c r="R1183" s="750"/>
      <c r="S1183" s="645"/>
      <c r="T1183" s="645"/>
      <c r="U1183" s="645"/>
      <c r="V1183" s="645"/>
      <c r="W1183" s="645"/>
      <c r="X1183" s="645"/>
      <c r="Y1183" s="645"/>
      <c r="Z1183" s="645"/>
      <c r="AA1183" s="645"/>
      <c r="AB1183" s="645"/>
      <c r="AC1183" s="645"/>
      <c r="AD1183" s="645"/>
      <c r="AE1183" s="645"/>
      <c r="AF1183" s="645"/>
      <c r="AG1183" s="751"/>
      <c r="AH1183" s="752"/>
      <c r="AI1183" s="753"/>
      <c r="AJ1183" s="754"/>
      <c r="AK1183" s="754"/>
      <c r="AL1183" s="648" t="s">
        <v>1984</v>
      </c>
      <c r="AM1183" s="755">
        <f>SUBTOTAL(109,AM1184:AM1190)</f>
        <v>1.5443705999999999</v>
      </c>
      <c r="AN1183" s="750"/>
      <c r="AO1183" s="750"/>
      <c r="AP1183" s="750"/>
      <c r="AQ1183" s="750"/>
      <c r="AR1183" s="750"/>
      <c r="AS1183" s="750"/>
      <c r="AT1183" s="750"/>
      <c r="AU1183" s="750"/>
      <c r="AV1183" s="750"/>
      <c r="AW1183" s="750"/>
      <c r="AX1183" s="750"/>
      <c r="AY1183" s="750"/>
      <c r="AZ1183" s="739"/>
      <c r="BA1183" s="521"/>
      <c r="BB1183" s="521"/>
      <c r="BC1183" s="521"/>
      <c r="BD1183" s="521"/>
      <c r="BE1183" s="155"/>
    </row>
    <row r="1184" spans="1:57" ht="15" customHeight="1" x14ac:dyDescent="0.4">
      <c r="A1184" s="3"/>
      <c r="B1184" s="965" t="s">
        <v>994</v>
      </c>
      <c r="C1184" s="3"/>
      <c r="D1184" s="4"/>
      <c r="E1184" s="4"/>
      <c r="F1184" s="4"/>
      <c r="G1184" s="4"/>
      <c r="H1184" s="14"/>
      <c r="I1184" s="3"/>
      <c r="J1184" s="3"/>
      <c r="K1184" s="3"/>
      <c r="L1184" s="3"/>
      <c r="M1184" s="3"/>
      <c r="N1184" s="3"/>
      <c r="O1184" s="3"/>
      <c r="P1184" s="3"/>
      <c r="Q1184" s="725" t="s">
        <v>995</v>
      </c>
      <c r="R1184" s="3"/>
      <c r="S1184" s="725" t="s">
        <v>996</v>
      </c>
      <c r="T1184" s="3"/>
      <c r="U1184" s="14"/>
      <c r="V1184" s="38" t="s">
        <v>8</v>
      </c>
      <c r="W1184" s="38" t="s">
        <v>8</v>
      </c>
      <c r="X1184" s="38" t="s">
        <v>8</v>
      </c>
      <c r="Y1184" s="1443">
        <v>120009000</v>
      </c>
      <c r="Z1184" s="1443"/>
      <c r="AA1184" s="1443"/>
      <c r="AB1184" s="10"/>
      <c r="AC1184" s="3">
        <v>45</v>
      </c>
      <c r="AD1184" s="3"/>
      <c r="AE1184" s="3"/>
      <c r="AF1184" s="3"/>
      <c r="AG1184" s="3"/>
      <c r="AH1184" s="3"/>
      <c r="AI1184" s="3"/>
      <c r="AJ1184" s="3"/>
      <c r="AK1184" s="3"/>
      <c r="AL1184" s="3"/>
      <c r="AM1184" s="3"/>
      <c r="AN1184" s="3" t="s">
        <v>371</v>
      </c>
      <c r="AO1184" s="3" t="s">
        <v>371</v>
      </c>
      <c r="AP1184" s="3" t="s">
        <v>371</v>
      </c>
      <c r="AQ1184" s="3" t="s">
        <v>371</v>
      </c>
      <c r="AR1184" s="3" t="s">
        <v>371</v>
      </c>
      <c r="AS1184" s="3" t="s">
        <v>371</v>
      </c>
      <c r="AT1184" s="3" t="s">
        <v>371</v>
      </c>
      <c r="AU1184" s="3" t="s">
        <v>371</v>
      </c>
      <c r="AV1184" s="3" t="s">
        <v>371</v>
      </c>
      <c r="AW1184" s="3" t="s">
        <v>371</v>
      </c>
      <c r="AX1184" s="3" t="s">
        <v>371</v>
      </c>
      <c r="AY1184" s="3"/>
      <c r="AZ1184" s="139"/>
      <c r="BA1184" s="139"/>
      <c r="BB1184" s="139"/>
      <c r="BC1184" s="139"/>
      <c r="BD1184" s="139"/>
      <c r="BE1184" s="3"/>
    </row>
    <row r="1185" spans="1:57" ht="15" customHeight="1" x14ac:dyDescent="0.4">
      <c r="A1185" s="3"/>
      <c r="B1185" s="965"/>
      <c r="C1185" s="3"/>
      <c r="D1185" s="4"/>
      <c r="E1185" s="4"/>
      <c r="F1185" s="4"/>
      <c r="G1185" s="4"/>
      <c r="H1185" s="14"/>
      <c r="I1185" s="509" t="str">
        <f>"Top Daylight = "&amp;FIXED(SHTGdaywidth,3)&amp;" W x "&amp;FIXED(SHTGdayheight,3)&amp;" H"</f>
        <v>Top Daylight = 33.938 W x 33.813 H</v>
      </c>
      <c r="J1185" s="509"/>
      <c r="K1185" s="509"/>
      <c r="L1185" s="3"/>
      <c r="M1185" s="5"/>
      <c r="N1185" s="5"/>
      <c r="O1185" s="5"/>
      <c r="P1185" s="5"/>
      <c r="Q1185" s="5">
        <f>MAX(SHTGdaywidth,SHTGdayheight)</f>
        <v>33.9375</v>
      </c>
      <c r="R1185" s="30"/>
      <c r="S1185" s="5">
        <f>MIN(SHTGdaywidth,SHTGdayheight)</f>
        <v>33.8125</v>
      </c>
      <c r="T1185" s="376" t="s">
        <v>590</v>
      </c>
      <c r="U1185" s="14"/>
      <c r="V1185" s="38"/>
      <c r="W1185" s="38"/>
      <c r="X1185" s="38"/>
      <c r="Y1185" s="3"/>
      <c r="Z1185" s="3"/>
      <c r="AA1185" s="3"/>
      <c r="AB1185" s="10"/>
      <c r="AC1185" s="3"/>
      <c r="AD1185" s="3"/>
      <c r="AE1185" s="5">
        <f>S1185/(600*12)</f>
        <v>4.6961805555555559E-3</v>
      </c>
      <c r="AF1185" s="201" t="s">
        <v>997</v>
      </c>
      <c r="AG1185" s="3"/>
      <c r="AH1185" s="3"/>
      <c r="AI1185" s="3"/>
      <c r="AJ1185" s="51"/>
      <c r="AK1185" s="51"/>
      <c r="AL1185" s="51"/>
      <c r="AM1185" s="51"/>
      <c r="AN1185" s="3" t="s">
        <v>371</v>
      </c>
      <c r="AO1185" s="3" t="s">
        <v>371</v>
      </c>
      <c r="AP1185" s="3" t="s">
        <v>371</v>
      </c>
      <c r="AQ1185" s="3" t="s">
        <v>371</v>
      </c>
      <c r="AR1185" s="3" t="s">
        <v>371</v>
      </c>
      <c r="AS1185" s="3" t="s">
        <v>371</v>
      </c>
      <c r="AT1185" s="3" t="s">
        <v>371</v>
      </c>
      <c r="AU1185" s="3" t="s">
        <v>371</v>
      </c>
      <c r="AV1185" s="3" t="s">
        <v>371</v>
      </c>
      <c r="AW1185" s="3" t="s">
        <v>371</v>
      </c>
      <c r="AX1185" s="3" t="s">
        <v>371</v>
      </c>
      <c r="AY1185" s="3"/>
      <c r="AZ1185" s="139"/>
      <c r="BA1185" s="139"/>
      <c r="BB1185" s="139"/>
      <c r="BC1185" s="139"/>
      <c r="BD1185" s="139"/>
      <c r="BE1185" s="3"/>
    </row>
    <row r="1186" spans="1:57" ht="15" customHeight="1" x14ac:dyDescent="0.4">
      <c r="A1186" s="3"/>
      <c r="B1186" s="965"/>
      <c r="C1186" s="3"/>
      <c r="D1186" s="4"/>
      <c r="E1186" s="4"/>
      <c r="F1186" s="4"/>
      <c r="G1186" s="4"/>
      <c r="H1186" s="14"/>
      <c r="I1186" s="509" t="str">
        <f>"Sash Daylight = "&amp;FIXED(SHBGdaywidth,3)&amp;" W x "&amp;FIXED(SHBGdayheight,3)&amp;" H"</f>
        <v>Sash Daylight = 32.470 W x 32.470 H</v>
      </c>
      <c r="J1186" s="38"/>
      <c r="K1186" s="3"/>
      <c r="L1186" s="3"/>
      <c r="M1186" s="5"/>
      <c r="N1186" s="5"/>
      <c r="O1186" s="5"/>
      <c r="P1186" s="5"/>
      <c r="Q1186" s="5">
        <f>MAX(SHBGdaywidth,SHBGdayheight)</f>
        <v>32.47</v>
      </c>
      <c r="R1186" s="30"/>
      <c r="S1186" s="5">
        <f>MIN(SHBGdaywidth,SHBGdayheight)</f>
        <v>32.469499999999996</v>
      </c>
      <c r="T1186" s="376" t="s">
        <v>590</v>
      </c>
      <c r="U1186" s="14"/>
      <c r="V1186" s="38"/>
      <c r="W1186" s="38"/>
      <c r="X1186" s="38"/>
      <c r="Y1186" s="3"/>
      <c r="Z1186" s="3"/>
      <c r="AA1186" s="3"/>
      <c r="AB1186" s="10"/>
      <c r="AC1186" s="3"/>
      <c r="AD1186" s="3"/>
      <c r="AE1186" s="809">
        <f>S1186/(600*12)</f>
        <v>4.5096527777777774E-3</v>
      </c>
      <c r="AF1186" s="996" t="s">
        <v>998</v>
      </c>
      <c r="AG1186" s="38"/>
      <c r="AH1186" s="38"/>
      <c r="AI1186" s="51"/>
      <c r="AJ1186" s="51"/>
      <c r="AK1186" s="51"/>
      <c r="AL1186" s="51"/>
      <c r="AM1186" s="51"/>
      <c r="AN1186" s="3" t="s">
        <v>371</v>
      </c>
      <c r="AO1186" s="3" t="s">
        <v>371</v>
      </c>
      <c r="AP1186" s="3" t="s">
        <v>371</v>
      </c>
      <c r="AQ1186" s="3" t="s">
        <v>371</v>
      </c>
      <c r="AR1186" s="3" t="s">
        <v>371</v>
      </c>
      <c r="AS1186" s="3" t="s">
        <v>371</v>
      </c>
      <c r="AT1186" s="3" t="s">
        <v>371</v>
      </c>
      <c r="AU1186" s="3" t="s">
        <v>371</v>
      </c>
      <c r="AV1186" s="3" t="s">
        <v>371</v>
      </c>
      <c r="AW1186" s="3" t="s">
        <v>371</v>
      </c>
      <c r="AX1186" s="3" t="s">
        <v>371</v>
      </c>
      <c r="AY1186" s="3"/>
      <c r="AZ1186" s="139"/>
      <c r="BA1186" s="139"/>
      <c r="BB1186" s="139"/>
      <c r="BC1186" s="139"/>
      <c r="BD1186" s="139"/>
      <c r="BE1186" s="3"/>
    </row>
    <row r="1187" spans="1:57" ht="15" customHeight="1" x14ac:dyDescent="0.4">
      <c r="A1187" s="3"/>
      <c r="B1187" s="965"/>
      <c r="C1187" s="3"/>
      <c r="D1187" s="4"/>
      <c r="E1187" s="4"/>
      <c r="F1187" s="4"/>
      <c r="G1187" s="4"/>
      <c r="H1187" s="14"/>
      <c r="I1187" s="509"/>
      <c r="J1187" s="38"/>
      <c r="K1187" s="3"/>
      <c r="L1187" s="3"/>
      <c r="M1187" s="5"/>
      <c r="N1187" s="5"/>
      <c r="O1187" s="5"/>
      <c r="P1187" s="461" t="s">
        <v>999</v>
      </c>
      <c r="Q1187" s="530">
        <f>MAX(Q1185:Q1186)</f>
        <v>33.9375</v>
      </c>
      <c r="R1187" s="30"/>
      <c r="S1187" s="5"/>
      <c r="T1187" s="376"/>
      <c r="U1187" s="14"/>
      <c r="V1187" s="38"/>
      <c r="W1187" s="38"/>
      <c r="X1187" s="38"/>
      <c r="Y1187" s="3"/>
      <c r="Z1187" s="3"/>
      <c r="AA1187" s="3"/>
      <c r="AB1187" s="10"/>
      <c r="AC1187" s="3"/>
      <c r="AD1187" s="3">
        <f>IF(Q1187&lt;=36,1,0)</f>
        <v>1</v>
      </c>
      <c r="AE1187" s="5">
        <f>SUM(AE1185:AE1186)</f>
        <v>9.2058333333333332E-3</v>
      </c>
      <c r="AF1187" s="5" t="s">
        <v>1000</v>
      </c>
      <c r="AG1187" s="38" t="s">
        <v>8</v>
      </c>
      <c r="AH1187" s="38" t="s">
        <v>8</v>
      </c>
      <c r="AI1187" s="353">
        <v>55.92</v>
      </c>
      <c r="AJ1187" s="51"/>
      <c r="AK1187" s="51"/>
      <c r="AL1187" s="54" t="s">
        <v>1001</v>
      </c>
      <c r="AM1187" s="51">
        <f>AD1187*AE1187*AI1187</f>
        <v>0.51479019999999998</v>
      </c>
      <c r="AN1187" s="3" t="s">
        <v>371</v>
      </c>
      <c r="AO1187" s="3" t="s">
        <v>371</v>
      </c>
      <c r="AP1187" s="3" t="s">
        <v>371</v>
      </c>
      <c r="AQ1187" s="3" t="s">
        <v>371</v>
      </c>
      <c r="AR1187" s="3" t="s">
        <v>371</v>
      </c>
      <c r="AS1187" s="3" t="s">
        <v>371</v>
      </c>
      <c r="AT1187" s="3" t="s">
        <v>371</v>
      </c>
      <c r="AU1187" s="3" t="s">
        <v>371</v>
      </c>
      <c r="AV1187" s="3" t="s">
        <v>371</v>
      </c>
      <c r="AW1187" s="3" t="s">
        <v>371</v>
      </c>
      <c r="AX1187" s="3" t="s">
        <v>371</v>
      </c>
      <c r="AY1187" s="3"/>
      <c r="AZ1187" s="139"/>
      <c r="BA1187" s="139"/>
      <c r="BB1187" s="139"/>
      <c r="BC1187" s="139"/>
      <c r="BD1187" s="139"/>
      <c r="BE1187" s="3"/>
    </row>
    <row r="1188" spans="1:57" ht="15" customHeight="1" x14ac:dyDescent="0.4">
      <c r="A1188" s="3"/>
      <c r="B1188" s="995"/>
      <c r="C1188" s="577"/>
      <c r="D1188" s="573"/>
      <c r="E1188" s="573"/>
      <c r="F1188" s="573"/>
      <c r="G1188" s="573"/>
      <c r="H1188" s="574"/>
      <c r="I1188" s="579"/>
      <c r="J1188" s="579"/>
      <c r="K1188" s="579"/>
      <c r="L1188" s="579"/>
      <c r="M1188" s="579"/>
      <c r="N1188" s="579"/>
      <c r="O1188" s="579"/>
      <c r="P1188" s="579"/>
      <c r="Q1188" s="579"/>
      <c r="R1188" s="579"/>
      <c r="S1188" s="579"/>
      <c r="T1188" s="579"/>
      <c r="U1188" s="574"/>
      <c r="V1188" s="579"/>
      <c r="W1188" s="579"/>
      <c r="X1188" s="579"/>
      <c r="Y1188" s="577"/>
      <c r="Z1188" s="577"/>
      <c r="AA1188" s="577"/>
      <c r="AB1188" s="743"/>
      <c r="AC1188" s="577"/>
      <c r="AD1188" s="577"/>
      <c r="AE1188" s="575"/>
      <c r="AF1188" s="575"/>
      <c r="AG1188" s="579"/>
      <c r="AH1188" s="579"/>
      <c r="AI1188" s="626"/>
      <c r="AJ1188" s="626"/>
      <c r="AK1188" s="626"/>
      <c r="AL1188" s="997" t="s">
        <v>1002</v>
      </c>
      <c r="AM1188" s="626">
        <f>AM1187*2</f>
        <v>1.0295804</v>
      </c>
      <c r="AN1188" s="577" t="s">
        <v>371</v>
      </c>
      <c r="AO1188" s="577" t="s">
        <v>371</v>
      </c>
      <c r="AP1188" s="577" t="s">
        <v>371</v>
      </c>
      <c r="AQ1188" s="577" t="s">
        <v>371</v>
      </c>
      <c r="AR1188" s="577" t="s">
        <v>371</v>
      </c>
      <c r="AS1188" s="577" t="s">
        <v>371</v>
      </c>
      <c r="AT1188" s="577" t="s">
        <v>371</v>
      </c>
      <c r="AU1188" s="577" t="s">
        <v>371</v>
      </c>
      <c r="AV1188" s="577" t="s">
        <v>371</v>
      </c>
      <c r="AW1188" s="577" t="s">
        <v>371</v>
      </c>
      <c r="AX1188" s="577" t="s">
        <v>371</v>
      </c>
      <c r="AY1188" s="577"/>
      <c r="AZ1188" s="139"/>
      <c r="BA1188" s="139"/>
      <c r="BB1188" s="139"/>
      <c r="BC1188" s="139"/>
      <c r="BD1188" s="139"/>
      <c r="BE1188" s="3"/>
    </row>
    <row r="1189" spans="1:57" ht="15" customHeight="1" x14ac:dyDescent="0.4">
      <c r="A1189" s="3"/>
      <c r="B1189" s="965" t="s">
        <v>1003</v>
      </c>
      <c r="C1189" s="3"/>
      <c r="D1189" s="4"/>
      <c r="E1189" s="4"/>
      <c r="F1189" s="4"/>
      <c r="G1189" s="4"/>
      <c r="H1189" s="14"/>
      <c r="I1189" s="3"/>
      <c r="J1189" s="38"/>
      <c r="K1189" s="3"/>
      <c r="L1189" s="3"/>
      <c r="M1189" s="5"/>
      <c r="N1189" s="5"/>
      <c r="O1189" s="5"/>
      <c r="P1189" s="5"/>
      <c r="Q1189" s="5"/>
      <c r="R1189" s="30"/>
      <c r="S1189" s="5"/>
      <c r="T1189" s="376"/>
      <c r="U1189" s="14"/>
      <c r="V1189" s="38" t="s">
        <v>8</v>
      </c>
      <c r="W1189" s="38" t="s">
        <v>8</v>
      </c>
      <c r="X1189" s="38" t="s">
        <v>8</v>
      </c>
      <c r="Y1189" s="1443">
        <v>120010000</v>
      </c>
      <c r="Z1189" s="1443"/>
      <c r="AA1189" s="1443"/>
      <c r="AB1189" s="10"/>
      <c r="AC1189" s="3">
        <v>45</v>
      </c>
      <c r="AD1189" s="3">
        <f>IF(Q1187&gt;36,1,0)</f>
        <v>0</v>
      </c>
      <c r="AE1189" s="5">
        <f>AE1187</f>
        <v>9.2058333333333332E-3</v>
      </c>
      <c r="AF1189" s="5" t="s">
        <v>1000</v>
      </c>
      <c r="AG1189" s="38" t="s">
        <v>8</v>
      </c>
      <c r="AH1189" s="38" t="s">
        <v>8</v>
      </c>
      <c r="AI1189" s="353">
        <v>74.67</v>
      </c>
      <c r="AJ1189" s="51"/>
      <c r="AK1189" s="51"/>
      <c r="AL1189" s="54" t="s">
        <v>1001</v>
      </c>
      <c r="AM1189" s="51">
        <f>AD1189*AE1189*AI1189</f>
        <v>0</v>
      </c>
      <c r="AN1189" s="3" t="s">
        <v>371</v>
      </c>
      <c r="AO1189" s="3" t="s">
        <v>371</v>
      </c>
      <c r="AP1189" s="3" t="s">
        <v>371</v>
      </c>
      <c r="AQ1189" s="3" t="s">
        <v>371</v>
      </c>
      <c r="AR1189" s="3" t="s">
        <v>371</v>
      </c>
      <c r="AS1189" s="3" t="s">
        <v>371</v>
      </c>
      <c r="AT1189" s="3" t="s">
        <v>371</v>
      </c>
      <c r="AU1189" s="3" t="s">
        <v>371</v>
      </c>
      <c r="AV1189" s="3" t="s">
        <v>371</v>
      </c>
      <c r="AW1189" s="3" t="s">
        <v>371</v>
      </c>
      <c r="AX1189" s="3" t="s">
        <v>371</v>
      </c>
      <c r="AY1189" s="3"/>
      <c r="AZ1189" s="570"/>
      <c r="BA1189" s="570"/>
      <c r="BB1189" s="570"/>
      <c r="BC1189" s="139"/>
      <c r="BD1189" s="139"/>
      <c r="BE1189" s="3"/>
    </row>
    <row r="1190" spans="1:57" ht="16.2" x14ac:dyDescent="0.4">
      <c r="A1190" s="3"/>
      <c r="B1190" s="965"/>
      <c r="C1190" s="3"/>
      <c r="D1190" s="4"/>
      <c r="E1190" s="4"/>
      <c r="F1190" s="4"/>
      <c r="G1190" s="4"/>
      <c r="H1190" s="14"/>
      <c r="I1190" s="3"/>
      <c r="J1190" s="38"/>
      <c r="K1190" s="3"/>
      <c r="L1190" s="3"/>
      <c r="M1190" s="5"/>
      <c r="N1190" s="5"/>
      <c r="O1190" s="5"/>
      <c r="P1190" s="5"/>
      <c r="Q1190" s="5"/>
      <c r="R1190" s="30"/>
      <c r="S1190" s="5"/>
      <c r="T1190" s="376"/>
      <c r="U1190" s="14"/>
      <c r="V1190" s="38"/>
      <c r="W1190" s="38"/>
      <c r="X1190" s="38"/>
      <c r="Y1190" s="3"/>
      <c r="Z1190" s="3"/>
      <c r="AA1190" s="3"/>
      <c r="AB1190" s="10"/>
      <c r="AC1190" s="3"/>
      <c r="AD1190" s="3"/>
      <c r="AE1190" s="5"/>
      <c r="AF1190" s="5"/>
      <c r="AG1190" s="38"/>
      <c r="AH1190" s="38"/>
      <c r="AI1190" s="51"/>
      <c r="AJ1190" s="51"/>
      <c r="AK1190" s="51"/>
      <c r="AL1190" s="54" t="s">
        <v>1002</v>
      </c>
      <c r="AM1190" s="51">
        <f>AM1189*2</f>
        <v>0</v>
      </c>
      <c r="AN1190" s="3" t="s">
        <v>371</v>
      </c>
      <c r="AO1190" s="3" t="s">
        <v>371</v>
      </c>
      <c r="AP1190" s="3" t="s">
        <v>371</v>
      </c>
      <c r="AQ1190" s="3" t="s">
        <v>371</v>
      </c>
      <c r="AR1190" s="3" t="s">
        <v>371</v>
      </c>
      <c r="AS1190" s="3" t="s">
        <v>371</v>
      </c>
      <c r="AT1190" s="3" t="s">
        <v>371</v>
      </c>
      <c r="AU1190" s="3" t="s">
        <v>371</v>
      </c>
      <c r="AV1190" s="3" t="s">
        <v>371</v>
      </c>
      <c r="AW1190" s="3" t="s">
        <v>371</v>
      </c>
      <c r="AX1190" s="3" t="s">
        <v>371</v>
      </c>
      <c r="AY1190" s="3"/>
      <c r="AZ1190" s="570"/>
      <c r="BA1190" s="570"/>
      <c r="BB1190" s="570"/>
      <c r="BC1190" s="139"/>
      <c r="BD1190" s="139"/>
      <c r="BE1190" s="3"/>
    </row>
    <row r="1191" spans="1:57" ht="25.35" customHeight="1" x14ac:dyDescent="0.4">
      <c r="A1191" s="3"/>
      <c r="B1191" s="641" t="s">
        <v>1004</v>
      </c>
      <c r="C1191" s="749"/>
      <c r="D1191" s="749"/>
      <c r="E1191" s="749"/>
      <c r="F1191" s="749"/>
      <c r="G1191" s="749"/>
      <c r="H1191" s="750"/>
      <c r="I1191" s="750"/>
      <c r="J1191" s="750"/>
      <c r="K1191" s="750"/>
      <c r="L1191" s="750"/>
      <c r="M1191" s="750"/>
      <c r="N1191" s="750"/>
      <c r="O1191" s="750"/>
      <c r="P1191" s="750"/>
      <c r="Q1191" s="750"/>
      <c r="R1191" s="750"/>
      <c r="S1191" s="645"/>
      <c r="T1191" s="645"/>
      <c r="U1191" s="645"/>
      <c r="V1191" s="645"/>
      <c r="W1191" s="645"/>
      <c r="X1191" s="645"/>
      <c r="Y1191" s="645"/>
      <c r="Z1191" s="645"/>
      <c r="AA1191" s="645"/>
      <c r="AB1191" s="645"/>
      <c r="AC1191" s="645"/>
      <c r="AD1191" s="645"/>
      <c r="AE1191" s="645"/>
      <c r="AF1191" s="645"/>
      <c r="AG1191" s="751"/>
      <c r="AH1191" s="752"/>
      <c r="AI1191" s="753"/>
      <c r="AJ1191" s="754"/>
      <c r="AK1191" s="754"/>
      <c r="AL1191" s="648" t="s">
        <v>1975</v>
      </c>
      <c r="AM1191" s="755">
        <f>SUBTOTAL(109,AM1192:AM1194)</f>
        <v>0</v>
      </c>
      <c r="AN1191" s="750"/>
      <c r="AO1191" s="750"/>
      <c r="AP1191" s="750"/>
      <c r="AQ1191" s="750"/>
      <c r="AR1191" s="750"/>
      <c r="AS1191" s="750"/>
      <c r="AT1191" s="750"/>
      <c r="AU1191" s="750"/>
      <c r="AV1191" s="750"/>
      <c r="AW1191" s="750"/>
      <c r="AX1191" s="750"/>
      <c r="AY1191" s="750"/>
      <c r="AZ1191" s="570"/>
      <c r="BA1191" s="570"/>
      <c r="BB1191" s="570"/>
      <c r="BC1191" s="139"/>
      <c r="BD1191" s="139"/>
      <c r="BE1191" s="3"/>
    </row>
    <row r="1192" spans="1:57" ht="12.75" customHeight="1" x14ac:dyDescent="0.4">
      <c r="A1192" s="3"/>
      <c r="B1192" s="965" t="s">
        <v>1005</v>
      </c>
      <c r="C1192" s="3"/>
      <c r="D1192" s="517"/>
      <c r="E1192" s="517"/>
      <c r="F1192" s="517"/>
      <c r="G1192" s="517"/>
      <c r="H1192" s="14"/>
      <c r="I1192" s="4" t="s">
        <v>392</v>
      </c>
      <c r="J1192" s="3"/>
      <c r="K1192" s="3"/>
      <c r="L1192" s="3" t="s">
        <v>348</v>
      </c>
      <c r="M1192" s="3">
        <v>2.75</v>
      </c>
      <c r="N1192" s="3"/>
      <c r="O1192" s="3"/>
      <c r="P1192" s="3"/>
      <c r="Q1192" s="3"/>
      <c r="R1192" s="3" t="s">
        <v>352</v>
      </c>
      <c r="S1192" s="5">
        <f>(SHWidth+M1192)</f>
        <v>41.3125</v>
      </c>
      <c r="T1192" s="3" t="s">
        <v>366</v>
      </c>
      <c r="U1192" s="14"/>
      <c r="V1192" s="38" t="s">
        <v>8</v>
      </c>
      <c r="W1192" s="38" t="s">
        <v>8</v>
      </c>
      <c r="X1192" s="38" t="s">
        <v>8</v>
      </c>
      <c r="Y1192" s="1443">
        <v>150015000</v>
      </c>
      <c r="Z1192" s="3">
        <v>252404</v>
      </c>
      <c r="AA1192" s="3"/>
      <c r="AB1192" s="14"/>
      <c r="AC1192" s="3">
        <v>45</v>
      </c>
      <c r="AD1192" s="56">
        <f>IF(OR(SHImpactBox="yes",SHWidth&gt;=40),1,0)</f>
        <v>0</v>
      </c>
      <c r="AE1192" s="5">
        <f>S1192/80</f>
        <v>0.51640624999999996</v>
      </c>
      <c r="AF1192" s="3" t="s">
        <v>385</v>
      </c>
      <c r="AG1192" s="38" t="s">
        <v>8</v>
      </c>
      <c r="AH1192" s="38" t="s">
        <v>8</v>
      </c>
      <c r="AI1192" s="353">
        <v>0.59760000000000002</v>
      </c>
      <c r="AJ1192" s="3"/>
      <c r="AK1192" s="3"/>
      <c r="AL1192" s="3"/>
      <c r="AM1192" s="51">
        <f>AD1192*AE1192*AI1192+SUM(AJ1192:AL1192)</f>
        <v>0</v>
      </c>
      <c r="AN1192" s="3" t="s">
        <v>371</v>
      </c>
      <c r="AO1192" s="3" t="s">
        <v>371</v>
      </c>
      <c r="AP1192" s="3" t="s">
        <v>371</v>
      </c>
      <c r="AQ1192" s="3" t="s">
        <v>371</v>
      </c>
      <c r="AR1192" s="3" t="s">
        <v>371</v>
      </c>
      <c r="AS1192" s="3" t="s">
        <v>371</v>
      </c>
      <c r="AT1192" s="3" t="s">
        <v>371</v>
      </c>
      <c r="AU1192" s="3" t="s">
        <v>81</v>
      </c>
      <c r="AV1192" s="3" t="s">
        <v>81</v>
      </c>
      <c r="AW1192" s="3" t="s">
        <v>81</v>
      </c>
      <c r="AX1192" s="3" t="s">
        <v>371</v>
      </c>
      <c r="AY1192" s="3"/>
      <c r="AZ1192" s="850"/>
      <c r="BA1192" s="850"/>
      <c r="BB1192" s="850"/>
      <c r="BC1192" s="139"/>
      <c r="BD1192" s="139"/>
      <c r="BE1192" s="3"/>
    </row>
    <row r="1193" spans="1:57" ht="15" customHeight="1" x14ac:dyDescent="0.4">
      <c r="A1193" s="3"/>
      <c r="B1193" s="965" t="s">
        <v>1006</v>
      </c>
      <c r="C1193" s="3"/>
      <c r="D1193" s="517"/>
      <c r="E1193" s="517"/>
      <c r="F1193" s="517"/>
      <c r="G1193" s="517"/>
      <c r="H1193" s="14"/>
      <c r="I1193" s="8"/>
      <c r="J1193" s="3"/>
      <c r="K1193" s="3"/>
      <c r="L1193" s="3"/>
      <c r="M1193" s="3"/>
      <c r="N1193" s="3"/>
      <c r="O1193" s="3"/>
      <c r="P1193" s="3"/>
      <c r="Q1193" s="3"/>
      <c r="R1193" s="3"/>
      <c r="S1193" s="56">
        <v>1</v>
      </c>
      <c r="T1193" s="376" t="s">
        <v>385</v>
      </c>
      <c r="U1193" s="14"/>
      <c r="V1193" s="38" t="s">
        <v>8</v>
      </c>
      <c r="W1193" s="38" t="s">
        <v>8</v>
      </c>
      <c r="X1193" s="38" t="s">
        <v>8</v>
      </c>
      <c r="Y1193" s="1443">
        <v>440006000</v>
      </c>
      <c r="Z1193" s="3">
        <v>54073</v>
      </c>
      <c r="AA1193" s="3"/>
      <c r="AB1193" s="14"/>
      <c r="AC1193" s="3">
        <v>45</v>
      </c>
      <c r="AD1193" s="56">
        <f>IF(OR(SHImpactBox="yes",SHWidth&gt;=40),1,0)</f>
        <v>0</v>
      </c>
      <c r="AE1193" s="56">
        <f>IF(SHWidth&lt;36,2,3)</f>
        <v>3</v>
      </c>
      <c r="AF1193" s="3" t="s">
        <v>385</v>
      </c>
      <c r="AG1193" s="38" t="s">
        <v>8</v>
      </c>
      <c r="AH1193" s="38" t="s">
        <v>8</v>
      </c>
      <c r="AI1193" s="353">
        <v>4.7999999999999996E-3</v>
      </c>
      <c r="AJ1193" s="5"/>
      <c r="AK1193" s="5"/>
      <c r="AL1193" s="842"/>
      <c r="AM1193" s="51">
        <f>AD1193*AE1193*AI1193+SUM(AJ1193:AL1193)</f>
        <v>0</v>
      </c>
      <c r="AN1193" s="3" t="s">
        <v>371</v>
      </c>
      <c r="AO1193" s="3" t="s">
        <v>371</v>
      </c>
      <c r="AP1193" s="3" t="s">
        <v>371</v>
      </c>
      <c r="AQ1193" s="3" t="s">
        <v>371</v>
      </c>
      <c r="AR1193" s="3" t="s">
        <v>371</v>
      </c>
      <c r="AS1193" s="3" t="s">
        <v>371</v>
      </c>
      <c r="AT1193" s="3" t="s">
        <v>371</v>
      </c>
      <c r="AU1193" s="3" t="s">
        <v>81</v>
      </c>
      <c r="AV1193" s="3" t="s">
        <v>81</v>
      </c>
      <c r="AW1193" s="3" t="s">
        <v>81</v>
      </c>
      <c r="AX1193" s="3" t="s">
        <v>371</v>
      </c>
      <c r="AY1193" s="3"/>
      <c r="AZ1193" s="850"/>
      <c r="BA1193" s="850"/>
      <c r="BB1193" s="850"/>
      <c r="BC1193" s="139"/>
      <c r="BD1193" s="139"/>
      <c r="BE1193" s="3"/>
    </row>
    <row r="1194" spans="1:57" ht="15" customHeight="1" x14ac:dyDescent="0.4">
      <c r="A1194" s="3"/>
      <c r="B1194" s="965" t="s">
        <v>1007</v>
      </c>
      <c r="C1194" s="3"/>
      <c r="D1194" s="3"/>
      <c r="E1194" s="4"/>
      <c r="F1194" s="4"/>
      <c r="G1194" s="4"/>
      <c r="H1194" s="14"/>
      <c r="I1194" s="3"/>
      <c r="J1194" s="38"/>
      <c r="K1194" s="3"/>
      <c r="L1194" s="3"/>
      <c r="M1194" s="5"/>
      <c r="N1194" s="5"/>
      <c r="O1194" s="5"/>
      <c r="P1194" s="5"/>
      <c r="Q1194" s="5"/>
      <c r="R1194" s="30"/>
      <c r="S1194" s="56">
        <v>1</v>
      </c>
      <c r="T1194" s="376" t="s">
        <v>385</v>
      </c>
      <c r="U1194" s="14"/>
      <c r="V1194" s="38" t="s">
        <v>8</v>
      </c>
      <c r="W1194" s="38" t="s">
        <v>8</v>
      </c>
      <c r="X1194" s="38" t="s">
        <v>8</v>
      </c>
      <c r="Y1194" s="1443">
        <v>170178000</v>
      </c>
      <c r="Z1194" s="1443"/>
      <c r="AA1194" s="1443"/>
      <c r="AB1194" s="10"/>
      <c r="AC1194" s="3">
        <v>42</v>
      </c>
      <c r="AD1194" s="56">
        <f>IF(OR(SHImpactBox="yes",SHWidth&gt;=40),1,0)</f>
        <v>0</v>
      </c>
      <c r="AE1194" s="56">
        <v>1</v>
      </c>
      <c r="AF1194" s="5" t="s">
        <v>385</v>
      </c>
      <c r="AG1194" s="38" t="s">
        <v>8</v>
      </c>
      <c r="AH1194" s="38" t="s">
        <v>8</v>
      </c>
      <c r="AI1194" s="844">
        <v>0</v>
      </c>
      <c r="AJ1194" s="51"/>
      <c r="AK1194" s="51"/>
      <c r="AL1194" s="51"/>
      <c r="AM1194" s="51">
        <f>AD1194*AE1194*AI1194+SUM(AJ1194:AL1194)</f>
        <v>0</v>
      </c>
      <c r="AN1194" s="3" t="s">
        <v>371</v>
      </c>
      <c r="AO1194" s="3" t="s">
        <v>371</v>
      </c>
      <c r="AP1194" s="3" t="s">
        <v>371</v>
      </c>
      <c r="AQ1194" s="3" t="s">
        <v>371</v>
      </c>
      <c r="AR1194" s="3" t="s">
        <v>371</v>
      </c>
      <c r="AS1194" s="3" t="s">
        <v>371</v>
      </c>
      <c r="AT1194" s="3" t="s">
        <v>371</v>
      </c>
      <c r="AU1194" s="3" t="s">
        <v>81</v>
      </c>
      <c r="AV1194" s="3" t="s">
        <v>81</v>
      </c>
      <c r="AW1194" s="3" t="s">
        <v>81</v>
      </c>
      <c r="AX1194" s="3" t="s">
        <v>371</v>
      </c>
      <c r="AY1194" s="3"/>
      <c r="AZ1194" s="139"/>
      <c r="BA1194" s="139"/>
      <c r="BB1194" s="139"/>
      <c r="BC1194" s="139"/>
      <c r="BD1194" s="139"/>
      <c r="BE1194" s="3"/>
    </row>
    <row r="1195" spans="1:57" ht="15" customHeight="1" x14ac:dyDescent="0.4">
      <c r="A1195" s="3"/>
      <c r="B1195" s="641" t="s">
        <v>2003</v>
      </c>
      <c r="C1195" s="641"/>
      <c r="D1195" s="749"/>
      <c r="E1195" s="749"/>
      <c r="F1195" s="749"/>
      <c r="G1195" s="749"/>
      <c r="H1195" s="645"/>
      <c r="I1195" s="645"/>
      <c r="J1195" s="645"/>
      <c r="K1195" s="645"/>
      <c r="L1195" s="645"/>
      <c r="M1195" s="645"/>
      <c r="N1195" s="645"/>
      <c r="O1195" s="645"/>
      <c r="P1195" s="645"/>
      <c r="Q1195" s="645"/>
      <c r="R1195" s="645"/>
      <c r="S1195" s="645"/>
      <c r="T1195" s="645"/>
      <c r="U1195" s="645"/>
      <c r="V1195" s="645"/>
      <c r="W1195" s="645"/>
      <c r="X1195" s="645"/>
      <c r="Y1195" s="645"/>
      <c r="Z1195" s="645"/>
      <c r="AA1195" s="645"/>
      <c r="AB1195" s="645"/>
      <c r="AC1195" s="645"/>
      <c r="AD1195" s="645"/>
      <c r="AE1195" s="645"/>
      <c r="AF1195" s="645"/>
      <c r="AG1195" s="1468"/>
      <c r="AH1195" s="1469"/>
      <c r="AI1195" s="963"/>
      <c r="AJ1195" s="1470"/>
      <c r="AK1195" s="1470"/>
      <c r="AL1195" s="648"/>
      <c r="AM1195" s="755"/>
      <c r="AN1195" s="645"/>
      <c r="AO1195" s="645"/>
      <c r="AP1195" s="645"/>
      <c r="AQ1195" s="645"/>
      <c r="AR1195" s="645"/>
      <c r="AS1195" s="645"/>
      <c r="AT1195" s="645"/>
      <c r="AU1195" s="645"/>
      <c r="AV1195" s="645"/>
      <c r="AW1195" s="645"/>
      <c r="AX1195" s="645"/>
      <c r="AY1195" s="645"/>
      <c r="AZ1195" s="850"/>
      <c r="BA1195" s="850"/>
      <c r="BB1195" s="850"/>
      <c r="BC1195" s="139"/>
      <c r="BD1195" s="139"/>
      <c r="BE1195" s="3"/>
    </row>
    <row r="1196" spans="1:57" ht="15" customHeight="1" x14ac:dyDescent="0.4">
      <c r="A1196" s="3"/>
      <c r="B1196" s="8" t="s">
        <v>2004</v>
      </c>
      <c r="C1196" s="36"/>
      <c r="D1196" s="4"/>
      <c r="E1196" s="4"/>
      <c r="F1196" s="4"/>
      <c r="G1196" s="4"/>
      <c r="H1196" s="14"/>
      <c r="I1196" s="3"/>
      <c r="J1196" s="3"/>
      <c r="K1196" s="3"/>
      <c r="L1196" s="3"/>
      <c r="M1196" s="3"/>
      <c r="N1196" s="3"/>
      <c r="O1196" s="3"/>
      <c r="P1196" s="3"/>
      <c r="Q1196" s="3"/>
      <c r="R1196" s="3"/>
      <c r="S1196" s="3">
        <v>1</v>
      </c>
      <c r="T1196" s="3" t="s">
        <v>385</v>
      </c>
      <c r="U1196" s="14"/>
      <c r="V1196" s="3"/>
      <c r="W1196" s="3"/>
      <c r="X1196" s="3"/>
      <c r="Y1196" s="1443">
        <v>100110000</v>
      </c>
      <c r="Z1196" s="1443"/>
      <c r="AA1196" s="1443"/>
      <c r="AB1196" s="14"/>
      <c r="AC1196" s="3"/>
      <c r="AD1196" s="3"/>
      <c r="AE1196" s="3"/>
      <c r="AF1196" s="3" t="s">
        <v>385</v>
      </c>
      <c r="AG1196" s="851"/>
      <c r="AH1196" s="77"/>
      <c r="AI1196" s="1509">
        <v>0.32200000000000001</v>
      </c>
      <c r="AJ1196" s="5"/>
      <c r="AK1196" s="5"/>
      <c r="AL1196" s="842"/>
      <c r="AM1196" s="39"/>
      <c r="AN1196" s="3" t="s">
        <v>371</v>
      </c>
      <c r="AO1196" s="3" t="s">
        <v>371</v>
      </c>
      <c r="AP1196" s="3" t="s">
        <v>371</v>
      </c>
      <c r="AQ1196" s="3" t="s">
        <v>371</v>
      </c>
      <c r="AR1196" s="3" t="s">
        <v>371</v>
      </c>
      <c r="AS1196" s="3" t="s">
        <v>371</v>
      </c>
      <c r="AT1196" s="3" t="s">
        <v>371</v>
      </c>
      <c r="AU1196" s="3" t="s">
        <v>371</v>
      </c>
      <c r="AV1196" s="3" t="s">
        <v>371</v>
      </c>
      <c r="AW1196" s="3" t="s">
        <v>371</v>
      </c>
      <c r="AX1196" s="3" t="s">
        <v>371</v>
      </c>
      <c r="AY1196" s="3"/>
      <c r="AZ1196" s="850"/>
      <c r="BA1196" s="850"/>
      <c r="BB1196" s="850"/>
      <c r="BC1196" s="139"/>
      <c r="BD1196" s="139"/>
      <c r="BE1196" s="3"/>
    </row>
    <row r="1197" spans="1:57" ht="15" customHeight="1" x14ac:dyDescent="0.4">
      <c r="A1197" s="3"/>
      <c r="B1197" s="8" t="s">
        <v>2005</v>
      </c>
      <c r="C1197" s="36"/>
      <c r="D1197" s="4"/>
      <c r="E1197" s="4"/>
      <c r="F1197" s="4"/>
      <c r="G1197" s="4"/>
      <c r="H1197" s="14"/>
      <c r="I1197" s="3"/>
      <c r="J1197" s="3"/>
      <c r="K1197" s="3"/>
      <c r="L1197" s="3"/>
      <c r="M1197" s="3"/>
      <c r="N1197" s="3"/>
      <c r="O1197" s="3"/>
      <c r="P1197" s="3"/>
      <c r="Q1197" s="3"/>
      <c r="R1197" s="3"/>
      <c r="S1197" s="3">
        <v>1</v>
      </c>
      <c r="T1197" s="3" t="s">
        <v>385</v>
      </c>
      <c r="U1197" s="14"/>
      <c r="V1197" s="3"/>
      <c r="W1197" s="3"/>
      <c r="X1197" s="3"/>
      <c r="Y1197" s="1443">
        <v>100111000</v>
      </c>
      <c r="Z1197" s="1443"/>
      <c r="AA1197" s="1443"/>
      <c r="AB1197" s="14"/>
      <c r="AC1197" s="3"/>
      <c r="AD1197" s="3"/>
      <c r="AE1197" s="3"/>
      <c r="AF1197" s="3" t="s">
        <v>385</v>
      </c>
      <c r="AG1197" s="851"/>
      <c r="AH1197" s="77"/>
      <c r="AI1197" s="1510" t="s">
        <v>2009</v>
      </c>
      <c r="AJ1197" s="5"/>
      <c r="AK1197" s="5"/>
      <c r="AL1197" s="842"/>
      <c r="AM1197" s="39"/>
      <c r="AN1197" s="3" t="s">
        <v>371</v>
      </c>
      <c r="AO1197" s="3" t="s">
        <v>371</v>
      </c>
      <c r="AP1197" s="3" t="s">
        <v>371</v>
      </c>
      <c r="AQ1197" s="3" t="s">
        <v>371</v>
      </c>
      <c r="AR1197" s="3" t="s">
        <v>371</v>
      </c>
      <c r="AS1197" s="3" t="s">
        <v>371</v>
      </c>
      <c r="AT1197" s="3" t="s">
        <v>371</v>
      </c>
      <c r="AU1197" s="3" t="s">
        <v>371</v>
      </c>
      <c r="AV1197" s="3" t="s">
        <v>371</v>
      </c>
      <c r="AW1197" s="3" t="s">
        <v>371</v>
      </c>
      <c r="AX1197" s="3" t="s">
        <v>371</v>
      </c>
      <c r="AY1197" s="3"/>
      <c r="AZ1197" s="850"/>
      <c r="BA1197" s="850"/>
      <c r="BB1197" s="850"/>
      <c r="BC1197" s="139"/>
      <c r="BD1197" s="139"/>
      <c r="BE1197" s="3"/>
    </row>
    <row r="1198" spans="1:57" ht="15" customHeight="1" x14ac:dyDescent="0.4">
      <c r="A1198" s="3"/>
      <c r="B1198" s="8" t="s">
        <v>2006</v>
      </c>
      <c r="C1198" s="36"/>
      <c r="D1198" s="4"/>
      <c r="E1198" s="4"/>
      <c r="F1198" s="4"/>
      <c r="G1198" s="4"/>
      <c r="H1198" s="14"/>
      <c r="I1198" s="3"/>
      <c r="J1198" s="3"/>
      <c r="K1198" s="3"/>
      <c r="L1198" s="3"/>
      <c r="M1198" s="3"/>
      <c r="N1198" s="3"/>
      <c r="O1198" s="3"/>
      <c r="P1198" s="3"/>
      <c r="Q1198" s="3"/>
      <c r="R1198" s="3"/>
      <c r="S1198" s="3">
        <v>1</v>
      </c>
      <c r="T1198" s="3" t="s">
        <v>385</v>
      </c>
      <c r="U1198" s="14"/>
      <c r="V1198" s="3"/>
      <c r="W1198" s="3"/>
      <c r="X1198" s="3"/>
      <c r="Y1198" s="1443">
        <v>100112000</v>
      </c>
      <c r="Z1198" s="1443"/>
      <c r="AA1198" s="1443"/>
      <c r="AB1198" s="14"/>
      <c r="AC1198" s="3"/>
      <c r="AD1198" s="3"/>
      <c r="AE1198" s="3"/>
      <c r="AF1198" s="3" t="s">
        <v>385</v>
      </c>
      <c r="AG1198" s="851"/>
      <c r="AH1198" s="77"/>
      <c r="AI1198" s="1510" t="s">
        <v>2010</v>
      </c>
      <c r="AJ1198" s="5"/>
      <c r="AK1198" s="5"/>
      <c r="AL1198" s="842"/>
      <c r="AM1198" s="39"/>
      <c r="AN1198" s="3" t="s">
        <v>371</v>
      </c>
      <c r="AO1198" s="3" t="s">
        <v>371</v>
      </c>
      <c r="AP1198" s="3" t="s">
        <v>371</v>
      </c>
      <c r="AQ1198" s="3" t="s">
        <v>371</v>
      </c>
      <c r="AR1198" s="3" t="s">
        <v>371</v>
      </c>
      <c r="AS1198" s="3" t="s">
        <v>371</v>
      </c>
      <c r="AT1198" s="3" t="s">
        <v>371</v>
      </c>
      <c r="AU1198" s="3" t="s">
        <v>371</v>
      </c>
      <c r="AV1198" s="3" t="s">
        <v>371</v>
      </c>
      <c r="AW1198" s="3" t="s">
        <v>371</v>
      </c>
      <c r="AX1198" s="3" t="s">
        <v>371</v>
      </c>
      <c r="AY1198" s="3"/>
      <c r="AZ1198" s="850"/>
      <c r="BA1198" s="850"/>
      <c r="BB1198" s="850"/>
      <c r="BC1198" s="139"/>
      <c r="BD1198" s="139"/>
      <c r="BE1198" s="3"/>
    </row>
    <row r="1199" spans="1:57" ht="15" customHeight="1" x14ac:dyDescent="0.4">
      <c r="A1199" s="3"/>
      <c r="B1199" s="8" t="s">
        <v>2007</v>
      </c>
      <c r="C1199" s="36"/>
      <c r="D1199" s="4"/>
      <c r="E1199" s="4"/>
      <c r="F1199" s="4"/>
      <c r="G1199" s="4"/>
      <c r="H1199" s="14"/>
      <c r="I1199" s="3"/>
      <c r="J1199" s="3"/>
      <c r="K1199" s="3"/>
      <c r="L1199" s="3"/>
      <c r="M1199" s="3"/>
      <c r="N1199" s="3"/>
      <c r="O1199" s="3"/>
      <c r="P1199" s="3"/>
      <c r="Q1199" s="3"/>
      <c r="R1199" s="3"/>
      <c r="S1199" s="3">
        <v>1</v>
      </c>
      <c r="T1199" s="3" t="s">
        <v>385</v>
      </c>
      <c r="U1199" s="14"/>
      <c r="V1199" s="3"/>
      <c r="W1199" s="3"/>
      <c r="X1199" s="3"/>
      <c r="Y1199" s="1443">
        <v>100113000</v>
      </c>
      <c r="Z1199" s="1443"/>
      <c r="AA1199" s="1443"/>
      <c r="AB1199" s="14"/>
      <c r="AC1199" s="3"/>
      <c r="AD1199" s="3"/>
      <c r="AE1199" s="3"/>
      <c r="AF1199" s="3" t="s">
        <v>385</v>
      </c>
      <c r="AG1199" s="851"/>
      <c r="AH1199" s="77"/>
      <c r="AI1199" s="1510" t="s">
        <v>2011</v>
      </c>
      <c r="AJ1199" s="5"/>
      <c r="AK1199" s="5"/>
      <c r="AL1199" s="842"/>
      <c r="AM1199" s="39"/>
      <c r="AN1199" s="3" t="s">
        <v>371</v>
      </c>
      <c r="AO1199" s="3" t="s">
        <v>371</v>
      </c>
      <c r="AP1199" s="3" t="s">
        <v>371</v>
      </c>
      <c r="AQ1199" s="3" t="s">
        <v>371</v>
      </c>
      <c r="AR1199" s="3" t="s">
        <v>371</v>
      </c>
      <c r="AS1199" s="3" t="s">
        <v>371</v>
      </c>
      <c r="AT1199" s="3" t="s">
        <v>371</v>
      </c>
      <c r="AU1199" s="3" t="s">
        <v>371</v>
      </c>
      <c r="AV1199" s="3" t="s">
        <v>371</v>
      </c>
      <c r="AW1199" s="3" t="s">
        <v>371</v>
      </c>
      <c r="AX1199" s="3" t="s">
        <v>371</v>
      </c>
      <c r="AY1199" s="3"/>
      <c r="AZ1199" s="850"/>
      <c r="BA1199" s="850"/>
      <c r="BB1199" s="850"/>
      <c r="BC1199" s="139"/>
      <c r="BD1199" s="139"/>
      <c r="BE1199" s="3"/>
    </row>
    <row r="1200" spans="1:57" ht="15" customHeight="1" x14ac:dyDescent="0.4">
      <c r="A1200" s="3"/>
      <c r="B1200" s="8" t="s">
        <v>2013</v>
      </c>
      <c r="C1200" s="36"/>
      <c r="D1200" s="4"/>
      <c r="E1200" s="4"/>
      <c r="F1200" s="4"/>
      <c r="G1200" s="4"/>
      <c r="H1200" s="14"/>
      <c r="I1200" s="3"/>
      <c r="J1200" s="3"/>
      <c r="K1200" s="3"/>
      <c r="L1200" s="3"/>
      <c r="M1200" s="3"/>
      <c r="N1200" s="3"/>
      <c r="O1200" s="3"/>
      <c r="P1200" s="3"/>
      <c r="Q1200" s="3"/>
      <c r="R1200" s="3"/>
      <c r="S1200" s="3"/>
      <c r="T1200" s="3"/>
      <c r="U1200" s="14"/>
      <c r="V1200" s="3"/>
      <c r="W1200" s="3"/>
      <c r="X1200" s="3"/>
      <c r="Y1200" s="1445">
        <v>100114000062</v>
      </c>
      <c r="Z1200" s="1445"/>
      <c r="AA1200" s="1445"/>
      <c r="AB1200" s="14"/>
      <c r="AC1200" s="3"/>
      <c r="AD1200" s="3"/>
      <c r="AE1200" s="3"/>
      <c r="AF1200" s="3" t="s">
        <v>2008</v>
      </c>
      <c r="AG1200" s="851"/>
      <c r="AH1200" s="77"/>
      <c r="AI1200" s="1510" t="s">
        <v>2012</v>
      </c>
      <c r="AJ1200" s="5"/>
      <c r="AK1200" s="5"/>
      <c r="AL1200" s="842"/>
      <c r="AM1200" s="39"/>
      <c r="AN1200" s="3" t="s">
        <v>371</v>
      </c>
      <c r="AO1200" s="3" t="s">
        <v>371</v>
      </c>
      <c r="AP1200" s="3" t="s">
        <v>371</v>
      </c>
      <c r="AQ1200" s="3" t="s">
        <v>371</v>
      </c>
      <c r="AR1200" s="3" t="s">
        <v>371</v>
      </c>
      <c r="AS1200" s="3" t="s">
        <v>371</v>
      </c>
      <c r="AT1200" s="3" t="s">
        <v>371</v>
      </c>
      <c r="AU1200" s="3" t="s">
        <v>371</v>
      </c>
      <c r="AV1200" s="3" t="s">
        <v>371</v>
      </c>
      <c r="AW1200" s="3" t="s">
        <v>371</v>
      </c>
      <c r="AX1200" s="3" t="s">
        <v>371</v>
      </c>
      <c r="AY1200" s="3"/>
      <c r="AZ1200" s="850"/>
      <c r="BA1200" s="850"/>
      <c r="BB1200" s="850"/>
      <c r="BC1200" s="139"/>
      <c r="BD1200" s="139"/>
      <c r="BE1200" s="3"/>
    </row>
    <row r="1201" spans="1:57" ht="15" customHeight="1" x14ac:dyDescent="0.4">
      <c r="A1201" s="3"/>
      <c r="B1201" s="8" t="s">
        <v>2014</v>
      </c>
      <c r="C1201" s="36"/>
      <c r="D1201" s="4"/>
      <c r="E1201" s="4"/>
      <c r="F1201" s="4"/>
      <c r="G1201" s="4"/>
      <c r="H1201" s="14"/>
      <c r="I1201" s="3"/>
      <c r="J1201" s="3"/>
      <c r="K1201" s="3"/>
      <c r="L1201" s="3"/>
      <c r="M1201" s="3"/>
      <c r="N1201" s="3"/>
      <c r="O1201" s="3"/>
      <c r="P1201" s="3"/>
      <c r="Q1201" s="3"/>
      <c r="R1201" s="3"/>
      <c r="S1201" s="3"/>
      <c r="T1201" s="3"/>
      <c r="U1201" s="14"/>
      <c r="V1201" s="3"/>
      <c r="W1201" s="3"/>
      <c r="X1201" s="3"/>
      <c r="Y1201" s="1445">
        <v>100115000088</v>
      </c>
      <c r="Z1201" s="1445"/>
      <c r="AA1201" s="1445"/>
      <c r="AB1201" s="14"/>
      <c r="AC1201" s="3"/>
      <c r="AD1201" s="3"/>
      <c r="AE1201" s="3"/>
      <c r="AF1201" s="3" t="s">
        <v>2008</v>
      </c>
      <c r="AG1201" s="851"/>
      <c r="AH1201" s="77"/>
      <c r="AI1201" s="1510" t="s">
        <v>2012</v>
      </c>
      <c r="AJ1201" s="5"/>
      <c r="AK1201" s="5"/>
      <c r="AL1201" s="842"/>
      <c r="AM1201" s="39"/>
      <c r="AN1201" s="3" t="s">
        <v>371</v>
      </c>
      <c r="AO1201" s="3" t="s">
        <v>371</v>
      </c>
      <c r="AP1201" s="3" t="s">
        <v>371</v>
      </c>
      <c r="AQ1201" s="3" t="s">
        <v>371</v>
      </c>
      <c r="AR1201" s="3" t="s">
        <v>371</v>
      </c>
      <c r="AS1201" s="3" t="s">
        <v>371</v>
      </c>
      <c r="AT1201" s="3" t="s">
        <v>371</v>
      </c>
      <c r="AU1201" s="3" t="s">
        <v>371</v>
      </c>
      <c r="AV1201" s="3" t="s">
        <v>371</v>
      </c>
      <c r="AW1201" s="3" t="s">
        <v>371</v>
      </c>
      <c r="AX1201" s="3" t="s">
        <v>371</v>
      </c>
      <c r="AY1201" s="3"/>
      <c r="AZ1201" s="850"/>
      <c r="BA1201" s="850"/>
      <c r="BB1201" s="850"/>
      <c r="BC1201" s="139"/>
      <c r="BD1201" s="139"/>
      <c r="BE1201" s="3"/>
    </row>
    <row r="1202" spans="1:57" ht="15" customHeight="1" x14ac:dyDescent="0.4">
      <c r="A1202" s="3"/>
      <c r="B1202" s="8"/>
      <c r="C1202" s="36"/>
      <c r="D1202" s="4"/>
      <c r="E1202" s="4"/>
      <c r="F1202" s="4"/>
      <c r="G1202" s="4"/>
      <c r="H1202" s="14"/>
      <c r="I1202" s="3"/>
      <c r="J1202" s="3"/>
      <c r="K1202" s="3"/>
      <c r="L1202" s="3"/>
      <c r="M1202" s="3"/>
      <c r="N1202" s="3"/>
      <c r="O1202" s="3"/>
      <c r="P1202" s="3"/>
      <c r="Q1202" s="3"/>
      <c r="R1202" s="3"/>
      <c r="S1202" s="3"/>
      <c r="T1202" s="3"/>
      <c r="U1202" s="14"/>
      <c r="V1202" s="3"/>
      <c r="W1202" s="3"/>
      <c r="X1202" s="3"/>
      <c r="Y1202" s="1445"/>
      <c r="Z1202" s="1445"/>
      <c r="AA1202" s="1445"/>
      <c r="AB1202" s="14"/>
      <c r="AC1202" s="3"/>
      <c r="AD1202" s="3"/>
      <c r="AE1202" s="3"/>
      <c r="AF1202" s="3"/>
      <c r="AG1202" s="851"/>
      <c r="AH1202" s="77"/>
      <c r="AI1202" s="1510"/>
      <c r="AJ1202" s="5"/>
      <c r="AK1202" s="5"/>
      <c r="AL1202" s="842"/>
      <c r="AM1202" s="39"/>
      <c r="AN1202" s="3"/>
      <c r="AO1202" s="3"/>
      <c r="AP1202" s="3"/>
      <c r="AQ1202" s="3"/>
      <c r="AR1202" s="3"/>
      <c r="AS1202" s="3"/>
      <c r="AT1202" s="3"/>
      <c r="AU1202" s="3"/>
      <c r="AV1202" s="3"/>
      <c r="AW1202" s="3"/>
      <c r="AX1202" s="3"/>
      <c r="AY1202" s="3"/>
      <c r="AZ1202" s="850"/>
      <c r="BA1202" s="850"/>
      <c r="BB1202" s="850"/>
      <c r="BC1202" s="139"/>
      <c r="BD1202" s="139"/>
      <c r="BE1202" s="3"/>
    </row>
    <row r="1203" spans="1:57" ht="15" customHeight="1" x14ac:dyDescent="0.4">
      <c r="A1203" s="3"/>
      <c r="B1203" s="8"/>
      <c r="C1203" s="36"/>
      <c r="D1203" s="4"/>
      <c r="E1203" s="4"/>
      <c r="F1203" s="4"/>
      <c r="G1203" s="4"/>
      <c r="H1203" s="14"/>
      <c r="I1203" s="3"/>
      <c r="J1203" s="3"/>
      <c r="K1203" s="3"/>
      <c r="L1203" s="3"/>
      <c r="M1203" s="3"/>
      <c r="N1203" s="3"/>
      <c r="O1203" s="3"/>
      <c r="P1203" s="3"/>
      <c r="Q1203" s="3"/>
      <c r="R1203" s="3"/>
      <c r="S1203" s="3"/>
      <c r="T1203" s="3"/>
      <c r="U1203" s="14"/>
      <c r="V1203" s="3"/>
      <c r="W1203" s="3"/>
      <c r="X1203" s="3"/>
      <c r="Y1203" s="1445"/>
      <c r="Z1203" s="1445"/>
      <c r="AA1203" s="1445"/>
      <c r="AB1203" s="14"/>
      <c r="AC1203" s="3"/>
      <c r="AD1203" s="3"/>
      <c r="AE1203" s="3"/>
      <c r="AF1203" s="3"/>
      <c r="AG1203" s="851"/>
      <c r="AH1203" s="77"/>
      <c r="AI1203" s="1510"/>
      <c r="AJ1203" s="5"/>
      <c r="AK1203" s="5"/>
      <c r="AL1203" s="842"/>
      <c r="AM1203" s="39"/>
      <c r="AN1203" s="3"/>
      <c r="AO1203" s="3"/>
      <c r="AP1203" s="3"/>
      <c r="AQ1203" s="3"/>
      <c r="AR1203" s="3"/>
      <c r="AS1203" s="3"/>
      <c r="AT1203" s="3"/>
      <c r="AU1203" s="3"/>
      <c r="AV1203" s="3"/>
      <c r="AW1203" s="3"/>
      <c r="AX1203" s="3"/>
      <c r="AY1203" s="3"/>
      <c r="AZ1203" s="850"/>
      <c r="BA1203" s="850"/>
      <c r="BB1203" s="850"/>
      <c r="BC1203" s="139"/>
      <c r="BD1203" s="139"/>
      <c r="BE1203" s="3"/>
    </row>
    <row r="1204" spans="1:57" ht="15" customHeight="1" x14ac:dyDescent="0.4">
      <c r="A1204" s="20"/>
      <c r="B1204" s="10"/>
      <c r="C1204" s="11"/>
      <c r="D1204" s="12"/>
      <c r="E1204" s="12"/>
      <c r="F1204" s="12"/>
      <c r="G1204" s="13"/>
      <c r="H1204" s="14"/>
      <c r="I1204" s="15"/>
      <c r="J1204" s="16"/>
      <c r="K1204" s="14"/>
      <c r="L1204" s="16"/>
      <c r="M1204" s="17"/>
      <c r="N1204" s="17"/>
      <c r="O1204" s="17"/>
      <c r="P1204" s="17"/>
      <c r="Q1204" s="17"/>
      <c r="R1204" s="16"/>
      <c r="S1204" s="17"/>
      <c r="T1204" s="16"/>
      <c r="U1204" s="14"/>
      <c r="V1204" s="14"/>
      <c r="W1204" s="18"/>
      <c r="X1204" s="18"/>
      <c r="Y1204" s="14"/>
      <c r="Z1204" s="14"/>
      <c r="AA1204" s="14"/>
      <c r="AB1204" s="14"/>
      <c r="AC1204" s="17"/>
      <c r="AD1204" s="14"/>
      <c r="AE1204" s="17"/>
      <c r="AF1204" s="10"/>
      <c r="AG1204" s="10"/>
      <c r="AH1204" s="10"/>
      <c r="AI1204" s="48"/>
      <c r="AJ1204" s="48"/>
      <c r="AK1204" s="48"/>
      <c r="AL1204" s="48"/>
      <c r="AM1204" s="19"/>
      <c r="AN1204" s="1845" t="s">
        <v>2351</v>
      </c>
      <c r="AO1204" s="824"/>
      <c r="AP1204" s="19"/>
      <c r="AQ1204" s="19"/>
      <c r="AR1204" s="19"/>
      <c r="AS1204" s="19"/>
      <c r="AT1204" s="19"/>
      <c r="AU1204" s="19"/>
      <c r="AV1204" s="19"/>
      <c r="AW1204" s="19"/>
      <c r="AX1204" s="1845" t="s">
        <v>2351</v>
      </c>
      <c r="AY1204" s="19"/>
      <c r="AZ1204" s="570"/>
      <c r="BA1204" s="570"/>
      <c r="BB1204" s="570"/>
      <c r="BC1204" s="3"/>
      <c r="BD1204" s="3"/>
      <c r="BE1204" s="3"/>
    </row>
    <row r="1205" spans="1:57" ht="20.25" customHeight="1" x14ac:dyDescent="0.4">
      <c r="A1205" s="3"/>
      <c r="B1205" s="76" t="s">
        <v>1008</v>
      </c>
      <c r="C1205" s="8"/>
      <c r="D1205" s="452"/>
      <c r="E1205" s="452"/>
      <c r="F1205" s="452"/>
      <c r="G1205" s="453"/>
      <c r="H1205" s="3"/>
      <c r="I1205" s="443"/>
      <c r="J1205" s="376"/>
      <c r="K1205" s="3"/>
      <c r="L1205" s="376"/>
      <c r="M1205" s="5"/>
      <c r="N1205" s="5"/>
      <c r="O1205" s="5"/>
      <c r="P1205" s="5"/>
      <c r="Q1205" s="5"/>
      <c r="R1205" s="376"/>
      <c r="S1205" s="5"/>
      <c r="T1205" s="376"/>
      <c r="U1205" s="3"/>
      <c r="V1205" s="3"/>
      <c r="W1205" s="6"/>
      <c r="X1205" s="6"/>
      <c r="Y1205" s="3"/>
      <c r="Z1205" s="3"/>
      <c r="AA1205" s="3"/>
      <c r="AB1205" s="3"/>
      <c r="AC1205" s="5"/>
      <c r="AD1205" s="3"/>
      <c r="AE1205" s="5"/>
      <c r="AF1205" s="4"/>
      <c r="AG1205" s="4"/>
      <c r="AH1205" s="4"/>
      <c r="AI1205" s="51"/>
      <c r="AJ1205" s="51"/>
      <c r="AK1205" s="51"/>
      <c r="AL1205" s="51"/>
      <c r="AM1205" s="39"/>
      <c r="AN1205" s="3"/>
      <c r="AO1205" s="3"/>
      <c r="AP1205" s="3"/>
      <c r="AQ1205" s="3"/>
      <c r="AR1205" s="3"/>
      <c r="AS1205" s="3"/>
      <c r="AT1205" s="3"/>
      <c r="AU1205" s="3"/>
      <c r="AV1205" s="3"/>
      <c r="AW1205" s="3"/>
      <c r="AX1205" s="3"/>
      <c r="AY1205" s="3"/>
      <c r="AZ1205" s="570"/>
      <c r="BA1205" s="570"/>
      <c r="BB1205" s="570"/>
      <c r="BC1205" s="3"/>
      <c r="BD1205" s="3"/>
      <c r="BE1205" s="3"/>
    </row>
    <row r="1206" spans="1:57" ht="15" customHeight="1" x14ac:dyDescent="0.4">
      <c r="A1206" s="3"/>
      <c r="B1206" s="81" t="s">
        <v>1009</v>
      </c>
      <c r="C1206" s="525"/>
      <c r="D1206" s="526"/>
      <c r="E1206" s="526"/>
      <c r="F1206" s="526"/>
      <c r="G1206" s="527"/>
      <c r="H1206" s="438"/>
      <c r="I1206" s="124" t="s">
        <v>392</v>
      </c>
      <c r="J1206" s="528"/>
      <c r="K1206" s="438"/>
      <c r="L1206" s="528" t="s">
        <v>348</v>
      </c>
      <c r="M1206" s="529">
        <f>-2.3125*2</f>
        <v>-4.625</v>
      </c>
      <c r="N1206" s="530"/>
      <c r="O1206" s="530"/>
      <c r="P1206" s="530"/>
      <c r="Q1206" s="530"/>
      <c r="R1206" s="528" t="s">
        <v>352</v>
      </c>
      <c r="S1206" s="530">
        <f>SHWidth+M1206</f>
        <v>33.9375</v>
      </c>
      <c r="T1206" s="528" t="s">
        <v>366</v>
      </c>
      <c r="U1206" s="3"/>
      <c r="V1206" s="3"/>
      <c r="W1206" s="6"/>
      <c r="X1206" s="6"/>
      <c r="Y1206" s="3"/>
      <c r="Z1206" s="3"/>
      <c r="AA1206" s="3"/>
      <c r="AB1206" s="3"/>
      <c r="AC1206" s="5"/>
      <c r="AD1206" s="3"/>
      <c r="AE1206" s="5"/>
      <c r="AF1206" s="4"/>
      <c r="AG1206" s="4"/>
      <c r="AH1206" s="4"/>
      <c r="AI1206" s="51"/>
      <c r="AJ1206" s="51"/>
      <c r="AK1206" s="51"/>
      <c r="AL1206" s="51"/>
      <c r="AM1206" s="39"/>
      <c r="AN1206" s="3"/>
      <c r="AO1206" s="3"/>
      <c r="AP1206" s="3"/>
      <c r="AQ1206" s="3"/>
      <c r="AR1206" s="3"/>
      <c r="AS1206" s="3"/>
      <c r="AT1206" s="3"/>
      <c r="AU1206" s="3"/>
      <c r="AV1206" s="3"/>
      <c r="AW1206" s="3"/>
      <c r="AX1206" s="3"/>
      <c r="AY1206" s="3"/>
      <c r="AZ1206" s="3"/>
      <c r="BA1206" s="3"/>
      <c r="BB1206" s="3"/>
      <c r="BC1206" s="3"/>
      <c r="BD1206" s="3"/>
      <c r="BE1206" s="3"/>
    </row>
    <row r="1207" spans="1:57" ht="15" customHeight="1" thickBot="1" x14ac:dyDescent="0.45">
      <c r="A1207" s="3"/>
      <c r="B1207" s="81" t="s">
        <v>1010</v>
      </c>
      <c r="C1207" s="438"/>
      <c r="D1207" s="526"/>
      <c r="E1207" s="526"/>
      <c r="F1207" s="526"/>
      <c r="G1207" s="527"/>
      <c r="H1207" s="438"/>
      <c r="I1207" s="124" t="s">
        <v>365</v>
      </c>
      <c r="J1207" s="528" t="s">
        <v>346</v>
      </c>
      <c r="K1207" s="438">
        <v>2</v>
      </c>
      <c r="L1207" s="528" t="s">
        <v>348</v>
      </c>
      <c r="M1207" s="529">
        <v>-3.125</v>
      </c>
      <c r="N1207" s="530"/>
      <c r="O1207" s="530"/>
      <c r="P1207" s="530" t="s">
        <v>456</v>
      </c>
      <c r="Q1207" s="530" t="s">
        <v>2211</v>
      </c>
      <c r="R1207" s="528" t="s">
        <v>352</v>
      </c>
      <c r="S1207" s="530">
        <f>SHHeight/K1207+M1207-ABS(SHCORnd)</f>
        <v>33.875</v>
      </c>
      <c r="T1207" s="528" t="s">
        <v>366</v>
      </c>
      <c r="U1207" s="3"/>
      <c r="V1207" s="3"/>
      <c r="W1207" s="376"/>
      <c r="X1207" s="376"/>
      <c r="Y1207" s="3"/>
      <c r="Z1207" s="3"/>
      <c r="AA1207" s="3"/>
      <c r="AB1207" s="3"/>
      <c r="AC1207" s="5"/>
      <c r="AD1207" s="5"/>
      <c r="AE1207" s="5"/>
      <c r="AF1207" s="4"/>
      <c r="AG1207" s="4"/>
      <c r="AH1207" s="4"/>
      <c r="AI1207" s="51"/>
      <c r="AJ1207" s="51"/>
      <c r="AK1207" s="51"/>
      <c r="AL1207" s="51"/>
      <c r="AM1207" s="39"/>
      <c r="AN1207" s="3"/>
      <c r="AO1207" s="3"/>
      <c r="AP1207" s="3"/>
      <c r="AQ1207" s="3"/>
      <c r="AR1207" s="3"/>
      <c r="AS1207" s="3"/>
      <c r="AT1207" s="3"/>
      <c r="AU1207" s="3"/>
      <c r="AV1207" s="3"/>
      <c r="AW1207" s="3"/>
      <c r="AX1207" s="3"/>
      <c r="AY1207" s="3"/>
      <c r="AZ1207" s="3"/>
      <c r="BA1207" s="3"/>
      <c r="BB1207" s="3"/>
      <c r="BC1207" s="3"/>
      <c r="BD1207" s="3"/>
      <c r="BE1207" s="3"/>
    </row>
    <row r="1208" spans="1:57" ht="15" customHeight="1" thickBot="1" x14ac:dyDescent="0.45">
      <c r="A1208" s="3"/>
      <c r="B1208" s="4"/>
      <c r="C1208" s="8"/>
      <c r="D1208" s="452"/>
      <c r="E1208" s="452"/>
      <c r="F1208" s="452"/>
      <c r="G1208" s="453"/>
      <c r="H1208" s="3"/>
      <c r="I1208" s="3"/>
      <c r="J1208" s="376"/>
      <c r="K1208" s="3"/>
      <c r="L1208" s="376"/>
      <c r="M1208" s="5"/>
      <c r="N1208" s="5"/>
      <c r="O1208" s="1215" t="s">
        <v>1011</v>
      </c>
      <c r="P1208" s="5" t="s">
        <v>346</v>
      </c>
      <c r="Q1208" s="56">
        <v>144</v>
      </c>
      <c r="R1208" s="376" t="s">
        <v>352</v>
      </c>
      <c r="S1208" s="1986">
        <f>S1206*S1207/Q1208</f>
        <v>7.983561197916667</v>
      </c>
      <c r="T1208" s="1987"/>
      <c r="U1208" s="8" t="s">
        <v>1012</v>
      </c>
      <c r="V1208" s="3"/>
      <c r="W1208" s="376"/>
      <c r="X1208" s="376"/>
      <c r="Y1208" s="3"/>
      <c r="Z1208" s="3"/>
      <c r="AA1208" s="3"/>
      <c r="AB1208" s="3"/>
      <c r="AC1208" s="3"/>
      <c r="AD1208" s="3"/>
      <c r="AE1208" s="5"/>
      <c r="AF1208" s="4"/>
      <c r="AG1208" s="4"/>
      <c r="AH1208" s="4"/>
      <c r="AI1208" s="51"/>
      <c r="AJ1208" s="51"/>
      <c r="AK1208" s="51"/>
      <c r="AL1208" s="51"/>
      <c r="AM1208" s="39"/>
      <c r="AN1208" s="3"/>
      <c r="AO1208" s="3"/>
      <c r="AP1208" s="3"/>
      <c r="AQ1208" s="3"/>
      <c r="AR1208" s="3"/>
      <c r="AS1208" s="3"/>
      <c r="AT1208" s="3"/>
      <c r="AU1208" s="3"/>
      <c r="AV1208" s="3"/>
      <c r="AW1208" s="3"/>
      <c r="AX1208" s="3"/>
      <c r="AY1208" s="3"/>
      <c r="AZ1208" s="3"/>
      <c r="BA1208" s="3"/>
      <c r="BB1208" s="3"/>
      <c r="BC1208" s="3"/>
      <c r="BD1208" s="3"/>
      <c r="BE1208" s="3"/>
    </row>
    <row r="1209" spans="1:57" ht="15" customHeight="1" thickBot="1" x14ac:dyDescent="0.45">
      <c r="A1209" s="3"/>
      <c r="B1209" s="4"/>
      <c r="C1209" s="8"/>
      <c r="D1209" s="452"/>
      <c r="E1209" s="452"/>
      <c r="F1209" s="452"/>
      <c r="G1209" s="453"/>
      <c r="H1209" s="3"/>
      <c r="I1209" s="443"/>
      <c r="J1209" s="376"/>
      <c r="K1209" s="3"/>
      <c r="L1209" s="376"/>
      <c r="M1209" s="3"/>
      <c r="N1209" s="3"/>
      <c r="O1209" s="3"/>
      <c r="P1209" s="3"/>
      <c r="Q1209" s="3"/>
      <c r="R1209" s="376"/>
      <c r="S1209" s="1986">
        <f>S1206*S1207</f>
        <v>1149.6328125</v>
      </c>
      <c r="T1209" s="1987"/>
      <c r="U1209" s="8" t="s">
        <v>1013</v>
      </c>
      <c r="V1209" s="3"/>
      <c r="W1209" s="376"/>
      <c r="X1209" s="376"/>
      <c r="Y1209" s="3"/>
      <c r="Z1209" s="3"/>
      <c r="AA1209" s="3"/>
      <c r="AB1209" s="3"/>
      <c r="AC1209" s="3"/>
      <c r="AD1209" s="3"/>
      <c r="AE1209" s="5"/>
      <c r="AF1209" s="4"/>
      <c r="AG1209" s="4"/>
      <c r="AH1209" s="4"/>
      <c r="AI1209" s="51"/>
      <c r="AJ1209" s="51"/>
      <c r="AK1209" s="51"/>
      <c r="AL1209" s="51"/>
      <c r="AM1209" s="39"/>
      <c r="AN1209" s="3"/>
      <c r="AO1209" s="3"/>
      <c r="AP1209" s="3"/>
      <c r="AQ1209" s="3"/>
      <c r="AR1209" s="3"/>
      <c r="AS1209" s="3"/>
      <c r="AT1209" s="3"/>
      <c r="AU1209" s="3"/>
      <c r="AV1209" s="3"/>
      <c r="AW1209" s="3"/>
      <c r="AX1209" s="3"/>
      <c r="AY1209" s="3"/>
      <c r="AZ1209" s="3"/>
      <c r="BA1209" s="3"/>
      <c r="BB1209" s="3"/>
      <c r="BC1209" s="3"/>
      <c r="BD1209" s="3"/>
      <c r="BE1209" s="3"/>
    </row>
    <row r="1210" spans="1:57" ht="24" customHeight="1" x14ac:dyDescent="0.4">
      <c r="A1210" s="3"/>
      <c r="B1210" s="76" t="str">
        <f>"VISIBLE GLASS (DAYLIGHT OPENING) for "&amp;SHWidth&amp;" x "&amp;SHHeight&amp;" SH"</f>
        <v>VISIBLE GLASS (DAYLIGHT OPENING) for 38.5625 x 74 SH</v>
      </c>
      <c r="C1210" s="8"/>
      <c r="D1210" s="452"/>
      <c r="E1210" s="452"/>
      <c r="F1210" s="452"/>
      <c r="G1210" s="453"/>
      <c r="H1210" s="3"/>
      <c r="I1210" s="443"/>
      <c r="J1210" s="376"/>
      <c r="K1210" s="3"/>
      <c r="L1210" s="376"/>
      <c r="M1210" s="3"/>
      <c r="N1210" s="3"/>
      <c r="O1210" s="3"/>
      <c r="P1210" s="3"/>
      <c r="Q1210" s="3"/>
      <c r="R1210" s="376"/>
      <c r="S1210" s="5"/>
      <c r="T1210" s="376"/>
      <c r="U1210" s="3"/>
      <c r="V1210" s="3"/>
      <c r="W1210" s="6"/>
      <c r="X1210" s="6"/>
      <c r="Y1210" s="3"/>
      <c r="Z1210" s="3"/>
      <c r="AA1210" s="3"/>
      <c r="AB1210" s="3"/>
      <c r="AC1210" s="5"/>
      <c r="AD1210" s="3"/>
      <c r="AE1210" s="5"/>
      <c r="AF1210" s="4"/>
      <c r="AG1210" s="4"/>
      <c r="AH1210" s="4"/>
      <c r="AI1210" s="51"/>
      <c r="AJ1210" s="51"/>
      <c r="AK1210" s="51"/>
      <c r="AL1210" s="51"/>
      <c r="AM1210" s="39"/>
      <c r="AN1210" s="3"/>
      <c r="AO1210" s="3"/>
      <c r="AP1210" s="3"/>
      <c r="AQ1210" s="3"/>
      <c r="AR1210" s="3"/>
      <c r="AS1210" s="3"/>
      <c r="AT1210" s="3"/>
      <c r="AU1210" s="3"/>
      <c r="AV1210" s="3"/>
      <c r="AW1210" s="3"/>
      <c r="AX1210" s="3"/>
      <c r="AY1210" s="3"/>
      <c r="AZ1210" s="3"/>
      <c r="BA1210" s="3"/>
      <c r="BB1210" s="3"/>
      <c r="BC1210" s="3"/>
      <c r="BD1210" s="3"/>
      <c r="BE1210" s="3"/>
    </row>
    <row r="1211" spans="1:57" ht="15" customHeight="1" x14ac:dyDescent="0.4">
      <c r="A1211" s="3"/>
      <c r="B1211" s="8"/>
      <c r="C1211" s="531" t="str">
        <f>"Top Glass Daylight Opening: "&amp;$S$1217&amp;" W x "&amp;$S$1218&amp;" H"</f>
        <v>Top Glass Daylight Opening: 33.9375 W x 33.8125 H</v>
      </c>
      <c r="D1211" s="37"/>
      <c r="E1211" s="37"/>
      <c r="F1211" s="37"/>
      <c r="G1211" s="37"/>
      <c r="H1211" s="59"/>
      <c r="I1211" s="59"/>
      <c r="J1211" s="59"/>
      <c r="K1211" s="59"/>
      <c r="L1211" s="59"/>
      <c r="M1211" s="60"/>
      <c r="N1211" s="60"/>
      <c r="O1211" s="60"/>
      <c r="P1211" s="60"/>
      <c r="Q1211" s="60"/>
      <c r="R1211" s="65"/>
      <c r="S1211" s="60"/>
      <c r="T1211" s="65"/>
      <c r="U1211" s="3"/>
      <c r="V1211" s="38"/>
      <c r="W1211" s="3"/>
      <c r="X1211" s="38"/>
      <c r="Y1211" s="41"/>
      <c r="Z1211" s="41"/>
      <c r="AA1211" s="41"/>
      <c r="AB1211" s="3"/>
      <c r="AC1211" s="3"/>
      <c r="AD1211" s="42"/>
      <c r="AE1211" s="5"/>
      <c r="AF1211" s="5"/>
      <c r="AG1211" s="5"/>
      <c r="AH1211" s="5"/>
      <c r="AI1211" s="492"/>
      <c r="AJ1211" s="492"/>
      <c r="AK1211" s="492"/>
      <c r="AL1211" s="492"/>
      <c r="AM1211" s="477"/>
      <c r="AN1211" s="3"/>
      <c r="AO1211" s="3"/>
      <c r="AP1211" s="3"/>
      <c r="AQ1211" s="3"/>
      <c r="AR1211" s="3"/>
      <c r="AS1211" s="3"/>
      <c r="AT1211" s="3"/>
      <c r="AU1211" s="3"/>
      <c r="AV1211" s="3"/>
      <c r="AW1211" s="3"/>
      <c r="AX1211" s="3"/>
      <c r="AY1211" s="3"/>
      <c r="AZ1211" s="3"/>
      <c r="BA1211" s="3"/>
      <c r="BB1211" s="3"/>
      <c r="BC1211" s="3"/>
      <c r="BD1211" s="3"/>
      <c r="BE1211" s="3"/>
    </row>
    <row r="1212" spans="1:57" ht="15" customHeight="1" x14ac:dyDescent="0.4">
      <c r="A1212" s="3"/>
      <c r="B1212" s="79"/>
      <c r="C1212" s="80" t="s">
        <v>1014</v>
      </c>
      <c r="D1212" s="526"/>
      <c r="E1212" s="526"/>
      <c r="F1212" s="526"/>
      <c r="G1212" s="527"/>
      <c r="H1212" s="438"/>
      <c r="I1212" s="534"/>
      <c r="J1212" s="528"/>
      <c r="K1212" s="438"/>
      <c r="L1212" s="528"/>
      <c r="M1212" s="530"/>
      <c r="N1212" s="530"/>
      <c r="O1212" s="530"/>
      <c r="P1212" s="530"/>
      <c r="Q1212" s="530"/>
      <c r="R1212" s="528"/>
      <c r="S1212" s="530"/>
      <c r="T1212" s="528"/>
      <c r="U1212" s="3"/>
      <c r="V1212" s="3"/>
      <c r="W1212" s="6"/>
      <c r="X1212" s="6"/>
      <c r="Y1212" s="3"/>
      <c r="Z1212" s="3"/>
      <c r="AA1212" s="3"/>
      <c r="AB1212" s="3"/>
      <c r="AC1212" s="5"/>
      <c r="AD1212" s="3"/>
      <c r="AE1212" s="5"/>
      <c r="AF1212" s="4"/>
      <c r="AG1212" s="4"/>
      <c r="AH1212" s="4"/>
      <c r="AI1212" s="51"/>
      <c r="AJ1212" s="51"/>
      <c r="AK1212" s="51"/>
      <c r="AL1212" s="51"/>
      <c r="AM1212" s="39"/>
      <c r="AN1212" s="3"/>
      <c r="AO1212" s="3"/>
      <c r="AP1212" s="3"/>
      <c r="AQ1212" s="3"/>
      <c r="AR1212" s="3"/>
      <c r="AS1212" s="3"/>
      <c r="AT1212" s="3"/>
      <c r="AU1212" s="3"/>
      <c r="AV1212" s="3"/>
      <c r="AW1212" s="3"/>
      <c r="AX1212" s="3"/>
      <c r="AY1212" s="3"/>
      <c r="AZ1212" s="3"/>
      <c r="BA1212" s="3"/>
      <c r="BB1212" s="3"/>
      <c r="BC1212" s="3"/>
      <c r="BD1212" s="3"/>
      <c r="BE1212" s="3"/>
    </row>
    <row r="1213" spans="1:57" ht="16.2" x14ac:dyDescent="0.4">
      <c r="A1213" s="95" t="s">
        <v>1015</v>
      </c>
      <c r="B1213" s="759"/>
      <c r="C1213" s="3"/>
      <c r="D1213" s="1216" t="s">
        <v>1015</v>
      </c>
      <c r="E1213" s="760"/>
      <c r="F1213" s="760"/>
      <c r="G1213" s="761"/>
      <c r="H1213" s="762"/>
      <c r="I1213" s="763" t="s">
        <v>392</v>
      </c>
      <c r="J1213" s="679"/>
      <c r="K1213" s="762"/>
      <c r="L1213" s="679" t="s">
        <v>348</v>
      </c>
      <c r="M1213" s="764">
        <v>-3.75</v>
      </c>
      <c r="N1213" s="765"/>
      <c r="O1213" s="765"/>
      <c r="P1213" s="765"/>
      <c r="Q1213" s="765"/>
      <c r="R1213" s="679" t="s">
        <v>352</v>
      </c>
      <c r="S1213" s="765">
        <f>SHWidth+M1213</f>
        <v>34.8125</v>
      </c>
      <c r="T1213" s="679" t="s">
        <v>366</v>
      </c>
      <c r="U1213" s="3"/>
      <c r="V1213" s="3"/>
      <c r="W1213" s="3"/>
      <c r="X1213" s="3"/>
      <c r="Y1213" s="3"/>
      <c r="Z1213" s="3"/>
      <c r="AA1213" s="3"/>
      <c r="AB1213" s="3"/>
      <c r="AC1213" s="3"/>
      <c r="AD1213" s="3"/>
      <c r="AE1213" s="5"/>
      <c r="AF1213" s="4"/>
      <c r="AG1213" s="4"/>
      <c r="AH1213" s="5"/>
      <c r="AI1213" s="51"/>
      <c r="AJ1213" s="51"/>
      <c r="AK1213" s="51"/>
      <c r="AL1213" s="51"/>
      <c r="AM1213" s="39"/>
      <c r="AN1213" s="3"/>
      <c r="AO1213" s="3"/>
      <c r="AP1213" s="3"/>
      <c r="AQ1213" s="3"/>
      <c r="AR1213" s="3"/>
      <c r="AS1213" s="3"/>
      <c r="AT1213" s="3"/>
      <c r="AU1213" s="3"/>
      <c r="AV1213" s="3"/>
      <c r="AW1213" s="3"/>
      <c r="AX1213" s="3"/>
      <c r="AY1213" s="3"/>
      <c r="AZ1213" s="3"/>
      <c r="BA1213" s="3"/>
      <c r="BB1213" s="3"/>
      <c r="BC1213" s="3"/>
      <c r="BD1213" s="3"/>
      <c r="BE1213" s="3"/>
    </row>
    <row r="1214" spans="1:57" ht="15" customHeight="1" x14ac:dyDescent="0.4">
      <c r="A1214" s="3" t="s">
        <v>1016</v>
      </c>
      <c r="B1214" s="79"/>
      <c r="C1214" s="438"/>
      <c r="D1214" s="358" t="s">
        <v>1016</v>
      </c>
      <c r="E1214" s="526"/>
      <c r="F1214" s="526"/>
      <c r="G1214" s="527"/>
      <c r="H1214" s="438"/>
      <c r="I1214" s="534" t="s">
        <v>365</v>
      </c>
      <c r="J1214" s="528" t="s">
        <v>346</v>
      </c>
      <c r="K1214" s="438">
        <v>2</v>
      </c>
      <c r="L1214" s="528" t="s">
        <v>348</v>
      </c>
      <c r="M1214" s="529">
        <f>-2.375</f>
        <v>-2.375</v>
      </c>
      <c r="N1214" s="530"/>
      <c r="O1214" s="530"/>
      <c r="P1214" s="530" t="s">
        <v>456</v>
      </c>
      <c r="Q1214" s="530" t="s">
        <v>2211</v>
      </c>
      <c r="R1214" s="528" t="s">
        <v>352</v>
      </c>
      <c r="S1214" s="530">
        <f>SHHeight/K1214+M1214-SHCORnd</f>
        <v>34.625</v>
      </c>
      <c r="T1214" s="528" t="s">
        <v>366</v>
      </c>
      <c r="U1214" s="3"/>
      <c r="V1214" s="3"/>
      <c r="W1214" s="3"/>
      <c r="X1214" s="3"/>
      <c r="Y1214" s="3"/>
      <c r="Z1214" s="3"/>
      <c r="AA1214" s="3"/>
      <c r="AB1214" s="3"/>
      <c r="AC1214" s="3"/>
      <c r="AD1214" s="3"/>
      <c r="AE1214" s="5"/>
      <c r="AF1214" s="4"/>
      <c r="AG1214" s="4"/>
      <c r="AH1214" s="4"/>
      <c r="AI1214" s="51"/>
      <c r="AJ1214" s="51"/>
      <c r="AK1214" s="51"/>
      <c r="AL1214" s="51"/>
      <c r="AM1214" s="39"/>
      <c r="AN1214" s="3"/>
      <c r="AO1214" s="3"/>
      <c r="AP1214" s="3"/>
      <c r="AQ1214" s="3"/>
      <c r="AR1214" s="3"/>
      <c r="AS1214" s="3"/>
      <c r="AT1214" s="3"/>
      <c r="AU1214" s="3"/>
      <c r="AV1214" s="3"/>
      <c r="AW1214" s="3"/>
      <c r="AX1214" s="3"/>
      <c r="AY1214" s="3"/>
      <c r="AZ1214" s="3"/>
      <c r="BA1214" s="3"/>
      <c r="BB1214" s="3"/>
      <c r="BC1214" s="3"/>
      <c r="BD1214" s="3"/>
      <c r="BE1214" s="3"/>
    </row>
    <row r="1215" spans="1:57" ht="15" customHeight="1" x14ac:dyDescent="0.4">
      <c r="A1215" s="3"/>
      <c r="B1215" s="263"/>
      <c r="C1215" s="577"/>
      <c r="D1215" s="359"/>
      <c r="E1215" s="358" t="s">
        <v>1017</v>
      </c>
      <c r="F1215" s="264"/>
      <c r="G1215" s="265"/>
      <c r="H1215" s="266"/>
      <c r="I1215" s="766"/>
      <c r="J1215" s="268"/>
      <c r="K1215" s="266"/>
      <c r="L1215" s="268"/>
      <c r="M1215" s="269"/>
      <c r="N1215" s="269"/>
      <c r="O1215" s="269"/>
      <c r="P1215" s="269"/>
      <c r="Q1215" s="269"/>
      <c r="R1215" s="268"/>
      <c r="S1215" s="528">
        <f>SHTGW+SHTGH</f>
        <v>69.4375</v>
      </c>
      <c r="T1215" s="528" t="s">
        <v>366</v>
      </c>
      <c r="U1215" s="3"/>
      <c r="V1215" s="3"/>
      <c r="W1215" s="3"/>
      <c r="X1215" s="3"/>
      <c r="Y1215" s="3"/>
      <c r="Z1215" s="3"/>
      <c r="AA1215" s="3"/>
      <c r="AB1215" s="3"/>
      <c r="AC1215" s="3"/>
      <c r="AD1215" s="3"/>
      <c r="AE1215" s="5"/>
      <c r="AF1215" s="4"/>
      <c r="AG1215" s="4"/>
      <c r="AH1215" s="4"/>
      <c r="AI1215" s="51"/>
      <c r="AJ1215" s="51"/>
      <c r="AK1215" s="51"/>
      <c r="AL1215" s="51"/>
      <c r="AM1215" s="39"/>
      <c r="AN1215" s="3"/>
      <c r="AO1215" s="3"/>
      <c r="AP1215" s="3"/>
      <c r="AQ1215" s="3"/>
      <c r="AR1215" s="3"/>
      <c r="AS1215" s="3"/>
      <c r="AT1215" s="3"/>
      <c r="AU1215" s="3"/>
      <c r="AV1215" s="3"/>
      <c r="AW1215" s="3"/>
      <c r="AX1215" s="3"/>
      <c r="AY1215" s="3"/>
      <c r="AZ1215" s="3"/>
      <c r="BA1215" s="3"/>
      <c r="BB1215" s="3"/>
      <c r="BC1215" s="3"/>
      <c r="BD1215" s="3"/>
      <c r="BE1215" s="3"/>
    </row>
    <row r="1216" spans="1:57" ht="15" customHeight="1" x14ac:dyDescent="0.4">
      <c r="A1216" s="3"/>
      <c r="B1216" s="263"/>
      <c r="C1216" s="577"/>
      <c r="D1216" s="359"/>
      <c r="E1216" s="358" t="s">
        <v>1018</v>
      </c>
      <c r="F1216" s="264"/>
      <c r="G1216" s="265"/>
      <c r="H1216" s="266"/>
      <c r="I1216" s="766"/>
      <c r="J1216" s="268"/>
      <c r="K1216" s="266"/>
      <c r="L1216" s="268"/>
      <c r="M1216" s="269"/>
      <c r="N1216" s="269"/>
      <c r="O1216" s="269"/>
      <c r="P1216" s="269"/>
      <c r="Q1216" s="269"/>
      <c r="R1216" s="268"/>
      <c r="S1216" s="528">
        <f>SHTGW*SHTGH/144</f>
        <v>8.3707139756944446</v>
      </c>
      <c r="T1216" s="528" t="s">
        <v>1019</v>
      </c>
      <c r="U1216" s="3"/>
      <c r="V1216" s="3"/>
      <c r="W1216" s="3"/>
      <c r="X1216" s="3"/>
      <c r="Y1216" s="3"/>
      <c r="Z1216" s="3"/>
      <c r="AA1216" s="3"/>
      <c r="AB1216" s="3"/>
      <c r="AC1216" s="3"/>
      <c r="AD1216" s="3"/>
      <c r="AE1216" s="5"/>
      <c r="AF1216" s="4"/>
      <c r="AG1216" s="4"/>
      <c r="AH1216" s="4"/>
      <c r="AI1216" s="51"/>
      <c r="AJ1216" s="51"/>
      <c r="AK1216" s="51"/>
      <c r="AL1216" s="51"/>
      <c r="AM1216" s="39"/>
      <c r="AN1216" s="3"/>
      <c r="AO1216" s="3"/>
      <c r="AP1216" s="3"/>
      <c r="AQ1216" s="3"/>
      <c r="AR1216" s="3"/>
      <c r="AS1216" s="3"/>
      <c r="AT1216" s="3"/>
      <c r="AU1216" s="3"/>
      <c r="AV1216" s="3"/>
      <c r="AW1216" s="3"/>
      <c r="AX1216" s="3"/>
      <c r="AY1216" s="3"/>
      <c r="AZ1216" s="3"/>
      <c r="BA1216" s="3"/>
      <c r="BB1216" s="3"/>
      <c r="BC1216" s="3"/>
      <c r="BD1216" s="3"/>
      <c r="BE1216" s="3"/>
    </row>
    <row r="1217" spans="1:57" ht="15" customHeight="1" x14ac:dyDescent="0.4">
      <c r="A1217" s="3"/>
      <c r="B1217" s="263"/>
      <c r="C1217" s="577"/>
      <c r="D1217" s="359" t="s">
        <v>1020</v>
      </c>
      <c r="E1217" s="264"/>
      <c r="F1217" s="264"/>
      <c r="G1217" s="265"/>
      <c r="H1217" s="266"/>
      <c r="I1217" s="766" t="s">
        <v>392</v>
      </c>
      <c r="J1217" s="268"/>
      <c r="K1217" s="266"/>
      <c r="L1217" s="268" t="s">
        <v>348</v>
      </c>
      <c r="M1217" s="591">
        <v>-4.625</v>
      </c>
      <c r="N1217" s="269"/>
      <c r="O1217" s="269"/>
      <c r="P1217" s="269"/>
      <c r="Q1217" s="269"/>
      <c r="R1217" s="268" t="s">
        <v>352</v>
      </c>
      <c r="S1217" s="269">
        <f>SHWidth+M1217</f>
        <v>33.9375</v>
      </c>
      <c r="T1217" s="268" t="s">
        <v>366</v>
      </c>
      <c r="U1217" s="3"/>
      <c r="V1217" s="3"/>
      <c r="W1217" s="3"/>
      <c r="X1217" s="3"/>
      <c r="Y1217" s="3"/>
      <c r="Z1217" s="3"/>
      <c r="AA1217" s="3"/>
      <c r="AB1217" s="3"/>
      <c r="AC1217" s="3"/>
      <c r="AD1217" s="3"/>
      <c r="AE1217" s="5"/>
      <c r="AF1217" s="4"/>
      <c r="AG1217" s="4"/>
      <c r="AH1217" s="3"/>
      <c r="AI1217" s="51"/>
      <c r="AJ1217" s="51"/>
      <c r="AK1217" s="51"/>
      <c r="AL1217" s="51"/>
      <c r="AM1217" s="39"/>
      <c r="AN1217" s="3"/>
      <c r="AO1217" s="3"/>
      <c r="AP1217" s="3"/>
      <c r="AQ1217" s="3"/>
      <c r="AR1217" s="3"/>
      <c r="AS1217" s="3"/>
      <c r="AT1217" s="3"/>
      <c r="AU1217" s="3"/>
      <c r="AV1217" s="3"/>
      <c r="AW1217" s="3"/>
      <c r="AX1217" s="3"/>
      <c r="AY1217" s="3"/>
      <c r="AZ1217" s="3"/>
      <c r="BA1217" s="3"/>
      <c r="BB1217" s="3"/>
      <c r="BC1217" s="3"/>
      <c r="BD1217" s="3"/>
      <c r="BE1217" s="3"/>
    </row>
    <row r="1218" spans="1:57" ht="15" customHeight="1" x14ac:dyDescent="0.4">
      <c r="A1218" s="3"/>
      <c r="B1218" s="79"/>
      <c r="C1218" s="577"/>
      <c r="D1218" s="358" t="s">
        <v>1021</v>
      </c>
      <c r="E1218" s="526"/>
      <c r="F1218" s="526"/>
      <c r="G1218" s="527"/>
      <c r="H1218" s="438"/>
      <c r="I1218" s="534" t="s">
        <v>365</v>
      </c>
      <c r="J1218" s="528" t="s">
        <v>346</v>
      </c>
      <c r="K1218" s="438">
        <v>2</v>
      </c>
      <c r="L1218" s="528" t="s">
        <v>348</v>
      </c>
      <c r="M1218" s="529">
        <f>-3.25+0.0625</f>
        <v>-3.1875</v>
      </c>
      <c r="N1218" s="530"/>
      <c r="O1218" s="530"/>
      <c r="P1218" s="530" t="s">
        <v>456</v>
      </c>
      <c r="Q1218" s="530" t="s">
        <v>2211</v>
      </c>
      <c r="R1218" s="528" t="s">
        <v>352</v>
      </c>
      <c r="S1218" s="530">
        <f>SHHeight/K1218+M1218-SHCORnd</f>
        <v>33.8125</v>
      </c>
      <c r="T1218" s="528" t="s">
        <v>366</v>
      </c>
      <c r="U1218" s="3"/>
      <c r="V1218" s="3"/>
      <c r="W1218" s="3"/>
      <c r="X1218" s="3"/>
      <c r="Y1218" s="3"/>
      <c r="Z1218" s="3"/>
      <c r="AA1218" s="3"/>
      <c r="AB1218" s="3"/>
      <c r="AC1218" s="3"/>
      <c r="AD1218" s="3"/>
      <c r="AE1218" s="5"/>
      <c r="AF1218" s="42"/>
      <c r="AG1218" s="4"/>
      <c r="AH1218" s="77"/>
      <c r="AI1218" s="51"/>
      <c r="AJ1218" s="51"/>
      <c r="AK1218" s="51"/>
      <c r="AL1218" s="51"/>
      <c r="AM1218" s="39"/>
      <c r="AN1218" s="3"/>
      <c r="AO1218" s="3"/>
      <c r="AP1218" s="3"/>
      <c r="AQ1218" s="3"/>
      <c r="AR1218" s="3"/>
      <c r="AS1218" s="3"/>
      <c r="AT1218" s="3"/>
      <c r="AU1218" s="3"/>
      <c r="AV1218" s="3"/>
      <c r="AW1218" s="3"/>
      <c r="AX1218" s="3"/>
      <c r="AY1218" s="3"/>
      <c r="AZ1218" s="3"/>
      <c r="BA1218" s="3"/>
      <c r="BB1218" s="3"/>
      <c r="BC1218" s="3"/>
      <c r="BD1218" s="3"/>
      <c r="BE1218" s="3"/>
    </row>
    <row r="1219" spans="1:57" ht="15" customHeight="1" x14ac:dyDescent="0.4">
      <c r="A1219" s="3"/>
      <c r="B1219" s="79"/>
      <c r="C1219" s="296" t="s">
        <v>1022</v>
      </c>
      <c r="D1219" s="526"/>
      <c r="E1219" s="526"/>
      <c r="F1219" s="526"/>
      <c r="G1219" s="527"/>
      <c r="H1219" s="438"/>
      <c r="I1219" s="534" t="s">
        <v>1023</v>
      </c>
      <c r="J1219" s="528" t="s">
        <v>346</v>
      </c>
      <c r="K1219" s="438"/>
      <c r="L1219" s="528"/>
      <c r="M1219" s="125">
        <v>144</v>
      </c>
      <c r="N1219" s="530"/>
      <c r="O1219" s="530"/>
      <c r="P1219" s="530"/>
      <c r="Q1219" s="530"/>
      <c r="R1219" s="528" t="s">
        <v>352</v>
      </c>
      <c r="S1219" s="528">
        <f>S1217*S1218/M1219</f>
        <v>7.968831380208333</v>
      </c>
      <c r="T1219" s="528" t="s">
        <v>1019</v>
      </c>
      <c r="U1219" s="3"/>
      <c r="V1219" s="3"/>
      <c r="W1219" s="3"/>
      <c r="X1219" s="3"/>
      <c r="Y1219" s="3"/>
      <c r="Z1219" s="3"/>
      <c r="AA1219" s="3"/>
      <c r="AB1219" s="3"/>
      <c r="AC1219" s="3"/>
      <c r="AD1219" s="3"/>
      <c r="AE1219" s="5"/>
      <c r="AF1219" s="42"/>
      <c r="AG1219" s="4"/>
      <c r="AH1219" s="77"/>
      <c r="AI1219" s="51"/>
      <c r="AJ1219" s="51"/>
      <c r="AK1219" s="51"/>
      <c r="AL1219" s="51"/>
      <c r="AM1219" s="39"/>
      <c r="AN1219" s="3"/>
      <c r="AO1219" s="3"/>
      <c r="AP1219" s="3"/>
      <c r="AQ1219" s="3"/>
      <c r="AR1219" s="3"/>
      <c r="AS1219" s="3"/>
      <c r="AT1219" s="3"/>
      <c r="AU1219" s="3"/>
      <c r="AV1219" s="3"/>
      <c r="AW1219" s="3"/>
      <c r="AX1219" s="3"/>
      <c r="AY1219" s="3"/>
      <c r="AZ1219" s="3"/>
      <c r="BA1219" s="3"/>
      <c r="BB1219" s="3"/>
      <c r="BC1219" s="3"/>
      <c r="BD1219" s="3"/>
      <c r="BE1219" s="3"/>
    </row>
    <row r="1220" spans="1:57" ht="15" customHeight="1" x14ac:dyDescent="0.4">
      <c r="A1220" s="3"/>
      <c r="B1220" s="8"/>
      <c r="C1220" s="531" t="str">
        <f>"Bottom Glass Daylight Opening: "&amp;$S$1225&amp;" W x "&amp;$S$1226&amp;" H"</f>
        <v>Bottom Glass Daylight Opening: 32.4695 W x 32.47 H</v>
      </c>
      <c r="D1220" s="37"/>
      <c r="E1220" s="37"/>
      <c r="F1220" s="37"/>
      <c r="G1220" s="37"/>
      <c r="H1220" s="59"/>
      <c r="I1220" s="59"/>
      <c r="J1220" s="59"/>
      <c r="K1220" s="59"/>
      <c r="L1220" s="59"/>
      <c r="M1220" s="60"/>
      <c r="N1220" s="60"/>
      <c r="O1220" s="60"/>
      <c r="P1220" s="60"/>
      <c r="Q1220" s="60"/>
      <c r="R1220" s="65"/>
      <c r="S1220" s="60"/>
      <c r="T1220" s="65"/>
      <c r="U1220" s="3"/>
      <c r="V1220" s="38"/>
      <c r="W1220" s="42"/>
      <c r="X1220" s="42"/>
      <c r="Y1220" s="42"/>
      <c r="Z1220" s="42"/>
      <c r="AA1220" s="42"/>
      <c r="AB1220" s="42"/>
      <c r="AC1220" s="42"/>
      <c r="AD1220" s="42"/>
      <c r="AE1220" s="5"/>
      <c r="AF1220" s="5"/>
      <c r="AG1220" s="5"/>
      <c r="AH1220" s="5"/>
      <c r="AI1220" s="492"/>
      <c r="AJ1220" s="492"/>
      <c r="AK1220" s="492"/>
      <c r="AL1220" s="492"/>
      <c r="AM1220" s="477"/>
      <c r="AN1220" s="3"/>
      <c r="AO1220" s="3"/>
      <c r="AP1220" s="3"/>
      <c r="AQ1220" s="3"/>
      <c r="AR1220" s="3"/>
      <c r="AS1220" s="3"/>
      <c r="AT1220" s="3"/>
      <c r="AU1220" s="3"/>
      <c r="AV1220" s="3"/>
      <c r="AW1220" s="3"/>
      <c r="AX1220" s="3"/>
      <c r="AY1220" s="3"/>
      <c r="AZ1220" s="3"/>
      <c r="BA1220" s="3"/>
      <c r="BB1220" s="3"/>
      <c r="BC1220" s="3"/>
      <c r="BD1220" s="3"/>
      <c r="BE1220" s="3"/>
    </row>
    <row r="1221" spans="1:57" ht="15" customHeight="1" x14ac:dyDescent="0.4">
      <c r="A1221" s="95" t="s">
        <v>1024</v>
      </c>
      <c r="B1221" s="79"/>
      <c r="C1221" s="349" t="s">
        <v>1025</v>
      </c>
      <c r="D1221" s="358" t="s">
        <v>1024</v>
      </c>
      <c r="E1221" s="526"/>
      <c r="F1221" s="526"/>
      <c r="G1221" s="527"/>
      <c r="H1221" s="438"/>
      <c r="I1221" s="534" t="s">
        <v>392</v>
      </c>
      <c r="J1221" s="528"/>
      <c r="K1221" s="438"/>
      <c r="L1221" s="528" t="s">
        <v>348</v>
      </c>
      <c r="M1221" s="529">
        <v>-5.0629999999999997</v>
      </c>
      <c r="N1221" s="530"/>
      <c r="O1221" s="530"/>
      <c r="P1221" s="530"/>
      <c r="Q1221" s="530"/>
      <c r="R1221" s="528" t="s">
        <v>352</v>
      </c>
      <c r="S1221" s="530">
        <f>SHWidth+M1221</f>
        <v>33.499499999999998</v>
      </c>
      <c r="T1221" s="528" t="s">
        <v>366</v>
      </c>
      <c r="U1221" s="3"/>
      <c r="V1221" s="3"/>
      <c r="W1221" s="3"/>
      <c r="X1221" s="767"/>
      <c r="Y1221" s="3"/>
      <c r="Z1221" s="3"/>
      <c r="AA1221" s="3"/>
      <c r="AB1221" s="3"/>
      <c r="AC1221" s="5"/>
      <c r="AD1221" s="3"/>
      <c r="AE1221" s="5"/>
      <c r="AF1221" s="4"/>
      <c r="AG1221" s="4"/>
      <c r="AH1221" s="4"/>
      <c r="AI1221" s="51"/>
      <c r="AJ1221" s="51"/>
      <c r="AK1221" s="51"/>
      <c r="AL1221" s="51"/>
      <c r="AM1221" s="39"/>
      <c r="AN1221" s="3"/>
      <c r="AO1221" s="3"/>
      <c r="AP1221" s="3"/>
      <c r="AQ1221" s="3"/>
      <c r="AR1221" s="3"/>
      <c r="AS1221" s="3"/>
      <c r="AT1221" s="3"/>
      <c r="AU1221" s="3"/>
      <c r="AV1221" s="3"/>
      <c r="AW1221" s="3"/>
      <c r="AX1221" s="3"/>
      <c r="AY1221" s="3"/>
      <c r="AZ1221" s="3"/>
      <c r="BA1221" s="3"/>
      <c r="BB1221" s="3"/>
      <c r="BC1221" s="3"/>
      <c r="BD1221" s="3"/>
      <c r="BE1221" s="3"/>
    </row>
    <row r="1222" spans="1:57" ht="15" customHeight="1" x14ac:dyDescent="0.4">
      <c r="A1222" s="95" t="s">
        <v>1026</v>
      </c>
      <c r="B1222" s="79"/>
      <c r="C1222" s="349" t="s">
        <v>1027</v>
      </c>
      <c r="D1222" s="358" t="s">
        <v>1026</v>
      </c>
      <c r="E1222" s="526"/>
      <c r="F1222" s="526"/>
      <c r="G1222" s="527"/>
      <c r="H1222" s="438"/>
      <c r="I1222" s="534" t="s">
        <v>365</v>
      </c>
      <c r="J1222" s="528" t="s">
        <v>346</v>
      </c>
      <c r="K1222" s="438">
        <v>2</v>
      </c>
      <c r="L1222" s="528" t="s">
        <v>348</v>
      </c>
      <c r="M1222" s="529">
        <v>-3.5</v>
      </c>
      <c r="N1222" s="530"/>
      <c r="O1222" s="530"/>
      <c r="P1222" s="530" t="s">
        <v>348</v>
      </c>
      <c r="Q1222" s="530" t="s">
        <v>2211</v>
      </c>
      <c r="R1222" s="528" t="s">
        <v>352</v>
      </c>
      <c r="S1222" s="530">
        <f>SHHeight/K1222+M1222+SHCORnd</f>
        <v>33.5</v>
      </c>
      <c r="T1222" s="528" t="s">
        <v>366</v>
      </c>
      <c r="U1222" s="3"/>
      <c r="V1222" s="3"/>
      <c r="W1222" s="3"/>
      <c r="X1222" s="767"/>
      <c r="Y1222" s="3"/>
      <c r="Z1222" s="3"/>
      <c r="AA1222" s="3"/>
      <c r="AB1222" s="3"/>
      <c r="AC1222" s="5"/>
      <c r="AD1222" s="3"/>
      <c r="AE1222" s="5"/>
      <c r="AF1222" s="4"/>
      <c r="AG1222" s="4"/>
      <c r="AH1222" s="4"/>
      <c r="AI1222" s="51"/>
      <c r="AJ1222" s="51"/>
      <c r="AK1222" s="51"/>
      <c r="AL1222" s="51"/>
      <c r="AM1222" s="39"/>
      <c r="AN1222" s="3"/>
      <c r="AO1222" s="3"/>
      <c r="AP1222" s="3"/>
      <c r="AQ1222" s="3"/>
      <c r="AR1222" s="3"/>
      <c r="AS1222" s="3"/>
      <c r="AT1222" s="3"/>
      <c r="AU1222" s="3"/>
      <c r="AV1222" s="3"/>
      <c r="AW1222" s="3"/>
      <c r="AX1222" s="3"/>
      <c r="AY1222" s="3"/>
      <c r="AZ1222" s="3"/>
      <c r="BA1222" s="3"/>
      <c r="BB1222" s="3"/>
      <c r="BC1222" s="3"/>
      <c r="BD1222" s="577"/>
      <c r="BE1222" s="577"/>
    </row>
    <row r="1223" spans="1:57" ht="15" customHeight="1" x14ac:dyDescent="0.4">
      <c r="A1223" s="3"/>
      <c r="B1223" s="79"/>
      <c r="C1223" s="349"/>
      <c r="D1223" s="358"/>
      <c r="E1223" s="358" t="s">
        <v>1028</v>
      </c>
      <c r="F1223" s="526"/>
      <c r="G1223" s="527"/>
      <c r="H1223" s="438"/>
      <c r="I1223" s="534"/>
      <c r="J1223" s="528"/>
      <c r="K1223" s="438"/>
      <c r="L1223" s="528"/>
      <c r="M1223" s="530"/>
      <c r="N1223" s="530"/>
      <c r="O1223" s="530"/>
      <c r="P1223" s="530"/>
      <c r="Q1223" s="530"/>
      <c r="R1223" s="528"/>
      <c r="S1223" s="528">
        <f>SHSashGW+SHSashGH</f>
        <v>66.999499999999998</v>
      </c>
      <c r="T1223" s="528" t="s">
        <v>366</v>
      </c>
      <c r="U1223" s="3"/>
      <c r="V1223" s="3"/>
      <c r="W1223" s="376"/>
      <c r="X1223" s="767"/>
      <c r="Y1223" s="3"/>
      <c r="Z1223" s="3"/>
      <c r="AA1223" s="3"/>
      <c r="AB1223" s="3"/>
      <c r="AC1223" s="5"/>
      <c r="AD1223" s="3"/>
      <c r="AE1223" s="5"/>
      <c r="AF1223" s="4"/>
      <c r="AG1223" s="4"/>
      <c r="AH1223" s="4"/>
      <c r="AI1223" s="51"/>
      <c r="AJ1223" s="51"/>
      <c r="AK1223" s="51"/>
      <c r="AL1223" s="51"/>
      <c r="AM1223" s="39"/>
      <c r="AN1223" s="3"/>
      <c r="AO1223" s="3"/>
      <c r="AP1223" s="3"/>
      <c r="AQ1223" s="3"/>
      <c r="AR1223" s="3"/>
      <c r="AS1223" s="3"/>
      <c r="AT1223" s="3"/>
      <c r="AU1223" s="3"/>
      <c r="AV1223" s="3"/>
      <c r="AW1223" s="3"/>
      <c r="AX1223" s="3"/>
      <c r="AY1223" s="3"/>
      <c r="AZ1223" s="3"/>
      <c r="BA1223" s="3"/>
      <c r="BB1223" s="3"/>
      <c r="BC1223" s="3"/>
      <c r="BD1223" s="3"/>
      <c r="BE1223" s="3"/>
    </row>
    <row r="1224" spans="1:57" ht="15" customHeight="1" x14ac:dyDescent="0.4">
      <c r="A1224" s="3"/>
      <c r="B1224" s="79"/>
      <c r="C1224" s="349"/>
      <c r="D1224" s="358"/>
      <c r="E1224" s="358" t="s">
        <v>1029</v>
      </c>
      <c r="F1224" s="526"/>
      <c r="G1224" s="527"/>
      <c r="H1224" s="438"/>
      <c r="I1224" s="534"/>
      <c r="J1224" s="528"/>
      <c r="K1224" s="438"/>
      <c r="L1224" s="528"/>
      <c r="M1224" s="530"/>
      <c r="N1224" s="530"/>
      <c r="O1224" s="530"/>
      <c r="P1224" s="530"/>
      <c r="Q1224" s="530"/>
      <c r="R1224" s="528"/>
      <c r="S1224" s="528">
        <f>SHSashGW*SHSashGH/144</f>
        <v>7.7932864583333332</v>
      </c>
      <c r="T1224" s="528" t="s">
        <v>1019</v>
      </c>
      <c r="U1224" s="3"/>
      <c r="V1224" s="3"/>
      <c r="W1224" s="376"/>
      <c r="X1224" s="767"/>
      <c r="Y1224" s="3"/>
      <c r="Z1224" s="3"/>
      <c r="AA1224" s="3"/>
      <c r="AB1224" s="3"/>
      <c r="AC1224" s="5"/>
      <c r="AD1224" s="3"/>
      <c r="AE1224" s="5"/>
      <c r="AF1224" s="4"/>
      <c r="AG1224" s="4"/>
      <c r="AH1224" s="4"/>
      <c r="AI1224" s="51"/>
      <c r="AJ1224" s="51"/>
      <c r="AK1224" s="51"/>
      <c r="AL1224" s="51"/>
      <c r="AM1224" s="39"/>
      <c r="AN1224" s="3"/>
      <c r="AO1224" s="3"/>
      <c r="AP1224" s="3"/>
      <c r="AQ1224" s="3"/>
      <c r="AR1224" s="3"/>
      <c r="AS1224" s="3"/>
      <c r="AT1224" s="3"/>
      <c r="AU1224" s="3"/>
      <c r="AV1224" s="3"/>
      <c r="AW1224" s="3"/>
      <c r="AX1224" s="3"/>
      <c r="AY1224" s="3"/>
      <c r="AZ1224" s="3"/>
      <c r="BA1224" s="3"/>
      <c r="BB1224" s="3"/>
      <c r="BC1224" s="3"/>
      <c r="BD1224" s="3"/>
      <c r="BE1224" s="3"/>
    </row>
    <row r="1225" spans="1:57" ht="15" customHeight="1" x14ac:dyDescent="0.4">
      <c r="A1225" s="3"/>
      <c r="B1225" s="79"/>
      <c r="C1225" s="296"/>
      <c r="D1225" s="358" t="s">
        <v>1030</v>
      </c>
      <c r="E1225" s="526"/>
      <c r="F1225" s="526"/>
      <c r="G1225" s="527"/>
      <c r="H1225" s="438"/>
      <c r="I1225" s="534" t="s">
        <v>392</v>
      </c>
      <c r="J1225" s="528"/>
      <c r="K1225" s="438"/>
      <c r="L1225" s="528" t="s">
        <v>348</v>
      </c>
      <c r="M1225" s="529">
        <v>-6.093</v>
      </c>
      <c r="N1225" s="530"/>
      <c r="O1225" s="530"/>
      <c r="P1225" s="530"/>
      <c r="Q1225" s="530"/>
      <c r="R1225" s="528" t="s">
        <v>352</v>
      </c>
      <c r="S1225" s="530">
        <f>SHWidth+M1225</f>
        <v>32.469499999999996</v>
      </c>
      <c r="T1225" s="528" t="s">
        <v>366</v>
      </c>
      <c r="U1225" s="3"/>
      <c r="V1225" s="3"/>
      <c r="W1225" s="6"/>
      <c r="X1225" s="6"/>
      <c r="Y1225" s="3"/>
      <c r="Z1225" s="3"/>
      <c r="AA1225" s="3"/>
      <c r="AB1225" s="3"/>
      <c r="AC1225" s="5"/>
      <c r="AD1225" s="3"/>
      <c r="AE1225" s="5"/>
      <c r="AF1225" s="4"/>
      <c r="AG1225" s="4"/>
      <c r="AH1225" s="4"/>
      <c r="AI1225" s="51"/>
      <c r="AJ1225" s="51"/>
      <c r="AK1225" s="51"/>
      <c r="AL1225" s="51"/>
      <c r="AM1225" s="39"/>
      <c r="AN1225" s="3"/>
      <c r="AO1225" s="3"/>
      <c r="AP1225" s="3"/>
      <c r="AQ1225" s="3"/>
      <c r="AR1225" s="3"/>
      <c r="AS1225" s="3"/>
      <c r="AT1225" s="3"/>
      <c r="AU1225" s="3"/>
      <c r="AV1225" s="3"/>
      <c r="AW1225" s="3"/>
      <c r="AX1225" s="3"/>
      <c r="AY1225" s="3"/>
      <c r="AZ1225" s="3"/>
      <c r="BA1225" s="3"/>
      <c r="BB1225" s="3"/>
      <c r="BC1225" s="3"/>
      <c r="BD1225" s="3"/>
      <c r="BE1225" s="3"/>
    </row>
    <row r="1226" spans="1:57" ht="15" customHeight="1" x14ac:dyDescent="0.4">
      <c r="A1226" s="3"/>
      <c r="B1226" s="79"/>
      <c r="C1226" s="296"/>
      <c r="D1226" s="358" t="s">
        <v>1031</v>
      </c>
      <c r="E1226" s="526"/>
      <c r="F1226" s="526"/>
      <c r="G1226" s="527"/>
      <c r="H1226" s="438"/>
      <c r="I1226" s="534" t="s">
        <v>365</v>
      </c>
      <c r="J1226" s="528" t="s">
        <v>346</v>
      </c>
      <c r="K1226" s="438">
        <v>2</v>
      </c>
      <c r="L1226" s="528" t="s">
        <v>348</v>
      </c>
      <c r="M1226" s="529">
        <v>-4.53</v>
      </c>
      <c r="N1226" s="530"/>
      <c r="O1226" s="530"/>
      <c r="P1226" s="530" t="s">
        <v>348</v>
      </c>
      <c r="Q1226" s="530" t="s">
        <v>2211</v>
      </c>
      <c r="R1226" s="528" t="s">
        <v>352</v>
      </c>
      <c r="S1226" s="530">
        <f>SHHeight/K1226+M1226+SHCORnd</f>
        <v>32.47</v>
      </c>
      <c r="T1226" s="528" t="s">
        <v>366</v>
      </c>
      <c r="U1226" s="3"/>
      <c r="V1226" s="3"/>
      <c r="W1226" s="6"/>
      <c r="X1226" s="6"/>
      <c r="Y1226" s="3"/>
      <c r="Z1226" s="3"/>
      <c r="AA1226" s="3"/>
      <c r="AB1226" s="3"/>
      <c r="AC1226" s="5"/>
      <c r="AD1226" s="3"/>
      <c r="AE1226" s="5"/>
      <c r="AF1226" s="4"/>
      <c r="AG1226" s="4"/>
      <c r="AH1226" s="4"/>
      <c r="AI1226" s="51"/>
      <c r="AJ1226" s="51"/>
      <c r="AK1226" s="51"/>
      <c r="AL1226" s="51"/>
      <c r="AM1226" s="39"/>
      <c r="AN1226" s="3"/>
      <c r="AO1226" s="3"/>
      <c r="AP1226" s="3"/>
      <c r="AQ1226" s="3"/>
      <c r="AR1226" s="3"/>
      <c r="AS1226" s="3"/>
      <c r="AT1226" s="3"/>
      <c r="AU1226" s="3"/>
      <c r="AV1226" s="3"/>
      <c r="AW1226" s="3"/>
      <c r="AX1226" s="3"/>
      <c r="AY1226" s="3"/>
      <c r="AZ1226" s="3"/>
      <c r="BA1226" s="3"/>
      <c r="BB1226" s="3"/>
      <c r="BC1226" s="3"/>
      <c r="BD1226" s="3"/>
      <c r="BE1226" s="3"/>
    </row>
    <row r="1227" spans="1:57" ht="15" customHeight="1" x14ac:dyDescent="0.4">
      <c r="A1227" s="3"/>
      <c r="B1227" s="79"/>
      <c r="C1227" s="296" t="s">
        <v>1022</v>
      </c>
      <c r="D1227" s="526"/>
      <c r="E1227" s="526"/>
      <c r="F1227" s="526"/>
      <c r="G1227" s="527"/>
      <c r="H1227" s="438"/>
      <c r="I1227" s="534" t="s">
        <v>1023</v>
      </c>
      <c r="J1227" s="528" t="s">
        <v>346</v>
      </c>
      <c r="K1227" s="438"/>
      <c r="L1227" s="528"/>
      <c r="M1227" s="530">
        <v>144</v>
      </c>
      <c r="N1227" s="530"/>
      <c r="O1227" s="530"/>
      <c r="P1227" s="530"/>
      <c r="Q1227" s="530"/>
      <c r="R1227" s="528" t="s">
        <v>352</v>
      </c>
      <c r="S1227" s="530">
        <f>S1225*S1226/M1227</f>
        <v>7.3214212847222218</v>
      </c>
      <c r="T1227" s="528" t="s">
        <v>1019</v>
      </c>
      <c r="U1227" s="3"/>
      <c r="V1227" s="3"/>
      <c r="W1227" s="6"/>
      <c r="X1227" s="6"/>
      <c r="Y1227" s="3"/>
      <c r="Z1227" s="3"/>
      <c r="AA1227" s="3"/>
      <c r="AB1227" s="3"/>
      <c r="AC1227" s="5"/>
      <c r="AD1227" s="3"/>
      <c r="AE1227" s="5"/>
      <c r="AF1227" s="4"/>
      <c r="AG1227" s="4"/>
      <c r="AH1227" s="4"/>
      <c r="AI1227" s="51"/>
      <c r="AJ1227" s="51"/>
      <c r="AK1227" s="51"/>
      <c r="AL1227" s="51"/>
      <c r="AM1227" s="39"/>
      <c r="AN1227" s="3"/>
      <c r="AO1227" s="3"/>
      <c r="AP1227" s="3"/>
      <c r="AQ1227" s="3"/>
      <c r="AR1227" s="3"/>
      <c r="AS1227" s="3"/>
      <c r="AT1227" s="3"/>
      <c r="AU1227" s="3"/>
      <c r="AV1227" s="3"/>
      <c r="AW1227" s="3"/>
      <c r="AX1227" s="3"/>
      <c r="AY1227" s="3"/>
      <c r="AZ1227" s="3"/>
      <c r="BA1227" s="3"/>
      <c r="BB1227" s="3"/>
      <c r="BC1227" s="3"/>
      <c r="BD1227" s="3"/>
      <c r="BE1227" s="3"/>
    </row>
    <row r="1228" spans="1:57" ht="15" customHeight="1" x14ac:dyDescent="0.4">
      <c r="A1228" s="3"/>
      <c r="B1228" s="79"/>
      <c r="C1228" s="297"/>
      <c r="D1228" s="526"/>
      <c r="E1228" s="526"/>
      <c r="F1228" s="526"/>
      <c r="G1228" s="527"/>
      <c r="H1228" s="438"/>
      <c r="I1228" s="534"/>
      <c r="J1228" s="528"/>
      <c r="K1228" s="438"/>
      <c r="L1228" s="528"/>
      <c r="M1228" s="530"/>
      <c r="N1228" s="530"/>
      <c r="O1228" s="530"/>
      <c r="P1228" s="530"/>
      <c r="Q1228" s="530"/>
      <c r="R1228" s="528"/>
      <c r="S1228" s="530"/>
      <c r="T1228" s="528"/>
      <c r="U1228" s="3"/>
      <c r="V1228" s="3"/>
      <c r="W1228" s="6"/>
      <c r="X1228" s="6"/>
      <c r="Y1228" s="3"/>
      <c r="Z1228" s="3"/>
      <c r="AA1228" s="3"/>
      <c r="AB1228" s="3"/>
      <c r="AC1228" s="5"/>
      <c r="AD1228" s="3"/>
      <c r="AE1228" s="5"/>
      <c r="AF1228" s="4"/>
      <c r="AG1228" s="4"/>
      <c r="AH1228" s="4"/>
      <c r="AI1228" s="51"/>
      <c r="AJ1228" s="51"/>
      <c r="AK1228" s="51"/>
      <c r="AL1228" s="51"/>
      <c r="AM1228" s="39"/>
      <c r="AN1228" s="3"/>
      <c r="AO1228" s="3"/>
      <c r="AP1228" s="3"/>
      <c r="AQ1228" s="3"/>
      <c r="AR1228" s="3"/>
      <c r="AS1228" s="3"/>
      <c r="AT1228" s="3"/>
      <c r="AU1228" s="3"/>
      <c r="AV1228" s="3"/>
      <c r="AW1228" s="3"/>
      <c r="AX1228" s="3"/>
      <c r="AY1228" s="3"/>
      <c r="AZ1228" s="3"/>
      <c r="BA1228" s="3"/>
      <c r="BB1228" s="3"/>
      <c r="BC1228" s="3"/>
      <c r="BD1228" s="3"/>
      <c r="BE1228" s="3"/>
    </row>
    <row r="1229" spans="1:57" ht="15" customHeight="1" x14ac:dyDescent="0.4">
      <c r="A1229" s="3"/>
      <c r="B1229" s="79"/>
      <c r="C1229" s="296" t="s">
        <v>1032</v>
      </c>
      <c r="D1229" s="526"/>
      <c r="E1229" s="526"/>
      <c r="F1229" s="526"/>
      <c r="G1229" s="527"/>
      <c r="H1229" s="438"/>
      <c r="I1229" s="534" t="s">
        <v>1033</v>
      </c>
      <c r="J1229" s="528"/>
      <c r="K1229" s="438"/>
      <c r="L1229" s="528" t="s">
        <v>348</v>
      </c>
      <c r="M1229" s="530" t="s">
        <v>1034</v>
      </c>
      <c r="N1229" s="530"/>
      <c r="O1229" s="530"/>
      <c r="P1229" s="530"/>
      <c r="Q1229" s="530"/>
      <c r="R1229" s="528" t="s">
        <v>352</v>
      </c>
      <c r="S1229" s="535">
        <f>S1227+S1219</f>
        <v>15.290252664930556</v>
      </c>
      <c r="T1229" s="528"/>
      <c r="U1229" s="3"/>
      <c r="V1229" s="3"/>
      <c r="W1229" s="6"/>
      <c r="X1229" s="6"/>
      <c r="Y1229" s="3"/>
      <c r="Z1229" s="3"/>
      <c r="AA1229" s="3"/>
      <c r="AB1229" s="3"/>
      <c r="AC1229" s="5"/>
      <c r="AD1229" s="3"/>
      <c r="AE1229" s="5"/>
      <c r="AF1229" s="4"/>
      <c r="AG1229" s="4"/>
      <c r="AH1229" s="4"/>
      <c r="AI1229" s="51"/>
      <c r="AJ1229" s="51"/>
      <c r="AK1229" s="51"/>
      <c r="AL1229" s="51"/>
      <c r="AM1229" s="39"/>
      <c r="AN1229" s="3"/>
      <c r="AO1229" s="3"/>
      <c r="AP1229" s="3"/>
      <c r="AQ1229" s="3"/>
      <c r="AR1229" s="3"/>
      <c r="AS1229" s="3"/>
      <c r="AT1229" s="3"/>
      <c r="AU1229" s="3"/>
      <c r="AV1229" s="3"/>
      <c r="AW1229" s="3"/>
      <c r="AX1229" s="3"/>
      <c r="AY1229" s="3"/>
      <c r="AZ1229" s="3"/>
      <c r="BA1229" s="3"/>
      <c r="BB1229" s="3"/>
      <c r="BC1229" s="3"/>
      <c r="BD1229" s="3"/>
      <c r="BE1229" s="3"/>
    </row>
    <row r="1230" spans="1:57" ht="25.5" customHeight="1" x14ac:dyDescent="0.4">
      <c r="A1230" s="3"/>
      <c r="B1230" s="76" t="s">
        <v>1035</v>
      </c>
      <c r="C1230" s="300"/>
      <c r="D1230" s="122"/>
      <c r="E1230" s="122"/>
      <c r="F1230" s="122"/>
      <c r="G1230" s="453"/>
      <c r="H1230" s="3"/>
      <c r="I1230" s="443"/>
      <c r="J1230" s="376"/>
      <c r="K1230" s="3"/>
      <c r="L1230" s="376"/>
      <c r="M1230" s="5"/>
      <c r="N1230" s="5"/>
      <c r="O1230" s="5"/>
      <c r="P1230" s="5"/>
      <c r="Q1230" s="5"/>
      <c r="R1230" s="376"/>
      <c r="S1230" s="5"/>
      <c r="T1230" s="376"/>
      <c r="U1230" s="3"/>
      <c r="V1230" s="3"/>
      <c r="W1230" s="6"/>
      <c r="X1230" s="6"/>
      <c r="Y1230" s="3"/>
      <c r="Z1230" s="3"/>
      <c r="AA1230" s="3"/>
      <c r="AB1230" s="3"/>
      <c r="AC1230" s="5"/>
      <c r="AD1230" s="3"/>
      <c r="AE1230" s="5"/>
      <c r="AF1230" s="4"/>
      <c r="AG1230" s="4"/>
      <c r="AH1230" s="4"/>
      <c r="AI1230" s="51"/>
      <c r="AJ1230" s="51"/>
      <c r="AK1230" s="51"/>
      <c r="AL1230" s="51"/>
      <c r="AM1230" s="39"/>
      <c r="AN1230" s="3"/>
      <c r="AO1230" s="3"/>
      <c r="AP1230" s="3"/>
      <c r="AQ1230" s="3"/>
      <c r="AR1230" s="3"/>
      <c r="AS1230" s="3"/>
      <c r="AT1230" s="3"/>
      <c r="AU1230" s="3"/>
      <c r="AV1230" s="3"/>
      <c r="AW1230" s="3"/>
      <c r="AX1230" s="3"/>
      <c r="AY1230" s="3"/>
      <c r="AZ1230" s="3"/>
      <c r="BA1230" s="3"/>
      <c r="BB1230" s="3"/>
      <c r="BC1230" s="3"/>
      <c r="BD1230" s="3"/>
      <c r="BE1230" s="3"/>
    </row>
    <row r="1231" spans="1:57" ht="15" customHeight="1" x14ac:dyDescent="0.4">
      <c r="A1231" s="3"/>
      <c r="B1231" s="454" t="s">
        <v>1036</v>
      </c>
      <c r="C1231" s="300"/>
      <c r="D1231" s="122"/>
      <c r="E1231" s="122"/>
      <c r="F1231" s="122"/>
      <c r="G1231" s="453"/>
      <c r="H1231" s="3"/>
      <c r="I1231" s="443"/>
      <c r="J1231" s="376"/>
      <c r="K1231" s="3"/>
      <c r="L1231" s="376"/>
      <c r="M1231" s="5"/>
      <c r="N1231" s="5"/>
      <c r="O1231" s="5"/>
      <c r="P1231" s="5"/>
      <c r="Q1231" s="5"/>
      <c r="R1231" s="376"/>
      <c r="S1231" s="5"/>
      <c r="T1231" s="376"/>
      <c r="U1231" s="3"/>
      <c r="V1231" s="3"/>
      <c r="W1231" s="6"/>
      <c r="X1231" s="6"/>
      <c r="Y1231" s="3"/>
      <c r="Z1231" s="3"/>
      <c r="AA1231" s="3"/>
      <c r="AB1231" s="3"/>
      <c r="AC1231" s="5"/>
      <c r="AD1231" s="3"/>
      <c r="AE1231" s="5"/>
      <c r="AF1231" s="4"/>
      <c r="AG1231" s="4"/>
      <c r="AH1231" s="4"/>
      <c r="AI1231" s="51"/>
      <c r="AJ1231" s="51"/>
      <c r="AK1231" s="51"/>
      <c r="AL1231" s="51"/>
      <c r="AM1231" s="39"/>
      <c r="AN1231" s="3"/>
      <c r="AO1231" s="3"/>
      <c r="AP1231" s="3"/>
      <c r="AQ1231" s="3"/>
      <c r="AR1231" s="3"/>
      <c r="AS1231" s="3"/>
      <c r="AT1231" s="3"/>
      <c r="AU1231" s="3"/>
      <c r="AV1231" s="3"/>
      <c r="AW1231" s="3"/>
      <c r="AX1231" s="3"/>
      <c r="AY1231" s="3"/>
      <c r="AZ1231" s="3"/>
      <c r="BA1231" s="3"/>
      <c r="BB1231" s="3"/>
      <c r="BC1231" s="3"/>
      <c r="BD1231" s="3"/>
      <c r="BE1231" s="3"/>
    </row>
    <row r="1232" spans="1:57" ht="15" customHeight="1" x14ac:dyDescent="0.4">
      <c r="A1232" s="3"/>
      <c r="B1232" s="130" t="s">
        <v>1037</v>
      </c>
      <c r="C1232" s="298" t="s">
        <v>1038</v>
      </c>
      <c r="D1232" s="122"/>
      <c r="E1232" s="122"/>
      <c r="F1232" s="122"/>
      <c r="G1232" s="559">
        <v>2</v>
      </c>
      <c r="H1232" s="3"/>
      <c r="I1232" s="443"/>
      <c r="J1232" s="376"/>
      <c r="K1232" s="3"/>
      <c r="L1232" s="376"/>
      <c r="M1232" s="5"/>
      <c r="N1232" s="5"/>
      <c r="O1232" s="5"/>
      <c r="P1232" s="5"/>
      <c r="Q1232" s="5"/>
      <c r="R1232" s="376"/>
      <c r="S1232" s="5"/>
      <c r="T1232" s="376"/>
      <c r="U1232" s="3"/>
      <c r="V1232" s="3"/>
      <c r="W1232" s="6"/>
      <c r="X1232" s="6"/>
      <c r="Y1232" s="3"/>
      <c r="Z1232" s="3"/>
      <c r="AA1232" s="3"/>
      <c r="AB1232" s="3"/>
      <c r="AC1232" s="5"/>
      <c r="AD1232" s="3"/>
      <c r="AE1232" s="5"/>
      <c r="AF1232" s="4"/>
      <c r="AG1232" s="4"/>
      <c r="AH1232" s="4"/>
      <c r="AI1232" s="51"/>
      <c r="AJ1232" s="51"/>
      <c r="AK1232" s="51"/>
      <c r="AL1232" s="51"/>
      <c r="AM1232" s="39"/>
      <c r="AN1232" s="3"/>
      <c r="AO1232" s="3"/>
      <c r="AP1232" s="3"/>
      <c r="AQ1232" s="3"/>
      <c r="AR1232" s="3"/>
      <c r="AS1232" s="3"/>
      <c r="AT1232" s="3"/>
      <c r="AU1232" s="3"/>
      <c r="AV1232" s="3"/>
      <c r="AW1232" s="3"/>
      <c r="AX1232" s="3"/>
      <c r="AY1232" s="3"/>
      <c r="AZ1232" s="3"/>
      <c r="BA1232" s="3"/>
      <c r="BB1232" s="3"/>
      <c r="BC1232" s="3"/>
      <c r="BD1232" s="3"/>
      <c r="BE1232" s="3"/>
    </row>
    <row r="1233" spans="1:57" ht="15" customHeight="1" x14ac:dyDescent="0.4">
      <c r="A1233" s="3"/>
      <c r="B1233" s="130" t="s">
        <v>1039</v>
      </c>
      <c r="C1233" s="298" t="s">
        <v>1040</v>
      </c>
      <c r="D1233" s="122"/>
      <c r="E1233" s="122"/>
      <c r="F1233" s="122"/>
      <c r="G1233" s="559">
        <v>2.5310000000000001</v>
      </c>
      <c r="H1233" s="3"/>
      <c r="I1233" s="443"/>
      <c r="J1233" s="376"/>
      <c r="K1233" s="3"/>
      <c r="L1233" s="376"/>
      <c r="M1233" s="5"/>
      <c r="N1233" s="5"/>
      <c r="O1233" s="5"/>
      <c r="P1233" s="5"/>
      <c r="Q1233" s="5"/>
      <c r="R1233" s="376"/>
      <c r="S1233" s="5"/>
      <c r="T1233" s="376"/>
      <c r="U1233" s="3"/>
      <c r="V1233" s="3"/>
      <c r="W1233" s="6"/>
      <c r="X1233" s="6"/>
      <c r="Y1233" s="3"/>
      <c r="Z1233" s="3"/>
      <c r="AA1233" s="3"/>
      <c r="AB1233" s="3"/>
      <c r="AC1233" s="5"/>
      <c r="AD1233" s="3"/>
      <c r="AE1233" s="5"/>
      <c r="AF1233" s="4"/>
      <c r="AG1233" s="4"/>
      <c r="AH1233" s="4"/>
      <c r="AI1233" s="51"/>
      <c r="AJ1233" s="51"/>
      <c r="AK1233" s="51"/>
      <c r="AL1233" s="51"/>
      <c r="AM1233" s="39"/>
      <c r="AN1233" s="3"/>
      <c r="AO1233" s="3"/>
      <c r="AP1233" s="3"/>
      <c r="AQ1233" s="3"/>
      <c r="AR1233" s="3"/>
      <c r="AS1233" s="3"/>
      <c r="AT1233" s="3"/>
      <c r="AU1233" s="3"/>
      <c r="AV1233" s="3"/>
      <c r="AW1233" s="3"/>
      <c r="AX1233" s="3"/>
      <c r="AY1233" s="3"/>
      <c r="AZ1233" s="3"/>
      <c r="BA1233" s="3"/>
      <c r="BB1233" s="3"/>
      <c r="BC1233" s="3"/>
      <c r="BD1233" s="3"/>
      <c r="BE1233" s="3"/>
    </row>
    <row r="1234" spans="1:57" ht="15" customHeight="1" x14ac:dyDescent="0.4">
      <c r="A1234" s="3"/>
      <c r="B1234" s="130" t="s">
        <v>1041</v>
      </c>
      <c r="C1234" s="298" t="s">
        <v>1042</v>
      </c>
      <c r="D1234" s="122"/>
      <c r="E1234" s="122"/>
      <c r="F1234" s="122"/>
      <c r="G1234" s="559">
        <v>1.9379999999999999</v>
      </c>
      <c r="H1234" s="3"/>
      <c r="I1234" s="443"/>
      <c r="J1234" s="376"/>
      <c r="K1234" s="3"/>
      <c r="L1234" s="376"/>
      <c r="M1234" s="5"/>
      <c r="N1234" s="5"/>
      <c r="O1234" s="5"/>
      <c r="P1234" s="5"/>
      <c r="Q1234" s="5"/>
      <c r="R1234" s="376"/>
      <c r="S1234" s="5"/>
      <c r="T1234" s="376"/>
      <c r="U1234" s="3"/>
      <c r="V1234" s="3"/>
      <c r="W1234" s="6"/>
      <c r="X1234" s="6"/>
      <c r="Y1234" s="3"/>
      <c r="Z1234" s="3"/>
      <c r="AA1234" s="3"/>
      <c r="AB1234" s="3"/>
      <c r="AC1234" s="5"/>
      <c r="AD1234" s="3"/>
      <c r="AE1234" s="5"/>
      <c r="AF1234" s="4"/>
      <c r="AG1234" s="4"/>
      <c r="AH1234" s="4"/>
      <c r="AI1234" s="51"/>
      <c r="AJ1234" s="51"/>
      <c r="AK1234" s="51"/>
      <c r="AL1234" s="51"/>
      <c r="AM1234" s="39"/>
      <c r="AN1234" s="3"/>
      <c r="AO1234" s="3"/>
      <c r="AP1234" s="3"/>
      <c r="AQ1234" s="3"/>
      <c r="AR1234" s="3"/>
      <c r="AS1234" s="3"/>
      <c r="AT1234" s="3"/>
      <c r="AU1234" s="3"/>
      <c r="AV1234" s="3"/>
      <c r="AW1234" s="3"/>
      <c r="AX1234" s="3"/>
      <c r="AY1234" s="3"/>
      <c r="AZ1234" s="3"/>
      <c r="BA1234" s="3"/>
      <c r="BB1234" s="3"/>
      <c r="BC1234" s="3"/>
      <c r="BD1234" s="3"/>
      <c r="BE1234" s="3"/>
    </row>
    <row r="1235" spans="1:57" ht="15" customHeight="1" x14ac:dyDescent="0.4">
      <c r="A1235" s="3"/>
      <c r="B1235" s="130" t="s">
        <v>1043</v>
      </c>
      <c r="C1235" s="298" t="s">
        <v>1044</v>
      </c>
      <c r="D1235" s="122"/>
      <c r="E1235" s="122"/>
      <c r="F1235" s="122"/>
      <c r="G1235" s="559">
        <v>1.875</v>
      </c>
      <c r="H1235" s="3"/>
      <c r="I1235" s="443"/>
      <c r="J1235" s="376"/>
      <c r="K1235" s="3"/>
      <c r="L1235" s="376"/>
      <c r="M1235" s="5"/>
      <c r="N1235" s="5"/>
      <c r="O1235" s="5"/>
      <c r="P1235" s="5"/>
      <c r="Q1235" s="5"/>
      <c r="R1235" s="376"/>
      <c r="S1235" s="5"/>
      <c r="T1235" s="376"/>
      <c r="U1235" s="3"/>
      <c r="V1235" s="3"/>
      <c r="W1235" s="6"/>
      <c r="X1235" s="6"/>
      <c r="Y1235" s="3"/>
      <c r="Z1235" s="3"/>
      <c r="AA1235" s="3"/>
      <c r="AB1235" s="3"/>
      <c r="AC1235" s="5"/>
      <c r="AD1235" s="3"/>
      <c r="AE1235" s="5"/>
      <c r="AF1235" s="4"/>
      <c r="AG1235" s="4"/>
      <c r="AH1235" s="4"/>
      <c r="AI1235" s="51"/>
      <c r="AJ1235" s="51"/>
      <c r="AK1235" s="51"/>
      <c r="AL1235" s="51"/>
      <c r="AM1235" s="39"/>
      <c r="AN1235" s="3"/>
      <c r="AO1235" s="3"/>
      <c r="AP1235" s="3"/>
      <c r="AQ1235" s="3"/>
      <c r="AR1235" s="3"/>
      <c r="AS1235" s="3"/>
      <c r="AT1235" s="3"/>
      <c r="AU1235" s="3"/>
      <c r="AV1235" s="3"/>
      <c r="AW1235" s="3"/>
      <c r="AX1235" s="3"/>
      <c r="AY1235" s="3"/>
      <c r="AZ1235" s="3"/>
      <c r="BA1235" s="3"/>
      <c r="BB1235" s="3"/>
      <c r="BC1235" s="3"/>
      <c r="BD1235" s="3"/>
      <c r="BE1235" s="3"/>
    </row>
    <row r="1236" spans="1:57" ht="15" customHeight="1" x14ac:dyDescent="0.4">
      <c r="A1236" s="3"/>
      <c r="B1236" s="130" t="s">
        <v>1045</v>
      </c>
      <c r="C1236" s="298" t="s">
        <v>1046</v>
      </c>
      <c r="D1236" s="122"/>
      <c r="E1236" s="122"/>
      <c r="F1236" s="122"/>
      <c r="G1236" s="559">
        <v>1.875</v>
      </c>
      <c r="H1236" s="3"/>
      <c r="I1236" s="443"/>
      <c r="J1236" s="376"/>
      <c r="K1236" s="3"/>
      <c r="L1236" s="376"/>
      <c r="M1236" s="5"/>
      <c r="N1236" s="5"/>
      <c r="O1236" s="5"/>
      <c r="P1236" s="5"/>
      <c r="Q1236" s="5"/>
      <c r="R1236" s="376"/>
      <c r="S1236" s="5"/>
      <c r="T1236" s="376"/>
      <c r="U1236" s="3"/>
      <c r="V1236" s="3"/>
      <c r="W1236" s="6"/>
      <c r="X1236" s="6"/>
      <c r="Y1236" s="3"/>
      <c r="Z1236" s="3"/>
      <c r="AA1236" s="3"/>
      <c r="AB1236" s="3"/>
      <c r="AC1236" s="5"/>
      <c r="AD1236" s="3"/>
      <c r="AE1236" s="5"/>
      <c r="AF1236" s="4"/>
      <c r="AG1236" s="4"/>
      <c r="AH1236" s="4"/>
      <c r="AI1236" s="51"/>
      <c r="AJ1236" s="51"/>
      <c r="AK1236" s="51"/>
      <c r="AL1236" s="51"/>
      <c r="AM1236" s="39"/>
      <c r="AN1236" s="3"/>
      <c r="AO1236" s="3"/>
      <c r="AP1236" s="3"/>
      <c r="AQ1236" s="3"/>
      <c r="AR1236" s="3"/>
      <c r="AS1236" s="3"/>
      <c r="AT1236" s="3"/>
      <c r="AU1236" s="3"/>
      <c r="AV1236" s="3"/>
      <c r="AW1236" s="3"/>
      <c r="AX1236" s="3"/>
      <c r="AY1236" s="3"/>
      <c r="AZ1236" s="3"/>
      <c r="BA1236" s="3"/>
      <c r="BB1236" s="3"/>
      <c r="BC1236" s="3"/>
      <c r="BD1236" s="3"/>
      <c r="BE1236" s="3"/>
    </row>
    <row r="1237" spans="1:57" ht="15" customHeight="1" x14ac:dyDescent="0.4">
      <c r="A1237" s="3"/>
      <c r="B1237" s="454" t="s">
        <v>1047</v>
      </c>
      <c r="C1237" s="300"/>
      <c r="D1237" s="122"/>
      <c r="E1237" s="122"/>
      <c r="F1237" s="122"/>
      <c r="G1237" s="123"/>
      <c r="H1237" s="3"/>
      <c r="I1237" s="443"/>
      <c r="J1237" s="376"/>
      <c r="K1237" s="3"/>
      <c r="L1237" s="376"/>
      <c r="M1237" s="5"/>
      <c r="N1237" s="5"/>
      <c r="O1237" s="5"/>
      <c r="P1237" s="5"/>
      <c r="Q1237" s="5"/>
      <c r="R1237" s="376"/>
      <c r="S1237" s="5"/>
      <c r="T1237" s="376"/>
      <c r="U1237" s="3"/>
      <c r="V1237" s="3"/>
      <c r="W1237" s="6"/>
      <c r="X1237" s="6"/>
      <c r="Y1237" s="3"/>
      <c r="Z1237" s="3"/>
      <c r="AA1237" s="3"/>
      <c r="AB1237" s="3"/>
      <c r="AC1237" s="5"/>
      <c r="AD1237" s="3"/>
      <c r="AE1237" s="5"/>
      <c r="AF1237" s="4"/>
      <c r="AG1237" s="4"/>
      <c r="AH1237" s="4"/>
      <c r="AI1237" s="51"/>
      <c r="AJ1237" s="51"/>
      <c r="AK1237" s="51"/>
      <c r="AL1237" s="51"/>
      <c r="AM1237" s="39"/>
      <c r="AN1237" s="3"/>
      <c r="AO1237" s="3"/>
      <c r="AP1237" s="3"/>
      <c r="AQ1237" s="3"/>
      <c r="AR1237" s="3"/>
      <c r="AS1237" s="3"/>
      <c r="AT1237" s="3"/>
      <c r="AU1237" s="3"/>
      <c r="AV1237" s="3"/>
      <c r="AW1237" s="3"/>
      <c r="AX1237" s="3"/>
      <c r="AY1237" s="3"/>
      <c r="AZ1237" s="3"/>
      <c r="BA1237" s="3"/>
      <c r="BB1237" s="3"/>
      <c r="BC1237" s="3"/>
      <c r="BD1237" s="3"/>
      <c r="BE1237" s="3"/>
    </row>
    <row r="1238" spans="1:57" ht="15" customHeight="1" x14ac:dyDescent="0.4">
      <c r="A1238" s="3"/>
      <c r="B1238" s="130" t="s">
        <v>1048</v>
      </c>
      <c r="C1238" s="298" t="s">
        <v>1049</v>
      </c>
      <c r="D1238" s="122"/>
      <c r="E1238" s="122"/>
      <c r="F1238" s="122"/>
      <c r="G1238" s="559">
        <v>0.53100000000000003</v>
      </c>
      <c r="H1238" s="3"/>
      <c r="I1238" s="443"/>
      <c r="J1238" s="376"/>
      <c r="K1238" s="3"/>
      <c r="L1238" s="376"/>
      <c r="M1238" s="5"/>
      <c r="N1238" s="5"/>
      <c r="O1238" s="5"/>
      <c r="P1238" s="5"/>
      <c r="Q1238" s="5"/>
      <c r="R1238" s="376"/>
      <c r="S1238" s="5"/>
      <c r="T1238" s="376"/>
      <c r="U1238" s="3"/>
      <c r="V1238" s="3"/>
      <c r="W1238" s="6"/>
      <c r="X1238" s="6"/>
      <c r="Y1238" s="3"/>
      <c r="Z1238" s="3"/>
      <c r="AA1238" s="3"/>
      <c r="AB1238" s="3"/>
      <c r="AC1238" s="5"/>
      <c r="AD1238" s="3"/>
      <c r="AE1238" s="5"/>
      <c r="AF1238" s="4"/>
      <c r="AG1238" s="4"/>
      <c r="AH1238" s="4"/>
      <c r="AI1238" s="51"/>
      <c r="AJ1238" s="51"/>
      <c r="AK1238" s="51"/>
      <c r="AL1238" s="51"/>
      <c r="AM1238" s="39"/>
      <c r="AN1238" s="3"/>
      <c r="AO1238" s="3"/>
      <c r="AP1238" s="3"/>
      <c r="AQ1238" s="3"/>
      <c r="AR1238" s="3"/>
      <c r="AS1238" s="3"/>
      <c r="AT1238" s="3"/>
      <c r="AU1238" s="3"/>
      <c r="AV1238" s="3"/>
      <c r="AW1238" s="3"/>
      <c r="AX1238" s="3"/>
      <c r="AY1238" s="3"/>
      <c r="AZ1238" s="3"/>
      <c r="BA1238" s="3"/>
      <c r="BB1238" s="3"/>
      <c r="BC1238" s="3"/>
      <c r="BD1238" s="3"/>
      <c r="BE1238" s="3"/>
    </row>
    <row r="1239" spans="1:57" ht="15" customHeight="1" x14ac:dyDescent="0.4">
      <c r="A1239" s="3"/>
      <c r="B1239" s="130" t="s">
        <v>1050</v>
      </c>
      <c r="C1239" s="298" t="s">
        <v>1051</v>
      </c>
      <c r="D1239" s="122"/>
      <c r="E1239" s="122"/>
      <c r="F1239" s="122"/>
      <c r="G1239" s="559">
        <v>0.53100000000000003</v>
      </c>
      <c r="H1239" s="3"/>
      <c r="I1239" s="443"/>
      <c r="J1239" s="376"/>
      <c r="K1239" s="3"/>
      <c r="L1239" s="376"/>
      <c r="M1239" s="5"/>
      <c r="N1239" s="5"/>
      <c r="O1239" s="5"/>
      <c r="P1239" s="5"/>
      <c r="Q1239" s="5"/>
      <c r="R1239" s="376"/>
      <c r="S1239" s="5"/>
      <c r="T1239" s="376"/>
      <c r="U1239" s="3"/>
      <c r="V1239" s="3"/>
      <c r="W1239" s="6"/>
      <c r="X1239" s="6"/>
      <c r="Y1239" s="3"/>
      <c r="Z1239" s="3"/>
      <c r="AA1239" s="3"/>
      <c r="AB1239" s="3"/>
      <c r="AC1239" s="5"/>
      <c r="AD1239" s="3"/>
      <c r="AE1239" s="5"/>
      <c r="AF1239" s="4"/>
      <c r="AG1239" s="4"/>
      <c r="AH1239" s="4"/>
      <c r="AI1239" s="51"/>
      <c r="AJ1239" s="51"/>
      <c r="AK1239" s="51"/>
      <c r="AL1239" s="51"/>
      <c r="AM1239" s="39"/>
      <c r="AN1239" s="3"/>
      <c r="AO1239" s="3"/>
      <c r="AP1239" s="3"/>
      <c r="AQ1239" s="3"/>
      <c r="AR1239" s="3"/>
      <c r="AS1239" s="3"/>
      <c r="AT1239" s="3"/>
      <c r="AU1239" s="3"/>
      <c r="AV1239" s="3"/>
      <c r="AW1239" s="3"/>
      <c r="AX1239" s="3"/>
      <c r="AY1239" s="3"/>
      <c r="AZ1239" s="3"/>
      <c r="BA1239" s="3"/>
      <c r="BB1239" s="3"/>
      <c r="BC1239" s="3"/>
      <c r="BD1239" s="3"/>
      <c r="BE1239" s="3"/>
    </row>
    <row r="1240" spans="1:57" ht="15" customHeight="1" x14ac:dyDescent="0.4">
      <c r="A1240" s="3"/>
      <c r="B1240" s="130" t="s">
        <v>1052</v>
      </c>
      <c r="C1240" s="298" t="s">
        <v>1053</v>
      </c>
      <c r="D1240" s="122"/>
      <c r="E1240" s="122"/>
      <c r="F1240" s="122"/>
      <c r="G1240" s="559">
        <v>0.53100000000000003</v>
      </c>
      <c r="H1240" s="3"/>
      <c r="I1240" s="443"/>
      <c r="J1240" s="376"/>
      <c r="K1240" s="3"/>
      <c r="L1240" s="376"/>
      <c r="M1240" s="5"/>
      <c r="N1240" s="5"/>
      <c r="O1240" s="5"/>
      <c r="P1240" s="5"/>
      <c r="Q1240" s="5"/>
      <c r="R1240" s="376"/>
      <c r="S1240" s="5"/>
      <c r="T1240" s="376"/>
      <c r="U1240" s="3"/>
      <c r="V1240" s="3"/>
      <c r="W1240" s="6"/>
      <c r="X1240" s="6"/>
      <c r="Y1240" s="3"/>
      <c r="Z1240" s="3"/>
      <c r="AA1240" s="3"/>
      <c r="AB1240" s="3"/>
      <c r="AC1240" s="5"/>
      <c r="AD1240" s="3"/>
      <c r="AE1240" s="5"/>
      <c r="AF1240" s="4"/>
      <c r="AG1240" s="4"/>
      <c r="AH1240" s="4"/>
      <c r="AI1240" s="51"/>
      <c r="AJ1240" s="51"/>
      <c r="AK1240" s="51"/>
      <c r="AL1240" s="51"/>
      <c r="AM1240" s="39"/>
      <c r="AN1240" s="3"/>
      <c r="AO1240" s="3"/>
      <c r="AP1240" s="3"/>
      <c r="AQ1240" s="3"/>
      <c r="AR1240" s="3"/>
      <c r="AS1240" s="3"/>
      <c r="AT1240" s="3"/>
      <c r="AU1240" s="3"/>
      <c r="AV1240" s="3"/>
      <c r="AW1240" s="3"/>
      <c r="AX1240" s="3"/>
      <c r="AY1240" s="3"/>
      <c r="AZ1240" s="3"/>
      <c r="BA1240" s="3"/>
      <c r="BB1240" s="3"/>
      <c r="BC1240" s="3"/>
      <c r="BD1240" s="3"/>
      <c r="BE1240" s="3"/>
    </row>
    <row r="1241" spans="1:57" ht="15" customHeight="1" x14ac:dyDescent="0.4">
      <c r="A1241" s="3"/>
      <c r="B1241" s="130" t="s">
        <v>1054</v>
      </c>
      <c r="C1241" s="298" t="s">
        <v>1055</v>
      </c>
      <c r="D1241" s="122"/>
      <c r="E1241" s="122"/>
      <c r="F1241" s="122"/>
      <c r="G1241" s="559">
        <v>0.438</v>
      </c>
      <c r="H1241" s="3"/>
      <c r="I1241" s="443"/>
      <c r="J1241" s="376"/>
      <c r="K1241" s="3"/>
      <c r="L1241" s="376"/>
      <c r="M1241" s="5"/>
      <c r="N1241" s="5"/>
      <c r="O1241" s="5"/>
      <c r="P1241" s="5"/>
      <c r="Q1241" s="5"/>
      <c r="R1241" s="376"/>
      <c r="S1241" s="5"/>
      <c r="T1241" s="376"/>
      <c r="U1241" s="3"/>
      <c r="V1241" s="3"/>
      <c r="W1241" s="6"/>
      <c r="X1241" s="6"/>
      <c r="Y1241" s="3"/>
      <c r="Z1241" s="3"/>
      <c r="AA1241" s="3"/>
      <c r="AB1241" s="3"/>
      <c r="AC1241" s="5"/>
      <c r="AD1241" s="3"/>
      <c r="AE1241" s="5"/>
      <c r="AF1241" s="4"/>
      <c r="AG1241" s="4"/>
      <c r="AH1241" s="4"/>
      <c r="AI1241" s="51"/>
      <c r="AJ1241" s="51"/>
      <c r="AK1241" s="51"/>
      <c r="AL1241" s="51"/>
      <c r="AM1241" s="39"/>
      <c r="AN1241" s="3"/>
      <c r="AO1241" s="3"/>
      <c r="AP1241" s="3"/>
      <c r="AQ1241" s="3"/>
      <c r="AR1241" s="3"/>
      <c r="AS1241" s="3"/>
      <c r="AT1241" s="3"/>
      <c r="AU1241" s="3"/>
      <c r="AV1241" s="3"/>
      <c r="AW1241" s="3"/>
      <c r="AX1241" s="3"/>
      <c r="AY1241" s="3"/>
      <c r="AZ1241" s="3"/>
      <c r="BA1241" s="3"/>
      <c r="BB1241" s="3"/>
      <c r="BC1241" s="3"/>
      <c r="BD1241" s="3"/>
      <c r="BE1241" s="3"/>
    </row>
    <row r="1242" spans="1:57" ht="15" customHeight="1" x14ac:dyDescent="0.4">
      <c r="A1242" s="3"/>
      <c r="B1242" s="130" t="s">
        <v>1056</v>
      </c>
      <c r="C1242" s="298" t="s">
        <v>1057</v>
      </c>
      <c r="D1242" s="122"/>
      <c r="E1242" s="122"/>
      <c r="F1242" s="122"/>
      <c r="G1242" s="559">
        <v>0.438</v>
      </c>
      <c r="H1242" s="3"/>
      <c r="I1242" s="443"/>
      <c r="J1242" s="376"/>
      <c r="K1242" s="3"/>
      <c r="L1242" s="376"/>
      <c r="M1242" s="5"/>
      <c r="N1242" s="5"/>
      <c r="O1242" s="5"/>
      <c r="P1242" s="5"/>
      <c r="Q1242" s="5"/>
      <c r="R1242" s="376"/>
      <c r="S1242" s="5"/>
      <c r="T1242" s="376"/>
      <c r="U1242" s="3"/>
      <c r="V1242" s="3"/>
      <c r="W1242" s="6"/>
      <c r="X1242" s="6"/>
      <c r="Y1242" s="3"/>
      <c r="Z1242" s="3"/>
      <c r="AA1242" s="3"/>
      <c r="AB1242" s="3"/>
      <c r="AC1242" s="5"/>
      <c r="AD1242" s="3"/>
      <c r="AE1242" s="5"/>
      <c r="AF1242" s="4"/>
      <c r="AG1242" s="4"/>
      <c r="AH1242" s="4"/>
      <c r="AI1242" s="51"/>
      <c r="AJ1242" s="51"/>
      <c r="AK1242" s="51"/>
      <c r="AL1242" s="51"/>
      <c r="AM1242" s="39"/>
      <c r="AN1242" s="3"/>
      <c r="AO1242" s="3"/>
      <c r="AP1242" s="3"/>
      <c r="AQ1242" s="3"/>
      <c r="AR1242" s="3"/>
      <c r="AS1242" s="3"/>
      <c r="AT1242" s="3"/>
      <c r="AU1242" s="3"/>
      <c r="AV1242" s="3"/>
      <c r="AW1242" s="3"/>
      <c r="AX1242" s="3"/>
      <c r="AY1242" s="3"/>
      <c r="AZ1242" s="3"/>
      <c r="BA1242" s="3"/>
      <c r="BB1242" s="3"/>
      <c r="BC1242" s="3"/>
      <c r="BD1242" s="3"/>
      <c r="BE1242" s="3"/>
    </row>
    <row r="1243" spans="1:57" ht="15" customHeight="1" x14ac:dyDescent="0.4">
      <c r="A1243" s="3"/>
      <c r="B1243" s="130" t="s">
        <v>1058</v>
      </c>
      <c r="C1243" s="298" t="s">
        <v>1059</v>
      </c>
      <c r="D1243" s="122"/>
      <c r="E1243" s="122"/>
      <c r="F1243" s="122"/>
      <c r="G1243" s="559">
        <v>0.438</v>
      </c>
      <c r="H1243" s="3"/>
      <c r="I1243" s="443"/>
      <c r="J1243" s="376"/>
      <c r="K1243" s="3"/>
      <c r="L1243" s="376"/>
      <c r="M1243" s="5"/>
      <c r="N1243" s="5"/>
      <c r="O1243" s="5"/>
      <c r="P1243" s="5"/>
      <c r="Q1243" s="5"/>
      <c r="R1243" s="376"/>
      <c r="S1243" s="5"/>
      <c r="T1243" s="376"/>
      <c r="U1243" s="3"/>
      <c r="V1243" s="3"/>
      <c r="W1243" s="6"/>
      <c r="X1243" s="6"/>
      <c r="Y1243" s="3"/>
      <c r="Z1243" s="3"/>
      <c r="AA1243" s="3"/>
      <c r="AB1243" s="3"/>
      <c r="AC1243" s="5"/>
      <c r="AD1243" s="3"/>
      <c r="AE1243" s="5"/>
      <c r="AF1243" s="4"/>
      <c r="AG1243" s="4"/>
      <c r="AH1243" s="4"/>
      <c r="AI1243" s="51"/>
      <c r="AJ1243" s="51"/>
      <c r="AK1243" s="51"/>
      <c r="AL1243" s="51"/>
      <c r="AM1243" s="39"/>
      <c r="AN1243" s="3"/>
      <c r="AO1243" s="3"/>
      <c r="AP1243" s="3"/>
      <c r="AQ1243" s="3"/>
      <c r="AR1243" s="3"/>
      <c r="AS1243" s="3"/>
      <c r="AT1243" s="3"/>
      <c r="AU1243" s="3"/>
      <c r="AV1243" s="3"/>
      <c r="AW1243" s="3"/>
      <c r="AX1243" s="3"/>
      <c r="AY1243" s="3"/>
      <c r="AZ1243" s="3"/>
      <c r="BA1243" s="3"/>
      <c r="BB1243" s="3"/>
      <c r="BC1243" s="3"/>
      <c r="BD1243" s="3"/>
      <c r="BE1243" s="3"/>
    </row>
    <row r="1244" spans="1:57" ht="15" customHeight="1" x14ac:dyDescent="0.4">
      <c r="A1244" s="3"/>
      <c r="B1244" s="130"/>
      <c r="C1244" s="298"/>
      <c r="D1244" s="122"/>
      <c r="E1244" s="122"/>
      <c r="F1244" s="122"/>
      <c r="G1244" s="123"/>
      <c r="H1244" s="3"/>
      <c r="I1244" s="443"/>
      <c r="J1244" s="376"/>
      <c r="K1244" s="3"/>
      <c r="L1244" s="376"/>
      <c r="M1244" s="5"/>
      <c r="N1244" s="5"/>
      <c r="O1244" s="5"/>
      <c r="P1244" s="5"/>
      <c r="Q1244" s="5"/>
      <c r="R1244" s="376"/>
      <c r="S1244" s="5"/>
      <c r="T1244" s="376"/>
      <c r="U1244" s="3"/>
      <c r="V1244" s="3"/>
      <c r="W1244" s="6"/>
      <c r="X1244" s="6"/>
      <c r="Y1244" s="3"/>
      <c r="Z1244" s="3"/>
      <c r="AA1244" s="3"/>
      <c r="AB1244" s="3"/>
      <c r="AC1244" s="5"/>
      <c r="AD1244" s="3"/>
      <c r="AE1244" s="5"/>
      <c r="AF1244" s="4"/>
      <c r="AG1244" s="4"/>
      <c r="AH1244" s="4"/>
      <c r="AI1244" s="51"/>
      <c r="AJ1244" s="51"/>
      <c r="AK1244" s="51"/>
      <c r="AL1244" s="51"/>
      <c r="AM1244" s="39"/>
      <c r="AN1244" s="3"/>
      <c r="AO1244" s="3"/>
      <c r="AP1244" s="3"/>
      <c r="AQ1244" s="3"/>
      <c r="AR1244" s="3"/>
      <c r="AS1244" s="3"/>
      <c r="AT1244" s="3"/>
      <c r="AU1244" s="3"/>
      <c r="AV1244" s="3"/>
      <c r="AW1244" s="3"/>
      <c r="AX1244" s="3"/>
      <c r="AY1244" s="3"/>
      <c r="AZ1244" s="3"/>
      <c r="BA1244" s="3"/>
      <c r="BB1244" s="3"/>
      <c r="BC1244" s="3"/>
      <c r="BD1244" s="3"/>
      <c r="BE1244" s="3"/>
    </row>
    <row r="1245" spans="1:57" ht="15" customHeight="1" x14ac:dyDescent="0.4">
      <c r="A1245" s="3"/>
      <c r="B1245" s="3"/>
      <c r="C1245" s="303"/>
      <c r="D1245" s="452"/>
      <c r="E1245" s="452"/>
      <c r="F1245" s="452"/>
      <c r="G1245" s="453"/>
      <c r="H1245" s="3"/>
      <c r="I1245" s="443"/>
      <c r="J1245" s="376"/>
      <c r="K1245" s="3"/>
      <c r="L1245" s="376"/>
      <c r="M1245" s="5"/>
      <c r="N1245" s="5"/>
      <c r="O1245" s="5"/>
      <c r="P1245" s="5"/>
      <c r="Q1245" s="5"/>
      <c r="R1245" s="376"/>
      <c r="S1245" s="5"/>
      <c r="T1245" s="376"/>
      <c r="U1245" s="3"/>
      <c r="V1245" s="3"/>
      <c r="W1245" s="6"/>
      <c r="X1245" s="6"/>
      <c r="Y1245" s="3"/>
      <c r="Z1245" s="3"/>
      <c r="AA1245" s="3"/>
      <c r="AB1245" s="3"/>
      <c r="AC1245" s="5"/>
      <c r="AD1245" s="3"/>
      <c r="AE1245" s="5"/>
      <c r="AF1245" s="4"/>
      <c r="AG1245" s="4"/>
      <c r="AH1245" s="4"/>
      <c r="AI1245" s="51"/>
      <c r="AJ1245" s="51"/>
      <c r="AK1245" s="51"/>
      <c r="AL1245" s="51"/>
      <c r="AM1245" s="39"/>
      <c r="AN1245" s="3"/>
      <c r="AO1245" s="3"/>
      <c r="AP1245" s="3"/>
      <c r="AQ1245" s="3"/>
      <c r="AR1245" s="3"/>
      <c r="AS1245" s="3"/>
      <c r="AT1245" s="3"/>
      <c r="AU1245" s="3"/>
      <c r="AV1245" s="3"/>
      <c r="AW1245" s="3"/>
      <c r="AX1245" s="3"/>
      <c r="AY1245" s="3"/>
      <c r="AZ1245" s="3"/>
      <c r="BA1245" s="3"/>
      <c r="BB1245" s="3"/>
      <c r="BC1245" s="3"/>
      <c r="BD1245" s="3"/>
      <c r="BE1245" s="3"/>
    </row>
    <row r="1246" spans="1:57" ht="15" customHeight="1" x14ac:dyDescent="0.4">
      <c r="A1246" s="3"/>
      <c r="B1246" s="3"/>
      <c r="C1246" s="561" t="s">
        <v>2150</v>
      </c>
      <c r="D1246" s="452"/>
      <c r="E1246" s="452"/>
      <c r="F1246" s="452"/>
      <c r="G1246" s="453"/>
      <c r="H1246" s="3"/>
      <c r="I1246" s="443"/>
      <c r="J1246" s="376"/>
      <c r="K1246" s="3"/>
      <c r="L1246" s="376"/>
      <c r="M1246" s="5"/>
      <c r="N1246" s="5"/>
      <c r="O1246" s="5"/>
      <c r="P1246" s="5"/>
      <c r="Q1246" s="5"/>
      <c r="R1246" s="376"/>
      <c r="S1246" s="5"/>
      <c r="T1246" s="376"/>
      <c r="U1246" s="3"/>
      <c r="V1246" s="3"/>
      <c r="W1246" s="6"/>
      <c r="X1246" s="6"/>
      <c r="Y1246" s="3"/>
      <c r="Z1246" s="3"/>
      <c r="AA1246" s="3"/>
      <c r="AB1246" s="3"/>
      <c r="AC1246" s="5"/>
      <c r="AD1246" s="3"/>
      <c r="AE1246" s="5"/>
      <c r="AF1246" s="4"/>
      <c r="AG1246" s="4"/>
      <c r="AH1246" s="4"/>
      <c r="AI1246" s="51"/>
      <c r="AJ1246" s="51"/>
      <c r="AK1246" s="51"/>
      <c r="AL1246" s="51"/>
      <c r="AM1246" s="39"/>
      <c r="AN1246" s="3"/>
      <c r="AO1246" s="3"/>
      <c r="AP1246" s="3"/>
      <c r="AQ1246" s="3"/>
      <c r="AR1246" s="3"/>
      <c r="AS1246" s="3"/>
      <c r="AT1246" s="3"/>
      <c r="AU1246" s="3"/>
      <c r="AV1246" s="3"/>
      <c r="AW1246" s="3"/>
      <c r="AX1246" s="3"/>
      <c r="AY1246" s="3"/>
      <c r="AZ1246" s="3"/>
      <c r="BA1246" s="3"/>
      <c r="BB1246" s="3"/>
      <c r="BC1246" s="3"/>
      <c r="BD1246" s="3"/>
      <c r="BE1246" s="3"/>
    </row>
    <row r="1247" spans="1:57" ht="15" customHeight="1" x14ac:dyDescent="0.4">
      <c r="A1247" s="3"/>
      <c r="B1247" s="2000" t="s">
        <v>1060</v>
      </c>
      <c r="C1247" s="2000"/>
      <c r="D1247" s="2000"/>
      <c r="E1247" s="2000"/>
      <c r="F1247" s="2000"/>
      <c r="G1247" s="2000"/>
      <c r="H1247" s="3"/>
      <c r="I1247" s="443"/>
      <c r="J1247" s="376"/>
      <c r="K1247" s="3"/>
      <c r="L1247" s="376"/>
      <c r="M1247" s="5"/>
      <c r="N1247" s="5"/>
      <c r="O1247" s="5"/>
      <c r="P1247" s="5"/>
      <c r="Q1247" s="5"/>
      <c r="R1247" s="376"/>
      <c r="S1247" s="5"/>
      <c r="T1247" s="376"/>
      <c r="U1247" s="3"/>
      <c r="V1247" s="3"/>
      <c r="W1247" s="6"/>
      <c r="X1247" s="6"/>
      <c r="Y1247" s="3"/>
      <c r="Z1247" s="3"/>
      <c r="AA1247" s="3"/>
      <c r="AB1247" s="3"/>
      <c r="AC1247" s="5"/>
      <c r="AD1247" s="3"/>
      <c r="AE1247" s="5"/>
      <c r="AF1247" s="4"/>
      <c r="AG1247" s="4"/>
      <c r="AH1247" s="4"/>
      <c r="AI1247" s="51"/>
      <c r="AJ1247" s="51"/>
      <c r="AK1247" s="51"/>
      <c r="AL1247" s="51"/>
      <c r="AM1247" s="39"/>
      <c r="AN1247" s="3"/>
      <c r="AO1247" s="3"/>
      <c r="AP1247" s="3"/>
      <c r="AQ1247" s="3"/>
      <c r="AR1247" s="3"/>
      <c r="AS1247" s="3"/>
      <c r="AT1247" s="3"/>
      <c r="AU1247" s="3"/>
      <c r="AV1247" s="3"/>
      <c r="AW1247" s="3"/>
      <c r="AX1247" s="3"/>
      <c r="AY1247" s="3"/>
      <c r="AZ1247" s="3"/>
      <c r="BA1247" s="3"/>
      <c r="BB1247" s="3"/>
      <c r="BC1247" s="3"/>
      <c r="BD1247" s="3"/>
      <c r="BE1247" s="3"/>
    </row>
    <row r="1248" spans="1:57" ht="15" customHeight="1" x14ac:dyDescent="0.4">
      <c r="A1248" s="3"/>
      <c r="B1248" s="2000"/>
      <c r="C1248" s="2000"/>
      <c r="D1248" s="2000"/>
      <c r="E1248" s="2000"/>
      <c r="F1248" s="2000"/>
      <c r="G1248" s="2000"/>
      <c r="H1248" s="3"/>
      <c r="I1248" s="786" t="s">
        <v>1061</v>
      </c>
      <c r="J1248" s="528" t="s">
        <v>352</v>
      </c>
      <c r="K1248" s="438"/>
      <c r="L1248" s="528"/>
      <c r="M1248" s="530" t="s">
        <v>1062</v>
      </c>
      <c r="N1248" s="530"/>
      <c r="O1248" s="530"/>
      <c r="P1248" s="530" t="s">
        <v>348</v>
      </c>
      <c r="Q1248" s="530">
        <f>M796</f>
        <v>-1</v>
      </c>
      <c r="R1248" s="528" t="s">
        <v>352</v>
      </c>
      <c r="S1248" s="530">
        <f>SHHeight/2+Q1248</f>
        <v>36</v>
      </c>
      <c r="T1248" s="528"/>
      <c r="U1248" s="3"/>
      <c r="V1248" s="3"/>
      <c r="W1248" s="3"/>
      <c r="X1248" s="6"/>
      <c r="Y1248" s="44"/>
      <c r="Z1248" s="44"/>
      <c r="AA1248" s="44"/>
      <c r="AB1248" s="3"/>
      <c r="AC1248" s="5"/>
      <c r="AD1248" s="3"/>
      <c r="AE1248" s="5"/>
      <c r="AF1248" s="4"/>
      <c r="AG1248" s="4"/>
      <c r="AH1248" s="4"/>
      <c r="AI1248" s="51"/>
      <c r="AJ1248" s="51"/>
      <c r="AK1248" s="51"/>
      <c r="AL1248" s="51"/>
      <c r="AM1248" s="39"/>
      <c r="AN1248" s="3"/>
      <c r="AO1248" s="3"/>
      <c r="AP1248" s="3"/>
      <c r="AQ1248" s="3"/>
      <c r="AR1248" s="3"/>
      <c r="AS1248" s="3"/>
      <c r="AT1248" s="3"/>
      <c r="AU1248" s="3"/>
      <c r="AV1248" s="3"/>
      <c r="AW1248" s="3"/>
      <c r="AX1248" s="3"/>
      <c r="AY1248" s="3"/>
      <c r="AZ1248" s="3"/>
      <c r="BA1248" s="3"/>
      <c r="BB1248" s="3"/>
      <c r="BC1248" s="3"/>
      <c r="BD1248" s="3"/>
      <c r="BE1248" s="3"/>
    </row>
    <row r="1249" spans="1:57" ht="15" customHeight="1" x14ac:dyDescent="0.4">
      <c r="A1249" s="3"/>
      <c r="B1249" s="525" t="s">
        <v>319</v>
      </c>
      <c r="C1249" s="296"/>
      <c r="D1249" s="526"/>
      <c r="E1249" s="526"/>
      <c r="F1249" s="526"/>
      <c r="G1249" s="527"/>
      <c r="H1249" s="438"/>
      <c r="I1249" s="124"/>
      <c r="J1249" s="528"/>
      <c r="K1249" s="438"/>
      <c r="L1249" s="528"/>
      <c r="M1249" s="530"/>
      <c r="N1249" s="530"/>
      <c r="O1249" s="530"/>
      <c r="P1249" s="530"/>
      <c r="Q1249" s="530"/>
      <c r="R1249" s="528"/>
      <c r="S1249" s="530">
        <v>0</v>
      </c>
      <c r="T1249" s="528" t="s">
        <v>366</v>
      </c>
      <c r="U1249" s="3"/>
      <c r="V1249" s="3"/>
      <c r="W1249" s="6"/>
      <c r="X1249" s="6"/>
      <c r="Y1249" s="3"/>
      <c r="Z1249" s="3"/>
      <c r="AA1249" s="3"/>
      <c r="AB1249" s="3"/>
      <c r="AC1249" s="5"/>
      <c r="AD1249" s="3"/>
      <c r="AE1249" s="5"/>
      <c r="AF1249" s="4"/>
      <c r="AG1249" s="4"/>
      <c r="AH1249" s="4"/>
      <c r="AI1249" s="51"/>
      <c r="AJ1249" s="51"/>
      <c r="AK1249" s="51"/>
      <c r="AL1249" s="51"/>
      <c r="AM1249" s="39"/>
      <c r="AN1249" s="3"/>
      <c r="AO1249" s="3"/>
      <c r="AP1249" s="3"/>
      <c r="AQ1249" s="3"/>
      <c r="AR1249" s="3"/>
      <c r="AS1249" s="3"/>
      <c r="AT1249" s="3"/>
      <c r="AU1249" s="3"/>
      <c r="AV1249" s="3"/>
      <c r="AW1249" s="3"/>
      <c r="AX1249" s="3"/>
      <c r="AY1249" s="3"/>
      <c r="AZ1249" s="3"/>
      <c r="BA1249" s="3"/>
      <c r="BB1249" s="3"/>
      <c r="BC1249" s="3"/>
      <c r="BD1249" s="3"/>
      <c r="BE1249" s="3"/>
    </row>
    <row r="1250" spans="1:57" ht="15" customHeight="1" x14ac:dyDescent="0.4">
      <c r="A1250" s="3"/>
      <c r="B1250" s="525" t="s">
        <v>1063</v>
      </c>
      <c r="C1250" s="296"/>
      <c r="D1250" s="526"/>
      <c r="E1250" s="526"/>
      <c r="F1250" s="526"/>
      <c r="G1250" s="527"/>
      <c r="H1250" s="438"/>
      <c r="I1250" s="438" t="s">
        <v>1064</v>
      </c>
      <c r="J1250" s="528"/>
      <c r="K1250" s="438"/>
      <c r="L1250" s="528" t="s">
        <v>456</v>
      </c>
      <c r="M1250" s="541" t="s">
        <v>1061</v>
      </c>
      <c r="N1250" s="541"/>
      <c r="O1250" s="541"/>
      <c r="P1250" s="530"/>
      <c r="Q1250" s="530"/>
      <c r="R1250" s="528" t="s">
        <v>352</v>
      </c>
      <c r="S1250" s="530">
        <f>SHDIM_A-SHRSashH</f>
        <v>-10</v>
      </c>
      <c r="T1250" s="528" t="s">
        <v>366</v>
      </c>
      <c r="U1250" s="3"/>
      <c r="V1250" s="3"/>
      <c r="W1250" s="6"/>
      <c r="X1250" s="6"/>
      <c r="Y1250" s="3"/>
      <c r="Z1250" s="3"/>
      <c r="AA1250" s="3"/>
      <c r="AB1250" s="3"/>
      <c r="AC1250" s="5"/>
      <c r="AD1250" s="3"/>
      <c r="AE1250" s="5"/>
      <c r="AF1250" s="4"/>
      <c r="AG1250" s="4"/>
      <c r="AH1250" s="4"/>
      <c r="AI1250" s="51"/>
      <c r="AJ1250" s="51"/>
      <c r="AK1250" s="51"/>
      <c r="AL1250" s="51"/>
      <c r="AM1250" s="39"/>
      <c r="AN1250" s="3"/>
      <c r="AO1250" s="3"/>
      <c r="AP1250" s="3"/>
      <c r="AQ1250" s="3"/>
      <c r="AR1250" s="3"/>
      <c r="AS1250" s="3"/>
      <c r="AT1250" s="3"/>
      <c r="AU1250" s="3"/>
      <c r="AV1250" s="3"/>
      <c r="AW1250" s="3"/>
      <c r="AX1250" s="3"/>
      <c r="AY1250" s="3"/>
      <c r="AZ1250" s="3"/>
      <c r="BA1250" s="3"/>
      <c r="BB1250" s="3"/>
      <c r="BC1250" s="3"/>
      <c r="BD1250" s="3"/>
      <c r="BE1250" s="3"/>
    </row>
    <row r="1251" spans="1:57" ht="15" customHeight="1" x14ac:dyDescent="0.4">
      <c r="A1251" s="3"/>
      <c r="B1251" s="8"/>
      <c r="C1251" s="561" t="s">
        <v>2151</v>
      </c>
      <c r="D1251" s="452"/>
      <c r="E1251" s="452"/>
      <c r="F1251" s="452"/>
      <c r="G1251" s="453"/>
      <c r="H1251" s="3"/>
      <c r="I1251" s="787"/>
      <c r="J1251" s="376"/>
      <c r="K1251" s="3"/>
      <c r="L1251" s="376"/>
      <c r="M1251" s="5"/>
      <c r="N1251" s="5"/>
      <c r="O1251" s="5"/>
      <c r="P1251" s="5"/>
      <c r="Q1251" s="5"/>
      <c r="R1251" s="376"/>
      <c r="S1251" s="5"/>
      <c r="T1251" s="376"/>
      <c r="U1251" s="3"/>
      <c r="V1251" s="3"/>
      <c r="W1251" s="6"/>
      <c r="X1251" s="6"/>
      <c r="Y1251" s="3"/>
      <c r="Z1251" s="3"/>
      <c r="AA1251" s="3"/>
      <c r="AB1251" s="3"/>
      <c r="AC1251" s="5"/>
      <c r="AD1251" s="3"/>
      <c r="AE1251" s="5"/>
      <c r="AF1251" s="4"/>
      <c r="AG1251" s="4"/>
      <c r="AH1251" s="4"/>
      <c r="AI1251" s="51"/>
      <c r="AJ1251" s="51"/>
      <c r="AK1251" s="51"/>
      <c r="AL1251" s="51"/>
      <c r="AM1251" s="39"/>
      <c r="AN1251" s="3"/>
      <c r="AO1251" s="3"/>
      <c r="AP1251" s="3"/>
      <c r="AQ1251" s="3"/>
      <c r="AR1251" s="3"/>
      <c r="AS1251" s="3"/>
      <c r="AT1251" s="3"/>
      <c r="AU1251" s="3"/>
      <c r="AV1251" s="3"/>
      <c r="AW1251" s="3"/>
      <c r="AX1251" s="3"/>
      <c r="AY1251" s="3"/>
      <c r="AZ1251" s="3"/>
      <c r="BA1251" s="3"/>
      <c r="BB1251" s="3"/>
      <c r="BC1251" s="3"/>
      <c r="BD1251" s="3"/>
      <c r="BE1251" s="3"/>
    </row>
    <row r="1252" spans="1:57" ht="15" customHeight="1" x14ac:dyDescent="0.4">
      <c r="A1252" s="3"/>
      <c r="B1252" s="525" t="s">
        <v>1065</v>
      </c>
      <c r="C1252" s="296"/>
      <c r="D1252" s="526"/>
      <c r="E1252" s="526"/>
      <c r="F1252" s="526"/>
      <c r="G1252" s="527"/>
      <c r="H1252" s="438"/>
      <c r="I1252" s="438" t="s">
        <v>365</v>
      </c>
      <c r="J1252" s="528" t="s">
        <v>346</v>
      </c>
      <c r="K1252" s="438">
        <v>6</v>
      </c>
      <c r="L1252" s="528" t="s">
        <v>348</v>
      </c>
      <c r="M1252" s="768">
        <v>-0.98499999999999999</v>
      </c>
      <c r="N1252" s="530"/>
      <c r="O1252" s="530"/>
      <c r="P1252" s="530"/>
      <c r="Q1252" s="530"/>
      <c r="R1252" s="528" t="s">
        <v>352</v>
      </c>
      <c r="S1252" s="768">
        <f>SHHeight/K1252+M1252</f>
        <v>11.348333333333334</v>
      </c>
      <c r="T1252" s="528" t="s">
        <v>366</v>
      </c>
      <c r="U1252" s="3"/>
      <c r="V1252" s="3"/>
      <c r="W1252" s="6"/>
      <c r="X1252" s="6"/>
      <c r="Y1252" s="3"/>
      <c r="Z1252" s="3"/>
      <c r="AA1252" s="3"/>
      <c r="AB1252" s="3"/>
      <c r="AC1252" s="5"/>
      <c r="AD1252" s="3"/>
      <c r="AE1252" s="5"/>
      <c r="AF1252" s="4"/>
      <c r="AG1252" s="4"/>
      <c r="AH1252" s="4"/>
      <c r="AI1252" s="51"/>
      <c r="AJ1252" s="51"/>
      <c r="AK1252" s="51"/>
      <c r="AL1252" s="51"/>
      <c r="AM1252" s="39"/>
      <c r="AN1252" s="3"/>
      <c r="AO1252" s="3"/>
      <c r="AP1252" s="3"/>
      <c r="AQ1252" s="3"/>
      <c r="AR1252" s="3"/>
      <c r="AS1252" s="3"/>
      <c r="AT1252" s="3"/>
      <c r="AU1252" s="3"/>
      <c r="AV1252" s="3"/>
      <c r="AW1252" s="3"/>
      <c r="AX1252" s="3"/>
      <c r="AY1252" s="3"/>
      <c r="AZ1252" s="3"/>
      <c r="BA1252" s="3"/>
      <c r="BB1252" s="3"/>
      <c r="BC1252" s="3"/>
      <c r="BD1252" s="3"/>
      <c r="BE1252" s="3"/>
    </row>
    <row r="1253" spans="1:57" ht="15" customHeight="1" x14ac:dyDescent="0.4">
      <c r="A1253" s="3"/>
      <c r="B1253" s="525" t="s">
        <v>1066</v>
      </c>
      <c r="C1253" s="296"/>
      <c r="D1253" s="526"/>
      <c r="E1253" s="526"/>
      <c r="F1253" s="526"/>
      <c r="G1253" s="527"/>
      <c r="H1253" s="438"/>
      <c r="I1253" s="438" t="s">
        <v>365</v>
      </c>
      <c r="J1253" s="528" t="s">
        <v>346</v>
      </c>
      <c r="K1253" s="438">
        <v>10</v>
      </c>
      <c r="L1253" s="528" t="s">
        <v>348</v>
      </c>
      <c r="M1253" s="768">
        <v>-0.59099999999999997</v>
      </c>
      <c r="N1253" s="530"/>
      <c r="O1253" s="530"/>
      <c r="P1253" s="530"/>
      <c r="Q1253" s="530"/>
      <c r="R1253" s="528" t="s">
        <v>352</v>
      </c>
      <c r="S1253" s="768">
        <f>SHHeight/K1253+M1253</f>
        <v>6.8090000000000002</v>
      </c>
      <c r="T1253" s="528" t="s">
        <v>366</v>
      </c>
      <c r="U1253" s="3"/>
      <c r="V1253" s="3"/>
      <c r="W1253" s="6"/>
      <c r="X1253" s="6"/>
      <c r="Y1253" s="3"/>
      <c r="Z1253" s="3"/>
      <c r="AA1253" s="3"/>
      <c r="AB1253" s="3"/>
      <c r="AC1253" s="5"/>
      <c r="AD1253" s="3"/>
      <c r="AE1253" s="5"/>
      <c r="AF1253" s="4"/>
      <c r="AG1253" s="4"/>
      <c r="AH1253" s="4"/>
      <c r="AI1253" s="51"/>
      <c r="AJ1253" s="51"/>
      <c r="AK1253" s="51"/>
      <c r="AL1253" s="51"/>
      <c r="AM1253" s="39"/>
      <c r="AN1253" s="3"/>
      <c r="AO1253" s="3"/>
      <c r="AP1253" s="3"/>
      <c r="AQ1253" s="3"/>
      <c r="AR1253" s="3"/>
      <c r="AS1253" s="3"/>
      <c r="AT1253" s="3"/>
      <c r="AU1253" s="3"/>
      <c r="AV1253" s="3"/>
      <c r="AW1253" s="3"/>
      <c r="AX1253" s="3"/>
      <c r="AY1253" s="3"/>
      <c r="AZ1253" s="3"/>
      <c r="BA1253" s="3"/>
      <c r="BB1253" s="3"/>
      <c r="BC1253" s="3"/>
      <c r="BD1253" s="3"/>
      <c r="BE1253" s="3"/>
    </row>
    <row r="1254" spans="1:57" ht="15" customHeight="1" x14ac:dyDescent="0.4">
      <c r="A1254" s="3"/>
      <c r="B1254" s="525" t="s">
        <v>1067</v>
      </c>
      <c r="C1254" s="296"/>
      <c r="D1254" s="526"/>
      <c r="E1254" s="526"/>
      <c r="F1254" s="526"/>
      <c r="G1254" s="527"/>
      <c r="H1254" s="438"/>
      <c r="I1254" s="438" t="s">
        <v>365</v>
      </c>
      <c r="J1254" s="528" t="s">
        <v>346</v>
      </c>
      <c r="K1254" s="438">
        <v>-6</v>
      </c>
      <c r="L1254" s="528" t="s">
        <v>348</v>
      </c>
      <c r="M1254" s="768">
        <v>0.98499999999999999</v>
      </c>
      <c r="N1254" s="530"/>
      <c r="O1254" s="530"/>
      <c r="P1254" s="530"/>
      <c r="Q1254" s="530"/>
      <c r="R1254" s="528" t="s">
        <v>352</v>
      </c>
      <c r="S1254" s="768">
        <f>SHHeight/K1254+M1254</f>
        <v>-11.348333333333334</v>
      </c>
      <c r="T1254" s="528" t="s">
        <v>366</v>
      </c>
      <c r="U1254" s="3"/>
      <c r="V1254" s="3"/>
      <c r="W1254" s="6"/>
      <c r="X1254" s="6"/>
      <c r="Y1254" s="3"/>
      <c r="Z1254" s="3"/>
      <c r="AA1254" s="3"/>
      <c r="AB1254" s="3"/>
      <c r="AC1254" s="5"/>
      <c r="AD1254" s="3"/>
      <c r="AE1254" s="5"/>
      <c r="AF1254" s="4"/>
      <c r="AG1254" s="4"/>
      <c r="AH1254" s="4"/>
      <c r="AI1254" s="51"/>
      <c r="AJ1254" s="51"/>
      <c r="AK1254" s="51"/>
      <c r="AL1254" s="51"/>
      <c r="AM1254" s="39"/>
      <c r="AN1254" s="3"/>
      <c r="AO1254" s="3"/>
      <c r="AP1254" s="3"/>
      <c r="AQ1254" s="3"/>
      <c r="AR1254" s="3"/>
      <c r="AS1254" s="3"/>
      <c r="AT1254" s="3"/>
      <c r="AU1254" s="3"/>
      <c r="AV1254" s="3"/>
      <c r="AW1254" s="3"/>
      <c r="AX1254" s="3"/>
      <c r="AY1254" s="3"/>
      <c r="AZ1254" s="3"/>
      <c r="BA1254" s="3"/>
      <c r="BB1254" s="3"/>
      <c r="BC1254" s="3"/>
      <c r="BD1254" s="3"/>
      <c r="BE1254" s="3"/>
    </row>
    <row r="1255" spans="1:57" ht="15" customHeight="1" x14ac:dyDescent="0.4">
      <c r="A1255" s="3"/>
      <c r="B1255" s="525" t="s">
        <v>1068</v>
      </c>
      <c r="C1255" s="296"/>
      <c r="D1255" s="526"/>
      <c r="E1255" s="526"/>
      <c r="F1255" s="526"/>
      <c r="G1255" s="527"/>
      <c r="H1255" s="438"/>
      <c r="I1255" s="438" t="s">
        <v>365</v>
      </c>
      <c r="J1255" s="528" t="s">
        <v>346</v>
      </c>
      <c r="K1255" s="438">
        <v>-10</v>
      </c>
      <c r="L1255" s="528" t="s">
        <v>348</v>
      </c>
      <c r="M1255" s="768">
        <v>0.59099999999999997</v>
      </c>
      <c r="N1255" s="530"/>
      <c r="O1255" s="530"/>
      <c r="P1255" s="530"/>
      <c r="Q1255" s="530"/>
      <c r="R1255" s="528" t="s">
        <v>352</v>
      </c>
      <c r="S1255" s="768">
        <f>SHHeight/K1255+M1255</f>
        <v>-6.8090000000000002</v>
      </c>
      <c r="T1255" s="528" t="s">
        <v>366</v>
      </c>
      <c r="U1255" s="3"/>
      <c r="V1255" s="3"/>
      <c r="W1255" s="6"/>
      <c r="X1255" s="6"/>
      <c r="Y1255" s="3"/>
      <c r="Z1255" s="3"/>
      <c r="AA1255" s="3"/>
      <c r="AB1255" s="3"/>
      <c r="AC1255" s="5"/>
      <c r="AD1255" s="3"/>
      <c r="AE1255" s="5"/>
      <c r="AF1255" s="4"/>
      <c r="AG1255" s="4"/>
      <c r="AH1255" s="4"/>
      <c r="AI1255" s="51"/>
      <c r="AJ1255" s="51"/>
      <c r="AK1255" s="51"/>
      <c r="AL1255" s="51"/>
      <c r="AM1255" s="39"/>
      <c r="AN1255" s="3"/>
      <c r="AO1255" s="3"/>
      <c r="AP1255" s="3"/>
      <c r="AQ1255" s="3"/>
      <c r="AR1255" s="3"/>
      <c r="AS1255" s="3"/>
      <c r="AT1255" s="3"/>
      <c r="AU1255" s="3"/>
      <c r="AV1255" s="3"/>
      <c r="AW1255" s="3"/>
      <c r="AX1255" s="3"/>
      <c r="AY1255" s="3"/>
      <c r="AZ1255" s="3"/>
      <c r="BA1255" s="3"/>
      <c r="BB1255" s="3"/>
      <c r="BC1255" s="3"/>
      <c r="BD1255" s="3"/>
      <c r="BE1255" s="3"/>
    </row>
    <row r="1256" spans="1:57" ht="15" customHeight="1" x14ac:dyDescent="0.4">
      <c r="A1256" s="3"/>
      <c r="B1256" s="525" t="s">
        <v>1069</v>
      </c>
      <c r="C1256" s="296"/>
      <c r="D1256" s="526"/>
      <c r="E1256" s="526"/>
      <c r="F1256" s="526"/>
      <c r="G1256" s="527"/>
      <c r="H1256" s="438"/>
      <c r="I1256" s="438" t="s">
        <v>1064</v>
      </c>
      <c r="J1256" s="528"/>
      <c r="K1256" s="438"/>
      <c r="L1256" s="528" t="s">
        <v>348</v>
      </c>
      <c r="M1256" s="541" t="s">
        <v>1070</v>
      </c>
      <c r="N1256" s="541"/>
      <c r="O1256" s="541"/>
      <c r="P1256" s="530" t="s">
        <v>348</v>
      </c>
      <c r="Q1256" s="768">
        <v>-0.5</v>
      </c>
      <c r="R1256" s="528" t="s">
        <v>352</v>
      </c>
      <c r="S1256" s="768">
        <f>SHDIM_A-SHRSashH+Q1256</f>
        <v>-10.5</v>
      </c>
      <c r="T1256" s="528" t="s">
        <v>366</v>
      </c>
      <c r="U1256" s="3"/>
      <c r="V1256" s="3"/>
      <c r="W1256" s="6"/>
      <c r="X1256" s="6"/>
      <c r="Y1256" s="3"/>
      <c r="Z1256" s="3"/>
      <c r="AA1256" s="3"/>
      <c r="AB1256" s="3"/>
      <c r="AC1256" s="5"/>
      <c r="AD1256" s="3"/>
      <c r="AE1256" s="5"/>
      <c r="AF1256" s="4"/>
      <c r="AG1256" s="4"/>
      <c r="AH1256" s="4"/>
      <c r="AI1256" s="51"/>
      <c r="AJ1256" s="51"/>
      <c r="AK1256" s="51"/>
      <c r="AL1256" s="51"/>
      <c r="AM1256" s="39"/>
      <c r="AN1256" s="3"/>
      <c r="AO1256" s="3"/>
      <c r="AP1256" s="3"/>
      <c r="AQ1256" s="3"/>
      <c r="AR1256" s="3"/>
      <c r="AS1256" s="3"/>
      <c r="AT1256" s="3"/>
      <c r="AU1256" s="3"/>
      <c r="AV1256" s="3"/>
      <c r="AW1256" s="3"/>
      <c r="AX1256" s="3"/>
      <c r="AY1256" s="3"/>
      <c r="AZ1256" s="3"/>
      <c r="BA1256" s="3"/>
      <c r="BB1256" s="3"/>
      <c r="BC1256" s="3"/>
      <c r="BD1256" s="3"/>
      <c r="BE1256" s="3"/>
    </row>
    <row r="1257" spans="1:57" ht="15" customHeight="1" x14ac:dyDescent="0.4">
      <c r="A1257" s="3"/>
      <c r="B1257" s="525" t="s">
        <v>1071</v>
      </c>
      <c r="C1257" s="296"/>
      <c r="D1257" s="526"/>
      <c r="E1257" s="526"/>
      <c r="F1257" s="526"/>
      <c r="G1257" s="527"/>
      <c r="H1257" s="438"/>
      <c r="I1257" s="438" t="s">
        <v>1064</v>
      </c>
      <c r="J1257" s="528"/>
      <c r="K1257" s="438"/>
      <c r="L1257" s="528" t="s">
        <v>348</v>
      </c>
      <c r="M1257" s="541" t="s">
        <v>1070</v>
      </c>
      <c r="N1257" s="541"/>
      <c r="O1257" s="541"/>
      <c r="P1257" s="530" t="s">
        <v>348</v>
      </c>
      <c r="Q1257" s="768">
        <v>-1</v>
      </c>
      <c r="R1257" s="528" t="s">
        <v>352</v>
      </c>
      <c r="S1257" s="768">
        <f>SHDIM_A-SHRSashH+Q1257</f>
        <v>-11</v>
      </c>
      <c r="T1257" s="528" t="s">
        <v>366</v>
      </c>
      <c r="U1257" s="3"/>
      <c r="V1257" s="3"/>
      <c r="W1257" s="6"/>
      <c r="X1257" s="6"/>
      <c r="Y1257" s="3"/>
      <c r="Z1257" s="3"/>
      <c r="AA1257" s="3"/>
      <c r="AB1257" s="3"/>
      <c r="AC1257" s="5"/>
      <c r="AD1257" s="3"/>
      <c r="AE1257" s="5"/>
      <c r="AF1257" s="4"/>
      <c r="AG1257" s="4"/>
      <c r="AH1257" s="4"/>
      <c r="AI1257" s="51"/>
      <c r="AJ1257" s="51"/>
      <c r="AK1257" s="51"/>
      <c r="AL1257" s="51"/>
      <c r="AM1257" s="39"/>
      <c r="AN1257" s="3"/>
      <c r="AO1257" s="3"/>
      <c r="AP1257" s="3"/>
      <c r="AQ1257" s="3"/>
      <c r="AR1257" s="3"/>
      <c r="AS1257" s="3"/>
      <c r="AT1257" s="3"/>
      <c r="AU1257" s="3"/>
      <c r="AV1257" s="3"/>
      <c r="AW1257" s="3"/>
      <c r="AX1257" s="3"/>
      <c r="AY1257" s="3"/>
      <c r="AZ1257" s="3"/>
      <c r="BA1257" s="3"/>
      <c r="BB1257" s="3"/>
      <c r="BC1257" s="3"/>
      <c r="BD1257" s="3"/>
      <c r="BE1257" s="3"/>
    </row>
    <row r="1258" spans="1:57" ht="15" customHeight="1" x14ac:dyDescent="0.4">
      <c r="A1258" s="3"/>
      <c r="B1258" s="525" t="s">
        <v>1072</v>
      </c>
      <c r="C1258" s="296"/>
      <c r="D1258" s="526"/>
      <c r="E1258" s="526"/>
      <c r="F1258" s="526"/>
      <c r="G1258" s="527"/>
      <c r="H1258" s="438"/>
      <c r="I1258" s="788" t="s">
        <v>1061</v>
      </c>
      <c r="J1258" s="528"/>
      <c r="K1258" s="438"/>
      <c r="L1258" s="528" t="s">
        <v>348</v>
      </c>
      <c r="M1258" s="769">
        <v>0.5</v>
      </c>
      <c r="N1258" s="770"/>
      <c r="O1258" s="770"/>
      <c r="P1258" s="530" t="s">
        <v>456</v>
      </c>
      <c r="Q1258" s="438" t="s">
        <v>1064</v>
      </c>
      <c r="R1258" s="528" t="s">
        <v>352</v>
      </c>
      <c r="S1258" s="768">
        <f>SHRSashH+M1258-SHDIM_A</f>
        <v>10.5</v>
      </c>
      <c r="T1258" s="528" t="s">
        <v>366</v>
      </c>
      <c r="U1258" s="3"/>
      <c r="V1258" s="3"/>
      <c r="W1258" s="6"/>
      <c r="X1258" s="6"/>
      <c r="Y1258" s="3"/>
      <c r="Z1258" s="3"/>
      <c r="AA1258" s="3"/>
      <c r="AB1258" s="3"/>
      <c r="AC1258" s="5"/>
      <c r="AD1258" s="3"/>
      <c r="AE1258" s="5"/>
      <c r="AF1258" s="4"/>
      <c r="AG1258" s="4"/>
      <c r="AH1258" s="4"/>
      <c r="AI1258" s="51"/>
      <c r="AJ1258" s="51"/>
      <c r="AK1258" s="51"/>
      <c r="AL1258" s="51"/>
      <c r="AM1258" s="39"/>
      <c r="AN1258" s="3"/>
      <c r="AO1258" s="3"/>
      <c r="AP1258" s="3"/>
      <c r="AQ1258" s="3"/>
      <c r="AR1258" s="3"/>
      <c r="AS1258" s="3"/>
      <c r="AT1258" s="3"/>
      <c r="AU1258" s="3"/>
      <c r="AV1258" s="3"/>
      <c r="AW1258" s="3"/>
      <c r="AX1258" s="3"/>
      <c r="AY1258" s="3"/>
      <c r="AZ1258" s="3"/>
      <c r="BA1258" s="3"/>
      <c r="BB1258" s="3"/>
      <c r="BC1258" s="3"/>
      <c r="BD1258" s="3"/>
      <c r="BE1258" s="3"/>
    </row>
    <row r="1259" spans="1:57" ht="15" customHeight="1" x14ac:dyDescent="0.4">
      <c r="A1259" s="3"/>
      <c r="B1259" s="525" t="s">
        <v>1073</v>
      </c>
      <c r="C1259" s="296"/>
      <c r="D1259" s="526"/>
      <c r="E1259" s="526"/>
      <c r="F1259" s="526"/>
      <c r="G1259" s="527"/>
      <c r="H1259" s="438"/>
      <c r="I1259" s="788" t="s">
        <v>1061</v>
      </c>
      <c r="J1259" s="528"/>
      <c r="K1259" s="438"/>
      <c r="L1259" s="528"/>
      <c r="M1259" s="770"/>
      <c r="N1259" s="770"/>
      <c r="O1259" s="770"/>
      <c r="P1259" s="530" t="s">
        <v>456</v>
      </c>
      <c r="Q1259" s="438" t="s">
        <v>1064</v>
      </c>
      <c r="R1259" s="528" t="s">
        <v>352</v>
      </c>
      <c r="S1259" s="768">
        <f>SHRSashH-SHDIM_A</f>
        <v>10</v>
      </c>
      <c r="T1259" s="528" t="s">
        <v>366</v>
      </c>
      <c r="U1259" s="3"/>
      <c r="V1259" s="3"/>
      <c r="W1259" s="6"/>
      <c r="X1259" s="6"/>
      <c r="Y1259" s="3"/>
      <c r="Z1259" s="3"/>
      <c r="AA1259" s="3"/>
      <c r="AB1259" s="3"/>
      <c r="AC1259" s="5"/>
      <c r="AD1259" s="3"/>
      <c r="AE1259" s="5"/>
      <c r="AF1259" s="4"/>
      <c r="AG1259" s="4"/>
      <c r="AH1259" s="4"/>
      <c r="AI1259" s="51"/>
      <c r="AJ1259" s="51"/>
      <c r="AK1259" s="51"/>
      <c r="AL1259" s="51"/>
      <c r="AM1259" s="39"/>
      <c r="AN1259" s="3"/>
      <c r="AO1259" s="3"/>
      <c r="AP1259" s="3"/>
      <c r="AQ1259" s="3"/>
      <c r="AR1259" s="3"/>
      <c r="AS1259" s="3"/>
      <c r="AT1259" s="3"/>
      <c r="AU1259" s="3"/>
      <c r="AV1259" s="3"/>
      <c r="AW1259" s="3"/>
      <c r="AX1259" s="3"/>
      <c r="AY1259" s="3"/>
      <c r="AZ1259" s="3"/>
      <c r="BA1259" s="3"/>
      <c r="BB1259" s="3"/>
      <c r="BC1259" s="3"/>
      <c r="BD1259" s="3"/>
      <c r="BE1259" s="3"/>
    </row>
    <row r="1260" spans="1:57" ht="15" customHeight="1" x14ac:dyDescent="0.4">
      <c r="A1260" s="3"/>
      <c r="B1260" s="4"/>
      <c r="C1260" s="3"/>
      <c r="D1260" s="452"/>
      <c r="E1260" s="452"/>
      <c r="F1260" s="452"/>
      <c r="G1260" s="453"/>
      <c r="H1260" s="3"/>
      <c r="I1260" s="443"/>
      <c r="J1260" s="376"/>
      <c r="K1260" s="3"/>
      <c r="L1260" s="376"/>
      <c r="M1260" s="5"/>
      <c r="N1260" s="5"/>
      <c r="O1260" s="5"/>
      <c r="P1260" s="5"/>
      <c r="Q1260" s="5"/>
      <c r="R1260" s="376"/>
      <c r="S1260" s="5">
        <f>LOOKUP(E7,$B$1249:$B$1259,$S$1249:$S$1259)</f>
        <v>0</v>
      </c>
      <c r="T1260" s="3"/>
      <c r="U1260" s="3"/>
      <c r="V1260" s="3"/>
      <c r="W1260" s="6"/>
      <c r="X1260" s="6"/>
      <c r="Y1260" s="3"/>
      <c r="Z1260" s="3"/>
      <c r="AA1260" s="3"/>
      <c r="AB1260" s="3"/>
      <c r="AC1260" s="5"/>
      <c r="AD1260" s="3"/>
      <c r="AE1260" s="5"/>
      <c r="AF1260" s="4"/>
      <c r="AG1260" s="4"/>
      <c r="AH1260" s="4"/>
      <c r="AI1260" s="51"/>
      <c r="AJ1260" s="51"/>
      <c r="AK1260" s="51"/>
      <c r="AL1260" s="51"/>
      <c r="AM1260" s="39"/>
      <c r="AN1260" s="3"/>
      <c r="AO1260" s="3"/>
      <c r="AP1260" s="3"/>
      <c r="AQ1260" s="3"/>
      <c r="AR1260" s="3"/>
      <c r="AS1260" s="3"/>
      <c r="AT1260" s="3"/>
      <c r="AU1260" s="3"/>
      <c r="AV1260" s="3"/>
      <c r="AW1260" s="3"/>
      <c r="AX1260" s="3"/>
      <c r="AY1260" s="3"/>
      <c r="AZ1260" s="3"/>
      <c r="BA1260" s="3"/>
      <c r="BB1260" s="3"/>
      <c r="BC1260" s="3"/>
      <c r="BD1260" s="3"/>
      <c r="BE1260" s="3"/>
    </row>
    <row r="1261" spans="1:57" ht="15" customHeight="1" x14ac:dyDescent="0.4">
      <c r="A1261" s="3"/>
      <c r="B1261" s="4"/>
      <c r="C1261" s="299"/>
      <c r="D1261" s="452"/>
      <c r="E1261" s="452"/>
      <c r="F1261" s="452"/>
      <c r="G1261" s="453"/>
      <c r="H1261" s="3"/>
      <c r="I1261" s="443"/>
      <c r="J1261" s="376"/>
      <c r="K1261" s="3"/>
      <c r="L1261" s="376"/>
      <c r="M1261" s="5"/>
      <c r="N1261" s="5"/>
      <c r="O1261" s="5"/>
      <c r="P1261" s="5"/>
      <c r="Q1261" s="5"/>
      <c r="R1261" s="461" t="s">
        <v>1074</v>
      </c>
      <c r="S1261" s="535">
        <f>SIGN(SHCO)*INT(ABS(SHCO*16))/16</f>
        <v>0</v>
      </c>
      <c r="T1261" s="1134" t="s">
        <v>1075</v>
      </c>
      <c r="U1261" s="3"/>
      <c r="V1261" s="3"/>
      <c r="W1261" s="6"/>
      <c r="X1261" s="6"/>
      <c r="Y1261" s="3"/>
      <c r="Z1261" s="3"/>
      <c r="AA1261" s="3"/>
      <c r="AB1261" s="3"/>
      <c r="AC1261" s="5"/>
      <c r="AD1261" s="3"/>
      <c r="AE1261" s="5"/>
      <c r="AF1261" s="4"/>
      <c r="AG1261" s="4"/>
      <c r="AH1261" s="4"/>
      <c r="AI1261" s="51"/>
      <c r="AJ1261" s="51"/>
      <c r="AK1261" s="51"/>
      <c r="AL1261" s="51"/>
      <c r="AM1261" s="39"/>
      <c r="AN1261" s="3"/>
      <c r="AO1261" s="3"/>
      <c r="AP1261" s="3"/>
      <c r="AQ1261" s="3"/>
      <c r="AR1261" s="3"/>
      <c r="AS1261" s="3"/>
      <c r="AT1261" s="3"/>
      <c r="AU1261" s="3"/>
      <c r="AV1261" s="3"/>
      <c r="AW1261" s="3"/>
      <c r="AX1261" s="3"/>
      <c r="AY1261" s="3"/>
      <c r="AZ1261" s="3"/>
      <c r="BA1261" s="3"/>
      <c r="BB1261" s="3"/>
      <c r="BC1261" s="3"/>
      <c r="BD1261" s="3"/>
      <c r="BE1261" s="3"/>
    </row>
    <row r="1262" spans="1:57" ht="15" customHeight="1" x14ac:dyDescent="0.4">
      <c r="A1262" s="3"/>
      <c r="B1262" s="4"/>
      <c r="C1262" s="8"/>
      <c r="D1262" s="4"/>
      <c r="E1262" s="4"/>
      <c r="F1262" s="4"/>
      <c r="G1262" s="4"/>
      <c r="H1262" s="3"/>
      <c r="I1262" s="3"/>
      <c r="J1262" s="3"/>
      <c r="K1262" s="3"/>
      <c r="L1262" s="3"/>
      <c r="M1262" s="5"/>
      <c r="N1262" s="5"/>
      <c r="O1262" s="5"/>
      <c r="P1262" s="5"/>
      <c r="Q1262" s="5"/>
      <c r="R1262" s="3"/>
      <c r="S1262" s="5"/>
      <c r="T1262" s="3"/>
      <c r="U1262" s="3"/>
      <c r="V1262" s="3"/>
      <c r="W1262" s="3"/>
      <c r="X1262" s="3"/>
      <c r="Y1262" s="3"/>
      <c r="Z1262" s="3"/>
      <c r="AA1262" s="3"/>
      <c r="AB1262" s="3"/>
      <c r="AC1262" s="3"/>
      <c r="AD1262" s="3"/>
      <c r="AE1262" s="5"/>
      <c r="AF1262" s="5"/>
      <c r="AG1262" s="5"/>
      <c r="AH1262" s="5"/>
      <c r="AI1262" s="51"/>
      <c r="AJ1262" s="51"/>
      <c r="AK1262" s="51"/>
      <c r="AL1262" s="51"/>
      <c r="AM1262" s="39"/>
      <c r="AN1262" s="3"/>
      <c r="AO1262" s="3"/>
      <c r="AP1262" s="3"/>
      <c r="AQ1262" s="3"/>
      <c r="AR1262" s="3"/>
      <c r="AS1262" s="3"/>
      <c r="AT1262" s="3"/>
      <c r="AU1262" s="3"/>
      <c r="AV1262" s="3"/>
      <c r="AW1262" s="3"/>
      <c r="AX1262" s="3"/>
      <c r="AY1262" s="3"/>
      <c r="AZ1262" s="3"/>
      <c r="BA1262" s="3"/>
      <c r="BB1262" s="3"/>
      <c r="BC1262" s="3"/>
      <c r="BD1262" s="3"/>
      <c r="BE1262" s="3"/>
    </row>
    <row r="1263" spans="1:57" ht="15" customHeight="1" x14ac:dyDescent="0.4">
      <c r="A1263" s="3"/>
      <c r="B1263" s="4"/>
      <c r="C1263" s="8"/>
      <c r="D1263" s="4"/>
      <c r="E1263" s="4"/>
      <c r="F1263" s="4"/>
      <c r="G1263" s="4"/>
      <c r="H1263" s="3"/>
      <c r="I1263" s="3"/>
      <c r="J1263" s="3"/>
      <c r="K1263" s="3"/>
      <c r="L1263" s="3"/>
      <c r="M1263" s="5"/>
      <c r="N1263" s="5"/>
      <c r="O1263" s="5"/>
      <c r="P1263" s="5"/>
      <c r="Q1263" s="5"/>
      <c r="R1263" s="3"/>
      <c r="S1263" s="5"/>
      <c r="T1263" s="3"/>
      <c r="U1263" s="3"/>
      <c r="V1263" s="3"/>
      <c r="W1263" s="3"/>
      <c r="X1263" s="3"/>
      <c r="Y1263" s="3"/>
      <c r="Z1263" s="3"/>
      <c r="AA1263" s="3"/>
      <c r="AB1263" s="3"/>
      <c r="AC1263" s="3"/>
      <c r="AD1263" s="3"/>
      <c r="AE1263" s="5"/>
      <c r="AF1263" s="5"/>
      <c r="AG1263" s="5"/>
      <c r="AH1263" s="5"/>
      <c r="AI1263" s="51"/>
      <c r="AJ1263" s="51"/>
      <c r="AK1263" s="51"/>
      <c r="AL1263" s="51"/>
      <c r="AM1263" s="39"/>
      <c r="AN1263" s="3"/>
      <c r="AO1263" s="3"/>
      <c r="AP1263" s="3"/>
      <c r="AQ1263" s="3"/>
      <c r="AR1263" s="3"/>
      <c r="AS1263" s="3"/>
      <c r="AT1263" s="3"/>
      <c r="AU1263" s="3"/>
      <c r="AV1263" s="3"/>
      <c r="AW1263" s="3"/>
      <c r="AX1263" s="3"/>
      <c r="AY1263" s="3"/>
      <c r="AZ1263" s="3"/>
      <c r="BA1263" s="3"/>
      <c r="BB1263" s="3"/>
      <c r="BC1263" s="3"/>
      <c r="BD1263" s="3"/>
      <c r="BE1263" s="3"/>
    </row>
    <row r="1264" spans="1:57" ht="15" customHeight="1" x14ac:dyDescent="0.4">
      <c r="A1264" s="3"/>
      <c r="B1264" s="4"/>
      <c r="C1264" s="8"/>
      <c r="D1264" s="4"/>
      <c r="E1264" s="4"/>
      <c r="F1264" s="4"/>
      <c r="G1264" s="4"/>
      <c r="H1264" s="3"/>
      <c r="I1264" s="3"/>
      <c r="J1264" s="3"/>
      <c r="K1264" s="3"/>
      <c r="L1264" s="3"/>
      <c r="M1264" s="5"/>
      <c r="N1264" s="5"/>
      <c r="O1264" s="5"/>
      <c r="P1264" s="5"/>
      <c r="Q1264" s="5"/>
      <c r="R1264" s="3"/>
      <c r="S1264" s="5"/>
      <c r="T1264" s="3"/>
      <c r="U1264" s="3"/>
      <c r="V1264" s="3"/>
      <c r="W1264" s="3"/>
      <c r="X1264" s="3"/>
      <c r="Y1264" s="3"/>
      <c r="Z1264" s="3"/>
      <c r="AA1264" s="3"/>
      <c r="AB1264" s="3"/>
      <c r="AC1264" s="3"/>
      <c r="AD1264" s="3"/>
      <c r="AE1264" s="5"/>
      <c r="AF1264" s="5"/>
      <c r="AG1264" s="5"/>
      <c r="AH1264" s="5"/>
      <c r="AI1264" s="51"/>
      <c r="AJ1264" s="51"/>
      <c r="AK1264" s="51"/>
      <c r="AL1264" s="51"/>
      <c r="AM1264" s="39"/>
      <c r="AN1264" s="3"/>
      <c r="AO1264" s="3"/>
      <c r="AP1264" s="3"/>
      <c r="AQ1264" s="3"/>
      <c r="AR1264" s="3"/>
      <c r="AS1264" s="3"/>
      <c r="AT1264" s="3"/>
      <c r="AU1264" s="3"/>
      <c r="AV1264" s="3"/>
      <c r="AW1264" s="3"/>
      <c r="AX1264" s="3"/>
      <c r="AY1264" s="3"/>
      <c r="AZ1264" s="3"/>
      <c r="BA1264" s="3"/>
      <c r="BB1264" s="3"/>
      <c r="BC1264" s="3"/>
      <c r="BD1264" s="3"/>
      <c r="BE1264" s="3"/>
    </row>
    <row r="1265" spans="1:57" ht="15" customHeight="1" x14ac:dyDescent="0.4">
      <c r="A1265" s="3"/>
      <c r="B1265" s="4"/>
      <c r="C1265" s="561" t="s">
        <v>2152</v>
      </c>
      <c r="D1265" s="4"/>
      <c r="E1265" s="4"/>
      <c r="F1265" s="4"/>
      <c r="G1265" s="4"/>
      <c r="H1265" s="3"/>
      <c r="I1265" s="3"/>
      <c r="J1265" s="3"/>
      <c r="K1265" s="3"/>
      <c r="L1265" s="3"/>
      <c r="M1265" s="561" t="s">
        <v>2154</v>
      </c>
      <c r="N1265" s="5"/>
      <c r="O1265" s="5"/>
      <c r="P1265" s="5"/>
      <c r="Q1265" s="5"/>
      <c r="R1265" s="3"/>
      <c r="S1265" s="5"/>
      <c r="T1265" s="3"/>
      <c r="U1265" s="3"/>
      <c r="V1265" s="3"/>
      <c r="W1265" s="3"/>
      <c r="X1265" s="3"/>
      <c r="Y1265" s="3"/>
      <c r="Z1265" s="3"/>
      <c r="AA1265" s="3"/>
      <c r="AB1265" s="3"/>
      <c r="AC1265" s="3"/>
      <c r="AD1265" s="3"/>
      <c r="AE1265" s="5"/>
      <c r="AF1265" s="5"/>
      <c r="AG1265" s="5"/>
      <c r="AH1265" s="5"/>
      <c r="AI1265" s="51"/>
      <c r="AJ1265" s="51"/>
      <c r="AK1265" s="51"/>
      <c r="AL1265" s="51"/>
      <c r="AM1265" s="39"/>
      <c r="AN1265" s="3"/>
      <c r="AO1265" s="3"/>
      <c r="AP1265" s="3"/>
      <c r="AQ1265" s="3"/>
      <c r="AR1265" s="3"/>
      <c r="AS1265" s="3"/>
      <c r="AT1265" s="3"/>
      <c r="AU1265" s="3"/>
      <c r="AV1265" s="3"/>
      <c r="AW1265" s="3"/>
      <c r="AX1265" s="3"/>
      <c r="AY1265" s="3"/>
      <c r="AZ1265" s="3"/>
      <c r="BA1265" s="3"/>
      <c r="BB1265" s="3"/>
      <c r="BC1265" s="3"/>
      <c r="BD1265" s="3"/>
      <c r="BE1265" s="3"/>
    </row>
    <row r="1266" spans="1:57" ht="15" customHeight="1" thickBot="1" x14ac:dyDescent="0.45">
      <c r="A1266" s="3"/>
      <c r="B1266" s="4"/>
      <c r="C1266" s="452" t="s">
        <v>2112</v>
      </c>
      <c r="D1266" s="36" t="s">
        <v>2113</v>
      </c>
      <c r="E1266" s="3"/>
      <c r="F1266" s="3"/>
      <c r="G1266" s="3"/>
      <c r="H1266" s="3"/>
      <c r="I1266" s="3"/>
      <c r="J1266" s="3"/>
      <c r="K1266" s="3"/>
      <c r="L1266" s="3"/>
      <c r="M1266" s="771" t="s">
        <v>1076</v>
      </c>
      <c r="N1266" s="5"/>
      <c r="O1266" s="5"/>
      <c r="P1266" s="5"/>
      <c r="Q1266" s="5"/>
      <c r="R1266" s="3"/>
      <c r="S1266" s="5"/>
      <c r="T1266" s="3"/>
      <c r="U1266" s="3"/>
      <c r="V1266" s="3"/>
      <c r="W1266" s="3"/>
      <c r="X1266" s="3"/>
      <c r="Y1266" s="3"/>
      <c r="Z1266" s="3"/>
      <c r="AA1266" s="3"/>
      <c r="AB1266" s="3"/>
      <c r="AC1266" s="3"/>
      <c r="AD1266" s="3"/>
      <c r="AE1266" s="5"/>
      <c r="AF1266" s="5"/>
      <c r="AG1266" s="5"/>
      <c r="AH1266" s="5"/>
      <c r="AI1266" s="51"/>
      <c r="AJ1266" s="51"/>
      <c r="AK1266" s="51"/>
      <c r="AL1266" s="51"/>
      <c r="AM1266" s="39"/>
      <c r="AN1266" s="3"/>
      <c r="AO1266" s="3"/>
      <c r="AP1266" s="3"/>
      <c r="AQ1266" s="3"/>
      <c r="AR1266" s="3"/>
      <c r="AS1266" s="3"/>
      <c r="AT1266" s="3"/>
      <c r="AU1266" s="3"/>
      <c r="AV1266" s="3"/>
      <c r="AW1266" s="3"/>
      <c r="AX1266" s="3"/>
      <c r="AY1266" s="3"/>
      <c r="AZ1266" s="3"/>
      <c r="BA1266" s="3"/>
      <c r="BB1266" s="3"/>
      <c r="BC1266" s="3"/>
      <c r="BD1266" s="3"/>
      <c r="BE1266" s="3"/>
    </row>
    <row r="1267" spans="1:57" ht="15" customHeight="1" x14ac:dyDescent="0.4">
      <c r="A1267" s="3"/>
      <c r="B1267" s="3">
        <v>1</v>
      </c>
      <c r="C1267" s="772">
        <f>IF('SH Sash &amp; unit Weight'!D61&lt;&gt;"",'SH Sash &amp; unit Weight'!D61,"")</f>
        <v>1.7361111111111112E-2</v>
      </c>
      <c r="D1267" s="1547" t="str">
        <f>IF('SH Sash &amp; unit Weight'!F61&lt;&gt;"",'SH Sash &amp; unit Weight'!F61,"")</f>
        <v>01-Double: 2.5mm &amp; 2.5mm</v>
      </c>
      <c r="E1267" s="1548"/>
      <c r="F1267" s="1548"/>
      <c r="G1267" s="773"/>
      <c r="H1267" s="3"/>
      <c r="I1267" s="5"/>
      <c r="J1267" s="5"/>
      <c r="K1267" s="3"/>
      <c r="L1267" s="3"/>
      <c r="M1267" s="1147" t="s">
        <v>1077</v>
      </c>
      <c r="N1267" s="5"/>
      <c r="O1267" s="5"/>
      <c r="P1267" s="5"/>
      <c r="Q1267" s="5"/>
      <c r="R1267" s="3"/>
      <c r="S1267" s="5"/>
      <c r="T1267" s="3"/>
      <c r="U1267" s="3"/>
      <c r="V1267" s="3"/>
      <c r="W1267" s="3"/>
      <c r="X1267" s="3"/>
      <c r="Y1267" s="3"/>
      <c r="Z1267" s="3"/>
      <c r="AA1267" s="3"/>
      <c r="AB1267" s="3"/>
      <c r="AC1267" s="3"/>
      <c r="AD1267" s="3"/>
      <c r="AE1267" s="5"/>
      <c r="AF1267" s="5"/>
      <c r="AG1267" s="5"/>
      <c r="AH1267" s="5"/>
      <c r="AI1267" s="51"/>
      <c r="AJ1267" s="51"/>
      <c r="AK1267" s="51"/>
      <c r="AL1267" s="51"/>
      <c r="AM1267" s="39"/>
      <c r="AN1267" s="3"/>
      <c r="AO1267" s="3"/>
      <c r="AP1267" s="3"/>
      <c r="AQ1267" s="3"/>
      <c r="AR1267" s="3"/>
      <c r="AS1267" s="3"/>
      <c r="AT1267" s="3"/>
      <c r="AU1267" s="3"/>
      <c r="AV1267" s="3"/>
      <c r="AW1267" s="3"/>
      <c r="AX1267" s="3"/>
      <c r="AY1267" s="3"/>
      <c r="AZ1267" s="3"/>
      <c r="BA1267" s="3"/>
      <c r="BB1267" s="3"/>
      <c r="BC1267" s="3"/>
      <c r="BD1267" s="3"/>
      <c r="BE1267" s="3"/>
    </row>
    <row r="1268" spans="1:57" ht="15" customHeight="1" thickBot="1" x14ac:dyDescent="0.45">
      <c r="A1268" s="3"/>
      <c r="B1268" s="3">
        <v>2</v>
      </c>
      <c r="C1268" s="774">
        <f>IF('SH Sash &amp; unit Weight'!D62&lt;&gt;"",'SH Sash &amp; unit Weight'!D62,"")</f>
        <v>2.3194444444444445E-2</v>
      </c>
      <c r="D1268" s="351" t="str">
        <f>IF('SH Sash &amp; unit Weight'!F62&lt;&gt;"",'SH Sash &amp; unit Weight'!F62,"")</f>
        <v>02-Double: 3mm &amp; 3mm</v>
      </c>
      <c r="E1268" s="352"/>
      <c r="F1268" s="352"/>
      <c r="G1268" s="775"/>
      <c r="H1268" s="3"/>
      <c r="I1268" s="5"/>
      <c r="J1268" s="5"/>
      <c r="K1268" s="3"/>
      <c r="L1268" s="3"/>
      <c r="M1268" s="1148" t="s">
        <v>326</v>
      </c>
      <c r="N1268" s="5"/>
      <c r="O1268" s="5"/>
      <c r="P1268" s="5"/>
      <c r="Q1268" s="5"/>
      <c r="R1268" s="3"/>
      <c r="S1268" s="5"/>
      <c r="T1268" s="3"/>
      <c r="U1268" s="3"/>
      <c r="V1268" s="3"/>
      <c r="W1268" s="3"/>
      <c r="X1268" s="3"/>
      <c r="Y1268" s="3"/>
      <c r="Z1268" s="3"/>
      <c r="AA1268" s="3"/>
      <c r="AB1268" s="3"/>
      <c r="AC1268" s="3"/>
      <c r="AD1268" s="3"/>
      <c r="AE1268" s="5"/>
      <c r="AF1268" s="5"/>
      <c r="AG1268" s="5"/>
      <c r="AH1268" s="5"/>
      <c r="AI1268" s="51"/>
      <c r="AJ1268" s="51"/>
      <c r="AK1268" s="51"/>
      <c r="AL1268" s="51"/>
      <c r="AM1268" s="39"/>
      <c r="AN1268" s="3"/>
      <c r="AO1268" s="3"/>
      <c r="AP1268" s="3"/>
      <c r="AQ1268" s="3"/>
      <c r="AR1268" s="3"/>
      <c r="AS1268" s="3"/>
      <c r="AT1268" s="3"/>
      <c r="AU1268" s="3"/>
      <c r="AV1268" s="3"/>
      <c r="AW1268" s="3"/>
      <c r="AX1268" s="3"/>
      <c r="AY1268" s="3"/>
      <c r="AZ1268" s="3"/>
      <c r="BA1268" s="3"/>
      <c r="BB1268" s="3"/>
      <c r="BC1268" s="3"/>
      <c r="BD1268" s="3"/>
      <c r="BE1268" s="3"/>
    </row>
    <row r="1269" spans="1:57" ht="15" customHeight="1" x14ac:dyDescent="0.4">
      <c r="A1269" s="3"/>
      <c r="B1269" s="3">
        <v>3</v>
      </c>
      <c r="C1269" s="774">
        <f>IF('SH Sash &amp; unit Weight'!D63&lt;&gt;"",'SH Sash &amp; unit Weight'!D63,"")</f>
        <v>2.6249999999999999E-2</v>
      </c>
      <c r="D1269" s="351" t="str">
        <f>IF('SH Sash &amp; unit Weight'!F63&lt;&gt;"",'SH Sash &amp; unit Weight'!F63,"")</f>
        <v>03-Double: 3mm &amp; 4mm</v>
      </c>
      <c r="E1269" s="352"/>
      <c r="F1269" s="352"/>
      <c r="G1269" s="775"/>
      <c r="H1269" s="3"/>
      <c r="I1269" s="5"/>
      <c r="J1269" s="5"/>
      <c r="K1269" s="3"/>
      <c r="L1269" s="3"/>
      <c r="M1269" s="561" t="s">
        <v>2154</v>
      </c>
      <c r="N1269" s="5"/>
      <c r="O1269" s="5"/>
      <c r="P1269" s="5"/>
      <c r="Q1269" s="5"/>
      <c r="R1269" s="3"/>
      <c r="S1269" s="5"/>
      <c r="T1269" s="3"/>
      <c r="U1269" s="3"/>
      <c r="V1269" s="3"/>
      <c r="W1269" s="3"/>
      <c r="X1269" s="3"/>
      <c r="Y1269" s="3"/>
      <c r="Z1269" s="3"/>
      <c r="AA1269" s="3"/>
      <c r="AB1269" s="3"/>
      <c r="AC1269" s="5"/>
      <c r="AD1269" s="5"/>
      <c r="AE1269" s="5"/>
      <c r="AF1269" s="5"/>
      <c r="AG1269" s="51"/>
      <c r="AH1269" s="39"/>
      <c r="AI1269" s="51"/>
      <c r="AJ1269" s="5"/>
      <c r="AK1269" s="5"/>
      <c r="AL1269" s="5"/>
      <c r="AM1269" s="3"/>
      <c r="AN1269" s="3"/>
      <c r="AO1269" s="3"/>
      <c r="AP1269" s="3"/>
      <c r="AQ1269" s="3"/>
      <c r="AR1269" s="3"/>
      <c r="AS1269" s="3"/>
      <c r="AT1269" s="3"/>
      <c r="AU1269" s="3"/>
      <c r="AV1269" s="3"/>
      <c r="AW1269" s="3"/>
      <c r="AX1269" s="3"/>
      <c r="AY1269" s="3"/>
      <c r="AZ1269" s="3"/>
      <c r="BA1269" s="3"/>
      <c r="BB1269" s="3"/>
      <c r="BC1269" s="3"/>
      <c r="BD1269" s="3"/>
      <c r="BE1269" s="3"/>
    </row>
    <row r="1270" spans="1:57" ht="15" customHeight="1" x14ac:dyDescent="0.4">
      <c r="A1270" s="3"/>
      <c r="B1270" s="3">
        <v>4</v>
      </c>
      <c r="C1270" s="774">
        <f>IF('SH Sash &amp; unit Weight'!D64&lt;&gt;"",'SH Sash &amp; unit Weight'!D64,"")</f>
        <v>2.8958333333333332E-2</v>
      </c>
      <c r="D1270" s="351" t="str">
        <f>IF('SH Sash &amp; unit Weight'!F64&lt;&gt;"",'SH Sash &amp; unit Weight'!F64,"")</f>
        <v>04-Double: 3mm &amp; 5mm - Regal</v>
      </c>
      <c r="E1270" s="352"/>
      <c r="F1270" s="352"/>
      <c r="G1270" s="775"/>
      <c r="H1270" s="3"/>
      <c r="I1270" s="5"/>
      <c r="J1270" s="5"/>
      <c r="K1270" s="3"/>
      <c r="L1270" s="3"/>
      <c r="M1270" s="5"/>
      <c r="N1270" s="5"/>
      <c r="O1270" s="5"/>
      <c r="P1270" s="5"/>
      <c r="Q1270" s="5"/>
      <c r="R1270" s="3"/>
      <c r="S1270" s="5"/>
      <c r="T1270" s="3"/>
      <c r="U1270" s="3"/>
      <c r="V1270" s="3"/>
      <c r="W1270" s="3"/>
      <c r="X1270" s="3"/>
      <c r="Y1270" s="3"/>
      <c r="Z1270" s="3"/>
      <c r="AA1270" s="3"/>
      <c r="AB1270" s="3"/>
      <c r="AC1270" s="5"/>
      <c r="AD1270" s="5"/>
      <c r="AE1270" s="5"/>
      <c r="AF1270" s="5"/>
      <c r="AG1270" s="51"/>
      <c r="AH1270" s="39"/>
      <c r="AI1270" s="51"/>
      <c r="AJ1270" s="5"/>
      <c r="AK1270" s="5"/>
      <c r="AL1270" s="5"/>
      <c r="AM1270" s="3"/>
      <c r="AN1270" s="3"/>
      <c r="AO1270" s="3"/>
      <c r="AP1270" s="3"/>
      <c r="AQ1270" s="3"/>
      <c r="AR1270" s="3"/>
      <c r="AS1270" s="3"/>
      <c r="AT1270" s="3"/>
      <c r="AU1270" s="3"/>
      <c r="AV1270" s="3"/>
      <c r="AW1270" s="3"/>
      <c r="AX1270" s="3"/>
      <c r="AY1270" s="3"/>
      <c r="AZ1270" s="3"/>
      <c r="BA1270" s="3"/>
      <c r="BB1270" s="3"/>
      <c r="BC1270" s="3"/>
      <c r="BD1270" s="3"/>
      <c r="BE1270" s="3"/>
    </row>
    <row r="1271" spans="1:57" ht="15" customHeight="1" x14ac:dyDescent="0.4">
      <c r="A1271" s="3"/>
      <c r="B1271" s="3">
        <v>5</v>
      </c>
      <c r="C1271" s="774">
        <f>IF('SH Sash &amp; unit Weight'!D65&lt;&gt;"",'SH Sash &amp; unit Weight'!D65,"")</f>
        <v>2.8958333333333332E-2</v>
      </c>
      <c r="D1271" s="351" t="str">
        <f>IF('SH Sash &amp; unit Weight'!F65&lt;&gt;"",'SH Sash &amp; unit Weight'!F65,"")</f>
        <v>05-Double: 3mm &amp; 5mm - Sound</v>
      </c>
      <c r="E1271" s="352"/>
      <c r="F1271" s="352"/>
      <c r="G1271" s="775"/>
      <c r="H1271" s="3"/>
      <c r="I1271" s="5"/>
      <c r="J1271" s="5"/>
      <c r="K1271" s="3"/>
      <c r="L1271" s="3"/>
      <c r="M1271" s="561" t="s">
        <v>2153</v>
      </c>
      <c r="N1271" s="5"/>
      <c r="O1271" s="5"/>
      <c r="P1271" s="5"/>
      <c r="Q1271" s="5"/>
      <c r="R1271" s="3"/>
      <c r="S1271" s="5"/>
      <c r="T1271" s="3"/>
      <c r="U1271" s="3"/>
      <c r="V1271" s="3"/>
      <c r="W1271" s="3"/>
      <c r="X1271" s="3"/>
      <c r="Y1271" s="3"/>
      <c r="Z1271" s="3"/>
      <c r="AA1271" s="3"/>
      <c r="AB1271" s="3"/>
      <c r="AC1271" s="5"/>
      <c r="AD1271" s="5"/>
      <c r="AE1271" s="5"/>
      <c r="AF1271" s="5"/>
      <c r="AG1271" s="51"/>
      <c r="AH1271" s="39"/>
      <c r="AI1271" s="51"/>
      <c r="AJ1271" s="5"/>
      <c r="AK1271" s="5"/>
      <c r="AL1271" s="5"/>
      <c r="AM1271" s="3"/>
      <c r="AN1271" s="3"/>
      <c r="AO1271" s="3"/>
      <c r="AP1271" s="3"/>
      <c r="AQ1271" s="3"/>
      <c r="AR1271" s="3"/>
      <c r="AS1271" s="3"/>
      <c r="AT1271" s="3"/>
      <c r="AU1271" s="3"/>
      <c r="AV1271" s="3"/>
      <c r="AW1271" s="3"/>
      <c r="AX1271" s="3"/>
      <c r="AY1271" s="3"/>
      <c r="AZ1271" s="3"/>
      <c r="BA1271" s="3"/>
      <c r="BB1271" s="3"/>
      <c r="BC1271" s="3"/>
      <c r="BD1271" s="3"/>
      <c r="BE1271" s="3"/>
    </row>
    <row r="1272" spans="1:57" ht="15" customHeight="1" thickBot="1" x14ac:dyDescent="0.45">
      <c r="A1272" s="3"/>
      <c r="B1272" s="3">
        <v>6</v>
      </c>
      <c r="C1272" s="774">
        <f>IF('SH Sash &amp; unit Weight'!D66&lt;&gt;"",'SH Sash &amp; unit Weight'!D66,"")</f>
        <v>2.8750000000000005E-2</v>
      </c>
      <c r="D1272" s="351" t="str">
        <f>IF('SH Sash &amp; unit Weight'!F66&lt;&gt;"",'SH Sash &amp; unit Weight'!F66,"")</f>
        <v>06-Double: 2.5mm &amp; 6mm - Spandrel</v>
      </c>
      <c r="E1272" s="352"/>
      <c r="F1272" s="352"/>
      <c r="G1272" s="775"/>
      <c r="H1272" s="3"/>
      <c r="I1272" s="5"/>
      <c r="J1272" s="5"/>
      <c r="K1272" s="3"/>
      <c r="L1272" s="3"/>
      <c r="M1272" s="771" t="s">
        <v>327</v>
      </c>
      <c r="N1272" s="5"/>
      <c r="O1272" s="5"/>
      <c r="P1272" s="5"/>
      <c r="Q1272" s="5"/>
      <c r="R1272" s="3"/>
      <c r="S1272" s="5"/>
      <c r="T1272" s="3"/>
      <c r="U1272" s="3"/>
      <c r="V1272" s="3"/>
      <c r="W1272" s="3"/>
      <c r="X1272" s="3"/>
      <c r="Y1272" s="3"/>
      <c r="Z1272" s="3"/>
      <c r="AA1272" s="3"/>
      <c r="AB1272" s="3"/>
      <c r="AC1272" s="5"/>
      <c r="AD1272" s="5"/>
      <c r="AE1272" s="5"/>
      <c r="AF1272" s="5"/>
      <c r="AG1272" s="51"/>
      <c r="AH1272" s="39"/>
      <c r="AI1272" s="51"/>
      <c r="AJ1272" s="5"/>
      <c r="AK1272" s="5"/>
      <c r="AL1272" s="5"/>
      <c r="AM1272" s="3"/>
      <c r="AN1272" s="3"/>
      <c r="AO1272" s="3"/>
      <c r="AP1272" s="3"/>
      <c r="AQ1272" s="3"/>
      <c r="AR1272" s="3"/>
      <c r="AS1272" s="3"/>
      <c r="AT1272" s="3"/>
      <c r="AU1272" s="3"/>
      <c r="AV1272" s="3"/>
      <c r="AW1272" s="3"/>
      <c r="AX1272" s="3"/>
      <c r="AY1272" s="3"/>
      <c r="AZ1272" s="3"/>
      <c r="BA1272" s="3"/>
      <c r="BB1272" s="3"/>
      <c r="BC1272" s="3"/>
      <c r="BD1272" s="3"/>
      <c r="BE1272" s="3"/>
    </row>
    <row r="1273" spans="1:57" ht="15" customHeight="1" x14ac:dyDescent="0.4">
      <c r="A1273" s="3"/>
      <c r="B1273" s="3">
        <v>7</v>
      </c>
      <c r="C1273" s="774">
        <f>IF('SH Sash &amp; unit Weight'!D67&lt;&gt;"",'SH Sash &amp; unit Weight'!D67,"")</f>
        <v>3.2069444444444449E-2</v>
      </c>
      <c r="D1273" s="351" t="str">
        <f>IF('SH Sash &amp; unit Weight'!F67&lt;&gt;"",'SH Sash &amp; unit Weight'!F67,"")</f>
        <v>07-Double: 3mm &amp; 6mm Lami - Sound</v>
      </c>
      <c r="E1273" s="352"/>
      <c r="F1273" s="352"/>
      <c r="G1273" s="775"/>
      <c r="H1273" s="3"/>
      <c r="I1273" s="5"/>
      <c r="J1273" s="5"/>
      <c r="K1273" s="3"/>
      <c r="L1273" s="3"/>
      <c r="M1273" s="1147" t="s">
        <v>1077</v>
      </c>
      <c r="N1273" s="5"/>
      <c r="O1273" s="5"/>
      <c r="P1273" s="5"/>
      <c r="Q1273" s="5"/>
      <c r="R1273" s="3"/>
      <c r="S1273" s="5"/>
      <c r="T1273" s="3"/>
      <c r="U1273" s="3"/>
      <c r="V1273" s="3"/>
      <c r="W1273" s="3"/>
      <c r="X1273" s="3"/>
      <c r="Y1273" s="3"/>
      <c r="Z1273" s="3"/>
      <c r="AA1273" s="3"/>
      <c r="AB1273" s="3"/>
      <c r="AC1273" s="5"/>
      <c r="AD1273" s="5"/>
      <c r="AE1273" s="5"/>
      <c r="AF1273" s="5"/>
      <c r="AG1273" s="51"/>
      <c r="AH1273" s="39"/>
      <c r="AI1273" s="51"/>
      <c r="AJ1273" s="5"/>
      <c r="AK1273" s="5"/>
      <c r="AL1273" s="5"/>
      <c r="AM1273" s="3"/>
      <c r="AN1273" s="3"/>
      <c r="AO1273" s="3"/>
      <c r="AP1273" s="3"/>
      <c r="AQ1273" s="3"/>
      <c r="AR1273" s="3"/>
      <c r="AS1273" s="3"/>
      <c r="AT1273" s="3"/>
      <c r="AU1273" s="3"/>
      <c r="AV1273" s="3"/>
      <c r="AW1273" s="3"/>
      <c r="AX1273" s="3"/>
      <c r="AY1273" s="3"/>
      <c r="AZ1273" s="3"/>
      <c r="BA1273" s="3"/>
      <c r="BB1273" s="3"/>
      <c r="BC1273" s="3"/>
      <c r="BD1273" s="3"/>
      <c r="BE1273" s="3"/>
    </row>
    <row r="1274" spans="1:57" ht="15" customHeight="1" thickBot="1" x14ac:dyDescent="0.45">
      <c r="A1274" s="3"/>
      <c r="B1274" s="3">
        <v>8</v>
      </c>
      <c r="C1274" s="774">
        <f>IF('SH Sash &amp; unit Weight'!D68&lt;&gt;"",'SH Sash &amp; unit Weight'!D68,"")</f>
        <v>3.9930555555555552E-2</v>
      </c>
      <c r="D1274" s="351" t="str">
        <f>IF('SH Sash &amp; unit Weight'!F68&lt;&gt;"",'SH Sash &amp; unit Weight'!F68,"")</f>
        <v>08-Double: 3mm &amp; 8.5mm Lami - IMPACT</v>
      </c>
      <c r="E1274" s="352"/>
      <c r="F1274" s="352"/>
      <c r="G1274" s="775"/>
      <c r="H1274" s="3"/>
      <c r="I1274" s="5"/>
      <c r="J1274" s="5"/>
      <c r="K1274" s="3"/>
      <c r="L1274" s="3"/>
      <c r="M1274" s="1148" t="s">
        <v>326</v>
      </c>
      <c r="N1274" s="5"/>
      <c r="O1274" s="5"/>
      <c r="P1274" s="5"/>
      <c r="Q1274" s="5"/>
      <c r="R1274" s="3"/>
      <c r="S1274" s="5"/>
      <c r="T1274" s="3"/>
      <c r="U1274" s="3"/>
      <c r="V1274" s="3"/>
      <c r="W1274" s="3"/>
      <c r="X1274" s="3"/>
      <c r="Y1274" s="3"/>
      <c r="Z1274" s="3"/>
      <c r="AA1274" s="3"/>
      <c r="AB1274" s="3"/>
      <c r="AC1274" s="5"/>
      <c r="AD1274" s="5"/>
      <c r="AE1274" s="5"/>
      <c r="AF1274" s="5"/>
      <c r="AG1274" s="51"/>
      <c r="AH1274" s="39"/>
      <c r="AI1274" s="51"/>
      <c r="AJ1274" s="5"/>
      <c r="AK1274" s="5"/>
      <c r="AL1274" s="5"/>
      <c r="AM1274" s="3"/>
      <c r="AN1274" s="3"/>
      <c r="AO1274" s="3"/>
      <c r="AP1274" s="3"/>
      <c r="AQ1274" s="3"/>
      <c r="AR1274" s="3"/>
      <c r="AS1274" s="3"/>
      <c r="AT1274" s="3"/>
      <c r="AU1274" s="3"/>
      <c r="AV1274" s="3"/>
      <c r="AW1274" s="3"/>
      <c r="AX1274" s="3"/>
      <c r="AY1274" s="3"/>
      <c r="AZ1274" s="3"/>
      <c r="BA1274" s="3"/>
      <c r="BB1274" s="3"/>
      <c r="BC1274" s="3"/>
      <c r="BD1274" s="3"/>
      <c r="BE1274" s="3"/>
    </row>
    <row r="1275" spans="1:57" ht="15" customHeight="1" x14ac:dyDescent="0.4">
      <c r="A1275" s="3"/>
      <c r="B1275" s="3">
        <v>9</v>
      </c>
      <c r="C1275" s="774">
        <f>IF('SH Sash &amp; unit Weight'!D69&lt;&gt;"",'SH Sash &amp; unit Weight'!D69,"")</f>
        <v>2.9305555555555553E-2</v>
      </c>
      <c r="D1275" s="351" t="str">
        <f>IF('SH Sash &amp; unit Weight'!F69&lt;&gt;"",'SH Sash &amp; unit Weight'!F69,"")</f>
        <v>09-Double: 4mm &amp; 4mm</v>
      </c>
      <c r="E1275" s="352"/>
      <c r="F1275" s="352"/>
      <c r="G1275" s="775"/>
      <c r="H1275" s="3"/>
      <c r="I1275" s="5"/>
      <c r="J1275" s="5"/>
      <c r="K1275" s="3"/>
      <c r="L1275" s="3"/>
      <c r="M1275" s="561" t="s">
        <v>2153</v>
      </c>
      <c r="N1275" s="5"/>
      <c r="O1275" s="5"/>
      <c r="P1275" s="5"/>
      <c r="Q1275" s="5"/>
      <c r="R1275" s="3"/>
      <c r="S1275" s="5"/>
      <c r="T1275" s="3"/>
      <c r="U1275" s="3"/>
      <c r="V1275" s="3"/>
      <c r="W1275" s="3"/>
      <c r="X1275" s="3"/>
      <c r="Y1275" s="3"/>
      <c r="Z1275" s="3"/>
      <c r="AA1275" s="3"/>
      <c r="AB1275" s="3"/>
      <c r="AC1275" s="5"/>
      <c r="AD1275" s="5"/>
      <c r="AE1275" s="5"/>
      <c r="AF1275" s="5"/>
      <c r="AG1275" s="51"/>
      <c r="AH1275" s="39"/>
      <c r="AI1275" s="51"/>
      <c r="AJ1275" s="5"/>
      <c r="AK1275" s="5"/>
      <c r="AL1275" s="5"/>
      <c r="AM1275" s="3"/>
      <c r="AN1275" s="3"/>
      <c r="AO1275" s="3"/>
      <c r="AP1275" s="3"/>
      <c r="AQ1275" s="3"/>
      <c r="AR1275" s="3"/>
      <c r="AS1275" s="3"/>
      <c r="AT1275" s="3"/>
      <c r="AU1275" s="3"/>
      <c r="AV1275" s="3"/>
      <c r="AW1275" s="3"/>
      <c r="AX1275" s="3"/>
      <c r="AY1275" s="3"/>
      <c r="AZ1275" s="3"/>
      <c r="BA1275" s="3"/>
      <c r="BB1275" s="3"/>
      <c r="BC1275" s="3"/>
      <c r="BD1275" s="3"/>
      <c r="BE1275" s="3"/>
    </row>
    <row r="1276" spans="1:57" ht="15" customHeight="1" x14ac:dyDescent="0.4">
      <c r="A1276" s="3"/>
      <c r="B1276" s="3">
        <v>10</v>
      </c>
      <c r="C1276" s="774">
        <f>IF('SH Sash &amp; unit Weight'!D70&lt;&gt;"",'SH Sash &amp; unit Weight'!D70,"")</f>
        <v>3.4722222222222224E-2</v>
      </c>
      <c r="D1276" s="351" t="str">
        <f>IF('SH Sash &amp; unit Weight'!F70&lt;&gt;"",'SH Sash &amp; unit Weight'!F70,"")</f>
        <v>10-Double: 5mm &amp; 5mm</v>
      </c>
      <c r="E1276" s="352"/>
      <c r="F1276" s="352"/>
      <c r="G1276" s="775"/>
      <c r="H1276" s="3"/>
      <c r="I1276" s="5"/>
      <c r="J1276" s="5"/>
      <c r="K1276" s="3"/>
      <c r="L1276" s="3"/>
      <c r="M1276" s="5"/>
      <c r="N1276" s="5"/>
      <c r="O1276" s="5"/>
      <c r="P1276" s="5"/>
      <c r="Q1276" s="5"/>
      <c r="R1276" s="3"/>
      <c r="S1276" s="5"/>
      <c r="T1276" s="3"/>
      <c r="U1276" s="3"/>
      <c r="V1276" s="3"/>
      <c r="W1276" s="3"/>
      <c r="X1276" s="3"/>
      <c r="Y1276" s="3"/>
      <c r="Z1276" s="3"/>
      <c r="AA1276" s="3"/>
      <c r="AB1276" s="3"/>
      <c r="AC1276" s="5"/>
      <c r="AD1276" s="5"/>
      <c r="AE1276" s="5"/>
      <c r="AF1276" s="5"/>
      <c r="AG1276" s="51"/>
      <c r="AH1276" s="39"/>
      <c r="AI1276" s="51"/>
      <c r="AJ1276" s="5"/>
      <c r="AK1276" s="5"/>
      <c r="AL1276" s="5"/>
      <c r="AM1276" s="3"/>
      <c r="AN1276" s="3"/>
      <c r="AO1276" s="3"/>
      <c r="AP1276" s="3"/>
      <c r="AQ1276" s="3"/>
      <c r="AR1276" s="3"/>
      <c r="AS1276" s="3"/>
      <c r="AT1276" s="3"/>
      <c r="AU1276" s="3"/>
      <c r="AV1276" s="3"/>
      <c r="AW1276" s="3"/>
      <c r="AX1276" s="3"/>
      <c r="AY1276" s="3"/>
      <c r="AZ1276" s="3"/>
      <c r="BA1276" s="3"/>
      <c r="BB1276" s="3"/>
      <c r="BC1276" s="3"/>
      <c r="BD1276" s="3"/>
      <c r="BE1276" s="3"/>
    </row>
    <row r="1277" spans="1:57" ht="15" customHeight="1" x14ac:dyDescent="0.4">
      <c r="A1277" s="3"/>
      <c r="B1277" s="3">
        <v>11</v>
      </c>
      <c r="C1277" s="774">
        <f>IF('SH Sash &amp; unit Weight'!D71&lt;&gt;"",'SH Sash &amp; unit Weight'!D71,"")</f>
        <v>3.4722222222222224E-2</v>
      </c>
      <c r="D1277" s="351" t="str">
        <f>IF('SH Sash &amp; unit Weight'!F71&lt;&gt;"",'SH Sash &amp; unit Weight'!F71,"")</f>
        <v>11-Double: 5mm &amp; 5mm (Regal)</v>
      </c>
      <c r="E1277" s="352"/>
      <c r="F1277" s="352"/>
      <c r="G1277" s="775"/>
      <c r="H1277" s="3"/>
      <c r="I1277" s="5"/>
      <c r="J1277" s="5"/>
      <c r="K1277" s="3"/>
      <c r="L1277" s="3"/>
      <c r="M1277" s="5"/>
      <c r="N1277" s="5"/>
      <c r="O1277" s="5"/>
      <c r="P1277" s="5"/>
      <c r="Q1277" s="5"/>
      <c r="R1277" s="3"/>
      <c r="S1277" s="5"/>
      <c r="T1277" s="3"/>
      <c r="U1277" s="3"/>
      <c r="V1277" s="3"/>
      <c r="W1277" s="3"/>
      <c r="X1277" s="3"/>
      <c r="Y1277" s="3"/>
      <c r="Z1277" s="3"/>
      <c r="AA1277" s="3"/>
      <c r="AB1277" s="3"/>
      <c r="AC1277" s="5"/>
      <c r="AD1277" s="5"/>
      <c r="AE1277" s="5"/>
      <c r="AF1277" s="5"/>
      <c r="AG1277" s="51"/>
      <c r="AH1277" s="39"/>
      <c r="AI1277" s="51"/>
      <c r="AJ1277" s="5"/>
      <c r="AK1277" s="5"/>
      <c r="AL1277" s="5"/>
      <c r="AM1277" s="3"/>
      <c r="AN1277" s="3"/>
      <c r="AO1277" s="3"/>
      <c r="AP1277" s="3"/>
      <c r="AQ1277" s="3"/>
      <c r="AR1277" s="3"/>
      <c r="AS1277" s="3"/>
      <c r="AT1277" s="3"/>
      <c r="AU1277" s="3"/>
      <c r="AV1277" s="3"/>
      <c r="AW1277" s="3"/>
      <c r="AX1277" s="3"/>
      <c r="AY1277" s="3"/>
      <c r="AZ1277" s="3"/>
      <c r="BA1277" s="3"/>
      <c r="BB1277" s="3"/>
      <c r="BC1277" s="3"/>
      <c r="BD1277" s="3"/>
      <c r="BE1277" s="3"/>
    </row>
    <row r="1278" spans="1:57" ht="15" customHeight="1" x14ac:dyDescent="0.4">
      <c r="A1278" s="3"/>
      <c r="B1278" s="3">
        <v>12</v>
      </c>
      <c r="C1278" s="774">
        <f>IF('SH Sash &amp; unit Weight'!D72&lt;&gt;"",'SH Sash &amp; unit Weight'!D72,"")</f>
        <v>3.7833333333333337E-2</v>
      </c>
      <c r="D1278" s="351" t="str">
        <f>IF('SH Sash &amp; unit Weight'!F72&lt;&gt;"",'SH Sash &amp; unit Weight'!F72,"")</f>
        <v>12-Double: 5mm &amp; 6mm Lami - Sound</v>
      </c>
      <c r="E1278" s="352"/>
      <c r="F1278" s="352"/>
      <c r="G1278" s="775"/>
      <c r="H1278" s="3"/>
      <c r="I1278" s="5"/>
      <c r="J1278" s="5"/>
      <c r="K1278" s="3"/>
      <c r="L1278" s="3"/>
      <c r="M1278" s="5"/>
      <c r="N1278" s="5"/>
      <c r="O1278" s="5"/>
      <c r="P1278" s="5"/>
      <c r="Q1278" s="5"/>
      <c r="R1278" s="3"/>
      <c r="S1278" s="5"/>
      <c r="T1278" s="3"/>
      <c r="U1278" s="3"/>
      <c r="V1278" s="3"/>
      <c r="W1278" s="3"/>
      <c r="X1278" s="3"/>
      <c r="Y1278" s="3"/>
      <c r="Z1278" s="3"/>
      <c r="AA1278" s="3"/>
      <c r="AB1278" s="3"/>
      <c r="AC1278" s="5"/>
      <c r="AD1278" s="5"/>
      <c r="AE1278" s="5"/>
      <c r="AF1278" s="5"/>
      <c r="AG1278" s="51"/>
      <c r="AH1278" s="39"/>
      <c r="AI1278" s="51"/>
      <c r="AJ1278" s="5"/>
      <c r="AK1278" s="5"/>
      <c r="AL1278" s="5"/>
      <c r="AM1278" s="3"/>
      <c r="AN1278" s="3"/>
      <c r="AO1278" s="3"/>
      <c r="AP1278" s="3"/>
      <c r="AQ1278" s="3"/>
      <c r="AR1278" s="3"/>
      <c r="AS1278" s="3"/>
      <c r="AT1278" s="3"/>
      <c r="AU1278" s="3"/>
      <c r="AV1278" s="3"/>
      <c r="AW1278" s="3"/>
      <c r="AX1278" s="3"/>
      <c r="AY1278" s="3"/>
      <c r="AZ1278" s="3"/>
      <c r="BA1278" s="3"/>
      <c r="BB1278" s="3"/>
      <c r="BC1278" s="3"/>
      <c r="BD1278" s="3"/>
      <c r="BE1278" s="3"/>
    </row>
    <row r="1279" spans="1:57" ht="15" customHeight="1" x14ac:dyDescent="0.4">
      <c r="A1279" s="3"/>
      <c r="B1279" s="3">
        <v>13</v>
      </c>
      <c r="C1279" s="774">
        <f>IF('SH Sash &amp; unit Weight'!D73&lt;&gt;"",'SH Sash &amp; unit Weight'!D73,"")</f>
        <v>4.0319444444444436E-2</v>
      </c>
      <c r="D1279" s="351" t="str">
        <f>IF('SH Sash &amp; unit Weight'!F73&lt;&gt;"",'SH Sash &amp; unit Weight'!F73,"")</f>
        <v>13-Double: 5mm &amp; 6mm Offset 2.3+3.0 Lami - Sound</v>
      </c>
      <c r="E1279" s="352"/>
      <c r="F1279" s="352"/>
      <c r="G1279" s="775"/>
      <c r="H1279" s="3"/>
      <c r="I1279" s="5"/>
      <c r="J1279" s="5"/>
      <c r="K1279" s="3"/>
      <c r="L1279" s="3"/>
      <c r="M1279" s="5"/>
      <c r="N1279" s="5"/>
      <c r="O1279" s="5"/>
      <c r="P1279" s="5"/>
      <c r="Q1279" s="5"/>
      <c r="R1279" s="3"/>
      <c r="S1279" s="5"/>
      <c r="T1279" s="3"/>
      <c r="U1279" s="3"/>
      <c r="V1279" s="3"/>
      <c r="W1279" s="3"/>
      <c r="X1279" s="3"/>
      <c r="Y1279" s="3"/>
      <c r="Z1279" s="3"/>
      <c r="AA1279" s="3"/>
      <c r="AB1279" s="3"/>
      <c r="AC1279" s="5"/>
      <c r="AD1279" s="5"/>
      <c r="AE1279" s="5"/>
      <c r="AF1279" s="5"/>
      <c r="AG1279" s="51"/>
      <c r="AH1279" s="39"/>
      <c r="AI1279" s="51"/>
      <c r="AJ1279" s="5"/>
      <c r="AK1279" s="5"/>
      <c r="AL1279" s="5"/>
      <c r="AM1279" s="3"/>
      <c r="AN1279" s="3"/>
      <c r="AO1279" s="3"/>
      <c r="AP1279" s="3"/>
      <c r="AQ1279" s="3"/>
      <c r="AR1279" s="3"/>
      <c r="AS1279" s="3"/>
      <c r="AT1279" s="3"/>
      <c r="AU1279" s="3"/>
      <c r="AV1279" s="3"/>
      <c r="AW1279" s="3"/>
      <c r="AX1279" s="3"/>
      <c r="AY1279" s="3"/>
      <c r="AZ1279" s="3"/>
      <c r="BA1279" s="3"/>
      <c r="BB1279" s="3"/>
      <c r="BC1279" s="3"/>
      <c r="BD1279" s="3"/>
      <c r="BE1279" s="3"/>
    </row>
    <row r="1280" spans="1:57" ht="15" customHeight="1" x14ac:dyDescent="0.4">
      <c r="A1280" s="3"/>
      <c r="B1280" s="3">
        <v>14</v>
      </c>
      <c r="C1280" s="774">
        <f>IF('SH Sash &amp; unit Weight'!D74&lt;&gt;"",'SH Sash &amp; unit Weight'!D74,"")</f>
        <v>2.6041666666666668E-2</v>
      </c>
      <c r="D1280" s="351" t="str">
        <f>IF('SH Sash &amp; unit Weight'!F74&lt;&gt;"",'SH Sash &amp; unit Weight'!F74,"")</f>
        <v>14-Triple:   2.5mm &amp; 2.5mm &amp; 2.5mm</v>
      </c>
      <c r="E1280" s="8"/>
      <c r="F1280" s="8"/>
      <c r="G1280" s="775"/>
      <c r="H1280" s="3"/>
      <c r="I1280" s="4"/>
      <c r="J1280" s="4"/>
      <c r="K1280" s="3"/>
      <c r="L1280" s="3"/>
      <c r="M1280" s="5"/>
      <c r="N1280" s="5"/>
      <c r="O1280" s="5"/>
      <c r="P1280" s="5"/>
      <c r="Q1280" s="5"/>
      <c r="R1280" s="3"/>
      <c r="S1280" s="5"/>
      <c r="T1280" s="3"/>
      <c r="U1280" s="3"/>
      <c r="V1280" s="3"/>
      <c r="W1280" s="3"/>
      <c r="X1280" s="3"/>
      <c r="Y1280" s="3"/>
      <c r="Z1280" s="3"/>
      <c r="AA1280" s="3"/>
      <c r="AB1280" s="3"/>
      <c r="AC1280" s="5"/>
      <c r="AD1280" s="5"/>
      <c r="AE1280" s="5"/>
      <c r="AF1280" s="5"/>
      <c r="AG1280" s="51"/>
      <c r="AH1280" s="39"/>
      <c r="AI1280" s="51"/>
      <c r="AJ1280" s="5"/>
      <c r="AK1280" s="5"/>
      <c r="AL1280" s="5"/>
      <c r="AM1280" s="3"/>
      <c r="AN1280" s="3"/>
      <c r="AO1280" s="3"/>
      <c r="AP1280" s="3"/>
      <c r="AQ1280" s="3"/>
      <c r="AR1280" s="3"/>
      <c r="AS1280" s="3"/>
      <c r="AT1280" s="3"/>
      <c r="AU1280" s="3"/>
      <c r="AV1280" s="3"/>
      <c r="AW1280" s="3"/>
      <c r="AX1280" s="3"/>
      <c r="AY1280" s="3"/>
      <c r="AZ1280" s="3"/>
      <c r="BA1280" s="3"/>
      <c r="BB1280" s="3"/>
      <c r="BC1280" s="3"/>
      <c r="BD1280" s="3"/>
      <c r="BE1280" s="3"/>
    </row>
    <row r="1281" spans="1:57" ht="15" customHeight="1" x14ac:dyDescent="0.4">
      <c r="A1281" s="3"/>
      <c r="B1281" s="3">
        <v>15</v>
      </c>
      <c r="C1281" s="774">
        <f>IF('SH Sash &amp; unit Weight'!D75&lt;&gt;"",'SH Sash &amp; unit Weight'!D75,"")</f>
        <v>3.7833333333333337E-2</v>
      </c>
      <c r="D1281" s="351" t="str">
        <f>IF('SH Sash &amp; unit Weight'!F75&lt;&gt;"",'SH Sash &amp; unit Weight'!F75,"")</f>
        <v>15-Triple:   2.5mm &amp; 2.5mm &amp; 6mm Lami - Sound</v>
      </c>
      <c r="E1281" s="8"/>
      <c r="F1281" s="8"/>
      <c r="G1281" s="775"/>
      <c r="H1281" s="3"/>
      <c r="I1281" s="3"/>
      <c r="J1281" s="3"/>
      <c r="K1281" s="3"/>
      <c r="L1281" s="3"/>
      <c r="M1281" s="5"/>
      <c r="N1281" s="5"/>
      <c r="O1281" s="5"/>
      <c r="P1281" s="5"/>
      <c r="Q1281" s="5"/>
      <c r="R1281" s="3"/>
      <c r="S1281" s="5"/>
      <c r="T1281" s="3"/>
      <c r="U1281" s="3"/>
      <c r="V1281" s="3"/>
      <c r="W1281" s="3"/>
      <c r="X1281" s="3"/>
      <c r="Y1281" s="3"/>
      <c r="Z1281" s="3"/>
      <c r="AA1281" s="3"/>
      <c r="AB1281" s="3"/>
      <c r="AC1281" s="5"/>
      <c r="AD1281" s="5"/>
      <c r="AE1281" s="5"/>
      <c r="AF1281" s="5"/>
      <c r="AG1281" s="51"/>
      <c r="AH1281" s="39"/>
      <c r="AI1281" s="51"/>
      <c r="AJ1281" s="5"/>
      <c r="AK1281" s="5"/>
      <c r="AL1281" s="5"/>
      <c r="AM1281" s="3"/>
      <c r="AN1281" s="3"/>
      <c r="AO1281" s="3"/>
      <c r="AP1281" s="3"/>
      <c r="AQ1281" s="3"/>
      <c r="AR1281" s="3"/>
      <c r="AS1281" s="3"/>
      <c r="AT1281" s="3"/>
      <c r="AU1281" s="3"/>
      <c r="AV1281" s="3"/>
      <c r="AW1281" s="3"/>
      <c r="AX1281" s="3"/>
      <c r="AY1281" s="3"/>
      <c r="AZ1281" s="3"/>
      <c r="BA1281" s="3"/>
      <c r="BB1281" s="3"/>
      <c r="BC1281" s="3"/>
      <c r="BD1281" s="3"/>
      <c r="BE1281" s="3"/>
    </row>
    <row r="1282" spans="1:57" ht="15" customHeight="1" x14ac:dyDescent="0.4">
      <c r="A1282" s="3"/>
      <c r="B1282" s="3">
        <v>16</v>
      </c>
      <c r="C1282" s="774">
        <f>IF('SH Sash &amp; unit Weight'!D76&lt;&gt;"",'SH Sash &amp; unit Weight'!D76,"")</f>
        <v>3.1875000000000001E-2</v>
      </c>
      <c r="D1282" s="351" t="str">
        <f>IF('SH Sash &amp; unit Weight'!F76&lt;&gt;"",'SH Sash &amp; unit Weight'!F76,"")</f>
        <v>16-Triple:   3mm &amp; 2.5mm &amp; 3mm</v>
      </c>
      <c r="E1282" s="8"/>
      <c r="F1282" s="8"/>
      <c r="G1282" s="775"/>
      <c r="H1282" s="3"/>
      <c r="I1282" s="3"/>
      <c r="J1282" s="3"/>
      <c r="K1282" s="3"/>
      <c r="L1282" s="3"/>
      <c r="M1282" s="5"/>
      <c r="N1282" s="5"/>
      <c r="O1282" s="5"/>
      <c r="P1282" s="5"/>
      <c r="Q1282" s="5"/>
      <c r="R1282" s="3"/>
      <c r="S1282" s="5"/>
      <c r="T1282" s="3"/>
      <c r="U1282" s="3"/>
      <c r="V1282" s="3"/>
      <c r="W1282" s="3"/>
      <c r="X1282" s="3"/>
      <c r="Y1282" s="3"/>
      <c r="Z1282" s="3"/>
      <c r="AA1282" s="3"/>
      <c r="AB1282" s="3"/>
      <c r="AC1282" s="5"/>
      <c r="AD1282" s="5"/>
      <c r="AE1282" s="5"/>
      <c r="AF1282" s="5"/>
      <c r="AG1282" s="51"/>
      <c r="AH1282" s="39"/>
      <c r="AI1282" s="51"/>
      <c r="AJ1282" s="5"/>
      <c r="AK1282" s="5"/>
      <c r="AL1282" s="5"/>
      <c r="AM1282" s="3"/>
      <c r="AN1282" s="3"/>
      <c r="AO1282" s="3"/>
      <c r="AP1282" s="3"/>
      <c r="AQ1282" s="3"/>
      <c r="AR1282" s="3"/>
      <c r="AS1282" s="3"/>
      <c r="AT1282" s="3"/>
      <c r="AU1282" s="3"/>
      <c r="AV1282" s="3"/>
      <c r="AW1282" s="3"/>
      <c r="AX1282" s="3"/>
      <c r="AY1282" s="3"/>
      <c r="AZ1282" s="3"/>
      <c r="BA1282" s="3"/>
      <c r="BB1282" s="3"/>
      <c r="BC1282" s="3"/>
      <c r="BD1282" s="3"/>
      <c r="BE1282" s="3"/>
    </row>
    <row r="1283" spans="1:57" ht="15" customHeight="1" x14ac:dyDescent="0.4">
      <c r="A1283" s="3"/>
      <c r="B1283" s="3">
        <v>17</v>
      </c>
      <c r="C1283" s="774">
        <f>IF('SH Sash &amp; unit Weight'!D77&lt;&gt;"",'SH Sash &amp; unit Weight'!D77,"")</f>
        <v>3.4791666666666665E-2</v>
      </c>
      <c r="D1283" s="351" t="str">
        <f>IF('SH Sash &amp; unit Weight'!F77&lt;&gt;"",'SH Sash &amp; unit Weight'!F77,"")</f>
        <v>17-Triple:   3mm &amp; 3mm &amp; 3mm</v>
      </c>
      <c r="E1283" s="8"/>
      <c r="F1283" s="8"/>
      <c r="G1283" s="775"/>
      <c r="H1283" s="3"/>
      <c r="I1283" s="3"/>
      <c r="J1283" s="3"/>
      <c r="K1283" s="3"/>
      <c r="L1283" s="3"/>
      <c r="M1283" s="5"/>
      <c r="N1283" s="5"/>
      <c r="O1283" s="5"/>
      <c r="P1283" s="5"/>
      <c r="Q1283" s="5"/>
      <c r="R1283" s="3"/>
      <c r="S1283" s="5"/>
      <c r="T1283" s="3"/>
      <c r="U1283" s="3"/>
      <c r="V1283" s="3"/>
      <c r="W1283" s="3"/>
      <c r="X1283" s="3"/>
      <c r="Y1283" s="3"/>
      <c r="Z1283" s="3"/>
      <c r="AA1283" s="3"/>
      <c r="AB1283" s="3"/>
      <c r="AC1283" s="5"/>
      <c r="AD1283" s="5"/>
      <c r="AE1283" s="5"/>
      <c r="AF1283" s="5"/>
      <c r="AG1283" s="51"/>
      <c r="AH1283" s="39"/>
      <c r="AI1283" s="51"/>
      <c r="AJ1283" s="5"/>
      <c r="AK1283" s="5"/>
      <c r="AL1283" s="5"/>
      <c r="AM1283" s="3"/>
      <c r="AN1283" s="3"/>
      <c r="AO1283" s="3"/>
      <c r="AP1283" s="3"/>
      <c r="AQ1283" s="3"/>
      <c r="AR1283" s="3"/>
      <c r="AS1283" s="3"/>
      <c r="AT1283" s="3"/>
      <c r="AU1283" s="3"/>
      <c r="AV1283" s="3"/>
      <c r="AW1283" s="3"/>
      <c r="AX1283" s="3"/>
      <c r="AY1283" s="3"/>
      <c r="AZ1283" s="3"/>
      <c r="BA1283" s="3"/>
      <c r="BB1283" s="3"/>
      <c r="BC1283" s="3"/>
      <c r="BD1283" s="3"/>
      <c r="BE1283" s="3"/>
    </row>
    <row r="1284" spans="1:57" ht="15" customHeight="1" x14ac:dyDescent="0.4">
      <c r="A1284" s="3"/>
      <c r="B1284" s="3">
        <v>18</v>
      </c>
      <c r="C1284" s="774">
        <f>IF('SH Sash &amp; unit Weight'!D78&lt;&gt;"",'SH Sash &amp; unit Weight'!D78,"")</f>
        <v>4.0555555555555553E-2</v>
      </c>
      <c r="D1284" s="351" t="str">
        <f>IF('SH Sash &amp; unit Weight'!F78&lt;&gt;"",'SH Sash &amp; unit Weight'!F78,"")</f>
        <v>18-Triple:   3mm &amp; 5mm &amp; 3mm</v>
      </c>
      <c r="E1284" s="8"/>
      <c r="F1284" s="8"/>
      <c r="G1284" s="775"/>
      <c r="H1284" s="3"/>
      <c r="I1284" s="3"/>
      <c r="J1284" s="3"/>
      <c r="K1284" s="3"/>
      <c r="L1284" s="3"/>
      <c r="M1284" s="5"/>
      <c r="N1284" s="5"/>
      <c r="O1284" s="5"/>
      <c r="P1284" s="5"/>
      <c r="Q1284" s="5"/>
      <c r="R1284" s="3"/>
      <c r="S1284" s="5"/>
      <c r="T1284" s="3"/>
      <c r="U1284" s="3"/>
      <c r="V1284" s="3"/>
      <c r="W1284" s="3"/>
      <c r="X1284" s="3"/>
      <c r="Y1284" s="3"/>
      <c r="Z1284" s="3"/>
      <c r="AA1284" s="3"/>
      <c r="AB1284" s="3"/>
      <c r="AC1284" s="5"/>
      <c r="AD1284" s="5"/>
      <c r="AE1284" s="5"/>
      <c r="AF1284" s="5"/>
      <c r="AG1284" s="51"/>
      <c r="AH1284" s="39"/>
      <c r="AI1284" s="51"/>
      <c r="AJ1284" s="5"/>
      <c r="AK1284" s="5"/>
      <c r="AL1284" s="5"/>
      <c r="AM1284" s="3"/>
      <c r="AN1284" s="3"/>
      <c r="AO1284" s="3"/>
      <c r="AP1284" s="3"/>
      <c r="AQ1284" s="3"/>
      <c r="AR1284" s="3"/>
      <c r="AS1284" s="3"/>
      <c r="AT1284" s="3"/>
      <c r="AU1284" s="3"/>
      <c r="AV1284" s="3"/>
      <c r="AW1284" s="3"/>
      <c r="AX1284" s="3"/>
      <c r="AY1284" s="3"/>
      <c r="AZ1284" s="3"/>
      <c r="BA1284" s="3"/>
      <c r="BB1284" s="3"/>
      <c r="BC1284" s="3"/>
      <c r="BD1284" s="3"/>
      <c r="BE1284" s="3"/>
    </row>
    <row r="1285" spans="1:57" ht="15" customHeight="1" x14ac:dyDescent="0.4">
      <c r="A1285" s="3"/>
      <c r="B1285" s="3">
        <v>19</v>
      </c>
      <c r="C1285" s="774">
        <f>IF('SH Sash &amp; unit Weight'!D79&lt;&gt;"",'SH Sash &amp; unit Weight'!D79,"")</f>
        <v>4.3666666666666666E-2</v>
      </c>
      <c r="D1285" s="351" t="str">
        <f>IF('SH Sash &amp; unit Weight'!F79&lt;&gt;"",'SH Sash &amp; unit Weight'!F79,"")</f>
        <v>19-Triple:   3mm &amp; 3mm &amp; 6mm Lami - Sound</v>
      </c>
      <c r="E1285" s="8"/>
      <c r="F1285" s="8"/>
      <c r="G1285" s="775"/>
      <c r="H1285" s="3"/>
      <c r="I1285" s="3"/>
      <c r="J1285" s="3"/>
      <c r="K1285" s="3"/>
      <c r="L1285" s="3"/>
      <c r="M1285" s="5"/>
      <c r="N1285" s="5"/>
      <c r="O1285" s="5"/>
      <c r="P1285" s="5"/>
      <c r="Q1285" s="5"/>
      <c r="R1285" s="3"/>
      <c r="S1285" s="5"/>
      <c r="T1285" s="3"/>
      <c r="U1285" s="3"/>
      <c r="V1285" s="3"/>
      <c r="W1285" s="3"/>
      <c r="X1285" s="3"/>
      <c r="Y1285" s="3"/>
      <c r="Z1285" s="3"/>
      <c r="AA1285" s="3"/>
      <c r="AB1285" s="3"/>
      <c r="AC1285" s="5"/>
      <c r="AD1285" s="5"/>
      <c r="AE1285" s="5"/>
      <c r="AF1285" s="5"/>
      <c r="AG1285" s="51"/>
      <c r="AH1285" s="39"/>
      <c r="AI1285" s="51"/>
      <c r="AJ1285" s="5"/>
      <c r="AK1285" s="5"/>
      <c r="AL1285" s="5"/>
      <c r="AM1285" s="3"/>
      <c r="AN1285" s="3"/>
      <c r="AO1285" s="3"/>
      <c r="AP1285" s="3"/>
      <c r="AQ1285" s="3"/>
      <c r="AR1285" s="3"/>
      <c r="AS1285" s="3"/>
      <c r="AT1285" s="3"/>
      <c r="AU1285" s="3"/>
      <c r="AV1285" s="3"/>
      <c r="AW1285" s="3"/>
      <c r="AX1285" s="3"/>
      <c r="AY1285" s="3"/>
      <c r="AZ1285" s="3"/>
      <c r="BA1285" s="3"/>
      <c r="BB1285" s="3"/>
      <c r="BC1285" s="3"/>
      <c r="BD1285" s="3"/>
      <c r="BE1285" s="3"/>
    </row>
    <row r="1286" spans="1:57" ht="15" customHeight="1" thickBot="1" x14ac:dyDescent="0.45">
      <c r="A1286" s="3"/>
      <c r="B1286" s="3">
        <v>20</v>
      </c>
      <c r="C1286" s="1464">
        <f>IF('SH Sash &amp; unit Weight'!D80&lt;&gt;"",'SH Sash &amp; unit Weight'!D80,"")</f>
        <v>4.2361111111111106E-2</v>
      </c>
      <c r="D1286" s="1217" t="str">
        <f>IF('SH Sash &amp; unit Weight'!F80&lt;&gt;"",'SH Sash &amp; unit Weight'!F80,"")</f>
        <v>20-Bevel Leaded - Designer</v>
      </c>
      <c r="E1286" s="949"/>
      <c r="F1286" s="949"/>
      <c r="G1286" s="1218"/>
      <c r="H1286" s="3"/>
      <c r="I1286" s="3"/>
      <c r="J1286" s="3"/>
      <c r="K1286" s="3"/>
      <c r="L1286" s="3"/>
      <c r="M1286" s="5"/>
      <c r="N1286" s="5"/>
      <c r="O1286" s="5"/>
      <c r="P1286" s="5"/>
      <c r="Q1286" s="5"/>
      <c r="R1286" s="3"/>
      <c r="S1286" s="5"/>
      <c r="T1286" s="3"/>
      <c r="U1286" s="3"/>
      <c r="V1286" s="3"/>
      <c r="W1286" s="3"/>
      <c r="X1286" s="3"/>
      <c r="Y1286" s="3"/>
      <c r="Z1286" s="3"/>
      <c r="AA1286" s="3"/>
      <c r="AB1286" s="3"/>
      <c r="AC1286" s="5"/>
      <c r="AD1286" s="5"/>
      <c r="AE1286" s="5"/>
      <c r="AF1286" s="5"/>
      <c r="AG1286" s="51"/>
      <c r="AH1286" s="39"/>
      <c r="AI1286" s="51"/>
      <c r="AJ1286" s="5"/>
      <c r="AK1286" s="5"/>
      <c r="AL1286" s="5"/>
      <c r="AM1286" s="3"/>
      <c r="AN1286" s="3"/>
      <c r="AO1286" s="3"/>
      <c r="AP1286" s="3"/>
      <c r="AQ1286" s="3"/>
      <c r="AR1286" s="3"/>
      <c r="AS1286" s="3"/>
      <c r="AT1286" s="3"/>
      <c r="AU1286" s="3"/>
      <c r="AV1286" s="3"/>
      <c r="AW1286" s="3"/>
      <c r="AX1286" s="3"/>
      <c r="AY1286" s="3"/>
      <c r="AZ1286" s="3"/>
      <c r="BA1286" s="3"/>
      <c r="BB1286" s="3"/>
      <c r="BC1286" s="3"/>
      <c r="BD1286" s="3"/>
      <c r="BE1286" s="3"/>
    </row>
    <row r="1287" spans="1:57" ht="15" customHeight="1" x14ac:dyDescent="0.4">
      <c r="A1287" s="3"/>
      <c r="B1287" s="4"/>
      <c r="C1287" s="561" t="s">
        <v>2152</v>
      </c>
      <c r="D1287" s="561"/>
      <c r="E1287" s="561"/>
      <c r="F1287" s="8"/>
      <c r="G1287" s="8"/>
      <c r="H1287" s="3"/>
      <c r="I1287" s="3"/>
      <c r="J1287" s="3"/>
      <c r="K1287" s="3"/>
      <c r="L1287" s="3"/>
      <c r="M1287" s="5"/>
      <c r="N1287" s="5"/>
      <c r="O1287" s="5"/>
      <c r="P1287" s="5"/>
      <c r="Q1287" s="5"/>
      <c r="R1287" s="3"/>
      <c r="S1287" s="5"/>
      <c r="T1287" s="3"/>
      <c r="U1287" s="3"/>
      <c r="V1287" s="3"/>
      <c r="W1287" s="3"/>
      <c r="X1287" s="3"/>
      <c r="Y1287" s="3"/>
      <c r="Z1287" s="3"/>
      <c r="AA1287" s="3"/>
      <c r="AB1287" s="3"/>
      <c r="AC1287" s="5"/>
      <c r="AD1287" s="5"/>
      <c r="AE1287" s="5"/>
      <c r="AF1287" s="5"/>
      <c r="AG1287" s="51"/>
      <c r="AH1287" s="39"/>
      <c r="AI1287" s="51"/>
      <c r="AJ1287" s="5"/>
      <c r="AK1287" s="5"/>
      <c r="AL1287" s="5"/>
      <c r="AM1287" s="3"/>
      <c r="AN1287" s="3"/>
      <c r="AO1287" s="3"/>
      <c r="AP1287" s="3"/>
      <c r="AQ1287" s="3"/>
      <c r="AR1287" s="3"/>
      <c r="AS1287" s="3"/>
      <c r="AT1287" s="3"/>
      <c r="AU1287" s="3"/>
      <c r="AV1287" s="3"/>
      <c r="AW1287" s="3"/>
      <c r="AX1287" s="3"/>
      <c r="AY1287" s="3"/>
      <c r="AZ1287" s="3"/>
      <c r="BA1287" s="3"/>
      <c r="BB1287" s="3"/>
      <c r="BC1287" s="3"/>
      <c r="BD1287" s="3"/>
      <c r="BE1287" s="3"/>
    </row>
    <row r="1288" spans="1:57" ht="15" customHeight="1" x14ac:dyDescent="0.4">
      <c r="A1288" s="3"/>
      <c r="B1288" s="4"/>
      <c r="C1288" s="5" t="str">
        <f>IF('SH Sash &amp; unit Weight'!D82&lt;&gt;"",'SH Sash &amp; unit Weight'!D82,"")</f>
        <v/>
      </c>
      <c r="D1288" s="352" t="str">
        <f>IF('SH Sash &amp; unit Weight'!F82&lt;&gt;"",'SH Sash &amp; unit Weight'!F82,"")</f>
        <v/>
      </c>
      <c r="E1288" s="8"/>
      <c r="F1288" s="8"/>
      <c r="G1288" s="8"/>
      <c r="H1288" s="3"/>
      <c r="I1288" s="3"/>
      <c r="J1288" s="3"/>
      <c r="K1288" s="3"/>
      <c r="L1288" s="3"/>
      <c r="M1288" s="5"/>
      <c r="N1288" s="5"/>
      <c r="O1288" s="5"/>
      <c r="P1288" s="5"/>
      <c r="Q1288" s="5"/>
      <c r="R1288" s="3"/>
      <c r="S1288" s="5"/>
      <c r="T1288" s="3"/>
      <c r="U1288" s="3"/>
      <c r="V1288" s="3"/>
      <c r="W1288" s="3"/>
      <c r="X1288" s="3"/>
      <c r="Y1288" s="3"/>
      <c r="Z1288" s="3"/>
      <c r="AA1288" s="3"/>
      <c r="AB1288" s="3"/>
      <c r="AC1288" s="5"/>
      <c r="AD1288" s="5"/>
      <c r="AE1288" s="5"/>
      <c r="AF1288" s="5"/>
      <c r="AG1288" s="51"/>
      <c r="AH1288" s="39"/>
      <c r="AI1288" s="51"/>
      <c r="AJ1288" s="5"/>
      <c r="AK1288" s="5"/>
      <c r="AL1288" s="5"/>
      <c r="AM1288" s="3"/>
      <c r="AN1288" s="3"/>
      <c r="AO1288" s="3"/>
      <c r="AP1288" s="3"/>
      <c r="AQ1288" s="3"/>
      <c r="AR1288" s="3"/>
      <c r="AS1288" s="3"/>
      <c r="AT1288" s="3"/>
      <c r="AU1288" s="3"/>
      <c r="AV1288" s="3"/>
      <c r="AW1288" s="3"/>
      <c r="AX1288" s="3"/>
      <c r="AY1288" s="3"/>
      <c r="AZ1288" s="3"/>
      <c r="BA1288" s="3"/>
      <c r="BB1288" s="3"/>
      <c r="BC1288" s="3"/>
      <c r="BD1288" s="3"/>
      <c r="BE1288" s="3"/>
    </row>
    <row r="1289" spans="1:57" ht="15" customHeight="1" x14ac:dyDescent="0.4">
      <c r="A1289" s="3"/>
      <c r="B1289" s="4"/>
      <c r="C1289" s="8"/>
      <c r="D1289" s="4"/>
      <c r="E1289" s="4"/>
      <c r="F1289" s="4"/>
      <c r="G1289" s="4"/>
      <c r="H1289" s="3"/>
      <c r="I1289" s="3"/>
      <c r="J1289" s="3"/>
      <c r="K1289" s="3"/>
      <c r="L1289" s="3"/>
      <c r="M1289" s="5"/>
      <c r="N1289" s="5"/>
      <c r="O1289" s="5"/>
      <c r="P1289" s="5"/>
      <c r="Q1289" s="5"/>
      <c r="R1289" s="3"/>
      <c r="S1289" s="5"/>
      <c r="T1289" s="3"/>
      <c r="U1289" s="3"/>
      <c r="V1289" s="3"/>
      <c r="W1289" s="3"/>
      <c r="X1289" s="3"/>
      <c r="Y1289" s="3"/>
      <c r="Z1289" s="3"/>
      <c r="AA1289" s="3"/>
      <c r="AB1289" s="3"/>
      <c r="AC1289" s="5"/>
      <c r="AD1289" s="5"/>
      <c r="AE1289" s="5"/>
      <c r="AF1289" s="5"/>
      <c r="AG1289" s="51"/>
      <c r="AH1289" s="39"/>
      <c r="AI1289" s="51"/>
      <c r="AJ1289" s="5"/>
      <c r="AK1289" s="5"/>
      <c r="AL1289" s="5"/>
      <c r="AM1289" s="3"/>
      <c r="AN1289" s="3"/>
      <c r="AO1289" s="3"/>
      <c r="AP1289" s="3"/>
      <c r="AQ1289" s="3"/>
      <c r="AR1289" s="3"/>
      <c r="AS1289" s="3"/>
      <c r="AT1289" s="3"/>
      <c r="AU1289" s="3"/>
      <c r="AV1289" s="3"/>
      <c r="AW1289" s="3"/>
      <c r="AX1289" s="3"/>
      <c r="AY1289" s="3"/>
      <c r="AZ1289" s="3"/>
      <c r="BA1289" s="3"/>
      <c r="BB1289" s="3"/>
      <c r="BC1289" s="3"/>
      <c r="BD1289" s="3"/>
      <c r="BE1289" s="3"/>
    </row>
    <row r="1290" spans="1:57" ht="15" customHeight="1" x14ac:dyDescent="0.4">
      <c r="A1290" s="3"/>
      <c r="B1290" s="4"/>
      <c r="C1290" s="8"/>
      <c r="D1290" s="4"/>
      <c r="E1290" s="4"/>
      <c r="F1290" s="4"/>
      <c r="G1290" s="4"/>
      <c r="H1290" s="3"/>
      <c r="I1290" s="3"/>
      <c r="J1290" s="3"/>
      <c r="K1290" s="3"/>
      <c r="L1290" s="3"/>
      <c r="M1290" s="5"/>
      <c r="N1290" s="5"/>
      <c r="O1290" s="5"/>
      <c r="P1290" s="5"/>
      <c r="Q1290" s="5"/>
      <c r="R1290" s="3"/>
      <c r="S1290" s="5"/>
      <c r="T1290" s="3"/>
      <c r="U1290" s="3"/>
      <c r="V1290" s="3"/>
      <c r="W1290" s="3"/>
      <c r="X1290" s="3"/>
      <c r="Y1290" s="3"/>
      <c r="Z1290" s="3"/>
      <c r="AA1290" s="3"/>
      <c r="AB1290" s="3"/>
      <c r="AC1290" s="5"/>
      <c r="AD1290" s="5"/>
      <c r="AE1290" s="5"/>
      <c r="AF1290" s="5"/>
      <c r="AG1290" s="51"/>
      <c r="AH1290" s="39"/>
      <c r="AI1290" s="51"/>
      <c r="AJ1290" s="5"/>
      <c r="AK1290" s="5"/>
      <c r="AL1290" s="5"/>
      <c r="AM1290" s="3"/>
      <c r="AN1290" s="3"/>
      <c r="AO1290" s="3"/>
      <c r="AP1290" s="3"/>
      <c r="AQ1290" s="3"/>
      <c r="AR1290" s="3"/>
      <c r="AS1290" s="3"/>
      <c r="AT1290" s="3"/>
      <c r="AU1290" s="3"/>
      <c r="AV1290" s="3"/>
      <c r="AW1290" s="3"/>
      <c r="AX1290" s="3"/>
      <c r="AY1290" s="3"/>
      <c r="AZ1290" s="3"/>
      <c r="BA1290" s="3"/>
      <c r="BB1290" s="3"/>
      <c r="BC1290" s="3"/>
      <c r="BD1290" s="3"/>
      <c r="BE1290" s="3"/>
    </row>
    <row r="1291" spans="1:57" ht="15" customHeight="1" thickBot="1" x14ac:dyDescent="0.45">
      <c r="A1291" s="3"/>
      <c r="B1291" s="4"/>
      <c r="C1291" s="924" t="s">
        <v>1078</v>
      </c>
      <c r="D1291" s="924"/>
      <c r="E1291" s="924"/>
      <c r="F1291" s="924"/>
      <c r="G1291" s="889"/>
      <c r="H1291" s="924"/>
      <c r="I1291" s="889"/>
      <c r="J1291" s="889"/>
      <c r="K1291" s="924"/>
      <c r="L1291" s="924"/>
      <c r="M1291" s="924"/>
      <c r="N1291" s="7"/>
      <c r="O1291" s="7"/>
      <c r="P1291" s="7"/>
      <c r="Q1291" s="1997" t="s">
        <v>1079</v>
      </c>
      <c r="R1291" s="1997"/>
      <c r="S1291" s="1997"/>
      <c r="T1291" s="1997"/>
      <c r="U1291" s="1997"/>
      <c r="V1291" s="1997"/>
      <c r="W1291" s="1997"/>
      <c r="X1291" s="1997"/>
      <c r="Y1291" s="3"/>
      <c r="Z1291" s="3"/>
      <c r="AA1291" s="3"/>
      <c r="AB1291" s="3"/>
      <c r="AC1291" s="5"/>
      <c r="AD1291" s="5"/>
      <c r="AE1291" s="5"/>
      <c r="AF1291" s="5"/>
      <c r="AG1291" s="5"/>
      <c r="AH1291" s="5"/>
      <c r="AI1291" s="51"/>
      <c r="AJ1291" s="5"/>
      <c r="AK1291" s="5"/>
      <c r="AL1291" s="5"/>
      <c r="AM1291" s="3"/>
      <c r="AN1291" s="3"/>
      <c r="AO1291" s="3"/>
      <c r="AP1291" s="3"/>
      <c r="AQ1291" s="3"/>
      <c r="AR1291" s="3"/>
      <c r="AS1291" s="3"/>
      <c r="AT1291" s="3"/>
      <c r="AU1291" s="3"/>
      <c r="AV1291" s="3"/>
      <c r="AW1291" s="3"/>
      <c r="AX1291" s="3"/>
      <c r="AY1291" s="3"/>
      <c r="AZ1291" s="3"/>
      <c r="BA1291" s="3"/>
      <c r="BB1291" s="3"/>
      <c r="BC1291" s="3"/>
      <c r="BD1291" s="3"/>
      <c r="BE1291" s="3"/>
    </row>
    <row r="1292" spans="1:57" ht="15" customHeight="1" thickBot="1" x14ac:dyDescent="0.45">
      <c r="A1292" s="3"/>
      <c r="B1292" s="4"/>
      <c r="C1292" s="1219" t="s">
        <v>1080</v>
      </c>
      <c r="D1292" s="968"/>
      <c r="E1292" s="968"/>
      <c r="F1292" s="924"/>
      <c r="G1292" s="889"/>
      <c r="H1292" s="889"/>
      <c r="I1292" s="889"/>
      <c r="J1292" s="889"/>
      <c r="K1292" s="1220" t="s">
        <v>1081</v>
      </c>
      <c r="L1292" s="1494"/>
      <c r="M1292" s="1501">
        <v>19</v>
      </c>
      <c r="N1292" s="5"/>
      <c r="O1292" s="3"/>
      <c r="P1292" s="3"/>
      <c r="Q1292" s="1979" t="s">
        <v>1082</v>
      </c>
      <c r="R1292" s="1980"/>
      <c r="S1292" s="1980"/>
      <c r="T1292" s="1980"/>
      <c r="U1292" s="1980"/>
      <c r="V1292" s="1980"/>
      <c r="W1292" s="1980"/>
      <c r="X1292" s="1981"/>
      <c r="Y1292" s="3"/>
      <c r="Z1292" s="3"/>
      <c r="AA1292" s="3"/>
      <c r="AB1292" s="3"/>
      <c r="AC1292" s="5"/>
      <c r="AD1292" s="5"/>
      <c r="AE1292" s="5"/>
      <c r="AF1292" s="5"/>
      <c r="AG1292" s="5"/>
      <c r="AH1292" s="5"/>
      <c r="AI1292" s="51"/>
      <c r="AJ1292" s="51"/>
      <c r="AK1292" s="51"/>
      <c r="AL1292" s="51"/>
      <c r="AM1292" s="39"/>
      <c r="AN1292" s="3"/>
      <c r="AO1292" s="3"/>
      <c r="AP1292" s="3"/>
      <c r="AQ1292" s="3"/>
      <c r="AR1292" s="3"/>
      <c r="AS1292" s="3"/>
      <c r="AT1292" s="3"/>
      <c r="AU1292" s="3"/>
      <c r="AV1292" s="3"/>
      <c r="AW1292" s="3"/>
      <c r="AX1292" s="3"/>
      <c r="AY1292" s="3"/>
      <c r="AZ1292" s="3"/>
      <c r="BA1292" s="3"/>
      <c r="BB1292" s="3"/>
      <c r="BC1292" s="3"/>
      <c r="BD1292" s="3"/>
      <c r="BE1292" s="3"/>
    </row>
    <row r="1293" spans="1:57" ht="39" customHeight="1" thickBot="1" x14ac:dyDescent="0.45">
      <c r="A1293" s="3" t="s">
        <v>1083</v>
      </c>
      <c r="B1293" s="4"/>
      <c r="C1293" s="1219"/>
      <c r="D1293" s="924" t="s">
        <v>522</v>
      </c>
      <c r="E1293" s="889"/>
      <c r="F1293" s="1494" t="s">
        <v>1084</v>
      </c>
      <c r="G1293" s="889"/>
      <c r="H1293" s="1494"/>
      <c r="I1293" s="1494" t="s">
        <v>1085</v>
      </c>
      <c r="J1293" s="889"/>
      <c r="K1293" s="1494" t="s">
        <v>1086</v>
      </c>
      <c r="L1293" s="889"/>
      <c r="M1293" s="1494" t="s">
        <v>1087</v>
      </c>
      <c r="N1293" s="889"/>
      <c r="O1293" s="889"/>
      <c r="P1293" s="889"/>
      <c r="Q1293" s="776" t="s">
        <v>1088</v>
      </c>
      <c r="R1293" s="136"/>
      <c r="S1293" s="777" t="s">
        <v>1089</v>
      </c>
      <c r="T1293" s="777" t="s">
        <v>1090</v>
      </c>
      <c r="U1293" s="136"/>
      <c r="V1293" s="778" t="s">
        <v>1091</v>
      </c>
      <c r="W1293" s="778" t="s">
        <v>1092</v>
      </c>
      <c r="X1293" s="779" t="s">
        <v>1093</v>
      </c>
      <c r="Y1293" s="1221" t="s">
        <v>1094</v>
      </c>
      <c r="Z1293" s="1494" t="s">
        <v>1095</v>
      </c>
      <c r="AA1293" s="1020" t="s">
        <v>1096</v>
      </c>
      <c r="AB1293" s="889"/>
      <c r="AC1293" s="1494" t="s">
        <v>1085</v>
      </c>
      <c r="AD1293" s="945"/>
      <c r="AE1293" s="1494" t="s">
        <v>1097</v>
      </c>
      <c r="AF1293" s="1494" t="s">
        <v>1085</v>
      </c>
      <c r="AG1293" s="5"/>
      <c r="AH1293" s="5"/>
      <c r="AI1293" s="51"/>
      <c r="AJ1293" s="51"/>
      <c r="AK1293" s="51"/>
      <c r="AL1293" s="51"/>
      <c r="AM1293" s="39"/>
      <c r="AN1293" s="3"/>
      <c r="AO1293" s="3"/>
      <c r="AP1293" s="3"/>
      <c r="AQ1293" s="3"/>
      <c r="AR1293" s="3"/>
      <c r="AS1293" s="3"/>
      <c r="AT1293" s="3"/>
      <c r="AU1293" s="3"/>
      <c r="AV1293" s="3"/>
      <c r="AW1293" s="3"/>
      <c r="AX1293" s="3"/>
      <c r="AY1293" s="3"/>
      <c r="AZ1293" s="3"/>
      <c r="BA1293" s="3"/>
      <c r="BB1293" s="3"/>
      <c r="BC1293" s="3"/>
      <c r="BD1293" s="3"/>
      <c r="BE1293" s="3"/>
    </row>
    <row r="1294" spans="1:57" ht="15" customHeight="1" x14ac:dyDescent="0.4">
      <c r="A1294" s="3" t="s">
        <v>1098</v>
      </c>
      <c r="B1294" s="8" t="s">
        <v>1099</v>
      </c>
      <c r="C1294" s="780">
        <v>1</v>
      </c>
      <c r="D1294" s="8" t="s">
        <v>1100</v>
      </c>
      <c r="E1294" s="3"/>
      <c r="F1294" s="3" t="s">
        <v>1099</v>
      </c>
      <c r="G1294" s="3"/>
      <c r="H1294" s="3"/>
      <c r="I1294" s="3" t="str">
        <f t="shared" ref="I1294:I1323" si="130">RIGHT(F1294,2)</f>
        <v>15</v>
      </c>
      <c r="J1294" s="3"/>
      <c r="K1294" s="3" t="str">
        <f t="shared" ref="K1294:K1324" si="131">IF(NOT(ISERROR(FIND("x",D1294))),TRIM(LEFT(D1294,FIND("x",D1294)-1)),"")</f>
        <v>53.00</v>
      </c>
      <c r="L1294" s="3"/>
      <c r="M1294" s="3" t="str">
        <f t="shared" ref="M1294:M1324" si="132">IF(NOT(ISERROR(FIND("x",D1294))),TRIM(RIGHT(D1294,LEN(D1294)-FIND("x",D1294)-1)),"")</f>
        <v>77.125</v>
      </c>
      <c r="N1294" s="3"/>
      <c r="O1294" s="3"/>
      <c r="P1294" s="3"/>
      <c r="Q1294" s="780" t="b">
        <v>1</v>
      </c>
      <c r="R1294" s="3"/>
      <c r="S1294" s="3" t="b">
        <v>0</v>
      </c>
      <c r="T1294" s="56" t="b">
        <v>1</v>
      </c>
      <c r="U1294" s="3"/>
      <c r="V1294" s="3" t="b">
        <v>0</v>
      </c>
      <c r="W1294" s="3" t="b">
        <v>1</v>
      </c>
      <c r="X1294" s="64" t="b">
        <v>0</v>
      </c>
      <c r="Y1294" s="5" t="b">
        <f t="shared" ref="Y1294:Y1323" si="133">IF(ISERROR(VALUE($I1294)),FALSE,IF(VALUE(I1294)&gt;35,TRUE,FALSE))</f>
        <v>0</v>
      </c>
      <c r="Z1294" s="3" t="b">
        <f t="shared" ref="Z1294:Z1323" si="134">IF(K1294&lt;&gt;"",SHWidth&lt;=K1294*1,FALSE)</f>
        <v>1</v>
      </c>
      <c r="AA1294" s="5" t="b">
        <f t="shared" ref="AA1294:AA1323" si="135">IF(M1294&lt;&gt;"",SHHeight&lt;=M1294*1,FALSE)</f>
        <v>1</v>
      </c>
      <c r="AB1294" s="3"/>
      <c r="AC1294" s="1560" t="e">
        <f>IF(I1294&lt;&gt;"",#REF!&lt;=I1294*1,FALSE)</f>
        <v>#REF!</v>
      </c>
      <c r="AD1294" s="1561"/>
      <c r="AE1294" s="1560" t="e">
        <f t="shared" ref="AE1294:AE1324" si="136">IF(I1294&lt;&gt;"",AND(Z1294,AA1294,AC1294)*I1294,0)</f>
        <v>#REF!</v>
      </c>
      <c r="AF1294" s="1560" t="e">
        <f t="shared" ref="AF1294:AF1323" si="137">IF(AE1294,I1294,1000)*1</f>
        <v>#REF!</v>
      </c>
      <c r="AG1294" s="5"/>
      <c r="AH1294" s="5"/>
      <c r="AI1294" s="51"/>
      <c r="AJ1294" s="51"/>
      <c r="AK1294" s="51"/>
      <c r="AL1294" s="51"/>
      <c r="AM1294" s="39"/>
      <c r="AN1294" s="3"/>
      <c r="AO1294" s="3"/>
      <c r="AP1294" s="3"/>
      <c r="AQ1294" s="3"/>
      <c r="AR1294" s="3"/>
      <c r="AS1294" s="3"/>
      <c r="AT1294" s="3"/>
      <c r="AU1294" s="3"/>
      <c r="AV1294" s="3"/>
      <c r="AW1294" s="3"/>
      <c r="AX1294" s="3"/>
      <c r="AY1294" s="3"/>
      <c r="AZ1294" s="3"/>
      <c r="BA1294" s="3"/>
      <c r="BB1294" s="3"/>
      <c r="BC1294" s="3"/>
      <c r="BD1294" s="3"/>
      <c r="BE1294" s="3"/>
    </row>
    <row r="1295" spans="1:57" ht="15" customHeight="1" x14ac:dyDescent="0.4">
      <c r="A1295" s="3" t="s">
        <v>1098</v>
      </c>
      <c r="B1295" s="8" t="s">
        <v>1101</v>
      </c>
      <c r="C1295" s="780">
        <v>2</v>
      </c>
      <c r="D1295" s="8" t="s">
        <v>1100</v>
      </c>
      <c r="E1295" s="3"/>
      <c r="F1295" s="3" t="s">
        <v>1101</v>
      </c>
      <c r="G1295" s="3"/>
      <c r="H1295" s="3"/>
      <c r="I1295" s="3" t="str">
        <f t="shared" si="130"/>
        <v>25</v>
      </c>
      <c r="J1295" s="3"/>
      <c r="K1295" s="3" t="str">
        <f t="shared" si="131"/>
        <v>53.00</v>
      </c>
      <c r="L1295" s="3"/>
      <c r="M1295" s="3" t="str">
        <f t="shared" si="132"/>
        <v>77.125</v>
      </c>
      <c r="N1295" s="3"/>
      <c r="O1295" s="3"/>
      <c r="P1295" s="3"/>
      <c r="Q1295" s="781" t="b">
        <v>1</v>
      </c>
      <c r="R1295" s="3"/>
      <c r="S1295" s="3" t="b">
        <v>0</v>
      </c>
      <c r="T1295" s="56" t="b">
        <v>1</v>
      </c>
      <c r="U1295" s="3"/>
      <c r="V1295" s="3" t="b">
        <v>0</v>
      </c>
      <c r="W1295" s="3" t="b">
        <v>1</v>
      </c>
      <c r="X1295" s="64" t="b">
        <v>0</v>
      </c>
      <c r="Y1295" s="5" t="b">
        <f t="shared" si="133"/>
        <v>0</v>
      </c>
      <c r="Z1295" s="3" t="b">
        <f t="shared" si="134"/>
        <v>1</v>
      </c>
      <c r="AA1295" s="5" t="b">
        <f t="shared" si="135"/>
        <v>1</v>
      </c>
      <c r="AB1295" s="3"/>
      <c r="AC1295" s="1560" t="e">
        <f>IF(I1295&lt;&gt;"",#REF!&lt;=I1295*1,FALSE)</f>
        <v>#REF!</v>
      </c>
      <c r="AD1295" s="1561"/>
      <c r="AE1295" s="1560" t="e">
        <f t="shared" si="136"/>
        <v>#REF!</v>
      </c>
      <c r="AF1295" s="1560" t="e">
        <f t="shared" si="137"/>
        <v>#REF!</v>
      </c>
      <c r="AG1295" s="5"/>
      <c r="AH1295" s="5"/>
      <c r="AI1295" s="51"/>
      <c r="AJ1295" s="51"/>
      <c r="AK1295" s="51"/>
      <c r="AL1295" s="51"/>
      <c r="AM1295" s="39"/>
      <c r="AN1295" s="3"/>
      <c r="AO1295" s="3"/>
      <c r="AP1295" s="3"/>
      <c r="AQ1295" s="3"/>
      <c r="AR1295" s="3"/>
      <c r="AS1295" s="3"/>
      <c r="AT1295" s="3"/>
      <c r="AU1295" s="3"/>
      <c r="AV1295" s="3"/>
      <c r="AW1295" s="3"/>
      <c r="AX1295" s="3"/>
      <c r="AY1295" s="3"/>
      <c r="AZ1295" s="3"/>
      <c r="BA1295" s="3"/>
      <c r="BB1295" s="3"/>
      <c r="BC1295" s="3"/>
      <c r="BD1295" s="3"/>
      <c r="BE1295" s="3"/>
    </row>
    <row r="1296" spans="1:57" ht="15" customHeight="1" x14ac:dyDescent="0.4">
      <c r="A1296" s="3" t="s">
        <v>1098</v>
      </c>
      <c r="B1296" s="8" t="s">
        <v>1102</v>
      </c>
      <c r="C1296" s="780">
        <v>3</v>
      </c>
      <c r="D1296" s="8" t="s">
        <v>1100</v>
      </c>
      <c r="E1296" s="3"/>
      <c r="F1296" s="3" t="s">
        <v>1102</v>
      </c>
      <c r="G1296" s="3"/>
      <c r="H1296" s="3"/>
      <c r="I1296" s="3" t="str">
        <f t="shared" si="130"/>
        <v>35</v>
      </c>
      <c r="J1296" s="3"/>
      <c r="K1296" s="3" t="str">
        <f t="shared" si="131"/>
        <v>53.00</v>
      </c>
      <c r="L1296" s="3"/>
      <c r="M1296" s="3" t="str">
        <f t="shared" si="132"/>
        <v>77.125</v>
      </c>
      <c r="N1296" s="3"/>
      <c r="O1296" s="3"/>
      <c r="P1296" s="3"/>
      <c r="Q1296" s="781" t="b">
        <v>1</v>
      </c>
      <c r="R1296" s="3"/>
      <c r="S1296" s="3" t="b">
        <v>0</v>
      </c>
      <c r="T1296" s="56" t="b">
        <v>1</v>
      </c>
      <c r="U1296" s="3"/>
      <c r="V1296" s="3" t="b">
        <v>0</v>
      </c>
      <c r="W1296" s="3" t="b">
        <v>1</v>
      </c>
      <c r="X1296" s="64" t="b">
        <v>0</v>
      </c>
      <c r="Y1296" s="5" t="b">
        <f t="shared" si="133"/>
        <v>0</v>
      </c>
      <c r="Z1296" s="3" t="b">
        <f t="shared" si="134"/>
        <v>1</v>
      </c>
      <c r="AA1296" s="5" t="b">
        <f t="shared" si="135"/>
        <v>1</v>
      </c>
      <c r="AB1296" s="3"/>
      <c r="AC1296" s="1560" t="e">
        <f>IF(I1296&lt;&gt;"",#REF!&lt;=I1296*1,FALSE)</f>
        <v>#REF!</v>
      </c>
      <c r="AD1296" s="1561"/>
      <c r="AE1296" s="1560" t="e">
        <f t="shared" si="136"/>
        <v>#REF!</v>
      </c>
      <c r="AF1296" s="1560" t="e">
        <f t="shared" si="137"/>
        <v>#REF!</v>
      </c>
      <c r="AG1296" s="5"/>
      <c r="AH1296" s="5"/>
      <c r="AI1296" s="51"/>
      <c r="AJ1296" s="51"/>
      <c r="AK1296" s="51"/>
      <c r="AL1296" s="51"/>
      <c r="AM1296" s="39"/>
      <c r="AN1296" s="3"/>
      <c r="AO1296" s="3"/>
      <c r="AP1296" s="3"/>
      <c r="AQ1296" s="3"/>
      <c r="AR1296" s="3"/>
      <c r="AS1296" s="3"/>
      <c r="AT1296" s="3"/>
      <c r="AU1296" s="3"/>
      <c r="AV1296" s="3"/>
      <c r="AW1296" s="3"/>
      <c r="AX1296" s="3"/>
      <c r="AY1296" s="3"/>
      <c r="AZ1296" s="3"/>
      <c r="BA1296" s="3"/>
      <c r="BB1296" s="3"/>
      <c r="BC1296" s="3"/>
      <c r="BD1296" s="3"/>
      <c r="BE1296" s="3"/>
    </row>
    <row r="1297" spans="1:57" ht="15" customHeight="1" x14ac:dyDescent="0.4">
      <c r="A1297" s="3" t="s">
        <v>1098</v>
      </c>
      <c r="B1297" s="8" t="s">
        <v>1103</v>
      </c>
      <c r="C1297" s="780">
        <v>4</v>
      </c>
      <c r="D1297" s="8" t="s">
        <v>1100</v>
      </c>
      <c r="E1297" s="3"/>
      <c r="F1297" s="3" t="s">
        <v>1103</v>
      </c>
      <c r="G1297" s="3"/>
      <c r="H1297" s="3"/>
      <c r="I1297" s="3" t="str">
        <f t="shared" si="130"/>
        <v>50</v>
      </c>
      <c r="J1297" s="3"/>
      <c r="K1297" s="3" t="str">
        <f t="shared" si="131"/>
        <v>53.00</v>
      </c>
      <c r="L1297" s="3"/>
      <c r="M1297" s="3" t="str">
        <f t="shared" si="132"/>
        <v>77.125</v>
      </c>
      <c r="N1297" s="3"/>
      <c r="O1297" s="3"/>
      <c r="P1297" s="3"/>
      <c r="Q1297" s="781" t="b">
        <v>1</v>
      </c>
      <c r="R1297" s="3"/>
      <c r="S1297" s="3" t="b">
        <v>0</v>
      </c>
      <c r="T1297" s="56" t="b">
        <v>1</v>
      </c>
      <c r="U1297" s="3"/>
      <c r="V1297" s="3" t="b">
        <v>0</v>
      </c>
      <c r="W1297" s="3" t="b">
        <v>1</v>
      </c>
      <c r="X1297" s="64" t="b">
        <v>0</v>
      </c>
      <c r="Y1297" s="5" t="b">
        <f t="shared" si="133"/>
        <v>1</v>
      </c>
      <c r="Z1297" s="3" t="b">
        <f t="shared" si="134"/>
        <v>1</v>
      </c>
      <c r="AA1297" s="5" t="b">
        <f t="shared" si="135"/>
        <v>1</v>
      </c>
      <c r="AB1297" s="3"/>
      <c r="AC1297" s="1560" t="e">
        <f>IF(I1297&lt;&gt;"",#REF!&lt;=I1297*1,FALSE)</f>
        <v>#REF!</v>
      </c>
      <c r="AD1297" s="1561"/>
      <c r="AE1297" s="1560" t="e">
        <f t="shared" si="136"/>
        <v>#REF!</v>
      </c>
      <c r="AF1297" s="1560" t="e">
        <f t="shared" si="137"/>
        <v>#REF!</v>
      </c>
      <c r="AG1297" s="5"/>
      <c r="AH1297" s="5"/>
      <c r="AI1297" s="51"/>
      <c r="AJ1297" s="51"/>
      <c r="AK1297" s="51"/>
      <c r="AL1297" s="51"/>
      <c r="AM1297" s="39"/>
      <c r="AN1297" s="3"/>
      <c r="AO1297" s="3"/>
      <c r="AP1297" s="3"/>
      <c r="AQ1297" s="3"/>
      <c r="AR1297" s="3"/>
      <c r="AS1297" s="3"/>
      <c r="AT1297" s="3"/>
      <c r="AU1297" s="3"/>
      <c r="AV1297" s="3"/>
      <c r="AW1297" s="3"/>
      <c r="AX1297" s="3"/>
      <c r="AY1297" s="3"/>
      <c r="AZ1297" s="3"/>
      <c r="BA1297" s="3"/>
      <c r="BB1297" s="3"/>
      <c r="BC1297" s="3"/>
      <c r="BD1297" s="3"/>
      <c r="BE1297" s="3"/>
    </row>
    <row r="1298" spans="1:57" ht="15" customHeight="1" x14ac:dyDescent="0.4">
      <c r="A1298" s="3" t="s">
        <v>1104</v>
      </c>
      <c r="B1298" s="8" t="s">
        <v>1099</v>
      </c>
      <c r="C1298" s="780">
        <v>5</v>
      </c>
      <c r="D1298" s="8" t="s">
        <v>1104</v>
      </c>
      <c r="E1298" s="3"/>
      <c r="F1298" s="3" t="s">
        <v>1099</v>
      </c>
      <c r="G1298" s="3"/>
      <c r="H1298" s="3"/>
      <c r="I1298" s="3" t="str">
        <f t="shared" si="130"/>
        <v>15</v>
      </c>
      <c r="J1298" s="3"/>
      <c r="K1298" s="3" t="str">
        <f t="shared" si="131"/>
        <v>48.00</v>
      </c>
      <c r="L1298" s="3"/>
      <c r="M1298" s="3" t="str">
        <f t="shared" si="132"/>
        <v>96.00</v>
      </c>
      <c r="N1298" s="3"/>
      <c r="O1298" s="3"/>
      <c r="P1298" s="3"/>
      <c r="Q1298" s="781" t="b">
        <v>1</v>
      </c>
      <c r="R1298" s="3"/>
      <c r="S1298" s="3" t="b">
        <v>0</v>
      </c>
      <c r="T1298" s="56" t="b">
        <v>1</v>
      </c>
      <c r="U1298" s="3"/>
      <c r="V1298" s="3" t="b">
        <v>0</v>
      </c>
      <c r="W1298" s="3" t="b">
        <v>1</v>
      </c>
      <c r="X1298" s="64" t="b">
        <v>0</v>
      </c>
      <c r="Y1298" s="5" t="b">
        <f t="shared" si="133"/>
        <v>0</v>
      </c>
      <c r="Z1298" s="3" t="b">
        <f t="shared" si="134"/>
        <v>1</v>
      </c>
      <c r="AA1298" s="5" t="b">
        <f t="shared" si="135"/>
        <v>1</v>
      </c>
      <c r="AB1298" s="3"/>
      <c r="AC1298" s="1560" t="e">
        <f>IF(I1298&lt;&gt;"",#REF!&lt;=I1298*1,FALSE)</f>
        <v>#REF!</v>
      </c>
      <c r="AD1298" s="1561"/>
      <c r="AE1298" s="1560" t="e">
        <f t="shared" si="136"/>
        <v>#REF!</v>
      </c>
      <c r="AF1298" s="1560" t="e">
        <f t="shared" si="137"/>
        <v>#REF!</v>
      </c>
      <c r="AG1298" s="5"/>
      <c r="AH1298" s="5"/>
      <c r="AI1298" s="51"/>
      <c r="AJ1298" s="51"/>
      <c r="AK1298" s="51"/>
      <c r="AL1298" s="51"/>
      <c r="AM1298" s="39"/>
      <c r="AN1298" s="3"/>
      <c r="AO1298" s="3"/>
      <c r="AP1298" s="3"/>
      <c r="AQ1298" s="3"/>
      <c r="AR1298" s="3"/>
      <c r="AS1298" s="3"/>
      <c r="AT1298" s="3"/>
      <c r="AU1298" s="3"/>
      <c r="AV1298" s="3"/>
      <c r="AW1298" s="3"/>
      <c r="AX1298" s="3"/>
      <c r="AY1298" s="3"/>
      <c r="AZ1298" s="3"/>
      <c r="BA1298" s="3"/>
      <c r="BB1298" s="3"/>
      <c r="BC1298" s="3"/>
      <c r="BD1298" s="3"/>
      <c r="BE1298" s="3"/>
    </row>
    <row r="1299" spans="1:57" ht="15" customHeight="1" x14ac:dyDescent="0.4">
      <c r="A1299" s="3" t="s">
        <v>1104</v>
      </c>
      <c r="B1299" s="8" t="s">
        <v>1101</v>
      </c>
      <c r="C1299" s="780">
        <v>6</v>
      </c>
      <c r="D1299" s="8" t="s">
        <v>1104</v>
      </c>
      <c r="E1299" s="3"/>
      <c r="F1299" s="3" t="s">
        <v>1101</v>
      </c>
      <c r="G1299" s="3"/>
      <c r="H1299" s="8"/>
      <c r="I1299" s="3" t="str">
        <f t="shared" si="130"/>
        <v>25</v>
      </c>
      <c r="J1299" s="3"/>
      <c r="K1299" s="3" t="str">
        <f t="shared" si="131"/>
        <v>48.00</v>
      </c>
      <c r="L1299" s="3"/>
      <c r="M1299" s="3" t="str">
        <f t="shared" si="132"/>
        <v>96.00</v>
      </c>
      <c r="N1299" s="3"/>
      <c r="O1299" s="3"/>
      <c r="P1299" s="3"/>
      <c r="Q1299" s="781" t="b">
        <v>1</v>
      </c>
      <c r="R1299" s="3"/>
      <c r="S1299" s="3" t="b">
        <v>0</v>
      </c>
      <c r="T1299" s="56" t="b">
        <v>1</v>
      </c>
      <c r="U1299" s="3"/>
      <c r="V1299" s="3" t="b">
        <v>0</v>
      </c>
      <c r="W1299" s="3" t="b">
        <v>1</v>
      </c>
      <c r="X1299" s="64" t="b">
        <v>0</v>
      </c>
      <c r="Y1299" s="5" t="b">
        <f t="shared" si="133"/>
        <v>0</v>
      </c>
      <c r="Z1299" s="3" t="b">
        <f t="shared" si="134"/>
        <v>1</v>
      </c>
      <c r="AA1299" s="5" t="b">
        <f t="shared" si="135"/>
        <v>1</v>
      </c>
      <c r="AB1299" s="3"/>
      <c r="AC1299" s="1560" t="e">
        <f>IF(I1299&lt;&gt;"",#REF!&lt;=I1299*1,FALSE)</f>
        <v>#REF!</v>
      </c>
      <c r="AD1299" s="1561"/>
      <c r="AE1299" s="1560" t="e">
        <f t="shared" si="136"/>
        <v>#REF!</v>
      </c>
      <c r="AF1299" s="1560" t="e">
        <f t="shared" si="137"/>
        <v>#REF!</v>
      </c>
      <c r="AG1299" s="5"/>
      <c r="AH1299" s="5"/>
      <c r="AI1299" s="51"/>
      <c r="AJ1299" s="51"/>
      <c r="AK1299" s="51"/>
      <c r="AL1299" s="51"/>
      <c r="AM1299" s="39"/>
      <c r="AN1299" s="3"/>
      <c r="AO1299" s="3"/>
      <c r="AP1299" s="3"/>
      <c r="AQ1299" s="3"/>
      <c r="AR1299" s="3"/>
      <c r="AS1299" s="3"/>
      <c r="AT1299" s="3"/>
      <c r="AU1299" s="3"/>
      <c r="AV1299" s="3"/>
      <c r="AW1299" s="3"/>
      <c r="AX1299" s="3"/>
      <c r="AY1299" s="3"/>
      <c r="AZ1299" s="3"/>
      <c r="BA1299" s="3"/>
      <c r="BB1299" s="3"/>
      <c r="BC1299" s="3"/>
      <c r="BD1299" s="3"/>
      <c r="BE1299" s="3"/>
    </row>
    <row r="1300" spans="1:57" ht="15" customHeight="1" x14ac:dyDescent="0.4">
      <c r="A1300" s="3" t="s">
        <v>1104</v>
      </c>
      <c r="B1300" s="8" t="s">
        <v>1102</v>
      </c>
      <c r="C1300" s="780">
        <v>7</v>
      </c>
      <c r="D1300" s="8" t="s">
        <v>1104</v>
      </c>
      <c r="E1300" s="3"/>
      <c r="F1300" s="3" t="s">
        <v>1102</v>
      </c>
      <c r="G1300" s="3"/>
      <c r="H1300" s="8"/>
      <c r="I1300" s="3" t="str">
        <f t="shared" si="130"/>
        <v>35</v>
      </c>
      <c r="J1300" s="3"/>
      <c r="K1300" s="3" t="str">
        <f t="shared" si="131"/>
        <v>48.00</v>
      </c>
      <c r="L1300" s="3"/>
      <c r="M1300" s="3" t="str">
        <f t="shared" si="132"/>
        <v>96.00</v>
      </c>
      <c r="N1300" s="3"/>
      <c r="O1300" s="3"/>
      <c r="P1300" s="3"/>
      <c r="Q1300" s="781" t="b">
        <v>1</v>
      </c>
      <c r="R1300" s="3"/>
      <c r="S1300" s="3" t="b">
        <v>0</v>
      </c>
      <c r="T1300" s="56" t="b">
        <v>1</v>
      </c>
      <c r="U1300" s="3"/>
      <c r="V1300" s="3" t="b">
        <v>0</v>
      </c>
      <c r="W1300" s="3" t="b">
        <v>1</v>
      </c>
      <c r="X1300" s="64" t="b">
        <v>0</v>
      </c>
      <c r="Y1300" s="5" t="b">
        <f t="shared" si="133"/>
        <v>0</v>
      </c>
      <c r="Z1300" s="3" t="b">
        <f t="shared" si="134"/>
        <v>1</v>
      </c>
      <c r="AA1300" s="5" t="b">
        <f t="shared" si="135"/>
        <v>1</v>
      </c>
      <c r="AB1300" s="3"/>
      <c r="AC1300" s="1560" t="e">
        <f>IF(I1300&lt;&gt;"",#REF!&lt;=I1300*1,FALSE)</f>
        <v>#REF!</v>
      </c>
      <c r="AD1300" s="1561"/>
      <c r="AE1300" s="1560" t="e">
        <f t="shared" si="136"/>
        <v>#REF!</v>
      </c>
      <c r="AF1300" s="1560" t="e">
        <f t="shared" si="137"/>
        <v>#REF!</v>
      </c>
      <c r="AG1300" s="5"/>
      <c r="AH1300" s="5"/>
      <c r="AI1300" s="51"/>
      <c r="AJ1300" s="51"/>
      <c r="AK1300" s="51"/>
      <c r="AL1300" s="51"/>
      <c r="AM1300" s="39"/>
      <c r="AN1300" s="3"/>
      <c r="AO1300" s="3"/>
      <c r="AP1300" s="3"/>
      <c r="AQ1300" s="3"/>
      <c r="AR1300" s="3"/>
      <c r="AS1300" s="3"/>
      <c r="AT1300" s="3"/>
      <c r="AU1300" s="3"/>
      <c r="AV1300" s="3"/>
      <c r="AW1300" s="3"/>
      <c r="AX1300" s="3"/>
      <c r="AY1300" s="3"/>
      <c r="AZ1300" s="3"/>
      <c r="BA1300" s="3"/>
      <c r="BB1300" s="3"/>
      <c r="BC1300" s="3"/>
      <c r="BD1300" s="3"/>
      <c r="BE1300" s="3"/>
    </row>
    <row r="1301" spans="1:57" ht="15" customHeight="1" x14ac:dyDescent="0.4">
      <c r="A1301" s="3" t="s">
        <v>1104</v>
      </c>
      <c r="B1301" s="8" t="s">
        <v>1103</v>
      </c>
      <c r="C1301" s="780">
        <v>8</v>
      </c>
      <c r="D1301" s="8" t="s">
        <v>1104</v>
      </c>
      <c r="E1301" s="3"/>
      <c r="F1301" s="3" t="s">
        <v>1103</v>
      </c>
      <c r="G1301" s="3"/>
      <c r="H1301" s="8"/>
      <c r="I1301" s="3" t="str">
        <f t="shared" si="130"/>
        <v>50</v>
      </c>
      <c r="J1301" s="3"/>
      <c r="K1301" s="3" t="str">
        <f t="shared" si="131"/>
        <v>48.00</v>
      </c>
      <c r="L1301" s="3"/>
      <c r="M1301" s="3" t="str">
        <f t="shared" si="132"/>
        <v>96.00</v>
      </c>
      <c r="N1301" s="3"/>
      <c r="O1301" s="3"/>
      <c r="P1301" s="3"/>
      <c r="Q1301" s="781" t="b">
        <v>1</v>
      </c>
      <c r="R1301" s="3"/>
      <c r="S1301" s="56" t="b">
        <v>0</v>
      </c>
      <c r="T1301" s="56" t="b">
        <v>1</v>
      </c>
      <c r="U1301" s="3"/>
      <c r="V1301" s="56" t="b">
        <v>0</v>
      </c>
      <c r="W1301" s="3" t="b">
        <v>1</v>
      </c>
      <c r="X1301" s="64" t="b">
        <v>0</v>
      </c>
      <c r="Y1301" s="5" t="b">
        <f t="shared" si="133"/>
        <v>1</v>
      </c>
      <c r="Z1301" s="3" t="b">
        <f t="shared" si="134"/>
        <v>1</v>
      </c>
      <c r="AA1301" s="5" t="b">
        <f t="shared" si="135"/>
        <v>1</v>
      </c>
      <c r="AB1301" s="3"/>
      <c r="AC1301" s="1560" t="e">
        <f>IF(I1301&lt;&gt;"",#REF!&lt;=I1301*1,FALSE)</f>
        <v>#REF!</v>
      </c>
      <c r="AD1301" s="1561"/>
      <c r="AE1301" s="1560" t="e">
        <f t="shared" si="136"/>
        <v>#REF!</v>
      </c>
      <c r="AF1301" s="1560" t="e">
        <f t="shared" si="137"/>
        <v>#REF!</v>
      </c>
      <c r="AG1301" s="5"/>
      <c r="AH1301" s="5"/>
      <c r="AI1301" s="51"/>
      <c r="AJ1301" s="51"/>
      <c r="AK1301" s="51"/>
      <c r="AL1301" s="51"/>
      <c r="AM1301" s="39"/>
      <c r="AN1301" s="3"/>
      <c r="AO1301" s="3"/>
      <c r="AP1301" s="3"/>
      <c r="AQ1301" s="3"/>
      <c r="AR1301" s="3"/>
      <c r="AS1301" s="3"/>
      <c r="AT1301" s="3"/>
      <c r="AU1301" s="3"/>
      <c r="AV1301" s="3"/>
      <c r="AW1301" s="3"/>
      <c r="AX1301" s="3"/>
      <c r="AY1301" s="3"/>
      <c r="AZ1301" s="3"/>
      <c r="BA1301" s="3"/>
      <c r="BB1301" s="3"/>
      <c r="BC1301" s="3"/>
      <c r="BD1301" s="3"/>
      <c r="BE1301" s="3"/>
    </row>
    <row r="1302" spans="1:57" ht="15" customHeight="1" x14ac:dyDescent="0.4">
      <c r="A1302" s="3" t="s">
        <v>1105</v>
      </c>
      <c r="B1302" s="8" t="s">
        <v>1103</v>
      </c>
      <c r="C1302" s="780">
        <v>9</v>
      </c>
      <c r="D1302" s="8" t="s">
        <v>1105</v>
      </c>
      <c r="E1302" s="3"/>
      <c r="F1302" s="3" t="s">
        <v>1103</v>
      </c>
      <c r="G1302" s="3"/>
      <c r="H1302" s="8"/>
      <c r="I1302" s="3" t="str">
        <f t="shared" si="130"/>
        <v>50</v>
      </c>
      <c r="J1302" s="3"/>
      <c r="K1302" s="3" t="str">
        <f t="shared" si="131"/>
        <v>40.00</v>
      </c>
      <c r="L1302" s="3"/>
      <c r="M1302" s="3" t="str">
        <f t="shared" si="132"/>
        <v>72.00</v>
      </c>
      <c r="N1302" s="3"/>
      <c r="O1302" s="3"/>
      <c r="P1302" s="3"/>
      <c r="Q1302" s="781" t="b">
        <v>1</v>
      </c>
      <c r="R1302" s="3"/>
      <c r="S1302" s="3" t="b">
        <v>0</v>
      </c>
      <c r="T1302" s="56" t="b">
        <v>1</v>
      </c>
      <c r="U1302" s="3"/>
      <c r="V1302" s="3" t="b">
        <v>0</v>
      </c>
      <c r="W1302" s="3" t="b">
        <v>1</v>
      </c>
      <c r="X1302" s="64" t="b">
        <v>0</v>
      </c>
      <c r="Y1302" s="5" t="b">
        <f t="shared" si="133"/>
        <v>1</v>
      </c>
      <c r="Z1302" s="3" t="b">
        <f t="shared" si="134"/>
        <v>1</v>
      </c>
      <c r="AA1302" s="5" t="b">
        <f t="shared" si="135"/>
        <v>0</v>
      </c>
      <c r="AB1302" s="3"/>
      <c r="AC1302" s="1560" t="e">
        <f>IF(I1302&lt;&gt;"",#REF!&lt;=I1302*1,FALSE)</f>
        <v>#REF!</v>
      </c>
      <c r="AD1302" s="1561"/>
      <c r="AE1302" s="1560" t="e">
        <f t="shared" si="136"/>
        <v>#REF!</v>
      </c>
      <c r="AF1302" s="1560" t="e">
        <f t="shared" si="137"/>
        <v>#REF!</v>
      </c>
      <c r="AG1302" s="5"/>
      <c r="AH1302" s="5"/>
      <c r="AI1302" s="51"/>
      <c r="AJ1302" s="51"/>
      <c r="AK1302" s="51"/>
      <c r="AL1302" s="51"/>
      <c r="AM1302" s="39"/>
      <c r="AN1302" s="3"/>
      <c r="AO1302" s="3"/>
      <c r="AP1302" s="3"/>
      <c r="AQ1302" s="3"/>
      <c r="AR1302" s="3"/>
      <c r="AS1302" s="3"/>
      <c r="AT1302" s="3"/>
      <c r="AU1302" s="3"/>
      <c r="AV1302" s="3"/>
      <c r="AW1302" s="3"/>
      <c r="AX1302" s="3"/>
      <c r="AY1302" s="3"/>
      <c r="AZ1302" s="3"/>
      <c r="BA1302" s="3"/>
      <c r="BB1302" s="3"/>
      <c r="BC1302" s="3"/>
      <c r="BD1302" s="3"/>
      <c r="BE1302" s="3"/>
    </row>
    <row r="1303" spans="1:57" ht="15" customHeight="1" x14ac:dyDescent="0.4">
      <c r="A1303" s="3" t="s">
        <v>1105</v>
      </c>
      <c r="B1303" s="8" t="s">
        <v>1102</v>
      </c>
      <c r="C1303" s="780">
        <v>10</v>
      </c>
      <c r="D1303" s="8" t="s">
        <v>1105</v>
      </c>
      <c r="E1303" s="3"/>
      <c r="F1303" s="3" t="s">
        <v>1102</v>
      </c>
      <c r="G1303" s="3"/>
      <c r="H1303" s="8"/>
      <c r="I1303" s="3" t="str">
        <f t="shared" si="130"/>
        <v>35</v>
      </c>
      <c r="J1303" s="3"/>
      <c r="K1303" s="3" t="str">
        <f t="shared" si="131"/>
        <v>40.00</v>
      </c>
      <c r="L1303" s="3"/>
      <c r="M1303" s="3" t="str">
        <f t="shared" si="132"/>
        <v>72.00</v>
      </c>
      <c r="N1303" s="3"/>
      <c r="O1303" s="3"/>
      <c r="P1303" s="3"/>
      <c r="Q1303" s="781" t="b">
        <v>1</v>
      </c>
      <c r="R1303" s="3"/>
      <c r="S1303" s="3" t="b">
        <v>0</v>
      </c>
      <c r="T1303" s="56" t="b">
        <v>1</v>
      </c>
      <c r="U1303" s="3"/>
      <c r="V1303" s="3" t="b">
        <v>0</v>
      </c>
      <c r="W1303" s="3" t="b">
        <v>1</v>
      </c>
      <c r="X1303" s="64" t="b">
        <v>0</v>
      </c>
      <c r="Y1303" s="5" t="b">
        <f t="shared" si="133"/>
        <v>0</v>
      </c>
      <c r="Z1303" s="3" t="b">
        <f t="shared" si="134"/>
        <v>1</v>
      </c>
      <c r="AA1303" s="5" t="b">
        <f t="shared" si="135"/>
        <v>0</v>
      </c>
      <c r="AB1303" s="3"/>
      <c r="AC1303" s="1560" t="e">
        <f>IF(I1303&lt;&gt;"",#REF!&lt;=I1303*1,FALSE)</f>
        <v>#REF!</v>
      </c>
      <c r="AD1303" s="1561"/>
      <c r="AE1303" s="1560" t="e">
        <f t="shared" si="136"/>
        <v>#REF!</v>
      </c>
      <c r="AF1303" s="1560" t="e">
        <f t="shared" si="137"/>
        <v>#REF!</v>
      </c>
      <c r="AG1303" s="5"/>
      <c r="AH1303" s="5"/>
      <c r="AI1303" s="51"/>
      <c r="AJ1303" s="51"/>
      <c r="AK1303" s="51"/>
      <c r="AL1303" s="51"/>
      <c r="AM1303" s="39"/>
      <c r="AN1303" s="3"/>
      <c r="AO1303" s="3"/>
      <c r="AP1303" s="3"/>
      <c r="AQ1303" s="3"/>
      <c r="AR1303" s="3"/>
      <c r="AS1303" s="3"/>
      <c r="AT1303" s="3"/>
      <c r="AU1303" s="3"/>
      <c r="AV1303" s="3"/>
      <c r="AW1303" s="3"/>
      <c r="AX1303" s="3"/>
      <c r="AY1303" s="3"/>
      <c r="AZ1303" s="3"/>
      <c r="BA1303" s="3"/>
      <c r="BB1303" s="3"/>
      <c r="BC1303" s="3"/>
      <c r="BD1303" s="3"/>
      <c r="BE1303" s="3"/>
    </row>
    <row r="1304" spans="1:57" ht="15" customHeight="1" x14ac:dyDescent="0.4">
      <c r="A1304" s="3" t="s">
        <v>1105</v>
      </c>
      <c r="B1304" s="8" t="s">
        <v>1102</v>
      </c>
      <c r="C1304" s="780">
        <v>11</v>
      </c>
      <c r="D1304" s="8" t="s">
        <v>1105</v>
      </c>
      <c r="E1304" s="3"/>
      <c r="F1304" s="3" t="s">
        <v>1102</v>
      </c>
      <c r="G1304" s="3"/>
      <c r="H1304" s="8"/>
      <c r="I1304" s="3" t="str">
        <f t="shared" si="130"/>
        <v>35</v>
      </c>
      <c r="J1304" s="3"/>
      <c r="K1304" s="3" t="str">
        <f t="shared" si="131"/>
        <v>40.00</v>
      </c>
      <c r="L1304" s="3"/>
      <c r="M1304" s="3" t="str">
        <f t="shared" si="132"/>
        <v>72.00</v>
      </c>
      <c r="N1304" s="3"/>
      <c r="O1304" s="3"/>
      <c r="P1304" s="3"/>
      <c r="Q1304" s="781" t="b">
        <v>1</v>
      </c>
      <c r="R1304" s="3"/>
      <c r="S1304" s="3" t="b">
        <v>0</v>
      </c>
      <c r="T1304" s="56" t="b">
        <v>1</v>
      </c>
      <c r="U1304" s="3"/>
      <c r="V1304" s="3" t="b">
        <v>0</v>
      </c>
      <c r="W1304" s="3" t="b">
        <v>1</v>
      </c>
      <c r="X1304" s="64" t="b">
        <v>0</v>
      </c>
      <c r="Y1304" s="5" t="b">
        <f t="shared" si="133"/>
        <v>0</v>
      </c>
      <c r="Z1304" s="3" t="b">
        <f t="shared" si="134"/>
        <v>1</v>
      </c>
      <c r="AA1304" s="5" t="b">
        <f t="shared" si="135"/>
        <v>0</v>
      </c>
      <c r="AB1304" s="3"/>
      <c r="AC1304" s="1560" t="e">
        <f>IF(I1304&lt;&gt;"",#REF!&lt;=I1304*1,FALSE)</f>
        <v>#REF!</v>
      </c>
      <c r="AD1304" s="1561"/>
      <c r="AE1304" s="1560" t="e">
        <f t="shared" si="136"/>
        <v>#REF!</v>
      </c>
      <c r="AF1304" s="1560" t="e">
        <f t="shared" si="137"/>
        <v>#REF!</v>
      </c>
      <c r="AG1304" s="5"/>
      <c r="AH1304" s="5"/>
      <c r="AI1304" s="51"/>
      <c r="AJ1304" s="51"/>
      <c r="AK1304" s="51"/>
      <c r="AL1304" s="51"/>
      <c r="AM1304" s="39"/>
      <c r="AN1304" s="3"/>
      <c r="AO1304" s="3"/>
      <c r="AP1304" s="3"/>
      <c r="AQ1304" s="3"/>
      <c r="AR1304" s="3"/>
      <c r="AS1304" s="3"/>
      <c r="AT1304" s="3"/>
      <c r="AU1304" s="3"/>
      <c r="AV1304" s="3"/>
      <c r="AW1304" s="3"/>
      <c r="AX1304" s="3"/>
      <c r="AY1304" s="3"/>
      <c r="AZ1304" s="3"/>
      <c r="BA1304" s="3"/>
      <c r="BB1304" s="3"/>
      <c r="BC1304" s="3"/>
      <c r="BD1304" s="3"/>
      <c r="BE1304" s="3"/>
    </row>
    <row r="1305" spans="1:57" ht="15" customHeight="1" x14ac:dyDescent="0.4">
      <c r="A1305" s="3" t="s">
        <v>1106</v>
      </c>
      <c r="B1305" s="8" t="s">
        <v>1101</v>
      </c>
      <c r="C1305" s="780">
        <v>12</v>
      </c>
      <c r="D1305" s="8" t="s">
        <v>1107</v>
      </c>
      <c r="E1305" s="3"/>
      <c r="F1305" s="3" t="s">
        <v>1101</v>
      </c>
      <c r="G1305" s="3"/>
      <c r="H1305" s="8"/>
      <c r="I1305" s="3" t="str">
        <f t="shared" si="130"/>
        <v>25</v>
      </c>
      <c r="J1305" s="3"/>
      <c r="K1305" s="3" t="str">
        <f t="shared" si="131"/>
        <v>44.00</v>
      </c>
      <c r="L1305" s="3"/>
      <c r="M1305" s="3" t="str">
        <f t="shared" si="132"/>
        <v>77.125</v>
      </c>
      <c r="N1305" s="3"/>
      <c r="O1305" s="3"/>
      <c r="P1305" s="3"/>
      <c r="Q1305" s="781" t="b">
        <v>1</v>
      </c>
      <c r="R1305" s="3"/>
      <c r="S1305" s="3" t="b">
        <v>0</v>
      </c>
      <c r="T1305" s="56" t="b">
        <v>1</v>
      </c>
      <c r="U1305" s="3"/>
      <c r="V1305" s="3" t="b">
        <v>0</v>
      </c>
      <c r="W1305" s="3" t="b">
        <v>1</v>
      </c>
      <c r="X1305" s="64" t="b">
        <v>0</v>
      </c>
      <c r="Y1305" s="5" t="b">
        <f t="shared" si="133"/>
        <v>0</v>
      </c>
      <c r="Z1305" s="3" t="b">
        <f t="shared" si="134"/>
        <v>1</v>
      </c>
      <c r="AA1305" s="5" t="b">
        <f t="shared" si="135"/>
        <v>1</v>
      </c>
      <c r="AB1305" s="3"/>
      <c r="AC1305" s="1560" t="e">
        <f>IF(I1305&lt;&gt;"",#REF!&lt;=I1305*1,FALSE)</f>
        <v>#REF!</v>
      </c>
      <c r="AD1305" s="1561"/>
      <c r="AE1305" s="1560" t="e">
        <f t="shared" si="136"/>
        <v>#REF!</v>
      </c>
      <c r="AF1305" s="1560" t="e">
        <f t="shared" si="137"/>
        <v>#REF!</v>
      </c>
      <c r="AG1305" s="5"/>
      <c r="AH1305" s="5"/>
      <c r="AI1305" s="51"/>
      <c r="AJ1305" s="51"/>
      <c r="AK1305" s="51"/>
      <c r="AL1305" s="51"/>
      <c r="AM1305" s="39"/>
      <c r="AN1305" s="3"/>
      <c r="AO1305" s="3"/>
      <c r="AP1305" s="3"/>
      <c r="AQ1305" s="3"/>
      <c r="AR1305" s="3"/>
      <c r="AS1305" s="3"/>
      <c r="AT1305" s="3"/>
      <c r="AU1305" s="3"/>
      <c r="AV1305" s="3"/>
      <c r="AW1305" s="3"/>
      <c r="AX1305" s="3"/>
      <c r="AY1305" s="3"/>
      <c r="AZ1305" s="3"/>
      <c r="BA1305" s="3"/>
      <c r="BB1305" s="3"/>
      <c r="BC1305" s="3"/>
      <c r="BD1305" s="3"/>
      <c r="BE1305" s="3"/>
    </row>
    <row r="1306" spans="1:57" ht="15" customHeight="1" x14ac:dyDescent="0.4">
      <c r="A1306" s="3" t="s">
        <v>1106</v>
      </c>
      <c r="B1306" s="8" t="s">
        <v>1101</v>
      </c>
      <c r="C1306" s="780">
        <v>13</v>
      </c>
      <c r="D1306" s="8" t="s">
        <v>1107</v>
      </c>
      <c r="E1306" s="3"/>
      <c r="F1306" s="3" t="s">
        <v>1101</v>
      </c>
      <c r="G1306" s="3"/>
      <c r="H1306" s="8"/>
      <c r="I1306" s="3" t="str">
        <f t="shared" si="130"/>
        <v>25</v>
      </c>
      <c r="J1306" s="3"/>
      <c r="K1306" s="3" t="str">
        <f t="shared" si="131"/>
        <v>44.00</v>
      </c>
      <c r="L1306" s="3"/>
      <c r="M1306" s="3" t="str">
        <f t="shared" si="132"/>
        <v>77.125</v>
      </c>
      <c r="N1306" s="3"/>
      <c r="O1306" s="3"/>
      <c r="P1306" s="3"/>
      <c r="Q1306" s="781" t="b">
        <v>1</v>
      </c>
      <c r="R1306" s="3"/>
      <c r="S1306" s="3" t="b">
        <v>0</v>
      </c>
      <c r="T1306" s="56" t="b">
        <v>1</v>
      </c>
      <c r="U1306" s="3"/>
      <c r="V1306" s="3" t="b">
        <v>0</v>
      </c>
      <c r="W1306" s="3" t="b">
        <v>1</v>
      </c>
      <c r="X1306" s="64" t="b">
        <v>0</v>
      </c>
      <c r="Y1306" s="5" t="b">
        <f t="shared" si="133"/>
        <v>0</v>
      </c>
      <c r="Z1306" s="3" t="b">
        <f t="shared" si="134"/>
        <v>1</v>
      </c>
      <c r="AA1306" s="5" t="b">
        <f t="shared" si="135"/>
        <v>1</v>
      </c>
      <c r="AB1306" s="3"/>
      <c r="AC1306" s="1560" t="e">
        <f>IF(I1306&lt;&gt;"",#REF!&lt;=I1306*1,FALSE)</f>
        <v>#REF!</v>
      </c>
      <c r="AD1306" s="1561"/>
      <c r="AE1306" s="1560" t="e">
        <f t="shared" si="136"/>
        <v>#REF!</v>
      </c>
      <c r="AF1306" s="1560" t="e">
        <f t="shared" si="137"/>
        <v>#REF!</v>
      </c>
      <c r="AG1306" s="5"/>
      <c r="AH1306" s="5"/>
      <c r="AI1306" s="51"/>
      <c r="AJ1306" s="51"/>
      <c r="AK1306" s="51"/>
      <c r="AL1306" s="51"/>
      <c r="AM1306" s="39"/>
      <c r="AN1306" s="3"/>
      <c r="AO1306" s="3"/>
      <c r="AP1306" s="3"/>
      <c r="AQ1306" s="3"/>
      <c r="AR1306" s="3"/>
      <c r="AS1306" s="3"/>
      <c r="AT1306" s="3"/>
      <c r="AU1306" s="3"/>
      <c r="AV1306" s="3"/>
      <c r="AW1306" s="3"/>
      <c r="AX1306" s="3"/>
      <c r="AY1306" s="3"/>
      <c r="AZ1306" s="3"/>
      <c r="BA1306" s="3"/>
      <c r="BB1306" s="3"/>
      <c r="BC1306" s="3"/>
      <c r="BD1306" s="3"/>
      <c r="BE1306" s="3"/>
    </row>
    <row r="1307" spans="1:57" ht="15" customHeight="1" x14ac:dyDescent="0.4">
      <c r="A1307" s="3" t="s">
        <v>1106</v>
      </c>
      <c r="B1307" s="8" t="s">
        <v>1102</v>
      </c>
      <c r="C1307" s="780">
        <v>14</v>
      </c>
      <c r="D1307" s="8" t="s">
        <v>1107</v>
      </c>
      <c r="E1307" s="3"/>
      <c r="F1307" s="3" t="s">
        <v>1102</v>
      </c>
      <c r="G1307" s="3"/>
      <c r="H1307" s="8"/>
      <c r="I1307" s="3" t="str">
        <f t="shared" si="130"/>
        <v>35</v>
      </c>
      <c r="J1307" s="3"/>
      <c r="K1307" s="3" t="str">
        <f t="shared" si="131"/>
        <v>44.00</v>
      </c>
      <c r="L1307" s="3"/>
      <c r="M1307" s="3" t="str">
        <f t="shared" si="132"/>
        <v>77.125</v>
      </c>
      <c r="N1307" s="3"/>
      <c r="O1307" s="3"/>
      <c r="P1307" s="3"/>
      <c r="Q1307" s="781" t="b">
        <v>1</v>
      </c>
      <c r="R1307" s="3"/>
      <c r="S1307" s="3" t="b">
        <v>0</v>
      </c>
      <c r="T1307" s="56" t="b">
        <v>1</v>
      </c>
      <c r="U1307" s="3"/>
      <c r="V1307" s="3" t="b">
        <v>0</v>
      </c>
      <c r="W1307" s="3" t="b">
        <v>1</v>
      </c>
      <c r="X1307" s="64" t="b">
        <v>0</v>
      </c>
      <c r="Y1307" s="5" t="b">
        <f t="shared" si="133"/>
        <v>0</v>
      </c>
      <c r="Z1307" s="3" t="b">
        <f t="shared" si="134"/>
        <v>1</v>
      </c>
      <c r="AA1307" s="5" t="b">
        <f t="shared" si="135"/>
        <v>1</v>
      </c>
      <c r="AB1307" s="3"/>
      <c r="AC1307" s="1560" t="e">
        <f>IF(I1307&lt;&gt;"",#REF!&lt;=I1307*1,FALSE)</f>
        <v>#REF!</v>
      </c>
      <c r="AD1307" s="1561"/>
      <c r="AE1307" s="1560" t="e">
        <f t="shared" si="136"/>
        <v>#REF!</v>
      </c>
      <c r="AF1307" s="1560" t="e">
        <f t="shared" si="137"/>
        <v>#REF!</v>
      </c>
      <c r="AG1307" s="5"/>
      <c r="AH1307" s="5"/>
      <c r="AI1307" s="51"/>
      <c r="AJ1307" s="51"/>
      <c r="AK1307" s="51"/>
      <c r="AL1307" s="51"/>
      <c r="AM1307" s="39"/>
      <c r="AN1307" s="3"/>
      <c r="AO1307" s="3"/>
      <c r="AP1307" s="3"/>
      <c r="AQ1307" s="3"/>
      <c r="AR1307" s="3"/>
      <c r="AS1307" s="3"/>
      <c r="AT1307" s="3"/>
      <c r="AU1307" s="3"/>
      <c r="AV1307" s="3"/>
      <c r="AW1307" s="3"/>
      <c r="AX1307" s="3"/>
      <c r="AY1307" s="3"/>
      <c r="AZ1307" s="3"/>
      <c r="BA1307" s="3"/>
      <c r="BB1307" s="3"/>
      <c r="BC1307" s="3"/>
      <c r="BD1307" s="3"/>
      <c r="BE1307" s="3"/>
    </row>
    <row r="1308" spans="1:57" ht="15" customHeight="1" x14ac:dyDescent="0.4">
      <c r="A1308" s="3" t="s">
        <v>1106</v>
      </c>
      <c r="B1308" s="8" t="s">
        <v>1103</v>
      </c>
      <c r="C1308" s="780">
        <v>15</v>
      </c>
      <c r="D1308" s="8" t="s">
        <v>1107</v>
      </c>
      <c r="E1308" s="3"/>
      <c r="F1308" s="3" t="s">
        <v>1103</v>
      </c>
      <c r="G1308" s="3"/>
      <c r="H1308" s="8"/>
      <c r="I1308" s="3" t="str">
        <f t="shared" si="130"/>
        <v>50</v>
      </c>
      <c r="J1308" s="3"/>
      <c r="K1308" s="3" t="str">
        <f t="shared" si="131"/>
        <v>44.00</v>
      </c>
      <c r="L1308" s="3"/>
      <c r="M1308" s="3" t="str">
        <f t="shared" si="132"/>
        <v>77.125</v>
      </c>
      <c r="N1308" s="3"/>
      <c r="O1308" s="3"/>
      <c r="P1308" s="3"/>
      <c r="Q1308" s="781" t="b">
        <v>1</v>
      </c>
      <c r="R1308" s="3"/>
      <c r="S1308" s="3" t="b">
        <v>0</v>
      </c>
      <c r="T1308" s="56" t="b">
        <v>1</v>
      </c>
      <c r="U1308" s="3"/>
      <c r="V1308" s="3" t="b">
        <v>0</v>
      </c>
      <c r="W1308" s="3" t="b">
        <v>1</v>
      </c>
      <c r="X1308" s="64" t="b">
        <v>0</v>
      </c>
      <c r="Y1308" s="5" t="b">
        <f t="shared" si="133"/>
        <v>1</v>
      </c>
      <c r="Z1308" s="3" t="b">
        <f t="shared" si="134"/>
        <v>1</v>
      </c>
      <c r="AA1308" s="5" t="b">
        <f t="shared" si="135"/>
        <v>1</v>
      </c>
      <c r="AB1308" s="3"/>
      <c r="AC1308" s="1560" t="e">
        <f>IF(I1308&lt;&gt;"",#REF!&lt;=I1308*1,FALSE)</f>
        <v>#REF!</v>
      </c>
      <c r="AD1308" s="1561"/>
      <c r="AE1308" s="1560" t="e">
        <f t="shared" si="136"/>
        <v>#REF!</v>
      </c>
      <c r="AF1308" s="1560" t="e">
        <f t="shared" si="137"/>
        <v>#REF!</v>
      </c>
      <c r="AG1308" s="5"/>
      <c r="AH1308" s="5"/>
      <c r="AI1308" s="51"/>
      <c r="AJ1308" s="51"/>
      <c r="AK1308" s="51"/>
      <c r="AL1308" s="51"/>
      <c r="AM1308" s="39"/>
      <c r="AN1308" s="3"/>
      <c r="AO1308" s="3"/>
      <c r="AP1308" s="3"/>
      <c r="AQ1308" s="3"/>
      <c r="AR1308" s="3"/>
      <c r="AS1308" s="3"/>
      <c r="AT1308" s="3"/>
      <c r="AU1308" s="3"/>
      <c r="AV1308" s="3"/>
      <c r="AW1308" s="3"/>
      <c r="AX1308" s="3"/>
      <c r="AY1308" s="3"/>
      <c r="AZ1308" s="3"/>
      <c r="BA1308" s="3"/>
      <c r="BB1308" s="3"/>
      <c r="BC1308" s="3"/>
      <c r="BD1308" s="3"/>
      <c r="BE1308" s="3"/>
    </row>
    <row r="1309" spans="1:57" ht="15" customHeight="1" x14ac:dyDescent="0.4">
      <c r="A1309" s="3" t="s">
        <v>1108</v>
      </c>
      <c r="B1309" s="8" t="s">
        <v>1103</v>
      </c>
      <c r="C1309" s="780">
        <v>16</v>
      </c>
      <c r="D1309" s="8" t="s">
        <v>1108</v>
      </c>
      <c r="E1309" s="3"/>
      <c r="F1309" s="3" t="s">
        <v>1103</v>
      </c>
      <c r="G1309" s="3"/>
      <c r="H1309" s="8"/>
      <c r="I1309" s="3" t="str">
        <f t="shared" si="130"/>
        <v>50</v>
      </c>
      <c r="J1309" s="3"/>
      <c r="K1309" s="3" t="str">
        <f t="shared" si="131"/>
        <v>48.00</v>
      </c>
      <c r="L1309" s="3"/>
      <c r="M1309" s="3" t="str">
        <f t="shared" si="132"/>
        <v>84.00</v>
      </c>
      <c r="N1309" s="3"/>
      <c r="O1309" s="3"/>
      <c r="P1309" s="3"/>
      <c r="Q1309" s="781" t="b">
        <v>1</v>
      </c>
      <c r="R1309" s="3"/>
      <c r="S1309" s="3" t="b">
        <v>0</v>
      </c>
      <c r="T1309" s="56" t="b">
        <v>1</v>
      </c>
      <c r="U1309" s="3"/>
      <c r="V1309" s="3" t="b">
        <v>0</v>
      </c>
      <c r="W1309" s="3" t="b">
        <v>1</v>
      </c>
      <c r="X1309" s="64" t="b">
        <v>0</v>
      </c>
      <c r="Y1309" s="5" t="b">
        <f t="shared" si="133"/>
        <v>1</v>
      </c>
      <c r="Z1309" s="3" t="b">
        <f t="shared" si="134"/>
        <v>1</v>
      </c>
      <c r="AA1309" s="5" t="b">
        <f t="shared" si="135"/>
        <v>1</v>
      </c>
      <c r="AB1309" s="3"/>
      <c r="AC1309" s="1560" t="e">
        <f>IF(I1309&lt;&gt;"",#REF!&lt;=I1309*1,FALSE)</f>
        <v>#REF!</v>
      </c>
      <c r="AD1309" s="1561"/>
      <c r="AE1309" s="1560" t="e">
        <f t="shared" si="136"/>
        <v>#REF!</v>
      </c>
      <c r="AF1309" s="1560" t="e">
        <f t="shared" si="137"/>
        <v>#REF!</v>
      </c>
      <c r="AG1309" s="5"/>
      <c r="AH1309" s="5"/>
      <c r="AI1309" s="51"/>
      <c r="AJ1309" s="51"/>
      <c r="AK1309" s="51"/>
      <c r="AL1309" s="51"/>
      <c r="AM1309" s="39"/>
      <c r="AN1309" s="3"/>
      <c r="AO1309" s="3"/>
      <c r="AP1309" s="3"/>
      <c r="AQ1309" s="3"/>
      <c r="AR1309" s="3"/>
      <c r="AS1309" s="3"/>
      <c r="AT1309" s="3"/>
      <c r="AU1309" s="3"/>
      <c r="AV1309" s="3"/>
      <c r="AW1309" s="3"/>
      <c r="AX1309" s="3"/>
      <c r="AY1309" s="3"/>
      <c r="AZ1309" s="3"/>
      <c r="BA1309" s="3"/>
      <c r="BB1309" s="3"/>
      <c r="BC1309" s="3"/>
      <c r="BD1309" s="3"/>
      <c r="BE1309" s="3"/>
    </row>
    <row r="1310" spans="1:57" ht="15" customHeight="1" x14ac:dyDescent="0.4">
      <c r="A1310" s="3" t="s">
        <v>1098</v>
      </c>
      <c r="B1310" s="8" t="s">
        <v>1103</v>
      </c>
      <c r="C1310" s="780">
        <v>17</v>
      </c>
      <c r="D1310" s="8" t="s">
        <v>1100</v>
      </c>
      <c r="E1310" s="3"/>
      <c r="F1310" s="3" t="s">
        <v>1103</v>
      </c>
      <c r="G1310" s="3"/>
      <c r="H1310" s="8"/>
      <c r="I1310" s="3" t="str">
        <f t="shared" si="130"/>
        <v>50</v>
      </c>
      <c r="J1310" s="3"/>
      <c r="K1310" s="3" t="str">
        <f t="shared" si="131"/>
        <v>53.00</v>
      </c>
      <c r="L1310" s="3"/>
      <c r="M1310" s="3" t="str">
        <f t="shared" si="132"/>
        <v>77.125</v>
      </c>
      <c r="N1310" s="3"/>
      <c r="O1310" s="3"/>
      <c r="P1310" s="3"/>
      <c r="Q1310" s="781" t="b">
        <v>1</v>
      </c>
      <c r="R1310" s="3"/>
      <c r="S1310" s="3" t="b">
        <v>0</v>
      </c>
      <c r="T1310" s="56" t="b">
        <v>1</v>
      </c>
      <c r="U1310" s="3"/>
      <c r="V1310" s="3" t="b">
        <v>0</v>
      </c>
      <c r="W1310" s="3" t="b">
        <v>1</v>
      </c>
      <c r="X1310" s="64" t="b">
        <v>0</v>
      </c>
      <c r="Y1310" s="5" t="b">
        <f t="shared" si="133"/>
        <v>1</v>
      </c>
      <c r="Z1310" s="3" t="b">
        <f t="shared" si="134"/>
        <v>1</v>
      </c>
      <c r="AA1310" s="5" t="b">
        <f t="shared" si="135"/>
        <v>1</v>
      </c>
      <c r="AB1310" s="3"/>
      <c r="AC1310" s="1560" t="e">
        <f>IF(I1310&lt;&gt;"",#REF!&lt;=I1310*1,FALSE)</f>
        <v>#REF!</v>
      </c>
      <c r="AD1310" s="1561"/>
      <c r="AE1310" s="1560" t="e">
        <f t="shared" si="136"/>
        <v>#REF!</v>
      </c>
      <c r="AF1310" s="1560" t="e">
        <f t="shared" si="137"/>
        <v>#REF!</v>
      </c>
      <c r="AG1310" s="5"/>
      <c r="AH1310" s="5"/>
      <c r="AI1310" s="51"/>
      <c r="AJ1310" s="51"/>
      <c r="AK1310" s="51"/>
      <c r="AL1310" s="51"/>
      <c r="AM1310" s="39"/>
      <c r="AN1310" s="3"/>
      <c r="AO1310" s="3"/>
      <c r="AP1310" s="3"/>
      <c r="AQ1310" s="3"/>
      <c r="AR1310" s="3"/>
      <c r="AS1310" s="3"/>
      <c r="AT1310" s="3"/>
      <c r="AU1310" s="3"/>
      <c r="AV1310" s="3"/>
      <c r="AW1310" s="3"/>
      <c r="AX1310" s="3"/>
      <c r="AY1310" s="3"/>
      <c r="AZ1310" s="3"/>
      <c r="BA1310" s="3"/>
      <c r="BB1310" s="3"/>
      <c r="BC1310" s="3"/>
      <c r="BD1310" s="3"/>
      <c r="BE1310" s="3"/>
    </row>
    <row r="1311" spans="1:57" ht="15" customHeight="1" x14ac:dyDescent="0.4">
      <c r="A1311" s="3" t="s">
        <v>1108</v>
      </c>
      <c r="B1311" s="8" t="s">
        <v>1103</v>
      </c>
      <c r="C1311" s="780">
        <v>18</v>
      </c>
      <c r="D1311" s="8" t="s">
        <v>1108</v>
      </c>
      <c r="E1311" s="3"/>
      <c r="F1311" s="3" t="s">
        <v>1103</v>
      </c>
      <c r="G1311" s="3"/>
      <c r="H1311" s="8"/>
      <c r="I1311" s="3" t="str">
        <f t="shared" si="130"/>
        <v>50</v>
      </c>
      <c r="J1311" s="3"/>
      <c r="K1311" s="3" t="str">
        <f t="shared" si="131"/>
        <v>48.00</v>
      </c>
      <c r="L1311" s="3"/>
      <c r="M1311" s="3" t="str">
        <f t="shared" si="132"/>
        <v>84.00</v>
      </c>
      <c r="N1311" s="3"/>
      <c r="O1311" s="3"/>
      <c r="P1311" s="3"/>
      <c r="Q1311" s="781" t="b">
        <v>1</v>
      </c>
      <c r="R1311" s="3"/>
      <c r="S1311" s="3" t="b">
        <v>0</v>
      </c>
      <c r="T1311" s="56" t="b">
        <v>1</v>
      </c>
      <c r="U1311" s="3"/>
      <c r="V1311" s="3" t="b">
        <v>0</v>
      </c>
      <c r="W1311" s="3" t="b">
        <v>1</v>
      </c>
      <c r="X1311" s="64" t="b">
        <v>0</v>
      </c>
      <c r="Y1311" s="5" t="b">
        <f t="shared" si="133"/>
        <v>1</v>
      </c>
      <c r="Z1311" s="3" t="b">
        <f t="shared" si="134"/>
        <v>1</v>
      </c>
      <c r="AA1311" s="5" t="b">
        <f t="shared" si="135"/>
        <v>1</v>
      </c>
      <c r="AB1311" s="3"/>
      <c r="AC1311" s="1560" t="e">
        <f>IF(I1311&lt;&gt;"",#REF!&lt;=I1311*1,FALSE)</f>
        <v>#REF!</v>
      </c>
      <c r="AD1311" s="1561"/>
      <c r="AE1311" s="1560" t="e">
        <f t="shared" si="136"/>
        <v>#REF!</v>
      </c>
      <c r="AF1311" s="1560" t="e">
        <f t="shared" si="137"/>
        <v>#REF!</v>
      </c>
      <c r="AG1311" s="5"/>
      <c r="AH1311" s="5"/>
      <c r="AI1311" s="51"/>
      <c r="AJ1311" s="51"/>
      <c r="AK1311" s="51"/>
      <c r="AL1311" s="51"/>
      <c r="AM1311" s="39"/>
      <c r="AN1311" s="3"/>
      <c r="AO1311" s="3"/>
      <c r="AP1311" s="3"/>
      <c r="AQ1311" s="3"/>
      <c r="AR1311" s="3"/>
      <c r="AS1311" s="3"/>
      <c r="AT1311" s="3"/>
      <c r="AU1311" s="3"/>
      <c r="AV1311" s="3"/>
      <c r="AW1311" s="3"/>
      <c r="AX1311" s="3"/>
      <c r="AY1311" s="3"/>
      <c r="AZ1311" s="3"/>
      <c r="BA1311" s="3"/>
      <c r="BB1311" s="3"/>
      <c r="BC1311" s="3"/>
      <c r="BD1311" s="3"/>
      <c r="BE1311" s="3"/>
    </row>
    <row r="1312" spans="1:57" ht="15" customHeight="1" x14ac:dyDescent="0.4">
      <c r="A1312" s="3"/>
      <c r="B1312" s="4"/>
      <c r="C1312" s="780">
        <v>19</v>
      </c>
      <c r="D1312" s="8" t="s">
        <v>1109</v>
      </c>
      <c r="E1312" s="3"/>
      <c r="F1312" s="3"/>
      <c r="G1312" s="3"/>
      <c r="H1312" s="8"/>
      <c r="I1312" s="3" t="str">
        <f t="shared" si="130"/>
        <v/>
      </c>
      <c r="J1312" s="3"/>
      <c r="K1312" s="3" t="str">
        <f t="shared" si="131"/>
        <v>53</v>
      </c>
      <c r="L1312" s="3"/>
      <c r="M1312" s="3" t="str">
        <f t="shared" si="132"/>
        <v>90</v>
      </c>
      <c r="N1312" s="3"/>
      <c r="O1312" s="3"/>
      <c r="P1312" s="3"/>
      <c r="Q1312" s="117"/>
      <c r="R1312" s="3"/>
      <c r="S1312" s="8"/>
      <c r="T1312" s="8"/>
      <c r="U1312" s="3"/>
      <c r="V1312" s="8"/>
      <c r="W1312" s="8"/>
      <c r="X1312" s="775"/>
      <c r="Y1312" s="5" t="b">
        <f t="shared" si="133"/>
        <v>0</v>
      </c>
      <c r="Z1312" s="3" t="b">
        <f t="shared" si="134"/>
        <v>1</v>
      </c>
      <c r="AA1312" s="5" t="b">
        <f t="shared" si="135"/>
        <v>1</v>
      </c>
      <c r="AB1312" s="3"/>
      <c r="AC1312" s="1560" t="b">
        <f>IF(I1312&lt;&gt;"",#REF!&lt;=I1312*1,FALSE)</f>
        <v>0</v>
      </c>
      <c r="AD1312" s="1561"/>
      <c r="AE1312" s="1560">
        <f t="shared" si="136"/>
        <v>0</v>
      </c>
      <c r="AF1312" s="1560">
        <f t="shared" si="137"/>
        <v>1000</v>
      </c>
      <c r="AG1312" s="5"/>
      <c r="AH1312" s="5"/>
      <c r="AI1312" s="51"/>
      <c r="AJ1312" s="51"/>
      <c r="AK1312" s="51"/>
      <c r="AL1312" s="51"/>
      <c r="AM1312" s="39"/>
      <c r="AN1312" s="3"/>
      <c r="AO1312" s="3"/>
      <c r="AP1312" s="3"/>
      <c r="AQ1312" s="3"/>
      <c r="AR1312" s="3"/>
      <c r="AS1312" s="3"/>
      <c r="AT1312" s="3"/>
      <c r="AU1312" s="3"/>
      <c r="AV1312" s="3"/>
      <c r="AW1312" s="3"/>
      <c r="AX1312" s="3"/>
      <c r="AY1312" s="3"/>
      <c r="AZ1312" s="3"/>
      <c r="BA1312" s="3"/>
      <c r="BB1312" s="3"/>
      <c r="BC1312" s="3"/>
      <c r="BD1312" s="3"/>
      <c r="BE1312" s="3"/>
    </row>
    <row r="1313" spans="1:57" ht="15" customHeight="1" x14ac:dyDescent="0.4">
      <c r="A1313" s="3"/>
      <c r="B1313" s="4"/>
      <c r="C1313" s="780">
        <v>20</v>
      </c>
      <c r="D1313" s="8" t="s">
        <v>1110</v>
      </c>
      <c r="E1313" s="3"/>
      <c r="F1313" s="3"/>
      <c r="G1313" s="3"/>
      <c r="H1313" s="8"/>
      <c r="I1313" s="3" t="str">
        <f t="shared" si="130"/>
        <v/>
      </c>
      <c r="J1313" s="3"/>
      <c r="K1313" s="3" t="str">
        <f t="shared" si="131"/>
        <v/>
      </c>
      <c r="L1313" s="3"/>
      <c r="M1313" s="3" t="str">
        <f t="shared" si="132"/>
        <v/>
      </c>
      <c r="N1313" s="3"/>
      <c r="O1313" s="3"/>
      <c r="P1313" s="3"/>
      <c r="Q1313" s="117"/>
      <c r="R1313" s="3"/>
      <c r="S1313" s="8"/>
      <c r="T1313" s="8"/>
      <c r="U1313" s="3"/>
      <c r="V1313" s="8"/>
      <c r="W1313" s="8"/>
      <c r="X1313" s="775"/>
      <c r="Y1313" s="5" t="b">
        <f t="shared" si="133"/>
        <v>0</v>
      </c>
      <c r="Z1313" s="3" t="b">
        <f t="shared" si="134"/>
        <v>0</v>
      </c>
      <c r="AA1313" s="5" t="b">
        <f t="shared" si="135"/>
        <v>0</v>
      </c>
      <c r="AB1313" s="3"/>
      <c r="AC1313" s="1560" t="b">
        <f>IF(I1313&lt;&gt;"",#REF!&lt;=I1313*1,FALSE)</f>
        <v>0</v>
      </c>
      <c r="AD1313" s="1561"/>
      <c r="AE1313" s="1560">
        <f t="shared" si="136"/>
        <v>0</v>
      </c>
      <c r="AF1313" s="1560">
        <f t="shared" si="137"/>
        <v>1000</v>
      </c>
      <c r="AG1313" s="5"/>
      <c r="AH1313" s="5"/>
      <c r="AI1313" s="51"/>
      <c r="AJ1313" s="51"/>
      <c r="AK1313" s="51"/>
      <c r="AL1313" s="51"/>
      <c r="AM1313" s="39"/>
      <c r="AN1313" s="3"/>
      <c r="AO1313" s="3"/>
      <c r="AP1313" s="3"/>
      <c r="AQ1313" s="3"/>
      <c r="AR1313" s="3"/>
      <c r="AS1313" s="3"/>
      <c r="AT1313" s="3"/>
      <c r="AU1313" s="3"/>
      <c r="AV1313" s="3"/>
      <c r="AW1313" s="3"/>
      <c r="AX1313" s="3"/>
      <c r="AY1313" s="3"/>
      <c r="AZ1313" s="3"/>
      <c r="BA1313" s="3"/>
      <c r="BB1313" s="3"/>
      <c r="BC1313" s="3"/>
      <c r="BD1313" s="3"/>
      <c r="BE1313" s="3"/>
    </row>
    <row r="1314" spans="1:57" ht="15" customHeight="1" x14ac:dyDescent="0.4">
      <c r="A1314" s="3"/>
      <c r="B1314" s="4"/>
      <c r="C1314" s="780">
        <v>21</v>
      </c>
      <c r="D1314" s="8" t="s">
        <v>1110</v>
      </c>
      <c r="E1314" s="3"/>
      <c r="F1314" s="3"/>
      <c r="G1314" s="3"/>
      <c r="H1314" s="8"/>
      <c r="I1314" s="3" t="str">
        <f t="shared" si="130"/>
        <v/>
      </c>
      <c r="J1314" s="3"/>
      <c r="K1314" s="3" t="str">
        <f t="shared" si="131"/>
        <v/>
      </c>
      <c r="L1314" s="3"/>
      <c r="M1314" s="3" t="str">
        <f t="shared" si="132"/>
        <v/>
      </c>
      <c r="N1314" s="3"/>
      <c r="O1314" s="3"/>
      <c r="P1314" s="3"/>
      <c r="Q1314" s="117"/>
      <c r="R1314" s="3"/>
      <c r="S1314" s="8"/>
      <c r="T1314" s="8"/>
      <c r="U1314" s="3"/>
      <c r="V1314" s="8"/>
      <c r="W1314" s="8"/>
      <c r="X1314" s="775"/>
      <c r="Y1314" s="5" t="b">
        <f t="shared" si="133"/>
        <v>0</v>
      </c>
      <c r="Z1314" s="3" t="b">
        <f t="shared" si="134"/>
        <v>0</v>
      </c>
      <c r="AA1314" s="5" t="b">
        <f t="shared" si="135"/>
        <v>0</v>
      </c>
      <c r="AB1314" s="3"/>
      <c r="AC1314" s="1560" t="b">
        <f>IF(I1314&lt;&gt;"",#REF!&lt;=I1314*1,FALSE)</f>
        <v>0</v>
      </c>
      <c r="AD1314" s="1561"/>
      <c r="AE1314" s="1560">
        <f t="shared" si="136"/>
        <v>0</v>
      </c>
      <c r="AF1314" s="1560">
        <f t="shared" si="137"/>
        <v>1000</v>
      </c>
      <c r="AG1314" s="5"/>
      <c r="AH1314" s="5"/>
      <c r="AI1314" s="51"/>
      <c r="AJ1314" s="51"/>
      <c r="AK1314" s="51"/>
      <c r="AL1314" s="51"/>
      <c r="AM1314" s="39"/>
      <c r="AN1314" s="3"/>
      <c r="AO1314" s="3"/>
      <c r="AP1314" s="3"/>
      <c r="AQ1314" s="3"/>
      <c r="AR1314" s="3"/>
      <c r="AS1314" s="3"/>
      <c r="AT1314" s="3"/>
      <c r="AU1314" s="3"/>
      <c r="AV1314" s="3"/>
      <c r="AW1314" s="3"/>
      <c r="AX1314" s="3"/>
      <c r="AY1314" s="3"/>
      <c r="AZ1314" s="3"/>
      <c r="BA1314" s="3"/>
      <c r="BB1314" s="3"/>
      <c r="BC1314" s="3"/>
      <c r="BD1314" s="3"/>
      <c r="BE1314" s="3"/>
    </row>
    <row r="1315" spans="1:57" ht="15" customHeight="1" x14ac:dyDescent="0.4">
      <c r="A1315" s="3"/>
      <c r="B1315" s="4"/>
      <c r="C1315" s="780">
        <v>22</v>
      </c>
      <c r="D1315" s="8" t="s">
        <v>1110</v>
      </c>
      <c r="E1315" s="3"/>
      <c r="F1315" s="3"/>
      <c r="G1315" s="3"/>
      <c r="H1315" s="8"/>
      <c r="I1315" s="3" t="str">
        <f t="shared" si="130"/>
        <v/>
      </c>
      <c r="J1315" s="3"/>
      <c r="K1315" s="3" t="str">
        <f t="shared" si="131"/>
        <v/>
      </c>
      <c r="L1315" s="3"/>
      <c r="M1315" s="3" t="str">
        <f t="shared" si="132"/>
        <v/>
      </c>
      <c r="N1315" s="3"/>
      <c r="O1315" s="3"/>
      <c r="P1315" s="3"/>
      <c r="Q1315" s="117"/>
      <c r="R1315" s="3"/>
      <c r="S1315" s="8"/>
      <c r="T1315" s="8"/>
      <c r="U1315" s="3"/>
      <c r="V1315" s="8"/>
      <c r="W1315" s="8"/>
      <c r="X1315" s="775"/>
      <c r="Y1315" s="5" t="b">
        <f t="shared" si="133"/>
        <v>0</v>
      </c>
      <c r="Z1315" s="3" t="b">
        <f t="shared" si="134"/>
        <v>0</v>
      </c>
      <c r="AA1315" s="5" t="b">
        <f t="shared" si="135"/>
        <v>0</v>
      </c>
      <c r="AB1315" s="3"/>
      <c r="AC1315" s="1560" t="b">
        <f>IF(I1315&lt;&gt;"",#REF!&lt;=I1315*1,FALSE)</f>
        <v>0</v>
      </c>
      <c r="AD1315" s="1561"/>
      <c r="AE1315" s="1560">
        <f t="shared" si="136"/>
        <v>0</v>
      </c>
      <c r="AF1315" s="1560">
        <f t="shared" si="137"/>
        <v>1000</v>
      </c>
      <c r="AG1315" s="5"/>
      <c r="AH1315" s="5"/>
      <c r="AI1315" s="51"/>
      <c r="AJ1315" s="51"/>
      <c r="AK1315" s="51"/>
      <c r="AL1315" s="51"/>
      <c r="AM1315" s="39"/>
      <c r="AN1315" s="3"/>
      <c r="AO1315" s="3"/>
      <c r="AP1315" s="3"/>
      <c r="AQ1315" s="3"/>
      <c r="AR1315" s="3"/>
      <c r="AS1315" s="3"/>
      <c r="AT1315" s="3"/>
      <c r="AU1315" s="3"/>
      <c r="AV1315" s="3"/>
      <c r="AW1315" s="3"/>
      <c r="AX1315" s="3"/>
      <c r="AY1315" s="3"/>
      <c r="AZ1315" s="3"/>
      <c r="BA1315" s="3"/>
      <c r="BB1315" s="3"/>
      <c r="BC1315" s="3"/>
      <c r="BD1315" s="3"/>
      <c r="BE1315" s="3"/>
    </row>
    <row r="1316" spans="1:57" ht="15" customHeight="1" x14ac:dyDescent="0.4">
      <c r="A1316" s="3"/>
      <c r="B1316" s="4"/>
      <c r="C1316" s="780">
        <v>23</v>
      </c>
      <c r="D1316" s="8" t="s">
        <v>1110</v>
      </c>
      <c r="E1316" s="3"/>
      <c r="F1316" s="3"/>
      <c r="G1316" s="3"/>
      <c r="H1316" s="8"/>
      <c r="I1316" s="3" t="str">
        <f t="shared" si="130"/>
        <v/>
      </c>
      <c r="J1316" s="3"/>
      <c r="K1316" s="3" t="str">
        <f t="shared" si="131"/>
        <v/>
      </c>
      <c r="L1316" s="3"/>
      <c r="M1316" s="3" t="str">
        <f t="shared" si="132"/>
        <v/>
      </c>
      <c r="N1316" s="3"/>
      <c r="O1316" s="3"/>
      <c r="P1316" s="3"/>
      <c r="Q1316" s="117"/>
      <c r="R1316" s="3"/>
      <c r="S1316" s="8"/>
      <c r="T1316" s="8"/>
      <c r="U1316" s="3"/>
      <c r="V1316" s="8"/>
      <c r="W1316" s="8"/>
      <c r="X1316" s="775"/>
      <c r="Y1316" s="5" t="b">
        <f t="shared" si="133"/>
        <v>0</v>
      </c>
      <c r="Z1316" s="3" t="b">
        <f t="shared" si="134"/>
        <v>0</v>
      </c>
      <c r="AA1316" s="5" t="b">
        <f t="shared" si="135"/>
        <v>0</v>
      </c>
      <c r="AB1316" s="3"/>
      <c r="AC1316" s="1560" t="b">
        <f>IF(I1316&lt;&gt;"",#REF!&lt;=I1316*1,FALSE)</f>
        <v>0</v>
      </c>
      <c r="AD1316" s="1561"/>
      <c r="AE1316" s="1560">
        <f t="shared" si="136"/>
        <v>0</v>
      </c>
      <c r="AF1316" s="1560">
        <f t="shared" si="137"/>
        <v>1000</v>
      </c>
      <c r="AG1316" s="5"/>
      <c r="AH1316" s="5"/>
      <c r="AI1316" s="51"/>
      <c r="AJ1316" s="51"/>
      <c r="AK1316" s="51"/>
      <c r="AL1316" s="51"/>
      <c r="AM1316" s="39"/>
      <c r="AN1316" s="3"/>
      <c r="AO1316" s="3"/>
      <c r="AP1316" s="3"/>
      <c r="AQ1316" s="3"/>
      <c r="AR1316" s="3"/>
      <c r="AS1316" s="3"/>
      <c r="AT1316" s="3"/>
      <c r="AU1316" s="3"/>
      <c r="AV1316" s="3"/>
      <c r="AW1316" s="3"/>
      <c r="AX1316" s="3"/>
      <c r="AY1316" s="3"/>
      <c r="AZ1316" s="3"/>
      <c r="BA1316" s="3"/>
      <c r="BB1316" s="3"/>
      <c r="BC1316" s="3"/>
      <c r="BD1316" s="3"/>
      <c r="BE1316" s="3"/>
    </row>
    <row r="1317" spans="1:57" ht="15" customHeight="1" x14ac:dyDescent="0.4">
      <c r="A1317" s="3"/>
      <c r="B1317" s="4"/>
      <c r="C1317" s="780">
        <v>24</v>
      </c>
      <c r="D1317" s="8" t="s">
        <v>1110</v>
      </c>
      <c r="E1317" s="3"/>
      <c r="F1317" s="3"/>
      <c r="G1317" s="3"/>
      <c r="H1317" s="8"/>
      <c r="I1317" s="3" t="str">
        <f t="shared" si="130"/>
        <v/>
      </c>
      <c r="J1317" s="3"/>
      <c r="K1317" s="3" t="str">
        <f t="shared" si="131"/>
        <v/>
      </c>
      <c r="L1317" s="3"/>
      <c r="M1317" s="3" t="str">
        <f t="shared" si="132"/>
        <v/>
      </c>
      <c r="N1317" s="3"/>
      <c r="O1317" s="3"/>
      <c r="P1317" s="3"/>
      <c r="Q1317" s="117"/>
      <c r="R1317" s="3"/>
      <c r="S1317" s="8"/>
      <c r="T1317" s="8"/>
      <c r="U1317" s="3"/>
      <c r="V1317" s="8"/>
      <c r="W1317" s="8"/>
      <c r="X1317" s="775"/>
      <c r="Y1317" s="5" t="b">
        <f t="shared" si="133"/>
        <v>0</v>
      </c>
      <c r="Z1317" s="3" t="b">
        <f t="shared" si="134"/>
        <v>0</v>
      </c>
      <c r="AA1317" s="5" t="b">
        <f t="shared" si="135"/>
        <v>0</v>
      </c>
      <c r="AB1317" s="3"/>
      <c r="AC1317" s="1560" t="b">
        <f>IF(I1317&lt;&gt;"",#REF!&lt;=I1317*1,FALSE)</f>
        <v>0</v>
      </c>
      <c r="AD1317" s="1561"/>
      <c r="AE1317" s="1560">
        <f t="shared" si="136"/>
        <v>0</v>
      </c>
      <c r="AF1317" s="1560">
        <f t="shared" si="137"/>
        <v>1000</v>
      </c>
      <c r="AG1317" s="5"/>
      <c r="AH1317" s="5"/>
      <c r="AI1317" s="51"/>
      <c r="AJ1317" s="51"/>
      <c r="AK1317" s="51"/>
      <c r="AL1317" s="51"/>
      <c r="AM1317" s="39"/>
      <c r="AN1317" s="3"/>
      <c r="AO1317" s="3"/>
      <c r="AP1317" s="3"/>
      <c r="AQ1317" s="3"/>
      <c r="AR1317" s="3"/>
      <c r="AS1317" s="3"/>
      <c r="AT1317" s="3"/>
      <c r="AU1317" s="3"/>
      <c r="AV1317" s="3"/>
      <c r="AW1317" s="3"/>
      <c r="AX1317" s="3"/>
      <c r="AY1317" s="3"/>
      <c r="AZ1317" s="3"/>
      <c r="BA1317" s="3"/>
      <c r="BB1317" s="3"/>
      <c r="BC1317" s="3"/>
      <c r="BD1317" s="3"/>
      <c r="BE1317" s="3"/>
    </row>
    <row r="1318" spans="1:57" ht="15" customHeight="1" x14ac:dyDescent="0.4">
      <c r="A1318" s="3"/>
      <c r="B1318" s="4"/>
      <c r="C1318" s="780">
        <v>25</v>
      </c>
      <c r="D1318" s="8" t="s">
        <v>1110</v>
      </c>
      <c r="E1318" s="3"/>
      <c r="F1318" s="3"/>
      <c r="G1318" s="3"/>
      <c r="H1318" s="3"/>
      <c r="I1318" s="3" t="str">
        <f t="shared" si="130"/>
        <v/>
      </c>
      <c r="J1318" s="3"/>
      <c r="K1318" s="3" t="str">
        <f t="shared" si="131"/>
        <v/>
      </c>
      <c r="L1318" s="3"/>
      <c r="M1318" s="3" t="str">
        <f t="shared" si="132"/>
        <v/>
      </c>
      <c r="N1318" s="3"/>
      <c r="O1318" s="3"/>
      <c r="P1318" s="3"/>
      <c r="Q1318" s="780"/>
      <c r="R1318" s="3"/>
      <c r="S1318" s="3"/>
      <c r="T1318" s="3"/>
      <c r="U1318" s="3"/>
      <c r="V1318" s="5"/>
      <c r="W1318" s="5"/>
      <c r="X1318" s="782"/>
      <c r="Y1318" s="5" t="b">
        <f t="shared" si="133"/>
        <v>0</v>
      </c>
      <c r="Z1318" s="3" t="b">
        <f t="shared" si="134"/>
        <v>0</v>
      </c>
      <c r="AA1318" s="5" t="b">
        <f t="shared" si="135"/>
        <v>0</v>
      </c>
      <c r="AB1318" s="3"/>
      <c r="AC1318" s="1560" t="b">
        <f>IF(I1318&lt;&gt;"",#REF!&lt;=I1318*1,FALSE)</f>
        <v>0</v>
      </c>
      <c r="AD1318" s="1561"/>
      <c r="AE1318" s="1560">
        <f t="shared" si="136"/>
        <v>0</v>
      </c>
      <c r="AF1318" s="1560">
        <f t="shared" si="137"/>
        <v>1000</v>
      </c>
      <c r="AG1318" s="5"/>
      <c r="AH1318" s="5"/>
      <c r="AI1318" s="51"/>
      <c r="AJ1318" s="51"/>
      <c r="AK1318" s="51"/>
      <c r="AL1318" s="51"/>
      <c r="AM1318" s="39"/>
      <c r="AN1318" s="3"/>
      <c r="AO1318" s="3"/>
      <c r="AP1318" s="3"/>
      <c r="AQ1318" s="3"/>
      <c r="AR1318" s="3"/>
      <c r="AS1318" s="3"/>
      <c r="AT1318" s="3"/>
      <c r="AU1318" s="3"/>
      <c r="AV1318" s="3"/>
      <c r="AW1318" s="3"/>
      <c r="AX1318" s="3"/>
      <c r="AY1318" s="3"/>
      <c r="AZ1318" s="3"/>
      <c r="BA1318" s="3"/>
      <c r="BB1318" s="3"/>
      <c r="BC1318" s="3"/>
      <c r="BD1318" s="3"/>
      <c r="BE1318" s="3"/>
    </row>
    <row r="1319" spans="1:57" ht="15" customHeight="1" x14ac:dyDescent="0.4">
      <c r="A1319" s="3"/>
      <c r="B1319" s="4"/>
      <c r="C1319" s="780">
        <v>26</v>
      </c>
      <c r="D1319" s="8" t="s">
        <v>1110</v>
      </c>
      <c r="E1319" s="3"/>
      <c r="F1319" s="3"/>
      <c r="G1319" s="3"/>
      <c r="H1319" s="3"/>
      <c r="I1319" s="3" t="str">
        <f t="shared" si="130"/>
        <v/>
      </c>
      <c r="J1319" s="3"/>
      <c r="K1319" s="3" t="str">
        <f t="shared" si="131"/>
        <v/>
      </c>
      <c r="L1319" s="3"/>
      <c r="M1319" s="3" t="str">
        <f t="shared" si="132"/>
        <v/>
      </c>
      <c r="N1319" s="3"/>
      <c r="O1319" s="3"/>
      <c r="P1319" s="3"/>
      <c r="Q1319" s="780"/>
      <c r="R1319" s="3"/>
      <c r="S1319" s="3"/>
      <c r="T1319" s="3"/>
      <c r="U1319" s="3"/>
      <c r="V1319" s="5"/>
      <c r="W1319" s="5"/>
      <c r="X1319" s="782"/>
      <c r="Y1319" s="5" t="b">
        <f t="shared" si="133"/>
        <v>0</v>
      </c>
      <c r="Z1319" s="3" t="b">
        <f t="shared" si="134"/>
        <v>0</v>
      </c>
      <c r="AA1319" s="5" t="b">
        <f t="shared" si="135"/>
        <v>0</v>
      </c>
      <c r="AB1319" s="3"/>
      <c r="AC1319" s="1560" t="b">
        <f>IF(I1319&lt;&gt;"",#REF!&lt;=I1319*1,FALSE)</f>
        <v>0</v>
      </c>
      <c r="AD1319" s="1561"/>
      <c r="AE1319" s="1560">
        <f t="shared" si="136"/>
        <v>0</v>
      </c>
      <c r="AF1319" s="1560">
        <f t="shared" si="137"/>
        <v>1000</v>
      </c>
      <c r="AG1319" s="5"/>
      <c r="AH1319" s="5"/>
      <c r="AI1319" s="51"/>
      <c r="AJ1319" s="51"/>
      <c r="AK1319" s="51"/>
      <c r="AL1319" s="51"/>
      <c r="AM1319" s="39"/>
      <c r="AN1319" s="3"/>
      <c r="AO1319" s="3"/>
      <c r="AP1319" s="3"/>
      <c r="AQ1319" s="3"/>
      <c r="AR1319" s="3"/>
      <c r="AS1319" s="3"/>
      <c r="AT1319" s="3"/>
      <c r="AU1319" s="3"/>
      <c r="AV1319" s="3"/>
      <c r="AW1319" s="3"/>
      <c r="AX1319" s="3"/>
      <c r="AY1319" s="3"/>
      <c r="AZ1319" s="3"/>
      <c r="BA1319" s="3"/>
      <c r="BB1319" s="3"/>
      <c r="BC1319" s="3"/>
      <c r="BD1319" s="3"/>
      <c r="BE1319" s="3"/>
    </row>
    <row r="1320" spans="1:57" ht="15" customHeight="1" x14ac:dyDescent="0.4">
      <c r="A1320" s="3"/>
      <c r="B1320" s="4"/>
      <c r="C1320" s="780">
        <v>27</v>
      </c>
      <c r="D1320" s="8" t="s">
        <v>1110</v>
      </c>
      <c r="E1320" s="3"/>
      <c r="F1320" s="3"/>
      <c r="G1320" s="3"/>
      <c r="H1320" s="3"/>
      <c r="I1320" s="3" t="str">
        <f t="shared" si="130"/>
        <v/>
      </c>
      <c r="J1320" s="3"/>
      <c r="K1320" s="3" t="str">
        <f t="shared" si="131"/>
        <v/>
      </c>
      <c r="L1320" s="3"/>
      <c r="M1320" s="3" t="str">
        <f t="shared" si="132"/>
        <v/>
      </c>
      <c r="N1320" s="3"/>
      <c r="O1320" s="3"/>
      <c r="P1320" s="3"/>
      <c r="Q1320" s="780"/>
      <c r="R1320" s="3"/>
      <c r="S1320" s="3"/>
      <c r="T1320" s="3"/>
      <c r="U1320" s="3"/>
      <c r="V1320" s="5"/>
      <c r="W1320" s="5"/>
      <c r="X1320" s="782"/>
      <c r="Y1320" s="5" t="b">
        <f t="shared" si="133"/>
        <v>0</v>
      </c>
      <c r="Z1320" s="3" t="b">
        <f t="shared" si="134"/>
        <v>0</v>
      </c>
      <c r="AA1320" s="5" t="b">
        <f t="shared" si="135"/>
        <v>0</v>
      </c>
      <c r="AB1320" s="3"/>
      <c r="AC1320" s="1560" t="b">
        <f>IF(I1320&lt;&gt;"",#REF!&lt;=I1320*1,FALSE)</f>
        <v>0</v>
      </c>
      <c r="AD1320" s="1561"/>
      <c r="AE1320" s="1560">
        <f t="shared" si="136"/>
        <v>0</v>
      </c>
      <c r="AF1320" s="1560">
        <f t="shared" si="137"/>
        <v>1000</v>
      </c>
      <c r="AG1320" s="5"/>
      <c r="AH1320" s="5"/>
      <c r="AI1320" s="51"/>
      <c r="AJ1320" s="51"/>
      <c r="AK1320" s="51"/>
      <c r="AL1320" s="51"/>
      <c r="AM1320" s="39"/>
      <c r="AN1320" s="3"/>
      <c r="AO1320" s="3"/>
      <c r="AP1320" s="3"/>
      <c r="AQ1320" s="3"/>
      <c r="AR1320" s="3"/>
      <c r="AS1320" s="3"/>
      <c r="AT1320" s="3"/>
      <c r="AU1320" s="3"/>
      <c r="AV1320" s="3"/>
      <c r="AW1320" s="3"/>
      <c r="AX1320" s="3"/>
      <c r="AY1320" s="3"/>
      <c r="AZ1320" s="3"/>
      <c r="BA1320" s="3"/>
      <c r="BB1320" s="3"/>
      <c r="BC1320" s="3"/>
      <c r="BD1320" s="3"/>
      <c r="BE1320" s="3"/>
    </row>
    <row r="1321" spans="1:57" ht="15" customHeight="1" x14ac:dyDescent="0.4">
      <c r="A1321" s="3"/>
      <c r="B1321" s="4"/>
      <c r="C1321" s="780">
        <v>28</v>
      </c>
      <c r="D1321" s="8" t="s">
        <v>1110</v>
      </c>
      <c r="E1321" s="3"/>
      <c r="F1321" s="3"/>
      <c r="G1321" s="3"/>
      <c r="H1321" s="3"/>
      <c r="I1321" s="3" t="str">
        <f t="shared" si="130"/>
        <v/>
      </c>
      <c r="J1321" s="3"/>
      <c r="K1321" s="3" t="str">
        <f t="shared" si="131"/>
        <v/>
      </c>
      <c r="L1321" s="3"/>
      <c r="M1321" s="3" t="str">
        <f t="shared" si="132"/>
        <v/>
      </c>
      <c r="N1321" s="3"/>
      <c r="O1321" s="3"/>
      <c r="P1321" s="3"/>
      <c r="Q1321" s="780"/>
      <c r="R1321" s="3"/>
      <c r="S1321" s="3"/>
      <c r="T1321" s="3"/>
      <c r="U1321" s="3"/>
      <c r="V1321" s="5"/>
      <c r="W1321" s="5"/>
      <c r="X1321" s="782"/>
      <c r="Y1321" s="5" t="b">
        <f t="shared" si="133"/>
        <v>0</v>
      </c>
      <c r="Z1321" s="3" t="b">
        <f t="shared" si="134"/>
        <v>0</v>
      </c>
      <c r="AA1321" s="5" t="b">
        <f t="shared" si="135"/>
        <v>0</v>
      </c>
      <c r="AB1321" s="3"/>
      <c r="AC1321" s="1560" t="b">
        <f>IF(I1321&lt;&gt;"",#REF!&lt;=I1321*1,FALSE)</f>
        <v>0</v>
      </c>
      <c r="AD1321" s="1561"/>
      <c r="AE1321" s="1560">
        <f t="shared" si="136"/>
        <v>0</v>
      </c>
      <c r="AF1321" s="1560">
        <f t="shared" si="137"/>
        <v>1000</v>
      </c>
      <c r="AG1321" s="5"/>
      <c r="AH1321" s="5"/>
      <c r="AI1321" s="51"/>
      <c r="AJ1321" s="51"/>
      <c r="AK1321" s="51"/>
      <c r="AL1321" s="51"/>
      <c r="AM1321" s="39"/>
      <c r="AN1321" s="3"/>
      <c r="AO1321" s="3"/>
      <c r="AP1321" s="3"/>
      <c r="AQ1321" s="3"/>
      <c r="AR1321" s="3"/>
      <c r="AS1321" s="3"/>
      <c r="AT1321" s="3"/>
      <c r="AU1321" s="3"/>
      <c r="AV1321" s="3"/>
      <c r="AW1321" s="3"/>
      <c r="AX1321" s="3"/>
      <c r="AY1321" s="3"/>
      <c r="AZ1321" s="3"/>
      <c r="BA1321" s="3"/>
      <c r="BB1321" s="3"/>
      <c r="BC1321" s="3"/>
      <c r="BD1321" s="3"/>
      <c r="BE1321" s="3"/>
    </row>
    <row r="1322" spans="1:57" ht="15" customHeight="1" x14ac:dyDescent="0.4">
      <c r="A1322" s="3"/>
      <c r="B1322" s="4"/>
      <c r="C1322" s="780">
        <v>29</v>
      </c>
      <c r="D1322" s="8" t="s">
        <v>1110</v>
      </c>
      <c r="E1322" s="3"/>
      <c r="F1322" s="3"/>
      <c r="G1322" s="3"/>
      <c r="H1322" s="3"/>
      <c r="I1322" s="3" t="str">
        <f t="shared" si="130"/>
        <v/>
      </c>
      <c r="J1322" s="3"/>
      <c r="K1322" s="3" t="str">
        <f t="shared" si="131"/>
        <v/>
      </c>
      <c r="L1322" s="3"/>
      <c r="M1322" s="3" t="str">
        <f t="shared" si="132"/>
        <v/>
      </c>
      <c r="N1322" s="3"/>
      <c r="O1322" s="3"/>
      <c r="P1322" s="3"/>
      <c r="Q1322" s="780"/>
      <c r="R1322" s="3"/>
      <c r="S1322" s="3"/>
      <c r="T1322" s="3"/>
      <c r="U1322" s="3"/>
      <c r="V1322" s="5"/>
      <c r="W1322" s="5"/>
      <c r="X1322" s="782"/>
      <c r="Y1322" s="5" t="b">
        <f t="shared" si="133"/>
        <v>0</v>
      </c>
      <c r="Z1322" s="3" t="b">
        <f t="shared" si="134"/>
        <v>0</v>
      </c>
      <c r="AA1322" s="5" t="b">
        <f t="shared" si="135"/>
        <v>0</v>
      </c>
      <c r="AB1322" s="3"/>
      <c r="AC1322" s="1560" t="b">
        <f>IF(I1322&lt;&gt;"",#REF!&lt;=I1322*1,FALSE)</f>
        <v>0</v>
      </c>
      <c r="AD1322" s="1561"/>
      <c r="AE1322" s="1560">
        <f t="shared" si="136"/>
        <v>0</v>
      </c>
      <c r="AF1322" s="1560">
        <f t="shared" si="137"/>
        <v>1000</v>
      </c>
      <c r="AG1322" s="5"/>
      <c r="AH1322" s="5"/>
      <c r="AI1322" s="51"/>
      <c r="AJ1322" s="51"/>
      <c r="AK1322" s="51"/>
      <c r="AL1322" s="51"/>
      <c r="AM1322" s="39"/>
      <c r="AN1322" s="3"/>
      <c r="AO1322" s="3"/>
      <c r="AP1322" s="3"/>
      <c r="AQ1322" s="3"/>
      <c r="AR1322" s="3"/>
      <c r="AS1322" s="3"/>
      <c r="AT1322" s="3"/>
      <c r="AU1322" s="3"/>
      <c r="AV1322" s="3"/>
      <c r="AW1322" s="3"/>
      <c r="AX1322" s="3"/>
      <c r="AY1322" s="3"/>
      <c r="AZ1322" s="3"/>
      <c r="BA1322" s="3"/>
      <c r="BB1322" s="3"/>
      <c r="BC1322" s="3"/>
      <c r="BD1322" s="3"/>
      <c r="BE1322" s="3"/>
    </row>
    <row r="1323" spans="1:57" ht="15" customHeight="1" thickBot="1" x14ac:dyDescent="0.45">
      <c r="A1323" s="3"/>
      <c r="B1323" s="4"/>
      <c r="C1323" s="780">
        <v>30</v>
      </c>
      <c r="D1323" s="8" t="s">
        <v>1110</v>
      </c>
      <c r="E1323" s="3"/>
      <c r="F1323" s="3"/>
      <c r="G1323" s="3"/>
      <c r="H1323" s="3"/>
      <c r="I1323" s="3" t="str">
        <f t="shared" si="130"/>
        <v/>
      </c>
      <c r="J1323" s="3"/>
      <c r="K1323" s="3" t="str">
        <f t="shared" si="131"/>
        <v/>
      </c>
      <c r="L1323" s="3"/>
      <c r="M1323" s="3" t="str">
        <f t="shared" si="132"/>
        <v/>
      </c>
      <c r="N1323" s="3"/>
      <c r="O1323" s="3"/>
      <c r="P1323" s="3"/>
      <c r="Q1323" s="1222"/>
      <c r="R1323" s="889"/>
      <c r="S1323" s="889"/>
      <c r="T1323" s="889"/>
      <c r="U1323" s="889"/>
      <c r="V1323" s="945"/>
      <c r="W1323" s="945"/>
      <c r="X1323" s="1223"/>
      <c r="Y1323" s="5" t="b">
        <f t="shared" si="133"/>
        <v>0</v>
      </c>
      <c r="Z1323" s="3" t="b">
        <f t="shared" si="134"/>
        <v>0</v>
      </c>
      <c r="AA1323" s="5" t="b">
        <f t="shared" si="135"/>
        <v>0</v>
      </c>
      <c r="AB1323" s="3"/>
      <c r="AC1323" s="1560" t="b">
        <f>IF(I1323&lt;&gt;"",#REF!&lt;=I1323*1,FALSE)</f>
        <v>0</v>
      </c>
      <c r="AD1323" s="1561"/>
      <c r="AE1323" s="1560">
        <f t="shared" si="136"/>
        <v>0</v>
      </c>
      <c r="AF1323" s="1560">
        <f t="shared" si="137"/>
        <v>1000</v>
      </c>
      <c r="AG1323" s="5"/>
      <c r="AH1323" s="5"/>
      <c r="AI1323" s="51"/>
      <c r="AJ1323" s="51"/>
      <c r="AK1323" s="51"/>
      <c r="AL1323" s="51"/>
      <c r="AM1323" s="39"/>
      <c r="AN1323" s="3"/>
      <c r="AO1323" s="3"/>
      <c r="AP1323" s="3"/>
      <c r="AQ1323" s="3"/>
      <c r="AR1323" s="3"/>
      <c r="AS1323" s="3"/>
      <c r="AT1323" s="3"/>
      <c r="AU1323" s="3"/>
      <c r="AV1323" s="3"/>
      <c r="AW1323" s="3"/>
      <c r="AX1323" s="3"/>
      <c r="AY1323" s="3"/>
      <c r="AZ1323" s="3"/>
      <c r="BA1323" s="3"/>
      <c r="BB1323" s="3"/>
      <c r="BC1323" s="3"/>
      <c r="BD1323" s="3"/>
      <c r="BE1323" s="3"/>
    </row>
    <row r="1324" spans="1:57" ht="15" customHeight="1" thickBot="1" x14ac:dyDescent="0.45">
      <c r="A1324" s="3"/>
      <c r="B1324" s="4"/>
      <c r="C1324" s="783">
        <v>31</v>
      </c>
      <c r="D1324" s="556"/>
      <c r="E1324" s="136"/>
      <c r="F1324" s="1496" t="s">
        <v>1111</v>
      </c>
      <c r="G1324" s="136"/>
      <c r="H1324" s="136"/>
      <c r="I1324" s="136"/>
      <c r="J1324" s="136"/>
      <c r="K1324" s="136" t="str">
        <f t="shared" si="131"/>
        <v/>
      </c>
      <c r="L1324" s="136"/>
      <c r="M1324" s="136" t="str">
        <f t="shared" si="132"/>
        <v/>
      </c>
      <c r="N1324" s="136"/>
      <c r="O1324" s="136"/>
      <c r="P1324" s="136"/>
      <c r="Q1324" s="136" t="b">
        <v>1</v>
      </c>
      <c r="R1324" s="136"/>
      <c r="S1324" s="136" t="b">
        <v>0</v>
      </c>
      <c r="T1324" s="136" t="b">
        <v>1</v>
      </c>
      <c r="U1324" s="136"/>
      <c r="V1324" s="136" t="b">
        <v>0</v>
      </c>
      <c r="W1324" s="136" t="b">
        <v>1</v>
      </c>
      <c r="X1324" s="784" t="b">
        <v>1</v>
      </c>
      <c r="Y1324" s="784" t="b">
        <v>1</v>
      </c>
      <c r="Z1324" s="3" t="b">
        <v>1</v>
      </c>
      <c r="AA1324" s="5" t="b">
        <v>1</v>
      </c>
      <c r="AB1324" s="3"/>
      <c r="AC1324" s="1560" t="b">
        <v>1</v>
      </c>
      <c r="AD1324" s="1561"/>
      <c r="AE1324" s="1560">
        <f t="shared" si="136"/>
        <v>0</v>
      </c>
      <c r="AF1324" s="1562" t="e">
        <f>#REF!</f>
        <v>#REF!</v>
      </c>
      <c r="AG1324" s="5"/>
      <c r="AH1324" s="5"/>
      <c r="AI1324" s="51"/>
      <c r="AJ1324" s="51"/>
      <c r="AK1324" s="51"/>
      <c r="AL1324" s="51"/>
      <c r="AM1324" s="39"/>
      <c r="AN1324" s="3"/>
      <c r="AO1324" s="3"/>
      <c r="AP1324" s="3"/>
      <c r="AQ1324" s="3"/>
      <c r="AR1324" s="3"/>
      <c r="AS1324" s="3"/>
      <c r="AT1324" s="3"/>
      <c r="AU1324" s="3"/>
      <c r="AV1324" s="3"/>
      <c r="AW1324" s="3"/>
      <c r="AX1324" s="3"/>
      <c r="AY1324" s="3"/>
      <c r="AZ1324" s="3"/>
      <c r="BA1324" s="3"/>
      <c r="BB1324" s="3"/>
      <c r="BC1324" s="3"/>
      <c r="BD1324" s="3"/>
      <c r="BE1324" s="3"/>
    </row>
    <row r="1325" spans="1:57" ht="15" customHeight="1" x14ac:dyDescent="0.4">
      <c r="A1325" s="3"/>
      <c r="B1325" s="4"/>
      <c r="C1325" s="8"/>
      <c r="D1325" s="4"/>
      <c r="E1325" s="4"/>
      <c r="F1325" s="4"/>
      <c r="G1325" s="4"/>
      <c r="H1325" s="3"/>
      <c r="I1325" s="3"/>
      <c r="J1325" s="3"/>
      <c r="K1325" s="3"/>
      <c r="L1325" s="3"/>
      <c r="M1325" s="452" t="s">
        <v>1112</v>
      </c>
      <c r="N1325" s="3"/>
      <c r="O1325" s="3"/>
      <c r="P1325" s="3"/>
      <c r="Q1325" s="3" t="b">
        <f>IF(ISERR(INDEX($Q$1294:$Q$1324,MATCH(#REF!,$AF$1294:$AF$1324,0))),TRUE,INDEX($Q$1294:$Q$1324,MATCH(#REF!,$AF$1294:$AF$1324,0)))</f>
        <v>1</v>
      </c>
      <c r="R1325" s="3"/>
      <c r="S1325" s="3" t="b">
        <f>IF(ISERR(INDEX($S$1294:$S$1324,MATCH(#REF!,$AF$1294:$AF$1324,0))),TRUE,INDEX($S$1294:$S$1324,MATCH(#REF!,$AF$1294:$AF$1324,0)))</f>
        <v>1</v>
      </c>
      <c r="T1325" s="3" t="b">
        <f>IF(ISERR(INDEX($T$1294:$T$1324,MATCH(#REF!,$AF$1294:$AF$1324,0))),TRUE,INDEX($T$1294:$T$1324,MATCH(#REF!,$AF$1294:$AF$1324,0)))</f>
        <v>1</v>
      </c>
      <c r="U1325" s="3"/>
      <c r="V1325" s="3" t="b">
        <f>IF(ISERR(INDEX($V$1294:$V$1324,MATCH(#REF!,$AF$1294:$AF$1324,0))),TRUE,INDEX($V$1294:$V$1324,MATCH(#REF!,$AF$1294:$AF$1324,0)))</f>
        <v>1</v>
      </c>
      <c r="W1325" s="3" t="b">
        <f>IF(ISERR(INDEX($W$1294:$W$1324,MATCH(#REF!,$AF$1294:$AF$1324,0))),TRUE,INDEX($W$1294:$W$1324,MATCH(#REF!,$AF$1294:$AF$1324,0)))</f>
        <v>1</v>
      </c>
      <c r="X1325" s="3" t="b">
        <f>IF(ISERR(INDEX($X$1294:$X$1324,MATCH(#REF!,$AF$1294:$AF$1324,0))),TRUE,INDEX($X$1294:$X$1324,MATCH(#REF!,$AF$1294:$AF$1324,0)))</f>
        <v>1</v>
      </c>
      <c r="Y1325" s="3" t="b">
        <f>IF(ISERR(INDEX($Y$1294:$Y$1324,MATCH(#REF!,$AF$1294:$AF$1324,0))),TRUE,INDEX($Y$1294:$Y$1324,MATCH(#REF!,$AF$1294:$AF$1324,0)))</f>
        <v>1</v>
      </c>
      <c r="Z1325" s="3"/>
      <c r="AA1325" s="3"/>
      <c r="AB1325" s="3"/>
      <c r="AC1325" s="3"/>
      <c r="AD1325" s="3"/>
      <c r="AE1325" s="5"/>
      <c r="AF1325" s="5"/>
      <c r="AG1325" s="5"/>
      <c r="AH1325" s="5"/>
      <c r="AI1325" s="51"/>
      <c r="AJ1325" s="51"/>
      <c r="AK1325" s="51"/>
      <c r="AL1325" s="51"/>
      <c r="AM1325" s="39"/>
      <c r="AN1325" s="3"/>
      <c r="AO1325" s="3"/>
      <c r="AP1325" s="3"/>
      <c r="AQ1325" s="3"/>
      <c r="AR1325" s="3"/>
      <c r="AS1325" s="3"/>
      <c r="AT1325" s="3"/>
      <c r="AU1325" s="3"/>
      <c r="AV1325" s="3"/>
      <c r="AW1325" s="3"/>
      <c r="AX1325" s="3"/>
      <c r="AY1325" s="3"/>
      <c r="AZ1325" s="3"/>
      <c r="BA1325" s="3"/>
      <c r="BB1325" s="3"/>
      <c r="BC1325" s="3"/>
      <c r="BD1325" s="3"/>
      <c r="BE1325" s="3"/>
    </row>
    <row r="1326" spans="1:57" ht="15" customHeight="1" x14ac:dyDescent="0.4">
      <c r="A1326" s="3"/>
      <c r="B1326" s="4"/>
      <c r="C1326" s="8"/>
      <c r="D1326" s="4"/>
      <c r="E1326" s="4"/>
      <c r="F1326" s="4"/>
      <c r="G1326" s="4"/>
      <c r="H1326" s="3"/>
      <c r="I1326" s="3"/>
      <c r="J1326" s="3"/>
      <c r="K1326" s="3"/>
      <c r="L1326" s="3"/>
      <c r="M1326" s="3"/>
      <c r="N1326" s="5"/>
      <c r="O1326" s="3"/>
      <c r="P1326" s="3"/>
      <c r="Q1326" s="5"/>
      <c r="R1326" s="3"/>
      <c r="S1326" s="5"/>
      <c r="T1326" s="5"/>
      <c r="U1326" s="3"/>
      <c r="V1326" s="5"/>
      <c r="W1326" s="3"/>
      <c r="X1326" s="3"/>
      <c r="Y1326" s="3"/>
      <c r="Z1326" s="3"/>
      <c r="AA1326" s="3"/>
      <c r="AB1326" s="3"/>
      <c r="AC1326" s="3"/>
      <c r="AD1326" s="3"/>
      <c r="AE1326" s="5"/>
      <c r="AF1326" s="5"/>
      <c r="AG1326" s="5"/>
      <c r="AH1326" s="5"/>
      <c r="AI1326" s="51"/>
      <c r="AJ1326" s="51"/>
      <c r="AK1326" s="51"/>
      <c r="AL1326" s="51"/>
      <c r="AM1326" s="39"/>
      <c r="AN1326" s="3"/>
      <c r="AO1326" s="3"/>
      <c r="AP1326" s="3"/>
      <c r="AQ1326" s="3"/>
      <c r="AR1326" s="3"/>
      <c r="AS1326" s="3"/>
      <c r="AT1326" s="3"/>
      <c r="AU1326" s="3"/>
      <c r="AV1326" s="3"/>
      <c r="AW1326" s="3"/>
      <c r="AX1326" s="3"/>
      <c r="AY1326" s="3"/>
      <c r="AZ1326" s="3"/>
      <c r="BA1326" s="3"/>
      <c r="BB1326" s="3"/>
      <c r="BC1326" s="3"/>
      <c r="BD1326" s="3"/>
      <c r="BE1326" s="3"/>
    </row>
    <row r="1327" spans="1:57" ht="15" customHeight="1" x14ac:dyDescent="0.4">
      <c r="A1327" s="3"/>
      <c r="B1327" s="4"/>
      <c r="C1327" s="8"/>
      <c r="D1327" s="4"/>
      <c r="E1327" s="561" t="s">
        <v>2149</v>
      </c>
      <c r="F1327" s="4"/>
      <c r="G1327" s="4"/>
      <c r="H1327" s="3"/>
      <c r="I1327" s="3"/>
      <c r="J1327" s="3"/>
      <c r="K1327" s="3"/>
      <c r="L1327" s="3"/>
      <c r="M1327" s="5"/>
      <c r="N1327" s="5"/>
      <c r="O1327" s="5"/>
      <c r="P1327" s="5"/>
      <c r="Q1327" s="5"/>
      <c r="R1327" s="3"/>
      <c r="S1327" s="5"/>
      <c r="T1327" s="3"/>
      <c r="U1327" s="3"/>
      <c r="V1327" s="3"/>
      <c r="W1327" s="3"/>
      <c r="X1327" s="3"/>
      <c r="Y1327" s="3"/>
      <c r="Z1327" s="3"/>
      <c r="AA1327" s="3"/>
      <c r="AB1327" s="3"/>
      <c r="AC1327" s="3"/>
      <c r="AD1327" s="3"/>
      <c r="AE1327" s="5"/>
      <c r="AF1327" s="5"/>
      <c r="AG1327" s="5"/>
      <c r="AH1327" s="5"/>
      <c r="AI1327" s="51"/>
      <c r="AJ1327" s="51"/>
      <c r="AK1327" s="51"/>
      <c r="AL1327" s="51"/>
      <c r="AM1327" s="39"/>
      <c r="AN1327" s="3"/>
      <c r="AO1327" s="3"/>
      <c r="AP1327" s="3"/>
      <c r="AQ1327" s="3"/>
      <c r="AR1327" s="3"/>
      <c r="AS1327" s="3"/>
      <c r="AT1327" s="3"/>
      <c r="AU1327" s="3"/>
      <c r="AV1327" s="3"/>
      <c r="AW1327" s="3"/>
      <c r="AX1327" s="3"/>
      <c r="AY1327" s="3"/>
      <c r="AZ1327" s="3"/>
      <c r="BA1327" s="3"/>
      <c r="BB1327" s="3"/>
      <c r="BC1327" s="3"/>
      <c r="BD1327" s="3"/>
      <c r="BE1327" s="3"/>
    </row>
    <row r="1328" spans="1:57" ht="15" customHeight="1" x14ac:dyDescent="0.4">
      <c r="A1328" s="3"/>
      <c r="B1328" s="4"/>
      <c r="C1328" s="8"/>
      <c r="D1328" s="4"/>
      <c r="E1328" s="561" t="s">
        <v>2147</v>
      </c>
      <c r="F1328" s="561" t="s">
        <v>2148</v>
      </c>
      <c r="G1328" s="4"/>
      <c r="H1328" s="3"/>
      <c r="I1328" s="3"/>
      <c r="J1328" s="3"/>
      <c r="K1328" s="3"/>
      <c r="L1328" s="3"/>
      <c r="M1328" s="5"/>
      <c r="N1328" s="5"/>
      <c r="O1328" s="5"/>
      <c r="P1328" s="5"/>
      <c r="Q1328" s="5"/>
      <c r="R1328" s="3"/>
      <c r="S1328" s="5"/>
      <c r="T1328" s="3"/>
      <c r="U1328" s="3"/>
      <c r="V1328" s="3"/>
      <c r="W1328" s="3"/>
      <c r="X1328" s="3"/>
      <c r="Y1328" s="3"/>
      <c r="Z1328" s="3"/>
      <c r="AA1328" s="3"/>
      <c r="AB1328" s="3"/>
      <c r="AC1328" s="3"/>
      <c r="AD1328" s="3"/>
      <c r="AE1328" s="5"/>
      <c r="AF1328" s="5"/>
      <c r="AG1328" s="5"/>
      <c r="AH1328" s="5"/>
      <c r="AI1328" s="51"/>
      <c r="AJ1328" s="51"/>
      <c r="AK1328" s="51"/>
      <c r="AL1328" s="51"/>
      <c r="AM1328" s="39"/>
      <c r="AN1328" s="3"/>
      <c r="AO1328" s="3"/>
      <c r="AP1328" s="3"/>
      <c r="AQ1328" s="3"/>
      <c r="AR1328" s="3"/>
      <c r="AS1328" s="3"/>
      <c r="AT1328" s="3"/>
      <c r="AU1328" s="3"/>
      <c r="AV1328" s="3"/>
      <c r="AW1328" s="3"/>
      <c r="AX1328" s="3"/>
      <c r="AY1328" s="3"/>
      <c r="AZ1328" s="3"/>
      <c r="BA1328" s="3"/>
      <c r="BB1328" s="3"/>
      <c r="BC1328" s="3"/>
      <c r="BD1328" s="3"/>
      <c r="BE1328" s="3"/>
    </row>
    <row r="1329" spans="1:57" ht="15" customHeight="1" x14ac:dyDescent="0.4">
      <c r="A1329" s="3"/>
      <c r="B1329" s="4"/>
      <c r="C1329" s="8"/>
      <c r="D1329" s="4"/>
      <c r="E1329" s="1124" t="s">
        <v>1518</v>
      </c>
      <c r="F1329" s="1124" t="s">
        <v>1518</v>
      </c>
      <c r="G1329" s="4"/>
      <c r="H1329" s="3"/>
      <c r="I1329" s="3"/>
      <c r="J1329" s="3"/>
      <c r="K1329" s="3"/>
      <c r="L1329" s="3"/>
      <c r="M1329" s="5"/>
      <c r="N1329" s="5"/>
      <c r="O1329" s="5"/>
      <c r="P1329" s="5"/>
      <c r="Q1329" s="5"/>
      <c r="R1329" s="3"/>
      <c r="S1329" s="5"/>
      <c r="T1329" s="3"/>
      <c r="U1329" s="3"/>
      <c r="V1329" s="3"/>
      <c r="W1329" s="3"/>
      <c r="X1329" s="3"/>
      <c r="Y1329" s="3"/>
      <c r="Z1329" s="3"/>
      <c r="AA1329" s="3"/>
      <c r="AB1329" s="3"/>
      <c r="AC1329" s="3"/>
      <c r="AD1329" s="3"/>
      <c r="AE1329" s="5"/>
      <c r="AF1329" s="5"/>
      <c r="AG1329" s="5"/>
      <c r="AH1329" s="5"/>
      <c r="AI1329" s="51"/>
      <c r="AJ1329" s="51"/>
      <c r="AK1329" s="51"/>
      <c r="AL1329" s="51"/>
      <c r="AM1329" s="39"/>
      <c r="AN1329" s="3"/>
      <c r="AO1329" s="3"/>
      <c r="AP1329" s="3"/>
      <c r="AQ1329" s="3"/>
      <c r="AR1329" s="3"/>
      <c r="AS1329" s="3"/>
      <c r="AT1329" s="3"/>
      <c r="AU1329" s="3"/>
      <c r="AV1329" s="3"/>
      <c r="AW1329" s="3"/>
      <c r="AX1329" s="3"/>
      <c r="AY1329" s="3"/>
      <c r="AZ1329" s="3"/>
      <c r="BA1329" s="3"/>
      <c r="BB1329" s="3"/>
      <c r="BC1329" s="3"/>
      <c r="BD1329" s="3"/>
      <c r="BE1329" s="3"/>
    </row>
    <row r="1330" spans="1:57" ht="15" customHeight="1" x14ac:dyDescent="0.4">
      <c r="A1330" s="3"/>
      <c r="B1330" s="4"/>
      <c r="C1330" s="8"/>
      <c r="D1330" s="4"/>
      <c r="E1330" s="1124" t="s">
        <v>1086</v>
      </c>
      <c r="F1330" s="1124" t="s">
        <v>1087</v>
      </c>
      <c r="G1330" s="4"/>
      <c r="H1330" s="3"/>
      <c r="I1330" s="3"/>
      <c r="J1330" s="3"/>
      <c r="K1330" s="3"/>
      <c r="L1330" s="3"/>
      <c r="M1330" s="5"/>
      <c r="N1330" s="5"/>
      <c r="O1330" s="5"/>
      <c r="P1330" s="5"/>
      <c r="Q1330" s="5"/>
      <c r="R1330" s="3"/>
      <c r="S1330" s="5"/>
      <c r="T1330" s="3"/>
      <c r="U1330" s="3"/>
      <c r="V1330" s="3"/>
      <c r="W1330" s="3"/>
      <c r="X1330" s="3"/>
      <c r="Y1330" s="3"/>
      <c r="Z1330" s="3"/>
      <c r="AA1330" s="3"/>
      <c r="AB1330" s="3"/>
      <c r="AC1330" s="3"/>
      <c r="AD1330" s="3"/>
      <c r="AE1330" s="5"/>
      <c r="AF1330" s="5"/>
      <c r="AG1330" s="5"/>
      <c r="AH1330" s="5"/>
      <c r="AI1330" s="51"/>
      <c r="AJ1330" s="51"/>
      <c r="AK1330" s="51"/>
      <c r="AL1330" s="51"/>
      <c r="AM1330" s="39"/>
      <c r="AN1330" s="3"/>
      <c r="AO1330" s="3"/>
      <c r="AP1330" s="3"/>
      <c r="AQ1330" s="3"/>
      <c r="AR1330" s="3"/>
      <c r="AS1330" s="3"/>
      <c r="AT1330" s="3"/>
      <c r="AU1330" s="3"/>
      <c r="AV1330" s="3"/>
      <c r="AW1330" s="3"/>
      <c r="AX1330" s="3"/>
      <c r="AY1330" s="3"/>
      <c r="AZ1330" s="3"/>
      <c r="BA1330" s="3"/>
      <c r="BB1330" s="3"/>
      <c r="BC1330" s="3"/>
      <c r="BD1330" s="3"/>
      <c r="BE1330" s="3"/>
    </row>
    <row r="1331" spans="1:57" ht="15" customHeight="1" x14ac:dyDescent="0.4">
      <c r="A1331" s="3"/>
      <c r="B1331" s="4"/>
      <c r="C1331" s="8"/>
      <c r="D1331" s="4"/>
      <c r="E1331" s="1511" t="s">
        <v>2051</v>
      </c>
      <c r="F1331" s="1512" t="s">
        <v>2022</v>
      </c>
      <c r="G1331" s="4"/>
      <c r="H1331" s="3"/>
      <c r="I1331" s="3"/>
      <c r="J1331" s="3"/>
      <c r="K1331" s="3"/>
      <c r="L1331" s="3"/>
      <c r="M1331" s="5"/>
      <c r="N1331" s="5"/>
      <c r="O1331" s="5"/>
      <c r="P1331" s="5"/>
      <c r="Q1331" s="5"/>
      <c r="R1331" s="3"/>
      <c r="S1331" s="5"/>
      <c r="T1331" s="3"/>
      <c r="U1331" s="3"/>
      <c r="V1331" s="3"/>
      <c r="W1331" s="3"/>
      <c r="X1331" s="3"/>
      <c r="Y1331" s="3"/>
      <c r="Z1331" s="3"/>
      <c r="AA1331" s="3"/>
      <c r="AB1331" s="3"/>
      <c r="AC1331" s="3"/>
      <c r="AD1331" s="3"/>
      <c r="AE1331" s="5"/>
      <c r="AF1331" s="5"/>
      <c r="AG1331" s="5"/>
      <c r="AH1331" s="5"/>
      <c r="AI1331" s="51"/>
      <c r="AJ1331" s="51"/>
      <c r="AK1331" s="51"/>
      <c r="AL1331" s="51"/>
      <c r="AM1331" s="39"/>
      <c r="AN1331" s="3"/>
      <c r="AO1331" s="3"/>
      <c r="AP1331" s="3"/>
      <c r="AQ1331" s="3"/>
      <c r="AR1331" s="3"/>
      <c r="AS1331" s="3"/>
      <c r="AT1331" s="3"/>
      <c r="AU1331" s="3"/>
      <c r="AV1331" s="3"/>
      <c r="AW1331" s="3"/>
      <c r="AX1331" s="3"/>
      <c r="AY1331" s="3"/>
      <c r="AZ1331" s="3"/>
      <c r="BA1331" s="3"/>
      <c r="BB1331" s="3"/>
      <c r="BC1331" s="3"/>
      <c r="BD1331" s="3"/>
      <c r="BE1331" s="3"/>
    </row>
    <row r="1332" spans="1:57" ht="15" customHeight="1" x14ac:dyDescent="0.4">
      <c r="A1332" s="3"/>
      <c r="B1332" s="4"/>
      <c r="C1332" s="8"/>
      <c r="D1332" s="4"/>
      <c r="E1332" s="1511" t="s">
        <v>2021</v>
      </c>
      <c r="F1332" s="1512" t="s">
        <v>2024</v>
      </c>
      <c r="G1332" s="4"/>
      <c r="H1332" s="3"/>
      <c r="I1332" s="3"/>
      <c r="J1332" s="3"/>
      <c r="K1332" s="3"/>
      <c r="L1332" s="3"/>
      <c r="M1332" s="5"/>
      <c r="N1332" s="5"/>
      <c r="O1332" s="5"/>
      <c r="P1332" s="5"/>
      <c r="Q1332" s="5"/>
      <c r="R1332" s="3"/>
      <c r="S1332" s="5"/>
      <c r="T1332" s="3"/>
      <c r="U1332" s="3"/>
      <c r="V1332" s="3"/>
      <c r="W1332" s="3"/>
      <c r="X1332" s="3"/>
      <c r="Y1332" s="3"/>
      <c r="Z1332" s="3"/>
      <c r="AA1332" s="3"/>
      <c r="AB1332" s="3"/>
      <c r="AC1332" s="3"/>
      <c r="AD1332" s="3"/>
      <c r="AE1332" s="5"/>
      <c r="AF1332" s="5"/>
      <c r="AG1332" s="5"/>
      <c r="AH1332" s="5"/>
      <c r="AI1332" s="51"/>
      <c r="AJ1332" s="51"/>
      <c r="AK1332" s="51"/>
      <c r="AL1332" s="51"/>
      <c r="AM1332" s="39"/>
      <c r="AN1332" s="3"/>
      <c r="AO1332" s="3"/>
      <c r="AP1332" s="3"/>
      <c r="AQ1332" s="3"/>
      <c r="AR1332" s="3"/>
      <c r="AS1332" s="3"/>
      <c r="AT1332" s="3"/>
      <c r="AU1332" s="3"/>
      <c r="AV1332" s="3"/>
      <c r="AW1332" s="3"/>
      <c r="AX1332" s="3"/>
      <c r="AY1332" s="3"/>
      <c r="AZ1332" s="3"/>
      <c r="BA1332" s="3"/>
      <c r="BB1332" s="3"/>
      <c r="BC1332" s="3"/>
      <c r="BD1332" s="3"/>
      <c r="BE1332" s="3"/>
    </row>
    <row r="1333" spans="1:57" ht="15" customHeight="1" x14ac:dyDescent="0.4">
      <c r="A1333" s="3"/>
      <c r="B1333" s="4"/>
      <c r="C1333" s="8"/>
      <c r="D1333" s="4"/>
      <c r="E1333" s="1511" t="s">
        <v>2023</v>
      </c>
      <c r="F1333" s="1512" t="s">
        <v>2026</v>
      </c>
      <c r="G1333" s="4"/>
      <c r="H1333" s="3"/>
      <c r="I1333" s="3"/>
      <c r="J1333" s="3"/>
      <c r="K1333" s="3"/>
      <c r="L1333" s="3"/>
      <c r="M1333" s="5"/>
      <c r="N1333" s="5"/>
      <c r="O1333" s="5"/>
      <c r="P1333" s="5"/>
      <c r="Q1333" s="5"/>
      <c r="R1333" s="3"/>
      <c r="S1333" s="5"/>
      <c r="T1333" s="3"/>
      <c r="U1333" s="3"/>
      <c r="V1333" s="3"/>
      <c r="W1333" s="3"/>
      <c r="X1333" s="3"/>
      <c r="Y1333" s="3"/>
      <c r="Z1333" s="3"/>
      <c r="AA1333" s="3"/>
      <c r="AB1333" s="3"/>
      <c r="AC1333" s="3"/>
      <c r="AD1333" s="3"/>
      <c r="AE1333" s="5"/>
      <c r="AF1333" s="5"/>
      <c r="AG1333" s="5"/>
      <c r="AH1333" s="5"/>
      <c r="AI1333" s="51"/>
      <c r="AJ1333" s="51"/>
      <c r="AK1333" s="51"/>
      <c r="AL1333" s="51"/>
      <c r="AM1333" s="39"/>
      <c r="AN1333" s="3"/>
      <c r="AO1333" s="3"/>
      <c r="AP1333" s="3"/>
      <c r="AQ1333" s="3"/>
      <c r="AR1333" s="3"/>
      <c r="AS1333" s="3"/>
      <c r="AT1333" s="3"/>
      <c r="AU1333" s="3"/>
      <c r="AV1333" s="3"/>
      <c r="AW1333" s="3"/>
      <c r="AX1333" s="3"/>
      <c r="AY1333" s="3"/>
      <c r="AZ1333" s="3"/>
      <c r="BA1333" s="3"/>
      <c r="BB1333" s="3"/>
      <c r="BC1333" s="3"/>
      <c r="BD1333" s="3"/>
      <c r="BE1333" s="3"/>
    </row>
    <row r="1334" spans="1:57" ht="15" customHeight="1" x14ac:dyDescent="0.4">
      <c r="A1334" s="3"/>
      <c r="B1334" s="4"/>
      <c r="C1334" s="8"/>
      <c r="D1334" s="4"/>
      <c r="E1334" s="1511" t="s">
        <v>2025</v>
      </c>
      <c r="F1334" s="1512" t="s">
        <v>2048</v>
      </c>
      <c r="G1334" s="4"/>
      <c r="H1334" s="3"/>
      <c r="I1334" s="3"/>
      <c r="J1334" s="3"/>
      <c r="K1334" s="3"/>
      <c r="L1334" s="3"/>
      <c r="M1334" s="5"/>
      <c r="N1334" s="5"/>
      <c r="O1334" s="5"/>
      <c r="P1334" s="5"/>
      <c r="Q1334" s="5"/>
      <c r="R1334" s="3"/>
      <c r="S1334" s="5"/>
      <c r="T1334" s="3"/>
      <c r="U1334" s="3"/>
      <c r="V1334" s="3"/>
      <c r="W1334" s="3"/>
      <c r="X1334" s="3"/>
      <c r="Y1334" s="3"/>
      <c r="Z1334" s="3"/>
      <c r="AA1334" s="3"/>
      <c r="AB1334" s="3"/>
      <c r="AC1334" s="3"/>
      <c r="AD1334" s="3"/>
      <c r="AE1334" s="5"/>
      <c r="AF1334" s="5"/>
      <c r="AG1334" s="5"/>
      <c r="AH1334" s="5"/>
      <c r="AI1334" s="51"/>
      <c r="AJ1334" s="51"/>
      <c r="AK1334" s="51"/>
      <c r="AL1334" s="51"/>
      <c r="AM1334" s="39"/>
      <c r="AN1334" s="3"/>
      <c r="AO1334" s="3"/>
      <c r="AP1334" s="3"/>
      <c r="AQ1334" s="3"/>
      <c r="AR1334" s="3"/>
      <c r="AS1334" s="3"/>
      <c r="AT1334" s="3"/>
      <c r="AU1334" s="3"/>
      <c r="AV1334" s="3"/>
      <c r="AW1334" s="3"/>
      <c r="AX1334" s="3"/>
      <c r="AY1334" s="3"/>
      <c r="AZ1334" s="3"/>
      <c r="BA1334" s="3"/>
      <c r="BB1334" s="3"/>
      <c r="BC1334" s="3"/>
      <c r="BD1334" s="3"/>
      <c r="BE1334" s="3"/>
    </row>
    <row r="1335" spans="1:57" ht="15" customHeight="1" x14ac:dyDescent="0.4">
      <c r="A1335" s="3"/>
      <c r="B1335" s="4"/>
      <c r="C1335" s="8"/>
      <c r="D1335" s="4"/>
      <c r="E1335" s="1511" t="s">
        <v>2027</v>
      </c>
      <c r="F1335" s="1512" t="s">
        <v>2028</v>
      </c>
      <c r="G1335" s="4"/>
      <c r="H1335" s="3"/>
      <c r="I1335" s="3"/>
      <c r="J1335" s="3"/>
      <c r="K1335" s="3"/>
      <c r="L1335" s="3"/>
      <c r="M1335" s="5"/>
      <c r="N1335" s="5"/>
      <c r="O1335" s="5"/>
      <c r="P1335" s="5"/>
      <c r="Q1335" s="5"/>
      <c r="R1335" s="3"/>
      <c r="S1335" s="5"/>
      <c r="T1335" s="3"/>
      <c r="U1335" s="3"/>
      <c r="V1335" s="3"/>
      <c r="W1335" s="3"/>
      <c r="X1335" s="3"/>
      <c r="Y1335" s="3"/>
      <c r="Z1335" s="3"/>
      <c r="AA1335" s="3"/>
      <c r="AB1335" s="3"/>
      <c r="AC1335" s="3"/>
      <c r="AD1335" s="3"/>
      <c r="AE1335" s="5"/>
      <c r="AF1335" s="5"/>
      <c r="AG1335" s="5"/>
      <c r="AH1335" s="5"/>
      <c r="AI1335" s="51"/>
      <c r="AJ1335" s="51"/>
      <c r="AK1335" s="51"/>
      <c r="AL1335" s="51"/>
      <c r="AM1335" s="39"/>
      <c r="AN1335" s="3"/>
      <c r="AO1335" s="3"/>
      <c r="AP1335" s="3"/>
      <c r="AQ1335" s="3"/>
      <c r="AR1335" s="3"/>
      <c r="AS1335" s="3"/>
      <c r="AT1335" s="3"/>
      <c r="AU1335" s="3"/>
      <c r="AV1335" s="3"/>
      <c r="AW1335" s="3"/>
      <c r="AX1335" s="3"/>
      <c r="AY1335" s="3"/>
      <c r="AZ1335" s="3"/>
      <c r="BA1335" s="3"/>
      <c r="BB1335" s="3"/>
      <c r="BC1335" s="3"/>
      <c r="BD1335" s="3"/>
      <c r="BE1335" s="3"/>
    </row>
    <row r="1336" spans="1:57" ht="15" customHeight="1" x14ac:dyDescent="0.4">
      <c r="A1336" s="3"/>
      <c r="B1336" s="4"/>
      <c r="C1336" s="8"/>
      <c r="D1336" s="4"/>
      <c r="E1336" s="1511" t="s">
        <v>2029</v>
      </c>
      <c r="F1336" s="1512" t="s">
        <v>2030</v>
      </c>
      <c r="G1336" s="4"/>
      <c r="H1336" s="3"/>
      <c r="I1336" s="3"/>
      <c r="J1336" s="3"/>
      <c r="K1336" s="3"/>
      <c r="L1336" s="3"/>
      <c r="M1336" s="5"/>
      <c r="N1336" s="5"/>
      <c r="O1336" s="5"/>
      <c r="P1336" s="5"/>
      <c r="Q1336" s="5"/>
      <c r="R1336" s="3"/>
      <c r="S1336" s="5"/>
      <c r="T1336" s="3"/>
      <c r="U1336" s="3"/>
      <c r="V1336" s="3"/>
      <c r="W1336" s="3"/>
      <c r="X1336" s="3"/>
      <c r="Y1336" s="3"/>
      <c r="Z1336" s="3"/>
      <c r="AA1336" s="3"/>
      <c r="AB1336" s="3"/>
      <c r="AC1336" s="3"/>
      <c r="AD1336" s="3"/>
      <c r="AE1336" s="5"/>
      <c r="AF1336" s="5"/>
      <c r="AG1336" s="5"/>
      <c r="AH1336" s="5"/>
      <c r="AI1336" s="51"/>
      <c r="AJ1336" s="51"/>
      <c r="AK1336" s="51"/>
      <c r="AL1336" s="51"/>
      <c r="AM1336" s="39"/>
      <c r="AN1336" s="3"/>
      <c r="AO1336" s="3"/>
      <c r="AP1336" s="3"/>
      <c r="AQ1336" s="3"/>
      <c r="AR1336" s="3"/>
      <c r="AS1336" s="3"/>
      <c r="AT1336" s="3"/>
      <c r="AU1336" s="3"/>
      <c r="AV1336" s="3"/>
      <c r="AW1336" s="3"/>
      <c r="AX1336" s="3"/>
      <c r="AY1336" s="3"/>
      <c r="AZ1336" s="3"/>
      <c r="BA1336" s="3"/>
      <c r="BB1336" s="3"/>
      <c r="BC1336" s="3"/>
      <c r="BD1336" s="3"/>
      <c r="BE1336" s="3"/>
    </row>
    <row r="1337" spans="1:57" ht="15" customHeight="1" x14ac:dyDescent="0.4">
      <c r="A1337" s="3"/>
      <c r="B1337" s="4"/>
      <c r="C1337" s="8"/>
      <c r="D1337" s="4"/>
      <c r="E1337" s="1511" t="s">
        <v>2022</v>
      </c>
      <c r="F1337" s="1512" t="s">
        <v>2031</v>
      </c>
      <c r="G1337" s="4"/>
      <c r="H1337" s="3"/>
      <c r="I1337" s="3"/>
      <c r="J1337" s="3"/>
      <c r="K1337" s="3"/>
      <c r="L1337" s="3"/>
      <c r="M1337" s="5"/>
      <c r="N1337" s="5"/>
      <c r="O1337" s="5"/>
      <c r="P1337" s="5"/>
      <c r="Q1337" s="5"/>
      <c r="R1337" s="3"/>
      <c r="S1337" s="5"/>
      <c r="T1337" s="3"/>
      <c r="U1337" s="3"/>
      <c r="V1337" s="3"/>
      <c r="W1337" s="3"/>
      <c r="X1337" s="3"/>
      <c r="Y1337" s="3"/>
      <c r="Z1337" s="3"/>
      <c r="AA1337" s="3"/>
      <c r="AB1337" s="3"/>
      <c r="AC1337" s="3"/>
      <c r="AD1337" s="3"/>
      <c r="AE1337" s="5"/>
      <c r="AF1337" s="5"/>
      <c r="AG1337" s="5"/>
      <c r="AH1337" s="5"/>
      <c r="AI1337" s="51"/>
      <c r="AJ1337" s="51"/>
      <c r="AK1337" s="51"/>
      <c r="AL1337" s="51"/>
      <c r="AM1337" s="39"/>
      <c r="AN1337" s="3"/>
      <c r="AO1337" s="3"/>
      <c r="AP1337" s="3"/>
      <c r="AQ1337" s="3"/>
      <c r="AR1337" s="3"/>
      <c r="AS1337" s="3"/>
      <c r="AT1337" s="3"/>
      <c r="AU1337" s="3"/>
      <c r="AV1337" s="3"/>
      <c r="AW1337" s="3"/>
      <c r="AX1337" s="3"/>
      <c r="AY1337" s="3"/>
      <c r="AZ1337" s="3"/>
      <c r="BA1337" s="3"/>
      <c r="BB1337" s="3"/>
      <c r="BC1337" s="3"/>
      <c r="BD1337" s="3"/>
      <c r="BE1337" s="3"/>
    </row>
    <row r="1338" spans="1:57" ht="15" customHeight="1" x14ac:dyDescent="0.4">
      <c r="A1338" s="3"/>
      <c r="B1338" s="4"/>
      <c r="C1338" s="8"/>
      <c r="D1338" s="4"/>
      <c r="E1338" s="1511" t="s">
        <v>2024</v>
      </c>
      <c r="F1338" s="1512" t="s">
        <v>2033</v>
      </c>
      <c r="G1338" s="4"/>
      <c r="H1338" s="3"/>
      <c r="I1338" s="3"/>
      <c r="J1338" s="3"/>
      <c r="K1338" s="3"/>
      <c r="L1338" s="3"/>
      <c r="M1338" s="5"/>
      <c r="N1338" s="5"/>
      <c r="O1338" s="5"/>
      <c r="P1338" s="5"/>
      <c r="Q1338" s="5"/>
      <c r="R1338" s="3"/>
      <c r="S1338" s="5"/>
      <c r="T1338" s="3"/>
      <c r="U1338" s="3"/>
      <c r="V1338" s="3"/>
      <c r="W1338" s="3"/>
      <c r="X1338" s="3"/>
      <c r="Y1338" s="3"/>
      <c r="Z1338" s="3"/>
      <c r="AA1338" s="3"/>
      <c r="AB1338" s="3"/>
      <c r="AC1338" s="3"/>
      <c r="AD1338" s="3"/>
      <c r="AE1338" s="5"/>
      <c r="AF1338" s="5"/>
      <c r="AG1338" s="5"/>
      <c r="AH1338" s="5"/>
      <c r="AI1338" s="51"/>
      <c r="AJ1338" s="51"/>
      <c r="AK1338" s="51"/>
      <c r="AL1338" s="51"/>
      <c r="AM1338" s="39"/>
      <c r="AN1338" s="3"/>
      <c r="AO1338" s="3"/>
      <c r="AP1338" s="3"/>
      <c r="AQ1338" s="3"/>
      <c r="AR1338" s="3"/>
      <c r="AS1338" s="3"/>
      <c r="AT1338" s="3"/>
      <c r="AU1338" s="3"/>
      <c r="AV1338" s="3"/>
      <c r="AW1338" s="3"/>
      <c r="AX1338" s="3"/>
      <c r="AY1338" s="3"/>
      <c r="AZ1338" s="3"/>
      <c r="BA1338" s="3"/>
      <c r="BB1338" s="3"/>
      <c r="BC1338" s="3"/>
      <c r="BD1338" s="3"/>
      <c r="BE1338" s="3"/>
    </row>
    <row r="1339" spans="1:57" ht="15" customHeight="1" x14ac:dyDescent="0.4">
      <c r="A1339" s="3"/>
      <c r="B1339" s="4"/>
      <c r="C1339" s="8"/>
      <c r="D1339" s="4"/>
      <c r="E1339" s="1511" t="s">
        <v>2032</v>
      </c>
      <c r="F1339" s="1512" t="s">
        <v>2035</v>
      </c>
      <c r="G1339" s="4"/>
      <c r="H1339" s="3"/>
      <c r="I1339" s="3"/>
      <c r="J1339" s="3"/>
      <c r="K1339" s="3"/>
      <c r="L1339" s="3"/>
      <c r="M1339" s="5"/>
      <c r="N1339" s="5"/>
      <c r="O1339" s="5"/>
      <c r="P1339" s="5"/>
      <c r="Q1339" s="5"/>
      <c r="R1339" s="3"/>
      <c r="S1339" s="5"/>
      <c r="T1339" s="3"/>
      <c r="U1339" s="3"/>
      <c r="V1339" s="3"/>
      <c r="W1339" s="3"/>
      <c r="X1339" s="3"/>
      <c r="Y1339" s="3"/>
      <c r="Z1339" s="3"/>
      <c r="AA1339" s="3"/>
      <c r="AB1339" s="3"/>
      <c r="AC1339" s="3"/>
      <c r="AD1339" s="3"/>
      <c r="AE1339" s="5"/>
      <c r="AF1339" s="5"/>
      <c r="AG1339" s="5"/>
      <c r="AH1339" s="5"/>
      <c r="AI1339" s="51"/>
      <c r="AJ1339" s="51"/>
      <c r="AK1339" s="51"/>
      <c r="AL1339" s="51"/>
      <c r="AM1339" s="39"/>
      <c r="AN1339" s="3"/>
      <c r="AO1339" s="3"/>
      <c r="AP1339" s="3"/>
      <c r="AQ1339" s="3"/>
      <c r="AR1339" s="3"/>
      <c r="AS1339" s="3"/>
      <c r="AT1339" s="3"/>
      <c r="AU1339" s="3"/>
      <c r="AV1339" s="3"/>
      <c r="AW1339" s="3"/>
      <c r="AX1339" s="3"/>
      <c r="AY1339" s="3"/>
      <c r="AZ1339" s="3"/>
      <c r="BA1339" s="3"/>
      <c r="BB1339" s="3"/>
      <c r="BC1339" s="3"/>
      <c r="BD1339" s="3"/>
      <c r="BE1339" s="3"/>
    </row>
    <row r="1340" spans="1:57" ht="15" customHeight="1" x14ac:dyDescent="0.4">
      <c r="A1340" s="3"/>
      <c r="B1340" s="4"/>
      <c r="C1340" s="8"/>
      <c r="D1340" s="4"/>
      <c r="E1340" s="1511" t="s">
        <v>2034</v>
      </c>
      <c r="F1340" s="1512" t="s">
        <v>2036</v>
      </c>
      <c r="G1340" s="4"/>
      <c r="H1340" s="3"/>
      <c r="I1340" s="3"/>
      <c r="J1340" s="3"/>
      <c r="K1340" s="3"/>
      <c r="L1340" s="3"/>
      <c r="M1340" s="5"/>
      <c r="N1340" s="5"/>
      <c r="O1340" s="5"/>
      <c r="P1340" s="5"/>
      <c r="Q1340" s="5"/>
      <c r="R1340" s="3"/>
      <c r="S1340" s="5"/>
      <c r="T1340" s="3"/>
      <c r="U1340" s="3"/>
      <c r="V1340" s="3"/>
      <c r="W1340" s="3"/>
      <c r="X1340" s="3"/>
      <c r="Y1340" s="3"/>
      <c r="Z1340" s="3"/>
      <c r="AA1340" s="3"/>
      <c r="AB1340" s="3"/>
      <c r="AC1340" s="3"/>
      <c r="AD1340" s="3"/>
      <c r="AE1340" s="5"/>
      <c r="AF1340" s="5"/>
      <c r="AG1340" s="5"/>
      <c r="AH1340" s="5"/>
      <c r="AI1340" s="51"/>
      <c r="AJ1340" s="51"/>
      <c r="AK1340" s="51"/>
      <c r="AL1340" s="51"/>
      <c r="AM1340" s="39"/>
      <c r="AN1340" s="3"/>
      <c r="AO1340" s="3"/>
      <c r="AP1340" s="3"/>
      <c r="AQ1340" s="3"/>
      <c r="AR1340" s="3"/>
      <c r="AS1340" s="3"/>
      <c r="AT1340" s="3"/>
      <c r="AU1340" s="3"/>
      <c r="AV1340" s="3"/>
      <c r="AW1340" s="3"/>
      <c r="AX1340" s="3"/>
      <c r="AY1340" s="3"/>
      <c r="AZ1340" s="3"/>
      <c r="BA1340" s="3"/>
      <c r="BB1340" s="3"/>
      <c r="BC1340" s="3"/>
      <c r="BD1340" s="3"/>
      <c r="BE1340" s="3"/>
    </row>
    <row r="1341" spans="1:57" ht="15" customHeight="1" x14ac:dyDescent="0.4">
      <c r="A1341" s="3"/>
      <c r="B1341" s="4"/>
      <c r="C1341" s="8"/>
      <c r="D1341" s="4"/>
      <c r="E1341" s="1511" t="s">
        <v>2048</v>
      </c>
      <c r="F1341" s="1512" t="s">
        <v>2049</v>
      </c>
      <c r="G1341" s="4"/>
      <c r="H1341" s="3"/>
      <c r="I1341" s="3"/>
      <c r="J1341" s="3"/>
      <c r="K1341" s="3"/>
      <c r="L1341" s="3"/>
      <c r="M1341" s="5"/>
      <c r="N1341" s="5"/>
      <c r="O1341" s="5"/>
      <c r="P1341" s="5"/>
      <c r="Q1341" s="5"/>
      <c r="R1341" s="3"/>
      <c r="S1341" s="5"/>
      <c r="T1341" s="3"/>
      <c r="U1341" s="3"/>
      <c r="V1341" s="3"/>
      <c r="W1341" s="3"/>
      <c r="X1341" s="3"/>
      <c r="Y1341" s="3"/>
      <c r="Z1341" s="3"/>
      <c r="AA1341" s="3"/>
      <c r="AB1341" s="3"/>
      <c r="AC1341" s="3"/>
      <c r="AD1341" s="3"/>
      <c r="AE1341" s="5"/>
      <c r="AF1341" s="5"/>
      <c r="AG1341" s="5"/>
      <c r="AH1341" s="5"/>
      <c r="AI1341" s="51"/>
      <c r="AJ1341" s="51"/>
      <c r="AK1341" s="51"/>
      <c r="AL1341" s="51"/>
      <c r="AM1341" s="39"/>
      <c r="AN1341" s="3"/>
      <c r="AO1341" s="3"/>
      <c r="AP1341" s="3"/>
      <c r="AQ1341" s="3"/>
      <c r="AR1341" s="3"/>
      <c r="AS1341" s="3"/>
      <c r="AT1341" s="3"/>
      <c r="AU1341" s="3"/>
      <c r="AV1341" s="3"/>
      <c r="AW1341" s="3"/>
      <c r="AX1341" s="3"/>
      <c r="AY1341" s="3"/>
      <c r="AZ1341" s="3"/>
      <c r="BA1341" s="3"/>
      <c r="BB1341" s="3"/>
      <c r="BC1341" s="3"/>
      <c r="BD1341" s="3"/>
      <c r="BE1341" s="3"/>
    </row>
    <row r="1342" spans="1:57" ht="15" customHeight="1" x14ac:dyDescent="0.4">
      <c r="A1342" s="3"/>
      <c r="B1342" s="4"/>
      <c r="C1342" s="8"/>
      <c r="D1342" s="4"/>
      <c r="E1342" s="1126"/>
      <c r="F1342" s="1512" t="s">
        <v>2037</v>
      </c>
      <c r="G1342" s="4"/>
      <c r="H1342" s="3"/>
      <c r="I1342" s="3"/>
      <c r="J1342" s="3"/>
      <c r="K1342" s="3"/>
      <c r="L1342" s="3"/>
      <c r="M1342" s="5"/>
      <c r="N1342" s="5"/>
      <c r="O1342" s="5"/>
      <c r="P1342" s="5"/>
      <c r="Q1342" s="5"/>
      <c r="R1342" s="3"/>
      <c r="S1342" s="5"/>
      <c r="T1342" s="3"/>
      <c r="U1342" s="3"/>
      <c r="V1342" s="3"/>
      <c r="W1342" s="3"/>
      <c r="X1342" s="3"/>
      <c r="Y1342" s="3"/>
      <c r="Z1342" s="3"/>
      <c r="AA1342" s="3"/>
      <c r="AB1342" s="3"/>
      <c r="AC1342" s="3"/>
      <c r="AD1342" s="3"/>
      <c r="AE1342" s="5"/>
      <c r="AF1342" s="5"/>
      <c r="AG1342" s="5"/>
      <c r="AH1342" s="5"/>
      <c r="AI1342" s="51"/>
      <c r="AJ1342" s="51"/>
      <c r="AK1342" s="51"/>
      <c r="AL1342" s="51"/>
      <c r="AM1342" s="39"/>
      <c r="AN1342" s="3"/>
      <c r="AO1342" s="3"/>
      <c r="AP1342" s="3"/>
      <c r="AQ1342" s="3"/>
      <c r="AR1342" s="3"/>
      <c r="AS1342" s="3"/>
      <c r="AT1342" s="3"/>
      <c r="AU1342" s="3"/>
      <c r="AV1342" s="3"/>
      <c r="AW1342" s="3"/>
      <c r="AX1342" s="3"/>
      <c r="AY1342" s="3"/>
      <c r="AZ1342" s="3"/>
      <c r="BA1342" s="3"/>
      <c r="BB1342" s="3"/>
      <c r="BC1342" s="3"/>
      <c r="BD1342" s="3"/>
      <c r="BE1342" s="3"/>
    </row>
    <row r="1343" spans="1:57" ht="15" customHeight="1" x14ac:dyDescent="0.4">
      <c r="A1343" s="3"/>
      <c r="B1343" s="4"/>
      <c r="C1343" s="8"/>
      <c r="D1343" s="4"/>
      <c r="E1343" s="1126"/>
      <c r="F1343" s="1512" t="s">
        <v>2038</v>
      </c>
      <c r="G1343" s="4"/>
      <c r="H1343" s="3"/>
      <c r="I1343" s="3"/>
      <c r="J1343" s="3"/>
      <c r="K1343" s="3"/>
      <c r="L1343" s="3"/>
      <c r="M1343" s="5"/>
      <c r="N1343" s="5"/>
      <c r="O1343" s="5"/>
      <c r="P1343" s="5"/>
      <c r="Q1343" s="5"/>
      <c r="R1343" s="3"/>
      <c r="S1343" s="5"/>
      <c r="T1343" s="3"/>
      <c r="U1343" s="3"/>
      <c r="V1343" s="3"/>
      <c r="W1343" s="3"/>
      <c r="X1343" s="3"/>
      <c r="Y1343" s="3"/>
      <c r="Z1343" s="3"/>
      <c r="AA1343" s="3"/>
      <c r="AB1343" s="3"/>
      <c r="AC1343" s="3"/>
      <c r="AD1343" s="3"/>
      <c r="AE1343" s="5"/>
      <c r="AF1343" s="5"/>
      <c r="AG1343" s="5"/>
      <c r="AH1343" s="5"/>
      <c r="AI1343" s="51"/>
      <c r="AJ1343" s="51"/>
      <c r="AK1343" s="51"/>
      <c r="AL1343" s="51"/>
      <c r="AM1343" s="39"/>
      <c r="AN1343" s="3"/>
      <c r="AO1343" s="3"/>
      <c r="AP1343" s="3"/>
      <c r="AQ1343" s="3"/>
      <c r="AR1343" s="3"/>
      <c r="AS1343" s="3"/>
      <c r="AT1343" s="3"/>
      <c r="AU1343" s="3"/>
      <c r="AV1343" s="3"/>
      <c r="AW1343" s="3"/>
      <c r="AX1343" s="3"/>
      <c r="AY1343" s="3"/>
      <c r="AZ1343" s="3"/>
      <c r="BA1343" s="3"/>
      <c r="BB1343" s="3"/>
      <c r="BC1343" s="3"/>
      <c r="BD1343" s="3"/>
      <c r="BE1343" s="3"/>
    </row>
    <row r="1344" spans="1:57" ht="15" customHeight="1" x14ac:dyDescent="0.4">
      <c r="A1344" s="3"/>
      <c r="B1344" s="4"/>
      <c r="C1344" s="8"/>
      <c r="D1344" s="4"/>
      <c r="E1344" s="1124"/>
      <c r="F1344" s="1512" t="s">
        <v>2039</v>
      </c>
      <c r="G1344" s="4"/>
      <c r="H1344" s="3"/>
      <c r="I1344" s="3"/>
      <c r="J1344" s="3"/>
      <c r="K1344" s="3"/>
      <c r="L1344" s="3"/>
      <c r="M1344" s="5"/>
      <c r="N1344" s="5"/>
      <c r="O1344" s="5"/>
      <c r="P1344" s="5"/>
      <c r="Q1344" s="5"/>
      <c r="R1344" s="3"/>
      <c r="S1344" s="5"/>
      <c r="T1344" s="3"/>
      <c r="U1344" s="3"/>
      <c r="V1344" s="3"/>
      <c r="W1344" s="3"/>
      <c r="X1344" s="3"/>
      <c r="Y1344" s="3"/>
      <c r="Z1344" s="3"/>
      <c r="AA1344" s="3"/>
      <c r="AB1344" s="3"/>
      <c r="AC1344" s="3"/>
      <c r="AD1344" s="3"/>
      <c r="AE1344" s="5"/>
      <c r="AF1344" s="5"/>
      <c r="AG1344" s="5"/>
      <c r="AH1344" s="5"/>
      <c r="AI1344" s="51"/>
      <c r="AJ1344" s="51"/>
      <c r="AK1344" s="51"/>
      <c r="AL1344" s="51"/>
      <c r="AM1344" s="39"/>
      <c r="AN1344" s="3"/>
      <c r="AO1344" s="3"/>
      <c r="AP1344" s="3"/>
      <c r="AQ1344" s="3"/>
      <c r="AR1344" s="3"/>
      <c r="AS1344" s="3"/>
      <c r="AT1344" s="3"/>
      <c r="AU1344" s="3"/>
      <c r="AV1344" s="3"/>
      <c r="AW1344" s="3"/>
      <c r="AX1344" s="3"/>
      <c r="AY1344" s="3"/>
      <c r="AZ1344" s="3"/>
      <c r="BA1344" s="3"/>
      <c r="BB1344" s="3"/>
      <c r="BC1344" s="3"/>
      <c r="BD1344" s="3"/>
      <c r="BE1344" s="3"/>
    </row>
    <row r="1345" spans="1:57" ht="15" customHeight="1" x14ac:dyDescent="0.4">
      <c r="A1345" s="3"/>
      <c r="B1345" s="4"/>
      <c r="C1345" s="8"/>
      <c r="D1345" s="4"/>
      <c r="E1345" s="1124"/>
      <c r="F1345" s="1512" t="s">
        <v>2040</v>
      </c>
      <c r="G1345" s="4"/>
      <c r="H1345" s="3"/>
      <c r="I1345" s="3"/>
      <c r="J1345" s="3"/>
      <c r="K1345" s="3"/>
      <c r="L1345" s="3"/>
      <c r="M1345" s="5"/>
      <c r="N1345" s="5"/>
      <c r="O1345" s="5"/>
      <c r="P1345" s="5"/>
      <c r="Q1345" s="5"/>
      <c r="R1345" s="3"/>
      <c r="S1345" s="5"/>
      <c r="T1345" s="3"/>
      <c r="U1345" s="3"/>
      <c r="V1345" s="3"/>
      <c r="W1345" s="3"/>
      <c r="X1345" s="3"/>
      <c r="Y1345" s="3"/>
      <c r="Z1345" s="3"/>
      <c r="AA1345" s="3"/>
      <c r="AB1345" s="3"/>
      <c r="AC1345" s="3"/>
      <c r="AD1345" s="3"/>
      <c r="AE1345" s="5"/>
      <c r="AF1345" s="5"/>
      <c r="AG1345" s="5"/>
      <c r="AH1345" s="5"/>
      <c r="AI1345" s="51"/>
      <c r="AJ1345" s="51"/>
      <c r="AK1345" s="51"/>
      <c r="AL1345" s="51"/>
      <c r="AM1345" s="39"/>
      <c r="AN1345" s="3"/>
      <c r="AO1345" s="3"/>
      <c r="AP1345" s="3"/>
      <c r="AQ1345" s="3"/>
      <c r="AR1345" s="3"/>
      <c r="AS1345" s="3"/>
      <c r="AT1345" s="3"/>
      <c r="AU1345" s="3"/>
      <c r="AV1345" s="3"/>
      <c r="AW1345" s="3"/>
      <c r="AX1345" s="3"/>
      <c r="AY1345" s="3"/>
      <c r="AZ1345" s="3"/>
      <c r="BA1345" s="3"/>
      <c r="BB1345" s="3"/>
      <c r="BC1345" s="3"/>
      <c r="BD1345" s="3"/>
      <c r="BE1345" s="3"/>
    </row>
    <row r="1346" spans="1:57" ht="15" customHeight="1" x14ac:dyDescent="0.4">
      <c r="A1346" s="3"/>
      <c r="B1346" s="4"/>
      <c r="C1346" s="8"/>
      <c r="D1346" s="4"/>
      <c r="E1346" s="1124"/>
      <c r="F1346" s="1512" t="s">
        <v>2047</v>
      </c>
      <c r="G1346" s="4"/>
      <c r="H1346" s="3"/>
      <c r="I1346" s="3"/>
      <c r="J1346" s="3"/>
      <c r="K1346" s="3"/>
      <c r="L1346" s="3"/>
      <c r="M1346" s="5"/>
      <c r="N1346" s="5"/>
      <c r="O1346" s="5"/>
      <c r="P1346" s="5"/>
      <c r="Q1346" s="5"/>
      <c r="R1346" s="3"/>
      <c r="S1346" s="5"/>
      <c r="T1346" s="3"/>
      <c r="U1346" s="3"/>
      <c r="V1346" s="3"/>
      <c r="W1346" s="3"/>
      <c r="X1346" s="3"/>
      <c r="Y1346" s="3"/>
      <c r="Z1346" s="3"/>
      <c r="AA1346" s="3"/>
      <c r="AB1346" s="3"/>
      <c r="AC1346" s="3"/>
      <c r="AD1346" s="3"/>
      <c r="AE1346" s="5"/>
      <c r="AF1346" s="5"/>
      <c r="AG1346" s="5"/>
      <c r="AH1346" s="5"/>
      <c r="AI1346" s="51"/>
      <c r="AJ1346" s="51"/>
      <c r="AK1346" s="51"/>
      <c r="AL1346" s="51"/>
      <c r="AM1346" s="39"/>
      <c r="AN1346" s="3"/>
      <c r="AO1346" s="3"/>
      <c r="AP1346" s="3"/>
      <c r="AQ1346" s="3"/>
      <c r="AR1346" s="3"/>
      <c r="AS1346" s="3"/>
      <c r="AT1346" s="3"/>
      <c r="AU1346" s="3"/>
      <c r="AV1346" s="3"/>
      <c r="AW1346" s="3"/>
      <c r="AX1346" s="3"/>
      <c r="AY1346" s="3"/>
      <c r="AZ1346" s="3"/>
      <c r="BA1346" s="3"/>
      <c r="BB1346" s="3"/>
      <c r="BC1346" s="3"/>
      <c r="BD1346" s="3"/>
      <c r="BE1346" s="3"/>
    </row>
    <row r="1347" spans="1:57" ht="15" customHeight="1" x14ac:dyDescent="0.4">
      <c r="A1347" s="3"/>
      <c r="B1347" s="4"/>
      <c r="C1347" s="8"/>
      <c r="D1347" s="4"/>
      <c r="E1347" s="1124"/>
      <c r="F1347" s="1512" t="s">
        <v>2041</v>
      </c>
      <c r="G1347" s="4"/>
      <c r="H1347" s="3"/>
      <c r="I1347" s="3"/>
      <c r="J1347" s="3"/>
      <c r="K1347" s="3"/>
      <c r="L1347" s="3"/>
      <c r="M1347" s="5"/>
      <c r="N1347" s="5"/>
      <c r="O1347" s="5"/>
      <c r="P1347" s="5"/>
      <c r="Q1347" s="5"/>
      <c r="R1347" s="3"/>
      <c r="S1347" s="5"/>
      <c r="T1347" s="3"/>
      <c r="U1347" s="3"/>
      <c r="V1347" s="3"/>
      <c r="W1347" s="3"/>
      <c r="X1347" s="3"/>
      <c r="Y1347" s="3"/>
      <c r="Z1347" s="3"/>
      <c r="AA1347" s="3"/>
      <c r="AB1347" s="3"/>
      <c r="AC1347" s="3"/>
      <c r="AD1347" s="3"/>
      <c r="AE1347" s="5"/>
      <c r="AF1347" s="5"/>
      <c r="AG1347" s="5"/>
      <c r="AH1347" s="5"/>
      <c r="AI1347" s="51"/>
      <c r="AJ1347" s="51"/>
      <c r="AK1347" s="51"/>
      <c r="AL1347" s="51"/>
      <c r="AM1347" s="39"/>
      <c r="AN1347" s="3"/>
      <c r="AO1347" s="3"/>
      <c r="AP1347" s="3"/>
      <c r="AQ1347" s="3"/>
      <c r="AR1347" s="3"/>
      <c r="AS1347" s="3"/>
      <c r="AT1347" s="3"/>
      <c r="AU1347" s="3"/>
      <c r="AV1347" s="3"/>
      <c r="AW1347" s="3"/>
      <c r="AX1347" s="3"/>
      <c r="AY1347" s="3"/>
      <c r="AZ1347" s="3"/>
      <c r="BA1347" s="3"/>
      <c r="BB1347" s="3"/>
      <c r="BC1347" s="3"/>
      <c r="BD1347" s="3"/>
      <c r="BE1347" s="3"/>
    </row>
    <row r="1348" spans="1:57" ht="15" customHeight="1" x14ac:dyDescent="0.4">
      <c r="A1348" s="3"/>
      <c r="B1348" s="4"/>
      <c r="C1348" s="8"/>
      <c r="D1348" s="4"/>
      <c r="E1348" s="1124"/>
      <c r="F1348" s="1512" t="s">
        <v>2042</v>
      </c>
      <c r="G1348" s="4"/>
      <c r="H1348" s="3"/>
      <c r="I1348" s="3"/>
      <c r="J1348" s="3"/>
      <c r="K1348" s="3"/>
      <c r="L1348" s="3"/>
      <c r="M1348" s="5"/>
      <c r="N1348" s="5"/>
      <c r="O1348" s="5"/>
      <c r="P1348" s="5"/>
      <c r="Q1348" s="5"/>
      <c r="R1348" s="3"/>
      <c r="S1348" s="5"/>
      <c r="T1348" s="3"/>
      <c r="U1348" s="3"/>
      <c r="V1348" s="3"/>
      <c r="W1348" s="3"/>
      <c r="X1348" s="3"/>
      <c r="Y1348" s="3"/>
      <c r="Z1348" s="3"/>
      <c r="AA1348" s="3"/>
      <c r="AB1348" s="3"/>
      <c r="AC1348" s="3"/>
      <c r="AD1348" s="3"/>
      <c r="AE1348" s="5"/>
      <c r="AF1348" s="5"/>
      <c r="AG1348" s="5"/>
      <c r="AH1348" s="5"/>
      <c r="AI1348" s="51"/>
      <c r="AJ1348" s="51"/>
      <c r="AK1348" s="51"/>
      <c r="AL1348" s="51"/>
      <c r="AM1348" s="39"/>
      <c r="AN1348" s="3"/>
      <c r="AO1348" s="3"/>
      <c r="AP1348" s="3"/>
      <c r="AQ1348" s="3"/>
      <c r="AR1348" s="3"/>
      <c r="AS1348" s="3"/>
      <c r="AT1348" s="3"/>
      <c r="AU1348" s="3"/>
      <c r="AV1348" s="3"/>
      <c r="AW1348" s="3"/>
      <c r="AX1348" s="3"/>
      <c r="AY1348" s="3"/>
      <c r="AZ1348" s="3"/>
      <c r="BA1348" s="3"/>
      <c r="BB1348" s="3"/>
      <c r="BC1348" s="3"/>
      <c r="BD1348" s="3"/>
      <c r="BE1348" s="3"/>
    </row>
    <row r="1349" spans="1:57" ht="15" customHeight="1" x14ac:dyDescent="0.4">
      <c r="A1349" s="3"/>
      <c r="B1349" s="4"/>
      <c r="C1349" s="8"/>
      <c r="D1349" s="4"/>
      <c r="E1349" s="1127"/>
      <c r="F1349" s="1512" t="s">
        <v>2050</v>
      </c>
      <c r="G1349" s="4"/>
      <c r="H1349" s="3"/>
      <c r="I1349" s="3"/>
      <c r="J1349" s="3"/>
      <c r="K1349" s="3"/>
      <c r="L1349" s="3"/>
      <c r="M1349" s="5"/>
      <c r="N1349" s="5"/>
      <c r="O1349" s="5"/>
      <c r="P1349" s="5"/>
      <c r="Q1349" s="5"/>
      <c r="R1349" s="3"/>
      <c r="S1349" s="5"/>
      <c r="T1349" s="3"/>
      <c r="U1349" s="3"/>
      <c r="V1349" s="3"/>
      <c r="W1349" s="3"/>
      <c r="X1349" s="3"/>
      <c r="Y1349" s="3"/>
      <c r="Z1349" s="3"/>
      <c r="AA1349" s="3"/>
      <c r="AB1349" s="3"/>
      <c r="AC1349" s="3"/>
      <c r="AD1349" s="3"/>
      <c r="AE1349" s="5"/>
      <c r="AF1349" s="5"/>
      <c r="AG1349" s="5"/>
      <c r="AH1349" s="5"/>
      <c r="AI1349" s="51"/>
      <c r="AJ1349" s="51"/>
      <c r="AK1349" s="51"/>
      <c r="AL1349" s="51"/>
      <c r="AM1349" s="39"/>
      <c r="AN1349" s="3"/>
      <c r="AO1349" s="3"/>
      <c r="AP1349" s="3"/>
      <c r="AQ1349" s="3"/>
      <c r="AR1349" s="3"/>
      <c r="AS1349" s="3"/>
      <c r="AT1349" s="3"/>
      <c r="AU1349" s="3"/>
      <c r="AV1349" s="3"/>
      <c r="AW1349" s="3"/>
      <c r="AX1349" s="3"/>
      <c r="AY1349" s="3"/>
      <c r="AZ1349" s="3"/>
      <c r="BA1349" s="3"/>
      <c r="BB1349" s="3"/>
      <c r="BC1349" s="3"/>
      <c r="BD1349" s="3"/>
      <c r="BE1349" s="3"/>
    </row>
  </sheetData>
  <dataConsolidate/>
  <mergeCells count="98">
    <mergeCell ref="O740:Q740"/>
    <mergeCell ref="C1098:G1099"/>
    <mergeCell ref="C1100:G1101"/>
    <mergeCell ref="C1102:G1103"/>
    <mergeCell ref="C1068:G1070"/>
    <mergeCell ref="C1079:G1080"/>
    <mergeCell ref="C1089:G1090"/>
    <mergeCell ref="C1091:G1092"/>
    <mergeCell ref="O734:Q734"/>
    <mergeCell ref="O736:Q736"/>
    <mergeCell ref="O737:Q737"/>
    <mergeCell ref="O738:Q738"/>
    <mergeCell ref="O739:Q739"/>
    <mergeCell ref="O729:Q729"/>
    <mergeCell ref="O730:Q730"/>
    <mergeCell ref="O731:Q731"/>
    <mergeCell ref="O732:Q732"/>
    <mergeCell ref="O733:Q733"/>
    <mergeCell ref="B1247:G1248"/>
    <mergeCell ref="AP7:AR7"/>
    <mergeCell ref="N7:Q7"/>
    <mergeCell ref="N928:P929"/>
    <mergeCell ref="I1153:K1153"/>
    <mergeCell ref="I1154:K1154"/>
    <mergeCell ref="K558:L558"/>
    <mergeCell ref="C1104:G1105"/>
    <mergeCell ref="C1109:G1110"/>
    <mergeCell ref="C374:G374"/>
    <mergeCell ref="I1163:K1163"/>
    <mergeCell ref="O718:Q718"/>
    <mergeCell ref="O719:Q719"/>
    <mergeCell ref="O720:Q720"/>
    <mergeCell ref="O721:Q721"/>
    <mergeCell ref="O741:Q741"/>
    <mergeCell ref="I1164:K1164"/>
    <mergeCell ref="AZ12:BB12"/>
    <mergeCell ref="AJ3:AK5"/>
    <mergeCell ref="Q1291:X1291"/>
    <mergeCell ref="W7:Y7"/>
    <mergeCell ref="W6:Y6"/>
    <mergeCell ref="O722:Q722"/>
    <mergeCell ref="O723:Q723"/>
    <mergeCell ref="O724:Q724"/>
    <mergeCell ref="O725:Q725"/>
    <mergeCell ref="O726:Q726"/>
    <mergeCell ref="O742:Q742"/>
    <mergeCell ref="O727:Q727"/>
    <mergeCell ref="O735:Q735"/>
    <mergeCell ref="O743:Q743"/>
    <mergeCell ref="O728:Q728"/>
    <mergeCell ref="B4:D4"/>
    <mergeCell ref="E3:G3"/>
    <mergeCell ref="C376:G376"/>
    <mergeCell ref="Q1292:X1292"/>
    <mergeCell ref="AR3:AS6"/>
    <mergeCell ref="E4:G4"/>
    <mergeCell ref="S1209:T1209"/>
    <mergeCell ref="N8:Q8"/>
    <mergeCell ref="E7:G7"/>
    <mergeCell ref="B12:G12"/>
    <mergeCell ref="S1208:T1208"/>
    <mergeCell ref="J7:M7"/>
    <mergeCell ref="I12:M12"/>
    <mergeCell ref="N6:Q6"/>
    <mergeCell ref="J6:M6"/>
    <mergeCell ref="E6:G6"/>
    <mergeCell ref="C1121:G1122"/>
    <mergeCell ref="V12:X12"/>
    <mergeCell ref="I1148:K1148"/>
    <mergeCell ref="C1113:G1114"/>
    <mergeCell ref="C1115:G1116"/>
    <mergeCell ref="C1117:G1118"/>
    <mergeCell ref="C1119:G1120"/>
    <mergeCell ref="C1123:G1124"/>
    <mergeCell ref="C377:G377"/>
    <mergeCell ref="O713:Q713"/>
    <mergeCell ref="O714:Q714"/>
    <mergeCell ref="O715:Q715"/>
    <mergeCell ref="O716:Q716"/>
    <mergeCell ref="O717:Q717"/>
    <mergeCell ref="C1081:G1082"/>
    <mergeCell ref="O712:Q712"/>
    <mergeCell ref="H2:M2"/>
    <mergeCell ref="N2:S2"/>
    <mergeCell ref="T2:Y2"/>
    <mergeCell ref="C1107:G1108"/>
    <mergeCell ref="C1111:G1112"/>
    <mergeCell ref="W3:Y3"/>
    <mergeCell ref="W4:Y4"/>
    <mergeCell ref="J3:M3"/>
    <mergeCell ref="W5:Y5"/>
    <mergeCell ref="N3:Q3"/>
    <mergeCell ref="N4:Q4"/>
    <mergeCell ref="N5:Q5"/>
    <mergeCell ref="J5:M5"/>
    <mergeCell ref="J4:M4"/>
    <mergeCell ref="B2:G2"/>
    <mergeCell ref="B5:D5"/>
  </mergeCells>
  <phoneticPr fontId="0" type="noConversion"/>
  <conditionalFormatting sqref="AC1211 AC1184:AC1203 AC926 AC991 AC988:AC989 AC986 AC982:AC984 AC977:AC980 AC968:AC969 AC960:AC966 AC929:AC958 AC915:AC923 AC913 AC911 V773 Y553:AA553 AC504:AC507 AC499:AC502 AC462 AC524:AC526 AC464:AC497 AC456:AC460 AC532:AC533 AC1125:AC1141 AC311:AC314 AC305:AC308 AC358:AC361 AC364:AC391 AC553:AC709 AC713:AC779 AC1143:AC1146 AC1149:AC1182 AC974:AC975 AC16:AC26 AC96:AC140 AC317:AC355 AC205:AC224 AC1056:AC1090 AC1104:AC1112 AC993:AC1005 AC1007:AC1049 AC781:AC908 AC394:AC407 AC29:AC37 AC40:AC76 AC79:AC86 AC89:AC94 AC226:AC230 AC232:AC269 AC271:AC281 AC283:AC302 AC509:AC522 AC153:AC203 AC142:AC151 AC409:AC451 AC540:AC546">
    <cfRule type="cellIs" dxfId="570" priority="215" stopIfTrue="1" operator="lessThan">
      <formula>42</formula>
    </cfRule>
    <cfRule type="cellIs" dxfId="569" priority="216" stopIfTrue="1" operator="lessThan">
      <formula>45</formula>
    </cfRule>
  </conditionalFormatting>
  <conditionalFormatting sqref="E8">
    <cfRule type="expression" dxfId="568" priority="217" stopIfTrue="1">
      <formula>ISERR(FIND("DIM",$E$7))</formula>
    </cfRule>
  </conditionalFormatting>
  <conditionalFormatting sqref="Y558:AA703">
    <cfRule type="dataBar" priority="210">
      <dataBar showValue="0">
        <cfvo type="min"/>
        <cfvo type="max"/>
        <color rgb="FF638EC6"/>
      </dataBar>
    </cfRule>
  </conditionalFormatting>
  <conditionalFormatting sqref="AC780">
    <cfRule type="cellIs" dxfId="567" priority="117" stopIfTrue="1" operator="lessThan">
      <formula>42</formula>
    </cfRule>
    <cfRule type="cellIs" dxfId="566" priority="118" stopIfTrue="1" operator="lessThan">
      <formula>45</formula>
    </cfRule>
  </conditionalFormatting>
  <conditionalFormatting sqref="AC534:AC538">
    <cfRule type="cellIs" dxfId="565" priority="115" stopIfTrue="1" operator="lessThan">
      <formula>42</formula>
    </cfRule>
    <cfRule type="cellIs" dxfId="564" priority="116" stopIfTrue="1" operator="lessThan">
      <formula>45</formula>
    </cfRule>
  </conditionalFormatting>
  <conditionalFormatting sqref="AC539">
    <cfRule type="cellIs" dxfId="563" priority="113" stopIfTrue="1" operator="lessThan">
      <formula>42</formula>
    </cfRule>
    <cfRule type="cellIs" dxfId="562" priority="114" stopIfTrue="1" operator="lessThan">
      <formula>45</formula>
    </cfRule>
  </conditionalFormatting>
  <conditionalFormatting sqref="AC1050:AC1055">
    <cfRule type="cellIs" dxfId="561" priority="111" stopIfTrue="1" operator="lessThan">
      <formula>42</formula>
    </cfRule>
    <cfRule type="cellIs" dxfId="560" priority="112" stopIfTrue="1" operator="lessThan">
      <formula>45</formula>
    </cfRule>
  </conditionalFormatting>
  <conditionalFormatting sqref="AC452:AC455">
    <cfRule type="cellIs" dxfId="559" priority="109" stopIfTrue="1" operator="lessThan">
      <formula>42</formula>
    </cfRule>
    <cfRule type="cellIs" dxfId="558" priority="110" stopIfTrue="1" operator="lessThan">
      <formula>45</formula>
    </cfRule>
  </conditionalFormatting>
  <conditionalFormatting sqref="AC527:AC531">
    <cfRule type="cellIs" dxfId="557" priority="107" stopIfTrue="1" operator="lessThan">
      <formula>42</formula>
    </cfRule>
    <cfRule type="cellIs" dxfId="556" priority="108" stopIfTrue="1" operator="lessThan">
      <formula>45</formula>
    </cfRule>
  </conditionalFormatting>
  <conditionalFormatting sqref="AC1091:AC1097">
    <cfRule type="cellIs" dxfId="555" priority="105" stopIfTrue="1" operator="lessThan">
      <formula>42</formula>
    </cfRule>
    <cfRule type="cellIs" dxfId="554" priority="106" stopIfTrue="1" operator="lessThan">
      <formula>45</formula>
    </cfRule>
  </conditionalFormatting>
  <conditionalFormatting sqref="AC1107:AC1108">
    <cfRule type="cellIs" dxfId="553" priority="103" stopIfTrue="1" operator="lessThan">
      <formula>42</formula>
    </cfRule>
    <cfRule type="cellIs" dxfId="552" priority="104" stopIfTrue="1" operator="lessThan">
      <formula>45</formula>
    </cfRule>
  </conditionalFormatting>
  <conditionalFormatting sqref="AC1111:AC1112">
    <cfRule type="cellIs" dxfId="551" priority="101" stopIfTrue="1" operator="lessThan">
      <formula>42</formula>
    </cfRule>
    <cfRule type="cellIs" dxfId="550" priority="102" stopIfTrue="1" operator="lessThan">
      <formula>45</formula>
    </cfRule>
  </conditionalFormatting>
  <conditionalFormatting sqref="AC1113:AC1114">
    <cfRule type="cellIs" dxfId="549" priority="99" stopIfTrue="1" operator="lessThan">
      <formula>42</formula>
    </cfRule>
    <cfRule type="cellIs" dxfId="548" priority="100" stopIfTrue="1" operator="lessThan">
      <formula>45</formula>
    </cfRule>
  </conditionalFormatting>
  <conditionalFormatting sqref="AC1115:AC1116">
    <cfRule type="cellIs" dxfId="547" priority="97" stopIfTrue="1" operator="lessThan">
      <formula>42</formula>
    </cfRule>
    <cfRule type="cellIs" dxfId="546" priority="98" stopIfTrue="1" operator="lessThan">
      <formula>45</formula>
    </cfRule>
  </conditionalFormatting>
  <conditionalFormatting sqref="AC1117:AC1118">
    <cfRule type="cellIs" dxfId="545" priority="95" stopIfTrue="1" operator="lessThan">
      <formula>42</formula>
    </cfRule>
    <cfRule type="cellIs" dxfId="544" priority="96" stopIfTrue="1" operator="lessThan">
      <formula>45</formula>
    </cfRule>
  </conditionalFormatting>
  <conditionalFormatting sqref="AC1119:AC1122">
    <cfRule type="cellIs" dxfId="543" priority="93" stopIfTrue="1" operator="lessThan">
      <formula>42</formula>
    </cfRule>
    <cfRule type="cellIs" dxfId="542" priority="94" stopIfTrue="1" operator="lessThan">
      <formula>45</formula>
    </cfRule>
  </conditionalFormatting>
  <conditionalFormatting sqref="AC1123:AC1124">
    <cfRule type="cellIs" dxfId="541" priority="91" stopIfTrue="1" operator="lessThan">
      <formula>42</formula>
    </cfRule>
    <cfRule type="cellIs" dxfId="540" priority="92" stopIfTrue="1" operator="lessThan">
      <formula>45</formula>
    </cfRule>
  </conditionalFormatting>
  <conditionalFormatting sqref="AC1121:AC1122">
    <cfRule type="cellIs" dxfId="539" priority="89" stopIfTrue="1" operator="lessThan">
      <formula>42</formula>
    </cfRule>
    <cfRule type="cellIs" dxfId="538" priority="90" stopIfTrue="1" operator="lessThan">
      <formula>45</formula>
    </cfRule>
  </conditionalFormatting>
  <conditionalFormatting sqref="AC309:AC310">
    <cfRule type="cellIs" dxfId="537" priority="57" stopIfTrue="1" operator="lessThan">
      <formula>42</formula>
    </cfRule>
    <cfRule type="cellIs" dxfId="536" priority="58" stopIfTrue="1" operator="lessThan">
      <formula>45</formula>
    </cfRule>
  </conditionalFormatting>
  <conditionalFormatting sqref="AC315:AC316">
    <cfRule type="cellIs" dxfId="535" priority="55" stopIfTrue="1" operator="lessThan">
      <formula>42</formula>
    </cfRule>
    <cfRule type="cellIs" dxfId="534" priority="56" stopIfTrue="1" operator="lessThan">
      <formula>45</formula>
    </cfRule>
  </conditionalFormatting>
  <conditionalFormatting sqref="AC303:AC304">
    <cfRule type="cellIs" dxfId="533" priority="53" stopIfTrue="1" operator="lessThan">
      <formula>42</formula>
    </cfRule>
    <cfRule type="cellIs" dxfId="532" priority="54" stopIfTrue="1" operator="lessThan">
      <formula>45</formula>
    </cfRule>
  </conditionalFormatting>
  <conditionalFormatting sqref="AC356:AC357">
    <cfRule type="cellIs" dxfId="531" priority="51" stopIfTrue="1" operator="lessThan">
      <formula>42</formula>
    </cfRule>
    <cfRule type="cellIs" dxfId="530" priority="52" stopIfTrue="1" operator="lessThan">
      <formula>45</formula>
    </cfRule>
  </conditionalFormatting>
  <conditionalFormatting sqref="AC362:AC363">
    <cfRule type="cellIs" dxfId="529" priority="49" stopIfTrue="1" operator="lessThan">
      <formula>42</formula>
    </cfRule>
    <cfRule type="cellIs" dxfId="528" priority="50" stopIfTrue="1" operator="lessThan">
      <formula>45</formula>
    </cfRule>
  </conditionalFormatting>
  <conditionalFormatting sqref="AC1142">
    <cfRule type="cellIs" dxfId="527" priority="47" stopIfTrue="1" operator="lessThan">
      <formula>42</formula>
    </cfRule>
    <cfRule type="cellIs" dxfId="526" priority="48" stopIfTrue="1" operator="lessThan">
      <formula>45</formula>
    </cfRule>
  </conditionalFormatting>
  <conditionalFormatting sqref="AC1183">
    <cfRule type="cellIs" dxfId="525" priority="45" stopIfTrue="1" operator="lessThan">
      <formula>42</formula>
    </cfRule>
    <cfRule type="cellIs" dxfId="524" priority="46" stopIfTrue="1" operator="lessThan">
      <formula>45</formula>
    </cfRule>
  </conditionalFormatting>
  <conditionalFormatting sqref="AC1147">
    <cfRule type="cellIs" dxfId="523" priority="41" stopIfTrue="1" operator="lessThan">
      <formula>42</formula>
    </cfRule>
    <cfRule type="cellIs" dxfId="522" priority="42" stopIfTrue="1" operator="lessThan">
      <formula>45</formula>
    </cfRule>
  </conditionalFormatting>
  <conditionalFormatting sqref="AC1148">
    <cfRule type="cellIs" dxfId="521" priority="39" stopIfTrue="1" operator="lessThan">
      <formula>42</formula>
    </cfRule>
    <cfRule type="cellIs" dxfId="520" priority="40" stopIfTrue="1" operator="lessThan">
      <formula>45</formula>
    </cfRule>
  </conditionalFormatting>
  <conditionalFormatting sqref="AC95">
    <cfRule type="cellIs" dxfId="519" priority="37" stopIfTrue="1" operator="lessThan">
      <formula>42</formula>
    </cfRule>
    <cfRule type="cellIs" dxfId="518" priority="38" stopIfTrue="1" operator="lessThan">
      <formula>45</formula>
    </cfRule>
  </conditionalFormatting>
  <conditionalFormatting sqref="AC970:AC973">
    <cfRule type="cellIs" dxfId="517" priority="35" stopIfTrue="1" operator="lessThan">
      <formula>42</formula>
    </cfRule>
    <cfRule type="cellIs" dxfId="516" priority="36" stopIfTrue="1" operator="lessThan">
      <formula>45</formula>
    </cfRule>
  </conditionalFormatting>
  <conditionalFormatting sqref="AC1098:AC1099">
    <cfRule type="cellIs" dxfId="515" priority="33" stopIfTrue="1" operator="lessThan">
      <formula>42</formula>
    </cfRule>
    <cfRule type="cellIs" dxfId="514" priority="34" stopIfTrue="1" operator="lessThan">
      <formula>45</formula>
    </cfRule>
  </conditionalFormatting>
  <conditionalFormatting sqref="AC1100:AC1101">
    <cfRule type="cellIs" dxfId="513" priority="31" stopIfTrue="1" operator="lessThan">
      <formula>42</formula>
    </cfRule>
    <cfRule type="cellIs" dxfId="512" priority="32" stopIfTrue="1" operator="lessThan">
      <formula>45</formula>
    </cfRule>
  </conditionalFormatting>
  <conditionalFormatting sqref="AC1102:AC1103">
    <cfRule type="cellIs" dxfId="511" priority="29" stopIfTrue="1" operator="lessThan">
      <formula>42</formula>
    </cfRule>
    <cfRule type="cellIs" dxfId="510" priority="30" stopIfTrue="1" operator="lessThan">
      <formula>45</formula>
    </cfRule>
  </conditionalFormatting>
  <conditionalFormatting sqref="AC27:AC28">
    <cfRule type="cellIs" dxfId="509" priority="27" stopIfTrue="1" operator="lessThan">
      <formula>42</formula>
    </cfRule>
    <cfRule type="cellIs" dxfId="508" priority="28" stopIfTrue="1" operator="lessThan">
      <formula>45</formula>
    </cfRule>
  </conditionalFormatting>
  <conditionalFormatting sqref="AC225">
    <cfRule type="cellIs" dxfId="507" priority="19" stopIfTrue="1" operator="lessThan">
      <formula>42</formula>
    </cfRule>
    <cfRule type="cellIs" dxfId="506" priority="20" stopIfTrue="1" operator="lessThan">
      <formula>45</formula>
    </cfRule>
  </conditionalFormatting>
  <conditionalFormatting sqref="AC231">
    <cfRule type="cellIs" dxfId="505" priority="17" stopIfTrue="1" operator="lessThan">
      <formula>42</formula>
    </cfRule>
    <cfRule type="cellIs" dxfId="504" priority="18" stopIfTrue="1" operator="lessThan">
      <formula>45</formula>
    </cfRule>
  </conditionalFormatting>
  <conditionalFormatting sqref="AC270">
    <cfRule type="cellIs" dxfId="503" priority="15" stopIfTrue="1" operator="lessThan">
      <formula>42</formula>
    </cfRule>
    <cfRule type="cellIs" dxfId="502" priority="16" stopIfTrue="1" operator="lessThan">
      <formula>45</formula>
    </cfRule>
  </conditionalFormatting>
  <conditionalFormatting sqref="AC282">
    <cfRule type="cellIs" dxfId="501" priority="13" stopIfTrue="1" operator="lessThan">
      <formula>42</formula>
    </cfRule>
    <cfRule type="cellIs" dxfId="500" priority="14" stopIfTrue="1" operator="lessThan">
      <formula>45</formula>
    </cfRule>
  </conditionalFormatting>
  <conditionalFormatting sqref="AC408">
    <cfRule type="cellIs" dxfId="499" priority="11" stopIfTrue="1" operator="lessThan">
      <formula>42</formula>
    </cfRule>
    <cfRule type="cellIs" dxfId="498" priority="12" stopIfTrue="1" operator="lessThan">
      <formula>45</formula>
    </cfRule>
  </conditionalFormatting>
  <conditionalFormatting sqref="AC38:AC39">
    <cfRule type="cellIs" dxfId="497" priority="9" stopIfTrue="1" operator="lessThan">
      <formula>42</formula>
    </cfRule>
    <cfRule type="cellIs" dxfId="496" priority="10" stopIfTrue="1" operator="lessThan">
      <formula>45</formula>
    </cfRule>
  </conditionalFormatting>
  <conditionalFormatting sqref="AC77:AC78">
    <cfRule type="cellIs" dxfId="495" priority="7" stopIfTrue="1" operator="lessThan">
      <formula>42</formula>
    </cfRule>
    <cfRule type="cellIs" dxfId="494" priority="8" stopIfTrue="1" operator="lessThan">
      <formula>45</formula>
    </cfRule>
  </conditionalFormatting>
  <conditionalFormatting sqref="AC87:AC88">
    <cfRule type="cellIs" dxfId="493" priority="5" stopIfTrue="1" operator="lessThan">
      <formula>42</formula>
    </cfRule>
    <cfRule type="cellIs" dxfId="492" priority="6" stopIfTrue="1" operator="lessThan">
      <formula>45</formula>
    </cfRule>
  </conditionalFormatting>
  <conditionalFormatting sqref="AC141">
    <cfRule type="cellIs" dxfId="491" priority="3" stopIfTrue="1" operator="lessThan">
      <formula>42</formula>
    </cfRule>
    <cfRule type="cellIs" dxfId="490" priority="4" stopIfTrue="1" operator="lessThan">
      <formula>45</formula>
    </cfRule>
  </conditionalFormatting>
  <conditionalFormatting sqref="AC152">
    <cfRule type="cellIs" dxfId="489" priority="1" stopIfTrue="1" operator="lessThan">
      <formula>42</formula>
    </cfRule>
    <cfRule type="cellIs" dxfId="488" priority="2" stopIfTrue="1" operator="lessThan">
      <formula>45</formula>
    </cfRule>
  </conditionalFormatting>
  <dataValidations count="11">
    <dataValidation type="list" allowBlank="1" showInputMessage="1" showErrorMessage="1" sqref="E9" xr:uid="{00000000-0002-0000-0100-000000000000}">
      <formula1>$M$1267:$M$1268</formula1>
    </dataValidation>
    <dataValidation showDropDown="1" showInputMessage="1" showErrorMessage="1" sqref="I8:I9 Y8" xr:uid="{00000000-0002-0000-0100-000001000000}"/>
    <dataValidation type="list" showInputMessage="1" showErrorMessage="1" sqref="E4:G4" xr:uid="{00000000-0002-0000-0100-000002000000}">
      <formula1>$AP$3:$AP$6</formula1>
    </dataValidation>
    <dataValidation type="list" allowBlank="1" showInputMessage="1" showErrorMessage="1" sqref="E7:G7" xr:uid="{00000000-0002-0000-0100-000003000000}">
      <formula1>$B$1249:$B$1250</formula1>
    </dataValidation>
    <dataValidation type="list" allowBlank="1" showInputMessage="1" showErrorMessage="1" sqref="E3:G3" xr:uid="{00000000-0002-0000-0100-000005000000}">
      <formula1>$AN$12:$AY$12</formula1>
    </dataValidation>
    <dataValidation type="list" allowBlank="1" showInputMessage="1" showErrorMessage="1" sqref="G9" xr:uid="{00000000-0002-0000-0100-000006000000}">
      <formula1>$M$1273:$M$1274</formula1>
    </dataValidation>
    <dataValidation type="decimal" allowBlank="1" showInputMessage="1" showErrorMessage="1" sqref="E5" xr:uid="{00000000-0002-0000-0100-000007000000}">
      <formula1>15.5</formula1>
      <formula2>53</formula2>
    </dataValidation>
    <dataValidation type="decimal" allowBlank="1" showInputMessage="1" showErrorMessage="1" sqref="G5" xr:uid="{00000000-0002-0000-0100-000008000000}">
      <formula1>23.5</formula1>
      <formula2>96</formula2>
    </dataValidation>
    <dataValidation type="list" allowBlank="1" showInputMessage="1" showErrorMessage="1" sqref="E6:G6" xr:uid="{336FB340-BC1F-46C9-87FE-47D5014CD86F}">
      <formula1>$D$1267:$D$1286</formula1>
    </dataValidation>
    <dataValidation type="list" allowBlank="1" showInputMessage="1" showErrorMessage="1" sqref="A3" xr:uid="{745744E4-04A5-48DE-B193-1B1F2336C6FC}">
      <formula1>$E$1331:$E$1342</formula1>
    </dataValidation>
    <dataValidation type="list" allowBlank="1" showInputMessage="1" showErrorMessage="1" sqref="A7" xr:uid="{85532D51-A13A-41FE-B705-65F5D8F73810}">
      <formula1>$F$1331:$F$1350</formula1>
    </dataValidation>
  </dataValidations>
  <pageMargins left="0.125" right="0.125" top="0.25" bottom="0.375" header="0" footer="0"/>
  <pageSetup scale="25" fitToWidth="0" fitToHeight="0" orientation="landscape" r:id="rId1"/>
  <headerFooter alignWithMargins="0">
    <oddFooter>&amp;L&amp;8&amp;Z&amp;F</oddFooter>
  </headerFooter>
  <ignoredErrors>
    <ignoredError sqref="Y752:Y753 Y97:Y98 Y966 Y1131:Y1139 Y1141 Y1165 Y1195 Y1191 Y1144 Y1127:Y1128 Y1184 Y1189 Y1030:Y1038 Y22:Y23 Y40:Y41 Y48:Y49 Y55:Y60 Y71:Y72 Y89:Y90 Y806:Y807 Y828:Y829 Y1056 Y1062 Y439:Y440 Y991 Y996:Y997 Y1177:Y1181 Y1043:Y1049 Y1068 Y1104 Y66:Y67 Y824 Y1010:Y1011 Y1175 Y43 Y51 Y62 Y92 Y100 Y442 Y1001:Y1005 Y1013 Y1018 Y1058 Y1064 Y999 Y1015:Y1016 Y1020:Y1023" numberStoredAsText="1"/>
    <ignoredError sqref="X565:X703 X558:X560 X561:X564" formulaRange="1"/>
    <ignoredError sqref="AE1134:AE1138 AE338 S1217 S1225 S1214 S1220:S1222 AM1188:AM1189 AE1028 AM199 S1119:S1120 S1117:S1118 S1115:S1116 S1114 S1123:S1124 S1104:S1105 S1090:S1103 S1106:S1113 S1125:S1131 S1121:S1122" formula="1"/>
    <ignoredError sqref="E1349 E1344:E1347 E1333:E1334 E1342 E1338 F1332:F1349" twoDigitTextYear="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BC649"/>
  <sheetViews>
    <sheetView showGridLines="0" showOutlineSymbols="0" view="pageBreakPreview" zoomScale="70" zoomScaleNormal="100" zoomScaleSheetLayoutView="70" workbookViewId="0">
      <pane ySplit="11" topLeftCell="A12" activePane="bottomLeft" state="frozen"/>
      <selection pane="bottomLeft"/>
    </sheetView>
  </sheetViews>
  <sheetFormatPr defaultColWidth="20.59765625" defaultRowHeight="15" customHeight="1" x14ac:dyDescent="0.4"/>
  <cols>
    <col min="1" max="1" width="15.59765625" style="3" bestFit="1" customWidth="1"/>
    <col min="2" max="2" width="7.59765625" style="4" customWidth="1"/>
    <col min="3" max="3" width="4.09765625" style="8" customWidth="1"/>
    <col min="4" max="4" width="3.59765625" style="4" customWidth="1"/>
    <col min="5" max="5" width="10.59765625" style="4" customWidth="1"/>
    <col min="6" max="6" width="12.09765625" style="4" customWidth="1"/>
    <col min="7" max="7" width="9" style="4" customWidth="1"/>
    <col min="8" max="8" width="3.09765625" style="14" customWidth="1"/>
    <col min="9" max="9" width="5.59765625" style="3" customWidth="1"/>
    <col min="10" max="10" width="2.59765625" style="3" customWidth="1"/>
    <col min="11" max="11" width="5.3984375" style="3" customWidth="1"/>
    <col min="12" max="12" width="1.8984375" style="3" bestFit="1" customWidth="1"/>
    <col min="13" max="13" width="5.59765625" style="5" customWidth="1"/>
    <col min="14" max="14" width="2.3984375" style="5" bestFit="1" customWidth="1"/>
    <col min="15" max="15" width="5.59765625" style="5" bestFit="1" customWidth="1"/>
    <col min="16" max="16" width="3.09765625" style="5" customWidth="1"/>
    <col min="17" max="17" width="5.59765625" style="5" customWidth="1"/>
    <col min="18" max="18" width="1.8984375" style="3" bestFit="1" customWidth="1"/>
    <col min="19" max="19" width="8.09765625" style="5" customWidth="1"/>
    <col min="20" max="20" width="6.59765625" style="3" customWidth="1"/>
    <col min="21" max="21" width="0.8984375" style="14" customWidth="1"/>
    <col min="22" max="22" width="6.09765625" style="3" customWidth="1"/>
    <col min="23" max="23" width="5.09765625" style="3" customWidth="1"/>
    <col min="24" max="24" width="5.8984375" style="3" customWidth="1"/>
    <col min="25" max="25" width="13.59765625" style="3" customWidth="1"/>
    <col min="26" max="26" width="12.59765625" style="3" customWidth="1"/>
    <col min="27" max="27" width="0.8984375" style="14" customWidth="1"/>
    <col min="28" max="28" width="3.69921875" style="3" customWidth="1"/>
    <col min="29" max="29" width="6.3984375" style="3" customWidth="1"/>
    <col min="30" max="30" width="7.59765625" style="5" customWidth="1"/>
    <col min="31" max="31" width="4.59765625" style="5" customWidth="1"/>
    <col min="32" max="32" width="6.59765625" style="5" customWidth="1"/>
    <col min="33" max="33" width="9.09765625" style="5" customWidth="1"/>
    <col min="34" max="37" width="11" style="51" customWidth="1"/>
    <col min="38" max="38" width="8.59765625" style="51" customWidth="1"/>
    <col min="39" max="40" width="8.59765625" style="3" customWidth="1"/>
    <col min="41" max="41" width="10.59765625" style="3" customWidth="1"/>
    <col min="42" max="52" width="8.59765625" style="3" customWidth="1"/>
    <col min="53" max="16384" width="20.59765625" style="3"/>
  </cols>
  <sheetData>
    <row r="1" spans="1:46" customFormat="1" ht="30.6" thickBot="1" x14ac:dyDescent="0.45">
      <c r="A1" s="456" t="s">
        <v>1113</v>
      </c>
      <c r="B1" s="129"/>
      <c r="K1" s="3"/>
      <c r="O1" s="1539"/>
      <c r="P1" s="8"/>
      <c r="W1" s="562" t="s">
        <v>1114</v>
      </c>
      <c r="X1" s="563"/>
      <c r="Y1" s="563"/>
      <c r="Z1" s="563"/>
      <c r="AA1" s="564"/>
      <c r="AC1" s="115"/>
      <c r="AD1" s="115"/>
      <c r="AE1" s="115"/>
      <c r="AF1" s="927"/>
      <c r="AG1" s="115"/>
      <c r="AH1" s="838"/>
      <c r="AI1" s="290"/>
      <c r="AJ1" s="290"/>
      <c r="AK1" s="290"/>
      <c r="AL1" s="838"/>
    </row>
    <row r="2" spans="1:46" s="2" customFormat="1" ht="23.4" thickBot="1" x14ac:dyDescent="0.45">
      <c r="B2" s="2013" t="s">
        <v>297</v>
      </c>
      <c r="C2" s="2014"/>
      <c r="D2" s="2014"/>
      <c r="E2" s="2014"/>
      <c r="F2" s="2014"/>
      <c r="G2" s="2015"/>
      <c r="H2" s="500"/>
      <c r="I2" s="1"/>
      <c r="J2" s="232"/>
      <c r="K2" s="233"/>
      <c r="L2" s="234"/>
      <c r="M2" s="235" t="s">
        <v>298</v>
      </c>
      <c r="N2" s="233"/>
      <c r="O2" s="233"/>
      <c r="P2" s="236"/>
      <c r="Q2" s="236"/>
      <c r="R2" s="236"/>
      <c r="S2" s="237"/>
      <c r="W2" s="1224" t="s">
        <v>1115</v>
      </c>
      <c r="X2" s="1225"/>
      <c r="Y2" s="1226"/>
      <c r="Z2" s="1226"/>
      <c r="AA2" s="1227"/>
      <c r="AB2" s="3"/>
      <c r="AF2" s="5"/>
      <c r="AG2" s="457"/>
      <c r="AH2" s="593"/>
      <c r="AL2" s="51"/>
      <c r="AO2" s="452" t="s">
        <v>299</v>
      </c>
      <c r="AP2" s="938">
        <f>MATCH(E4,AN3:AN6,0)</f>
        <v>1</v>
      </c>
    </row>
    <row r="3" spans="1:46" s="2" customFormat="1" ht="20.25" customHeight="1" thickBot="1" x14ac:dyDescent="0.45">
      <c r="B3" s="458"/>
      <c r="C3" s="459"/>
      <c r="D3" s="459" t="s">
        <v>299</v>
      </c>
      <c r="E3" s="2017" t="s">
        <v>1116</v>
      </c>
      <c r="F3" s="2018"/>
      <c r="G3" s="2019"/>
      <c r="H3" s="500"/>
      <c r="J3" s="1959" t="s">
        <v>300</v>
      </c>
      <c r="K3" s="2016"/>
      <c r="L3" s="2016"/>
      <c r="M3" s="2016" t="s">
        <v>300</v>
      </c>
      <c r="N3" s="2024" t="str">
        <f>FIXED(FWWidth,3)&amp;" W x "&amp;FIXED(FWHeight,3)&amp;" H"</f>
        <v>47.500 W x 47.500 H</v>
      </c>
      <c r="O3" s="2025"/>
      <c r="P3" s="2025"/>
      <c r="Q3" s="2025"/>
      <c r="R3" s="2025"/>
      <c r="S3" s="2026"/>
      <c r="W3" s="565"/>
      <c r="X3" s="566"/>
      <c r="Y3" s="567" t="s">
        <v>1117</v>
      </c>
      <c r="Z3" s="2030">
        <v>31.375</v>
      </c>
      <c r="AA3" s="2031"/>
      <c r="AB3" s="500"/>
      <c r="AE3" s="5"/>
      <c r="AF3" s="5"/>
      <c r="AG3" s="457"/>
      <c r="AH3" s="926">
        <v>1</v>
      </c>
      <c r="AL3" s="51"/>
      <c r="AN3" s="119" t="s">
        <v>302</v>
      </c>
      <c r="AO3" s="116"/>
      <c r="AP3" s="66"/>
      <c r="AQ3" s="1982" t="s">
        <v>303</v>
      </c>
      <c r="AR3" s="1982"/>
    </row>
    <row r="4" spans="1:46" s="2" customFormat="1" ht="20.25" customHeight="1" thickBot="1" x14ac:dyDescent="0.45">
      <c r="B4" s="2020" t="s">
        <v>304</v>
      </c>
      <c r="C4" s="2021"/>
      <c r="D4" s="2021"/>
      <c r="E4" s="2017" t="s">
        <v>302</v>
      </c>
      <c r="F4" s="2018"/>
      <c r="G4" s="2019"/>
      <c r="H4" s="500"/>
      <c r="I4" s="36"/>
      <c r="J4" s="1959" t="s">
        <v>1118</v>
      </c>
      <c r="K4" s="2016"/>
      <c r="L4" s="2016"/>
      <c r="M4" s="2016"/>
      <c r="N4" s="2027" t="str">
        <f>FIXED(FWGlassWidth,3)&amp;" W x "&amp;FIXED(FWGlassHeight,3)&amp;" H = "&amp;FIXED(FWGlassArea,3)&amp;" "&amp;T612</f>
        <v>43.750 W x 43.750 H = 13.292 sq ft</v>
      </c>
      <c r="O4" s="2028"/>
      <c r="P4" s="2028"/>
      <c r="Q4" s="2028"/>
      <c r="R4" s="2028"/>
      <c r="S4" s="2029"/>
      <c r="W4" s="565"/>
      <c r="X4" s="566"/>
      <c r="Y4" s="567" t="s">
        <v>1119</v>
      </c>
      <c r="Z4" s="2030">
        <v>55.375</v>
      </c>
      <c r="AA4" s="2031"/>
      <c r="AB4" s="1144"/>
      <c r="AE4" s="5"/>
      <c r="AF4" s="461"/>
      <c r="AG4" s="462"/>
      <c r="AH4" s="926">
        <v>1.5</v>
      </c>
      <c r="AI4" s="462"/>
      <c r="AL4" s="51"/>
      <c r="AN4" s="120" t="s">
        <v>307</v>
      </c>
      <c r="AO4" s="3"/>
      <c r="AP4" s="64"/>
      <c r="AQ4" s="1982"/>
      <c r="AR4" s="1982"/>
    </row>
    <row r="5" spans="1:46" ht="20.25" customHeight="1" thickBot="1" x14ac:dyDescent="0.45">
      <c r="B5" s="2011" t="s">
        <v>308</v>
      </c>
      <c r="C5" s="2012"/>
      <c r="D5" s="2012"/>
      <c r="E5" s="1228">
        <v>47.5</v>
      </c>
      <c r="F5" s="1229" t="s">
        <v>309</v>
      </c>
      <c r="G5" s="543">
        <v>47.5</v>
      </c>
      <c r="H5" s="500"/>
      <c r="J5" s="211"/>
      <c r="K5" s="212"/>
      <c r="L5" s="212"/>
      <c r="M5" s="121" t="s">
        <v>1120</v>
      </c>
      <c r="N5" s="2027" t="str">
        <f>FIXED(FWDayWidth,3)&amp;" W x "&amp;FIXED(FWDayHeight,3)&amp;" H = "&amp;FIXED(S615,1)&amp;" "&amp;T615</f>
        <v>42.875 W x 42.875 H = 12.8 sq ft</v>
      </c>
      <c r="O5" s="2028"/>
      <c r="P5" s="2028"/>
      <c r="Q5" s="2028"/>
      <c r="R5" s="2028"/>
      <c r="S5" s="2029"/>
      <c r="U5" s="3"/>
      <c r="W5" s="565"/>
      <c r="X5" s="566"/>
      <c r="Y5" s="567" t="s">
        <v>1121</v>
      </c>
      <c r="Z5" s="2022">
        <f>FWDLWidInput-M613</f>
        <v>36</v>
      </c>
      <c r="AA5" s="2023"/>
      <c r="AB5" s="291"/>
      <c r="AF5" s="461"/>
      <c r="AH5" s="600"/>
      <c r="AI5" s="462"/>
      <c r="AN5" s="117" t="s">
        <v>1122</v>
      </c>
      <c r="AP5" s="64"/>
      <c r="AQ5" s="1982"/>
      <c r="AR5" s="1982"/>
    </row>
    <row r="6" spans="1:46" ht="20.25" customHeight="1" thickBot="1" x14ac:dyDescent="0.45">
      <c r="E6" s="138"/>
      <c r="F6" s="138"/>
      <c r="G6" s="138"/>
      <c r="H6" s="500"/>
      <c r="J6" s="1230" t="s">
        <v>1123</v>
      </c>
      <c r="K6" s="1231"/>
      <c r="L6" s="1231"/>
      <c r="M6" s="1231"/>
      <c r="N6" s="568"/>
      <c r="O6" s="568"/>
      <c r="P6" s="568"/>
      <c r="Q6" s="568"/>
      <c r="R6" s="568"/>
      <c r="S6" s="569"/>
      <c r="U6" s="3"/>
      <c r="W6" s="1232"/>
      <c r="X6" s="1084"/>
      <c r="Y6" s="1233" t="s">
        <v>1124</v>
      </c>
      <c r="Z6" s="2022">
        <f>FWDLHtInput-M614</f>
        <v>60</v>
      </c>
      <c r="AA6" s="2023"/>
      <c r="AB6" s="291"/>
      <c r="AG6" s="936">
        <v>0.63480000000000003</v>
      </c>
      <c r="AH6" s="600"/>
      <c r="AI6" s="462"/>
      <c r="AN6" s="939" t="s">
        <v>317</v>
      </c>
      <c r="AO6" s="889"/>
      <c r="AP6" s="940"/>
      <c r="AQ6" s="1982"/>
      <c r="AR6" s="1982"/>
    </row>
    <row r="7" spans="1:46" ht="20.25" customHeight="1" thickBot="1" x14ac:dyDescent="0.45">
      <c r="H7" s="500"/>
      <c r="I7" s="470"/>
      <c r="J7" s="470"/>
      <c r="K7" s="216"/>
      <c r="P7" s="214"/>
      <c r="Q7" s="214"/>
      <c r="R7" s="213"/>
      <c r="U7" s="461"/>
      <c r="V7" s="215"/>
      <c r="W7" s="2034"/>
      <c r="X7" s="2034"/>
      <c r="Y7" s="472"/>
      <c r="Z7" s="472"/>
      <c r="AA7" s="472"/>
      <c r="AB7" s="472"/>
      <c r="AC7" s="473"/>
      <c r="AD7" s="473"/>
      <c r="AE7" s="473"/>
      <c r="AF7" s="474"/>
      <c r="AG7" s="457"/>
      <c r="AH7" s="1187"/>
      <c r="AI7" s="462"/>
      <c r="AJ7" s="462"/>
      <c r="AK7" s="462"/>
      <c r="AL7" s="1187"/>
      <c r="AM7" s="2032" t="s">
        <v>1125</v>
      </c>
      <c r="AN7" s="1997"/>
      <c r="AO7" s="1997"/>
      <c r="AP7" s="2033"/>
    </row>
    <row r="8" spans="1:46" s="14" customFormat="1" ht="6" customHeight="1" x14ac:dyDescent="0.4">
      <c r="A8" s="96"/>
      <c r="B8" s="97"/>
      <c r="C8" s="98"/>
      <c r="D8" s="99"/>
      <c r="E8" s="99"/>
      <c r="F8" s="99"/>
      <c r="G8" s="100"/>
      <c r="H8" s="96"/>
      <c r="I8" s="101"/>
      <c r="J8" s="102"/>
      <c r="K8" s="96"/>
      <c r="L8" s="102"/>
      <c r="M8" s="103"/>
      <c r="N8" s="103"/>
      <c r="O8" s="103"/>
      <c r="P8" s="103"/>
      <c r="Q8" s="103"/>
      <c r="R8" s="102"/>
      <c r="S8" s="103"/>
      <c r="T8" s="102"/>
      <c r="U8" s="104"/>
      <c r="V8" s="96"/>
      <c r="W8" s="105"/>
      <c r="X8" s="105"/>
      <c r="Y8" s="96"/>
      <c r="Z8" s="96"/>
      <c r="AA8" s="96"/>
      <c r="AB8" s="103"/>
      <c r="AC8" s="96"/>
      <c r="AD8" s="103"/>
      <c r="AE8" s="97"/>
      <c r="AF8" s="928"/>
      <c r="AG8" s="97"/>
      <c r="AH8" s="106"/>
      <c r="AI8" s="106"/>
      <c r="AJ8" s="106"/>
      <c r="AK8" s="106"/>
      <c r="AL8" s="106"/>
    </row>
    <row r="9" spans="1:46" s="23" customFormat="1" ht="42" customHeight="1" x14ac:dyDescent="0.25">
      <c r="B9" s="1991" t="s">
        <v>328</v>
      </c>
      <c r="C9" s="1991"/>
      <c r="D9" s="1991"/>
      <c r="E9" s="1991"/>
      <c r="F9" s="1991"/>
      <c r="G9" s="1991"/>
      <c r="H9" s="20"/>
      <c r="I9" s="1969" t="s">
        <v>329</v>
      </c>
      <c r="J9" s="1969"/>
      <c r="K9" s="1969"/>
      <c r="L9" s="1969"/>
      <c r="M9" s="1969"/>
      <c r="N9" s="500"/>
      <c r="O9" s="500"/>
      <c r="P9" s="500"/>
      <c r="Q9" s="500"/>
      <c r="R9" s="500"/>
      <c r="S9" s="21" t="s">
        <v>330</v>
      </c>
      <c r="T9" s="22" t="s">
        <v>1126</v>
      </c>
      <c r="U9" s="82"/>
      <c r="V9" s="1969" t="s">
        <v>332</v>
      </c>
      <c r="W9" s="1969"/>
      <c r="X9" s="1969"/>
      <c r="Y9" s="1613" t="s">
        <v>2144</v>
      </c>
      <c r="Z9" s="1558" t="s">
        <v>2145</v>
      </c>
      <c r="AA9" s="20"/>
      <c r="AB9" s="500" t="s">
        <v>1127</v>
      </c>
      <c r="AC9" s="145" t="s">
        <v>334</v>
      </c>
      <c r="AD9" s="21" t="s">
        <v>335</v>
      </c>
      <c r="AE9" s="24" t="s">
        <v>1128</v>
      </c>
      <c r="AF9" s="21" t="s">
        <v>1129</v>
      </c>
      <c r="AH9" s="49" t="s">
        <v>338</v>
      </c>
      <c r="AI9" s="49" t="s">
        <v>339</v>
      </c>
      <c r="AJ9" s="49" t="s">
        <v>340</v>
      </c>
      <c r="AK9" s="49" t="s">
        <v>341</v>
      </c>
      <c r="AL9" s="478" t="s">
        <v>1130</v>
      </c>
      <c r="AM9" s="813" t="s">
        <v>1116</v>
      </c>
      <c r="AN9" s="813" t="s">
        <v>1131</v>
      </c>
      <c r="AO9" s="813" t="s">
        <v>2313</v>
      </c>
      <c r="AP9" s="813" t="s">
        <v>2314</v>
      </c>
      <c r="AQ9" s="1895" t="s">
        <v>2382</v>
      </c>
      <c r="AR9" s="814"/>
      <c r="AS9" s="2010" t="s">
        <v>343</v>
      </c>
      <c r="AT9" s="2010"/>
    </row>
    <row r="10" spans="1:46" s="23" customFormat="1" ht="12" x14ac:dyDescent="0.25">
      <c r="A10" s="23" t="s">
        <v>344</v>
      </c>
      <c r="B10" s="23">
        <v>1</v>
      </c>
      <c r="C10" s="23">
        <v>2</v>
      </c>
      <c r="D10" s="23">
        <v>3</v>
      </c>
      <c r="G10" s="26">
        <v>4</v>
      </c>
      <c r="H10" s="27"/>
      <c r="I10" s="23" t="s">
        <v>345</v>
      </c>
      <c r="J10" s="28" t="s">
        <v>346</v>
      </c>
      <c r="K10" s="23" t="s">
        <v>347</v>
      </c>
      <c r="L10" s="3" t="s">
        <v>348</v>
      </c>
      <c r="M10" s="29" t="s">
        <v>347</v>
      </c>
      <c r="N10" s="29" t="s">
        <v>348</v>
      </c>
      <c r="O10" s="29" t="s">
        <v>349</v>
      </c>
      <c r="P10" s="72" t="s">
        <v>350</v>
      </c>
      <c r="Q10" s="29" t="s">
        <v>462</v>
      </c>
      <c r="R10" s="30" t="s">
        <v>352</v>
      </c>
      <c r="S10" s="29"/>
      <c r="T10" s="23" t="s">
        <v>1132</v>
      </c>
      <c r="U10" s="27"/>
      <c r="V10" s="31" t="s">
        <v>2361</v>
      </c>
      <c r="W10" s="31" t="s">
        <v>2369</v>
      </c>
      <c r="X10" s="31" t="s">
        <v>2362</v>
      </c>
      <c r="Y10" s="1559" t="s">
        <v>356</v>
      </c>
      <c r="Z10" s="1559" t="s">
        <v>356</v>
      </c>
      <c r="AA10" s="27"/>
      <c r="AB10" s="23" t="s">
        <v>1133</v>
      </c>
      <c r="AD10" s="29"/>
      <c r="AE10" s="29" t="s">
        <v>1132</v>
      </c>
      <c r="AF10" s="29" t="s">
        <v>1134</v>
      </c>
      <c r="AG10" s="29" t="s">
        <v>357</v>
      </c>
      <c r="AH10" s="50"/>
      <c r="AI10" s="50"/>
      <c r="AJ10" s="50"/>
      <c r="AK10" s="50"/>
      <c r="AL10" s="50" t="s">
        <v>1135</v>
      </c>
      <c r="AM10" s="84"/>
      <c r="AN10" s="33"/>
      <c r="AO10" s="33"/>
      <c r="AP10" s="33"/>
      <c r="AQ10" s="33"/>
      <c r="AR10" s="33"/>
    </row>
    <row r="11" spans="1:46" s="14" customFormat="1" ht="6" customHeight="1" x14ac:dyDescent="0.4">
      <c r="B11" s="10"/>
      <c r="C11" s="11"/>
      <c r="D11" s="12"/>
      <c r="E11" s="12"/>
      <c r="F11" s="12"/>
      <c r="G11" s="13"/>
      <c r="I11" s="15"/>
      <c r="J11" s="16"/>
      <c r="L11" s="16"/>
      <c r="M11" s="17"/>
      <c r="N11" s="17"/>
      <c r="O11" s="17"/>
      <c r="P11" s="17"/>
      <c r="Q11" s="17"/>
      <c r="R11" s="16"/>
      <c r="S11" s="17"/>
      <c r="T11" s="16"/>
      <c r="W11" s="18"/>
      <c r="X11" s="18"/>
      <c r="AB11" s="17"/>
      <c r="AD11" s="17"/>
      <c r="AE11" s="10"/>
      <c r="AF11" s="929"/>
      <c r="AG11" s="10"/>
      <c r="AH11" s="48"/>
      <c r="AI11" s="48"/>
      <c r="AJ11" s="48"/>
      <c r="AK11" s="48"/>
      <c r="AL11" s="48"/>
    </row>
    <row r="12" spans="1:46" ht="18" thickBot="1" x14ac:dyDescent="0.45">
      <c r="D12" s="452"/>
      <c r="E12" s="452"/>
      <c r="F12" s="452"/>
      <c r="G12" s="453"/>
      <c r="H12" s="3"/>
      <c r="I12" s="443"/>
      <c r="J12" s="376"/>
      <c r="L12" s="376"/>
      <c r="R12" s="376"/>
      <c r="T12" s="376"/>
      <c r="U12" s="3"/>
      <c r="W12" s="6"/>
      <c r="X12" s="6"/>
      <c r="AA12" s="3"/>
      <c r="AB12" s="5"/>
      <c r="AE12" s="4"/>
      <c r="AF12" s="44"/>
      <c r="AG12" s="4"/>
      <c r="AK12" s="611" t="s">
        <v>358</v>
      </c>
      <c r="AL12" s="1025" t="e">
        <f>SUM(AL13,AL204,AL357,AL489,AL567)</f>
        <v>#NAME?</v>
      </c>
    </row>
    <row r="13" spans="1:46" ht="15" customHeight="1" thickBot="1" x14ac:dyDescent="0.45">
      <c r="B13" s="612" t="s">
        <v>1136</v>
      </c>
      <c r="C13" s="613"/>
      <c r="D13" s="614"/>
      <c r="E13" s="614"/>
      <c r="F13" s="614"/>
      <c r="G13" s="614"/>
      <c r="H13" s="615"/>
      <c r="I13" s="615"/>
      <c r="J13" s="615"/>
      <c r="K13" s="615"/>
      <c r="L13" s="616"/>
      <c r="M13" s="616"/>
      <c r="N13" s="616"/>
      <c r="O13" s="616"/>
      <c r="P13" s="616"/>
      <c r="Q13" s="616"/>
      <c r="R13" s="616"/>
      <c r="S13" s="616"/>
      <c r="T13" s="616"/>
      <c r="U13" s="616"/>
      <c r="V13" s="616"/>
      <c r="W13" s="616"/>
      <c r="X13" s="616"/>
      <c r="Y13" s="616"/>
      <c r="Z13" s="616"/>
      <c r="AA13" s="616"/>
      <c r="AB13" s="616"/>
      <c r="AC13" s="616"/>
      <c r="AD13" s="616"/>
      <c r="AE13" s="616"/>
      <c r="AF13" s="616"/>
      <c r="AG13" s="616"/>
      <c r="AH13" s="616"/>
      <c r="AI13" s="616"/>
      <c r="AJ13" s="616"/>
      <c r="AK13" s="620" t="s">
        <v>360</v>
      </c>
      <c r="AL13" s="733">
        <f>SUBTOTAL(109,AL15:AL203)</f>
        <v>214.57985287083341</v>
      </c>
      <c r="AM13" s="616" t="s">
        <v>81</v>
      </c>
      <c r="AN13" s="616" t="s">
        <v>92</v>
      </c>
      <c r="AO13" s="616" t="s">
        <v>81</v>
      </c>
      <c r="AP13" s="616" t="s">
        <v>81</v>
      </c>
      <c r="AQ13" s="616" t="s">
        <v>81</v>
      </c>
      <c r="AR13" s="616"/>
    </row>
    <row r="14" spans="1:46" ht="15" customHeight="1" thickBot="1" x14ac:dyDescent="0.45">
      <c r="B14" s="173" t="s">
        <v>361</v>
      </c>
      <c r="C14" s="173"/>
      <c r="D14" s="116"/>
      <c r="E14" s="136"/>
      <c r="F14" s="174"/>
      <c r="G14" s="173"/>
      <c r="H14" s="175"/>
      <c r="I14" s="116"/>
      <c r="J14" s="116"/>
      <c r="K14" s="116"/>
      <c r="L14" s="116"/>
      <c r="M14" s="177"/>
      <c r="N14" s="177"/>
      <c r="O14" s="177"/>
      <c r="P14" s="177"/>
      <c r="Q14" s="177"/>
      <c r="R14" s="116"/>
      <c r="S14" s="177"/>
      <c r="T14" s="116"/>
      <c r="U14" s="175"/>
      <c r="V14" s="173"/>
      <c r="W14" s="173"/>
      <c r="X14" s="173"/>
      <c r="Y14" s="116"/>
      <c r="Z14" s="116"/>
      <c r="AA14" s="175"/>
      <c r="AB14" s="116"/>
      <c r="AC14" s="116"/>
      <c r="AD14" s="177"/>
      <c r="AE14" s="116"/>
      <c r="AF14" s="627"/>
      <c r="AG14" s="177"/>
      <c r="AH14" s="185"/>
      <c r="AI14" s="185"/>
      <c r="AJ14" s="185"/>
      <c r="AK14" s="185"/>
      <c r="AL14" s="185"/>
      <c r="AM14" s="137" t="s">
        <v>81</v>
      </c>
      <c r="AN14" s="137" t="s">
        <v>92</v>
      </c>
      <c r="AO14" s="137" t="s">
        <v>81</v>
      </c>
      <c r="AP14" s="137" t="s">
        <v>81</v>
      </c>
      <c r="AQ14" s="1934" t="s">
        <v>81</v>
      </c>
      <c r="AR14" s="137"/>
    </row>
    <row r="15" spans="1:46" ht="15" customHeight="1" x14ac:dyDescent="0.4">
      <c r="A15" s="3" t="s">
        <v>1137</v>
      </c>
      <c r="B15" s="7"/>
      <c r="C15" s="173" t="s">
        <v>2268</v>
      </c>
      <c r="D15" s="116"/>
      <c r="F15" s="174" t="s">
        <v>391</v>
      </c>
      <c r="G15" s="173"/>
      <c r="H15" s="175"/>
      <c r="I15" s="116" t="s">
        <v>365</v>
      </c>
      <c r="J15" s="116"/>
      <c r="K15" s="116"/>
      <c r="L15" s="116" t="s">
        <v>348</v>
      </c>
      <c r="M15" s="177">
        <f>1.375*2</f>
        <v>2.75</v>
      </c>
      <c r="N15" s="177" t="s">
        <v>348</v>
      </c>
      <c r="O15" s="177">
        <f>0.25</f>
        <v>0.25</v>
      </c>
      <c r="P15" s="177"/>
      <c r="Q15" s="177"/>
      <c r="R15" s="116" t="s">
        <v>352</v>
      </c>
      <c r="S15" s="177">
        <f>FWHeight+M15+O15</f>
        <v>50.5</v>
      </c>
      <c r="T15" s="116" t="s">
        <v>366</v>
      </c>
      <c r="U15" s="175"/>
      <c r="V15" s="173"/>
      <c r="W15" s="173"/>
      <c r="X15" s="173"/>
      <c r="Y15" s="116"/>
      <c r="Z15" s="116"/>
      <c r="AA15" s="175"/>
      <c r="AB15" s="116">
        <v>42</v>
      </c>
      <c r="AC15" s="116">
        <v>2</v>
      </c>
      <c r="AD15" s="177">
        <f>AC15*S15/12</f>
        <v>8.4166666666666661</v>
      </c>
      <c r="AE15" s="116" t="s">
        <v>367</v>
      </c>
      <c r="AF15" s="627">
        <v>1.1379999999999999</v>
      </c>
      <c r="AG15" s="177">
        <f>AF15*AtolbperftFixed</f>
        <v>0.7224024</v>
      </c>
      <c r="AH15" s="935">
        <f>AG15*FWTwinCost</f>
        <v>0.7224024</v>
      </c>
      <c r="AI15" s="185"/>
      <c r="AJ15" s="185"/>
      <c r="AK15" s="185"/>
      <c r="AL15" s="185"/>
      <c r="AM15" s="3" t="s">
        <v>81</v>
      </c>
      <c r="AN15" s="3" t="s">
        <v>92</v>
      </c>
      <c r="AO15" s="3" t="s">
        <v>81</v>
      </c>
      <c r="AP15" s="3" t="s">
        <v>81</v>
      </c>
      <c r="AQ15" s="1414" t="s">
        <v>81</v>
      </c>
    </row>
    <row r="16" spans="1:46" ht="15" customHeight="1" x14ac:dyDescent="0.4">
      <c r="B16" s="36"/>
      <c r="C16" s="36"/>
      <c r="D16" s="155"/>
      <c r="E16" s="47"/>
      <c r="F16" s="47" t="s">
        <v>1138</v>
      </c>
      <c r="G16" s="7"/>
      <c r="H16" s="20"/>
      <c r="I16" s="3" t="s">
        <v>365</v>
      </c>
      <c r="L16" s="3" t="s">
        <v>348</v>
      </c>
      <c r="M16" s="5">
        <v>0</v>
      </c>
      <c r="N16" s="5" t="s">
        <v>348</v>
      </c>
      <c r="O16" s="5">
        <v>0.25</v>
      </c>
      <c r="R16" s="3" t="s">
        <v>352</v>
      </c>
      <c r="S16" s="5">
        <f>FWHeight+M16+O16</f>
        <v>47.75</v>
      </c>
      <c r="T16" s="3" t="s">
        <v>366</v>
      </c>
      <c r="U16" s="20"/>
      <c r="V16" s="38" t="s">
        <v>369</v>
      </c>
      <c r="W16" s="3" t="s">
        <v>370</v>
      </c>
      <c r="X16" s="38" t="s">
        <v>369</v>
      </c>
      <c r="Y16" s="1443">
        <v>200445003</v>
      </c>
      <c r="Z16" s="1443"/>
      <c r="AA16" s="20"/>
      <c r="AE16" s="3"/>
      <c r="AF16" s="930"/>
      <c r="AH16" s="51">
        <v>0.53380000000000005</v>
      </c>
      <c r="AI16" s="39"/>
      <c r="AJ16" s="39"/>
      <c r="AK16" s="39"/>
      <c r="AL16" s="51">
        <f>AD$15*AH16+SUM(AI16:AK16)</f>
        <v>4.4928166666666671</v>
      </c>
      <c r="AM16" s="3" t="s">
        <v>81</v>
      </c>
      <c r="AN16" s="3" t="s">
        <v>92</v>
      </c>
      <c r="AO16" s="3" t="s">
        <v>81</v>
      </c>
      <c r="AP16" s="3" t="s">
        <v>81</v>
      </c>
      <c r="AQ16" s="1414" t="s">
        <v>92</v>
      </c>
    </row>
    <row r="17" spans="1:44" ht="15" customHeight="1" x14ac:dyDescent="0.4">
      <c r="B17" s="36"/>
      <c r="C17" s="36"/>
      <c r="D17" s="155"/>
      <c r="E17" s="155"/>
      <c r="F17" s="155"/>
      <c r="G17" s="7"/>
      <c r="H17" s="20"/>
      <c r="P17" s="24"/>
      <c r="Q17" s="24"/>
      <c r="U17" s="20"/>
      <c r="V17" s="38" t="s">
        <v>369</v>
      </c>
      <c r="W17" s="3" t="s">
        <v>372</v>
      </c>
      <c r="X17" s="38" t="s">
        <v>369</v>
      </c>
      <c r="Y17" s="1443">
        <v>200445021</v>
      </c>
      <c r="Z17" s="1443"/>
      <c r="AA17" s="20"/>
      <c r="AE17" s="3"/>
      <c r="AH17" s="51">
        <v>0.57999999999999996</v>
      </c>
      <c r="AI17" s="39"/>
      <c r="AJ17" s="39"/>
      <c r="AK17" s="39"/>
      <c r="AL17" s="51">
        <f t="shared" ref="AL17:AL20" si="0">AD$15*AH17+SUM(AI17:AK17)</f>
        <v>4.8816666666666659</v>
      </c>
      <c r="AM17" s="3" t="s">
        <v>371</v>
      </c>
      <c r="AN17" s="3" t="s">
        <v>92</v>
      </c>
      <c r="AO17" s="3" t="s">
        <v>371</v>
      </c>
      <c r="AP17" s="3" t="s">
        <v>371</v>
      </c>
      <c r="AQ17" s="1414" t="s">
        <v>92</v>
      </c>
    </row>
    <row r="18" spans="1:44" ht="15.75" customHeight="1" x14ac:dyDescent="0.4">
      <c r="B18" s="3"/>
      <c r="C18" s="36"/>
      <c r="D18" s="155"/>
      <c r="E18" s="155"/>
      <c r="F18" s="155"/>
      <c r="G18" s="7"/>
      <c r="H18" s="20"/>
      <c r="P18" s="24"/>
      <c r="Q18" s="24"/>
      <c r="U18" s="20"/>
      <c r="V18" s="38" t="s">
        <v>369</v>
      </c>
      <c r="W18" s="3" t="s">
        <v>373</v>
      </c>
      <c r="X18" s="38" t="s">
        <v>369</v>
      </c>
      <c r="Y18" s="1443">
        <v>200445033</v>
      </c>
      <c r="Z18" s="1443"/>
      <c r="AA18" s="20"/>
      <c r="AE18" s="3"/>
      <c r="AH18" s="51">
        <v>0.64390000000000003</v>
      </c>
      <c r="AI18" s="39"/>
      <c r="AJ18" s="39"/>
      <c r="AK18" s="39"/>
      <c r="AL18" s="51">
        <f t="shared" si="0"/>
        <v>5.4194916666666666</v>
      </c>
      <c r="AM18" s="3" t="s">
        <v>371</v>
      </c>
      <c r="AN18" s="3" t="s">
        <v>92</v>
      </c>
      <c r="AO18" s="3" t="s">
        <v>371</v>
      </c>
      <c r="AP18" s="3" t="s">
        <v>371</v>
      </c>
      <c r="AQ18" s="1414" t="s">
        <v>92</v>
      </c>
    </row>
    <row r="19" spans="1:44" ht="15.75" customHeight="1" x14ac:dyDescent="0.4">
      <c r="B19" s="3"/>
      <c r="C19" s="36"/>
      <c r="D19" s="155"/>
      <c r="E19" s="155"/>
      <c r="F19" s="155"/>
      <c r="G19" s="7"/>
      <c r="H19" s="20"/>
      <c r="P19" s="24"/>
      <c r="Q19" s="24"/>
      <c r="U19" s="20"/>
      <c r="V19" s="3" t="s">
        <v>2363</v>
      </c>
      <c r="W19" s="3" t="s">
        <v>370</v>
      </c>
      <c r="X19" s="38" t="s">
        <v>369</v>
      </c>
      <c r="Y19" s="1443">
        <v>200445127</v>
      </c>
      <c r="Z19" s="1443"/>
      <c r="AA19" s="20"/>
      <c r="AE19" s="3"/>
      <c r="AH19" s="51">
        <v>0.78280000000000005</v>
      </c>
      <c r="AI19" s="39"/>
      <c r="AJ19" s="39"/>
      <c r="AK19" s="39"/>
      <c r="AL19" s="51">
        <f t="shared" si="0"/>
        <v>6.5885666666666669</v>
      </c>
      <c r="AM19" s="3" t="s">
        <v>371</v>
      </c>
      <c r="AN19" s="3" t="s">
        <v>92</v>
      </c>
      <c r="AO19" s="3" t="s">
        <v>371</v>
      </c>
      <c r="AP19" s="3" t="s">
        <v>371</v>
      </c>
      <c r="AQ19" s="1414" t="s">
        <v>92</v>
      </c>
    </row>
    <row r="20" spans="1:44" ht="15.75" customHeight="1" x14ac:dyDescent="0.4">
      <c r="A20" s="36"/>
      <c r="B20" s="36"/>
      <c r="C20" s="155"/>
      <c r="D20" s="47"/>
      <c r="E20" s="155"/>
      <c r="F20" s="155"/>
      <c r="G20" s="7"/>
      <c r="H20" s="20"/>
      <c r="P20" s="24"/>
      <c r="Q20" s="24"/>
      <c r="U20" s="20"/>
      <c r="V20" s="572" t="s">
        <v>2366</v>
      </c>
      <c r="W20" s="572" t="s">
        <v>370</v>
      </c>
      <c r="X20" s="571" t="s">
        <v>369</v>
      </c>
      <c r="Y20" s="1447">
        <v>200445128</v>
      </c>
      <c r="Z20" s="1447"/>
      <c r="AA20" s="20"/>
      <c r="AE20" s="3"/>
      <c r="AH20" s="51">
        <v>0.69099999999999995</v>
      </c>
      <c r="AI20" s="39"/>
      <c r="AJ20" s="39"/>
      <c r="AK20" s="39"/>
      <c r="AL20" s="51">
        <f t="shared" si="0"/>
        <v>5.8159166666666655</v>
      </c>
      <c r="AM20" s="3" t="s">
        <v>371</v>
      </c>
      <c r="AN20" s="3" t="s">
        <v>92</v>
      </c>
      <c r="AO20" s="3" t="s">
        <v>371</v>
      </c>
      <c r="AP20" s="3" t="s">
        <v>371</v>
      </c>
      <c r="AQ20" s="1414" t="s">
        <v>92</v>
      </c>
    </row>
    <row r="21" spans="1:44" ht="15.75" customHeight="1" x14ac:dyDescent="0.4">
      <c r="B21" s="36"/>
      <c r="C21" s="155"/>
      <c r="D21" s="155"/>
      <c r="E21" s="3"/>
      <c r="F21" s="155"/>
      <c r="G21" s="7"/>
      <c r="H21" s="20"/>
      <c r="P21" s="24"/>
      <c r="Q21" s="24"/>
      <c r="U21" s="20"/>
      <c r="V21" s="3" t="s">
        <v>2364</v>
      </c>
      <c r="W21" s="3" t="s">
        <v>370</v>
      </c>
      <c r="X21" s="38" t="s">
        <v>369</v>
      </c>
      <c r="Y21" s="1443">
        <v>200445129</v>
      </c>
      <c r="Z21" s="1443"/>
      <c r="AA21" s="20"/>
      <c r="AE21" s="3"/>
      <c r="AH21" s="51">
        <v>0.69099999999999995</v>
      </c>
      <c r="AI21" s="39"/>
      <c r="AJ21" s="39"/>
      <c r="AK21" s="39"/>
      <c r="AL21" s="51">
        <f>AD$15*AH21+SUM(AI21:AK21)</f>
        <v>5.8159166666666655</v>
      </c>
      <c r="AM21" s="3" t="s">
        <v>371</v>
      </c>
      <c r="AN21" s="3" t="s">
        <v>92</v>
      </c>
      <c r="AO21" s="3" t="s">
        <v>371</v>
      </c>
      <c r="AP21" s="3" t="s">
        <v>371</v>
      </c>
      <c r="AQ21" s="1414" t="s">
        <v>92</v>
      </c>
    </row>
    <row r="22" spans="1:44" ht="15.75" customHeight="1" x14ac:dyDescent="0.4">
      <c r="A22" s="36"/>
      <c r="B22" s="36"/>
      <c r="C22" s="155"/>
      <c r="D22" s="155"/>
      <c r="E22" s="155"/>
      <c r="F22" s="155"/>
      <c r="G22" s="7"/>
      <c r="H22" s="20"/>
      <c r="P22" s="24"/>
      <c r="Q22" s="24"/>
      <c r="U22" s="20"/>
      <c r="V22" s="3" t="s">
        <v>2365</v>
      </c>
      <c r="W22" s="3" t="s">
        <v>370</v>
      </c>
      <c r="X22" s="38" t="s">
        <v>369</v>
      </c>
      <c r="Y22" s="1443">
        <v>200445180</v>
      </c>
      <c r="Z22" s="1443"/>
      <c r="AA22" s="20"/>
      <c r="AE22" s="3"/>
      <c r="AH22" s="844">
        <v>0</v>
      </c>
      <c r="AI22" s="39"/>
      <c r="AJ22" s="39"/>
      <c r="AK22" s="39"/>
      <c r="AL22" s="51">
        <f t="shared" ref="AL22" si="1">AD$15*AH22+SUM(AI22:AK22)</f>
        <v>0</v>
      </c>
      <c r="AM22" s="3" t="s">
        <v>371</v>
      </c>
      <c r="AN22" s="3" t="s">
        <v>92</v>
      </c>
      <c r="AO22" s="3" t="s">
        <v>371</v>
      </c>
      <c r="AP22" s="3" t="s">
        <v>371</v>
      </c>
      <c r="AQ22" s="1414" t="s">
        <v>92</v>
      </c>
    </row>
    <row r="23" spans="1:44" ht="15.75" customHeight="1" x14ac:dyDescent="0.4">
      <c r="B23" s="36"/>
      <c r="C23" s="155"/>
      <c r="D23" s="155"/>
      <c r="E23" s="3"/>
      <c r="F23" s="155"/>
      <c r="G23" s="7"/>
      <c r="H23" s="20"/>
      <c r="P23" s="24"/>
      <c r="Q23" s="24"/>
      <c r="U23" s="20"/>
      <c r="V23" s="112" t="s">
        <v>2367</v>
      </c>
      <c r="W23" s="112" t="s">
        <v>370</v>
      </c>
      <c r="X23" s="279" t="s">
        <v>369</v>
      </c>
      <c r="Y23" s="1871">
        <v>200445152</v>
      </c>
      <c r="Z23" s="1443"/>
      <c r="AA23" s="20"/>
      <c r="AE23" s="3"/>
      <c r="AH23" s="844">
        <v>0</v>
      </c>
      <c r="AI23" s="39"/>
      <c r="AJ23" s="39"/>
      <c r="AK23" s="39"/>
      <c r="AL23" s="51">
        <f>AD$15*AH23+SUM(AI23:AK23)</f>
        <v>0</v>
      </c>
      <c r="AM23" s="3" t="s">
        <v>371</v>
      </c>
      <c r="AN23" s="3" t="s">
        <v>92</v>
      </c>
      <c r="AO23" s="3" t="s">
        <v>371</v>
      </c>
      <c r="AP23" s="3" t="s">
        <v>371</v>
      </c>
      <c r="AQ23" s="1414" t="s">
        <v>92</v>
      </c>
    </row>
    <row r="24" spans="1:44" ht="15.75" customHeight="1" x14ac:dyDescent="0.4">
      <c r="B24" s="36"/>
      <c r="C24" s="155"/>
      <c r="D24" s="155"/>
      <c r="E24" s="3"/>
      <c r="F24" s="155"/>
      <c r="G24" s="7"/>
      <c r="H24" s="20"/>
      <c r="P24" s="24"/>
      <c r="Q24" s="24"/>
      <c r="U24" s="20"/>
      <c r="V24" s="3" t="s">
        <v>2365</v>
      </c>
      <c r="W24" s="3" t="s">
        <v>370</v>
      </c>
      <c r="X24" s="38" t="s">
        <v>2365</v>
      </c>
      <c r="Y24" s="1443">
        <v>200445181</v>
      </c>
      <c r="Z24" s="1443"/>
      <c r="AA24" s="20"/>
      <c r="AE24" s="3"/>
      <c r="AH24" s="844"/>
      <c r="AI24" s="39"/>
      <c r="AJ24" s="39"/>
      <c r="AK24" s="39"/>
      <c r="AM24" s="3" t="s">
        <v>371</v>
      </c>
      <c r="AN24" s="3" t="s">
        <v>92</v>
      </c>
      <c r="AO24" s="3" t="s">
        <v>371</v>
      </c>
      <c r="AP24" s="3" t="s">
        <v>371</v>
      </c>
      <c r="AQ24" s="1414" t="s">
        <v>81</v>
      </c>
    </row>
    <row r="25" spans="1:44" ht="15.75" customHeight="1" thickBot="1" x14ac:dyDescent="0.45">
      <c r="B25" s="3"/>
      <c r="C25" s="943"/>
      <c r="D25" s="1037" t="s">
        <v>2352</v>
      </c>
      <c r="E25" s="1038"/>
      <c r="F25" s="1038"/>
      <c r="G25" s="1039"/>
      <c r="H25" s="1040"/>
      <c r="I25" s="710" t="s">
        <v>365</v>
      </c>
      <c r="J25" s="710"/>
      <c r="K25" s="710"/>
      <c r="L25" s="710"/>
      <c r="M25" s="1041"/>
      <c r="N25" s="1041"/>
      <c r="O25" s="1041"/>
      <c r="P25" s="1042"/>
      <c r="Q25" s="1042"/>
      <c r="R25" s="710" t="s">
        <v>352</v>
      </c>
      <c r="S25" s="1041">
        <f>FWHeight</f>
        <v>47.5</v>
      </c>
      <c r="T25" s="710" t="s">
        <v>366</v>
      </c>
      <c r="U25" s="1040"/>
      <c r="V25" s="1043" t="s">
        <v>369</v>
      </c>
      <c r="W25" s="710" t="s">
        <v>370</v>
      </c>
      <c r="X25" s="1043" t="s">
        <v>369</v>
      </c>
      <c r="Y25" s="1846">
        <v>120074014002</v>
      </c>
      <c r="Z25" s="1608"/>
      <c r="AA25" s="1040"/>
      <c r="AB25" s="710"/>
      <c r="AC25" s="710">
        <v>2</v>
      </c>
      <c r="AD25" s="1041">
        <f>AC25*S25/12</f>
        <v>7.916666666666667</v>
      </c>
      <c r="AE25" s="710" t="s">
        <v>367</v>
      </c>
      <c r="AF25" s="1041"/>
      <c r="AG25" s="1041"/>
      <c r="AH25" s="1611">
        <v>1.8700000000000001E-2</v>
      </c>
      <c r="AI25" s="1044"/>
      <c r="AJ25" s="1044"/>
      <c r="AK25" s="1044"/>
      <c r="AL25" s="1611">
        <f>AD$25*AH25+SUM(AI25:AK25)</f>
        <v>0.14804166666666668</v>
      </c>
      <c r="AM25" s="710" t="s">
        <v>92</v>
      </c>
      <c r="AN25" s="710" t="s">
        <v>92</v>
      </c>
      <c r="AO25" s="710" t="s">
        <v>92</v>
      </c>
      <c r="AP25" s="710" t="s">
        <v>92</v>
      </c>
      <c r="AQ25" s="1880" t="s">
        <v>81</v>
      </c>
      <c r="AR25" s="710"/>
    </row>
    <row r="26" spans="1:44" ht="15" customHeight="1" x14ac:dyDescent="0.4">
      <c r="B26" s="36"/>
      <c r="C26" s="7" t="s">
        <v>2269</v>
      </c>
      <c r="D26" s="155"/>
      <c r="F26" s="47" t="s">
        <v>391</v>
      </c>
      <c r="G26" s="7"/>
      <c r="H26" s="20"/>
      <c r="I26" s="3" t="s">
        <v>365</v>
      </c>
      <c r="L26" s="3" t="s">
        <v>348</v>
      </c>
      <c r="M26" s="5">
        <f>1.375*2</f>
        <v>2.75</v>
      </c>
      <c r="N26" s="5" t="s">
        <v>348</v>
      </c>
      <c r="O26" s="5">
        <f>0.25</f>
        <v>0.25</v>
      </c>
      <c r="R26" s="3" t="s">
        <v>352</v>
      </c>
      <c r="S26" s="5">
        <f>FWHeight+M26+O26</f>
        <v>50.5</v>
      </c>
      <c r="T26" s="3" t="s">
        <v>366</v>
      </c>
      <c r="U26" s="20"/>
      <c r="V26" s="7"/>
      <c r="W26" s="7"/>
      <c r="X26" s="7"/>
      <c r="Y26" s="1443"/>
      <c r="Z26" s="1443"/>
      <c r="AA26" s="20"/>
      <c r="AB26" s="3">
        <v>42</v>
      </c>
      <c r="AC26" s="3">
        <v>2</v>
      </c>
      <c r="AD26" s="5">
        <f>AC26*S26/12</f>
        <v>8.4166666666666661</v>
      </c>
      <c r="AE26" s="3" t="s">
        <v>367</v>
      </c>
      <c r="AF26" s="930">
        <v>1.39</v>
      </c>
      <c r="AG26" s="5">
        <f>AF26*AtolbperftFixed</f>
        <v>0.88237199999999993</v>
      </c>
      <c r="AH26" s="955">
        <f>AG26*FWTwinCost</f>
        <v>0.88237199999999993</v>
      </c>
      <c r="AM26" s="39" t="s">
        <v>371</v>
      </c>
      <c r="AN26" s="39" t="s">
        <v>92</v>
      </c>
      <c r="AO26" s="39" t="s">
        <v>371</v>
      </c>
      <c r="AP26" s="39" t="s">
        <v>371</v>
      </c>
      <c r="AQ26" s="1441" t="s">
        <v>371</v>
      </c>
      <c r="AR26" s="39"/>
    </row>
    <row r="27" spans="1:44" ht="15" customHeight="1" x14ac:dyDescent="0.4">
      <c r="B27" s="36"/>
      <c r="C27" s="155"/>
      <c r="D27" s="155"/>
      <c r="E27" s="47"/>
      <c r="F27" s="47" t="s">
        <v>1138</v>
      </c>
      <c r="G27" s="7"/>
      <c r="H27" s="20"/>
      <c r="I27" s="3" t="s">
        <v>365</v>
      </c>
      <c r="L27" s="3" t="s">
        <v>348</v>
      </c>
      <c r="M27" s="5">
        <v>0</v>
      </c>
      <c r="N27" s="5" t="s">
        <v>348</v>
      </c>
      <c r="O27" s="5">
        <v>0.25</v>
      </c>
      <c r="R27" s="3" t="s">
        <v>352</v>
      </c>
      <c r="S27" s="5">
        <f>FWHeight+M27+O27</f>
        <v>47.75</v>
      </c>
      <c r="T27" s="3" t="s">
        <v>366</v>
      </c>
      <c r="U27" s="20"/>
      <c r="V27" s="38" t="s">
        <v>369</v>
      </c>
      <c r="W27" s="3" t="s">
        <v>370</v>
      </c>
      <c r="X27" s="38" t="s">
        <v>369</v>
      </c>
      <c r="Y27" s="1443">
        <v>200149003</v>
      </c>
      <c r="Z27" s="1443"/>
      <c r="AA27" s="20"/>
      <c r="AE27" s="3"/>
      <c r="AF27" s="930"/>
      <c r="AH27" s="51">
        <v>0.72240000000000004</v>
      </c>
      <c r="AI27" s="39"/>
      <c r="AJ27" s="39"/>
      <c r="AK27" s="39"/>
      <c r="AL27" s="51">
        <f>AD$26*AH27+SUM(AI27:AK27)</f>
        <v>6.0801999999999996</v>
      </c>
      <c r="AM27" s="3" t="s">
        <v>371</v>
      </c>
      <c r="AN27" s="3" t="s">
        <v>92</v>
      </c>
      <c r="AO27" s="3" t="s">
        <v>371</v>
      </c>
      <c r="AP27" s="3" t="s">
        <v>371</v>
      </c>
      <c r="AQ27" s="1414" t="s">
        <v>92</v>
      </c>
    </row>
    <row r="28" spans="1:44" ht="15" customHeight="1" x14ac:dyDescent="0.4">
      <c r="B28" s="3"/>
      <c r="C28" s="3"/>
      <c r="D28" s="155"/>
      <c r="E28" s="155"/>
      <c r="F28" s="155"/>
      <c r="G28" s="7"/>
      <c r="H28" s="20"/>
      <c r="P28" s="24"/>
      <c r="Q28" s="24"/>
      <c r="U28" s="20"/>
      <c r="V28" s="38" t="s">
        <v>369</v>
      </c>
      <c r="W28" s="3" t="s">
        <v>372</v>
      </c>
      <c r="X28" s="38" t="s">
        <v>369</v>
      </c>
      <c r="Y28" s="1443">
        <v>200149021</v>
      </c>
      <c r="Z28" s="1443"/>
      <c r="AA28" s="20"/>
      <c r="AE28" s="3"/>
      <c r="AH28" s="51">
        <v>0.78439999999999999</v>
      </c>
      <c r="AI28" s="39"/>
      <c r="AJ28" s="39"/>
      <c r="AK28" s="39"/>
      <c r="AL28" s="51">
        <f t="shared" ref="AL28:AL31" si="2">AD$26*AH28+SUM(AI28:AK28)</f>
        <v>6.602033333333333</v>
      </c>
      <c r="AM28" s="3" t="s">
        <v>371</v>
      </c>
      <c r="AN28" s="3" t="s">
        <v>92</v>
      </c>
      <c r="AO28" s="3" t="s">
        <v>371</v>
      </c>
      <c r="AP28" s="3" t="s">
        <v>371</v>
      </c>
      <c r="AQ28" s="1414" t="s">
        <v>92</v>
      </c>
    </row>
    <row r="29" spans="1:44" ht="15.75" customHeight="1" x14ac:dyDescent="0.4">
      <c r="B29" s="3"/>
      <c r="C29" s="36"/>
      <c r="D29" s="155"/>
      <c r="E29" s="155"/>
      <c r="F29" s="155"/>
      <c r="G29" s="7"/>
      <c r="H29" s="20"/>
      <c r="P29" s="24"/>
      <c r="Q29" s="24"/>
      <c r="U29" s="20"/>
      <c r="V29" s="38" t="s">
        <v>369</v>
      </c>
      <c r="W29" s="3" t="s">
        <v>373</v>
      </c>
      <c r="X29" s="38" t="s">
        <v>369</v>
      </c>
      <c r="Y29" s="1443">
        <v>200149033</v>
      </c>
      <c r="Z29" s="1443"/>
      <c r="AA29" s="20"/>
      <c r="AE29" s="3"/>
      <c r="AH29" s="51">
        <v>0.86990000000000001</v>
      </c>
      <c r="AI29" s="39"/>
      <c r="AJ29" s="39"/>
      <c r="AK29" s="39"/>
      <c r="AL29" s="51">
        <f t="shared" si="2"/>
        <v>7.3216583333333327</v>
      </c>
      <c r="AM29" s="3" t="s">
        <v>371</v>
      </c>
      <c r="AN29" s="3" t="s">
        <v>92</v>
      </c>
      <c r="AO29" s="3" t="s">
        <v>371</v>
      </c>
      <c r="AP29" s="3" t="s">
        <v>371</v>
      </c>
      <c r="AQ29" s="1414" t="s">
        <v>92</v>
      </c>
    </row>
    <row r="30" spans="1:44" ht="15.75" customHeight="1" x14ac:dyDescent="0.4">
      <c r="B30" s="3"/>
      <c r="C30" s="36"/>
      <c r="D30" s="155"/>
      <c r="E30" s="155"/>
      <c r="F30" s="155"/>
      <c r="G30" s="7"/>
      <c r="H30" s="20"/>
      <c r="P30" s="24"/>
      <c r="Q30" s="24"/>
      <c r="U30" s="20"/>
      <c r="V30" s="3" t="s">
        <v>2363</v>
      </c>
      <c r="W30" s="3" t="s">
        <v>370</v>
      </c>
      <c r="X30" s="38" t="s">
        <v>369</v>
      </c>
      <c r="Y30" s="1443">
        <v>200149127</v>
      </c>
      <c r="Z30" s="1443"/>
      <c r="AA30" s="20"/>
      <c r="AE30" s="3"/>
      <c r="AH30" s="51">
        <v>0.9728</v>
      </c>
      <c r="AI30" s="39"/>
      <c r="AJ30" s="39"/>
      <c r="AK30" s="39"/>
      <c r="AL30" s="51">
        <f t="shared" si="2"/>
        <v>8.1877333333333322</v>
      </c>
      <c r="AM30" s="3" t="s">
        <v>371</v>
      </c>
      <c r="AN30" s="3" t="s">
        <v>92</v>
      </c>
      <c r="AO30" s="3" t="s">
        <v>371</v>
      </c>
      <c r="AP30" s="3" t="s">
        <v>371</v>
      </c>
      <c r="AQ30" s="1414" t="s">
        <v>92</v>
      </c>
    </row>
    <row r="31" spans="1:44" ht="15.75" customHeight="1" x14ac:dyDescent="0.4">
      <c r="B31" s="3"/>
      <c r="C31" s="36"/>
      <c r="D31" s="155"/>
      <c r="E31" s="155"/>
      <c r="F31" s="155"/>
      <c r="G31" s="7"/>
      <c r="H31" s="20"/>
      <c r="P31" s="24"/>
      <c r="Q31" s="24"/>
      <c r="U31" s="20"/>
      <c r="V31" s="572" t="s">
        <v>2366</v>
      </c>
      <c r="W31" s="572" t="s">
        <v>370</v>
      </c>
      <c r="X31" s="571" t="s">
        <v>369</v>
      </c>
      <c r="Y31" s="1447">
        <v>200149128</v>
      </c>
      <c r="Z31" s="1447"/>
      <c r="AA31" s="20"/>
      <c r="AE31" s="3"/>
      <c r="AH31" s="51">
        <v>0.86619999999999997</v>
      </c>
      <c r="AI31" s="39"/>
      <c r="AJ31" s="39"/>
      <c r="AK31" s="39"/>
      <c r="AL31" s="51">
        <f t="shared" si="2"/>
        <v>7.2905166666666661</v>
      </c>
      <c r="AM31" s="3" t="s">
        <v>371</v>
      </c>
      <c r="AN31" s="3" t="s">
        <v>92</v>
      </c>
      <c r="AO31" s="3" t="s">
        <v>371</v>
      </c>
      <c r="AP31" s="3" t="s">
        <v>371</v>
      </c>
      <c r="AQ31" s="1414" t="s">
        <v>92</v>
      </c>
    </row>
    <row r="32" spans="1:44" ht="15.75" customHeight="1" x14ac:dyDescent="0.4">
      <c r="B32" s="3"/>
      <c r="C32" s="36"/>
      <c r="D32" s="155"/>
      <c r="E32" s="155"/>
      <c r="F32" s="155"/>
      <c r="G32" s="7"/>
      <c r="H32" s="20"/>
      <c r="P32" s="24"/>
      <c r="Q32" s="24"/>
      <c r="U32" s="20"/>
      <c r="V32" s="3" t="s">
        <v>2364</v>
      </c>
      <c r="W32" s="3" t="s">
        <v>370</v>
      </c>
      <c r="X32" s="38" t="s">
        <v>369</v>
      </c>
      <c r="Y32" s="1443">
        <v>200149129</v>
      </c>
      <c r="Z32" s="1443"/>
      <c r="AA32" s="20"/>
      <c r="AE32" s="3"/>
      <c r="AH32" s="51">
        <v>0.86619999999999997</v>
      </c>
      <c r="AI32" s="39"/>
      <c r="AJ32" s="39"/>
      <c r="AK32" s="39"/>
      <c r="AL32" s="51">
        <f>AD$26*AH32+SUM(AI32:AK32)</f>
        <v>7.2905166666666661</v>
      </c>
      <c r="AM32" s="3" t="s">
        <v>371</v>
      </c>
      <c r="AN32" s="3" t="s">
        <v>92</v>
      </c>
      <c r="AO32" s="3" t="s">
        <v>371</v>
      </c>
      <c r="AP32" s="3" t="s">
        <v>371</v>
      </c>
      <c r="AQ32" s="1414" t="s">
        <v>92</v>
      </c>
    </row>
    <row r="33" spans="1:44" ht="15.75" customHeight="1" x14ac:dyDescent="0.4">
      <c r="B33" s="3"/>
      <c r="C33" s="36"/>
      <c r="D33" s="155"/>
      <c r="E33" s="155"/>
      <c r="F33" s="155"/>
      <c r="G33" s="7"/>
      <c r="H33" s="20"/>
      <c r="P33" s="24"/>
      <c r="Q33" s="24"/>
      <c r="U33" s="20"/>
      <c r="V33" s="3" t="s">
        <v>2365</v>
      </c>
      <c r="W33" s="3" t="s">
        <v>370</v>
      </c>
      <c r="X33" s="38" t="s">
        <v>369</v>
      </c>
      <c r="Y33" s="1443">
        <v>200149180</v>
      </c>
      <c r="Z33" s="1443"/>
      <c r="AA33" s="20"/>
      <c r="AE33" s="3"/>
      <c r="AH33" s="844">
        <v>0</v>
      </c>
      <c r="AI33" s="39"/>
      <c r="AJ33" s="39"/>
      <c r="AK33" s="39"/>
      <c r="AL33" s="51">
        <f t="shared" ref="AL33" si="3">AD$26*AH33+SUM(AI33:AK33)</f>
        <v>0</v>
      </c>
      <c r="AM33" s="3" t="s">
        <v>371</v>
      </c>
      <c r="AN33" s="3" t="s">
        <v>92</v>
      </c>
      <c r="AO33" s="3" t="s">
        <v>371</v>
      </c>
      <c r="AP33" s="3" t="s">
        <v>371</v>
      </c>
      <c r="AQ33" s="1414" t="s">
        <v>92</v>
      </c>
    </row>
    <row r="34" spans="1:44" ht="15.75" customHeight="1" x14ac:dyDescent="0.4">
      <c r="B34" s="3"/>
      <c r="C34" s="36"/>
      <c r="D34" s="155"/>
      <c r="E34" s="155"/>
      <c r="F34" s="155"/>
      <c r="G34" s="7"/>
      <c r="H34" s="20"/>
      <c r="P34" s="24"/>
      <c r="Q34" s="24"/>
      <c r="U34" s="20"/>
      <c r="V34" s="112" t="s">
        <v>2367</v>
      </c>
      <c r="W34" s="112" t="s">
        <v>370</v>
      </c>
      <c r="X34" s="279" t="s">
        <v>369</v>
      </c>
      <c r="Y34" s="1871">
        <v>200149152</v>
      </c>
      <c r="Z34" s="1443"/>
      <c r="AA34" s="20"/>
      <c r="AE34" s="3"/>
      <c r="AH34" s="51">
        <v>0</v>
      </c>
      <c r="AI34" s="39"/>
      <c r="AJ34" s="39"/>
      <c r="AK34" s="39"/>
      <c r="AL34" s="51">
        <f>AD$26*AH34+SUM(AI34:AK34)</f>
        <v>0</v>
      </c>
      <c r="AM34" s="3" t="s">
        <v>371</v>
      </c>
      <c r="AN34" s="3" t="s">
        <v>92</v>
      </c>
      <c r="AO34" s="3" t="s">
        <v>371</v>
      </c>
      <c r="AP34" s="3" t="s">
        <v>371</v>
      </c>
      <c r="AQ34" s="1414" t="s">
        <v>92</v>
      </c>
    </row>
    <row r="35" spans="1:44" ht="15.75" customHeight="1" x14ac:dyDescent="0.4">
      <c r="B35" s="3"/>
      <c r="C35" s="36"/>
      <c r="D35" s="155"/>
      <c r="E35" s="155"/>
      <c r="F35" s="155"/>
      <c r="G35" s="7"/>
      <c r="H35" s="20"/>
      <c r="P35" s="24"/>
      <c r="Q35" s="24"/>
      <c r="U35" s="20"/>
      <c r="V35" s="3" t="s">
        <v>2365</v>
      </c>
      <c r="W35" s="3" t="s">
        <v>370</v>
      </c>
      <c r="X35" s="38" t="s">
        <v>2365</v>
      </c>
      <c r="Y35" s="1443">
        <v>200149181</v>
      </c>
      <c r="Z35" s="1443"/>
      <c r="AA35" s="20"/>
      <c r="AE35" s="3"/>
      <c r="AI35" s="39"/>
      <c r="AJ35" s="39"/>
      <c r="AK35" s="39"/>
      <c r="AM35" s="3" t="s">
        <v>371</v>
      </c>
      <c r="AN35" s="3" t="s">
        <v>92</v>
      </c>
      <c r="AO35" s="3" t="s">
        <v>371</v>
      </c>
      <c r="AP35" s="3" t="s">
        <v>371</v>
      </c>
      <c r="AQ35" s="1414" t="s">
        <v>371</v>
      </c>
    </row>
    <row r="36" spans="1:44" ht="15.75" customHeight="1" thickBot="1" x14ac:dyDescent="0.45">
      <c r="B36" s="3"/>
      <c r="C36" s="943"/>
      <c r="D36" s="1037" t="s">
        <v>2352</v>
      </c>
      <c r="E36" s="1038"/>
      <c r="F36" s="1038"/>
      <c r="G36" s="1039"/>
      <c r="H36" s="1040"/>
      <c r="I36" s="710" t="s">
        <v>365</v>
      </c>
      <c r="J36" s="710"/>
      <c r="K36" s="710"/>
      <c r="L36" s="710"/>
      <c r="M36" s="1041"/>
      <c r="N36" s="1041"/>
      <c r="O36" s="1041"/>
      <c r="P36" s="1042"/>
      <c r="Q36" s="1042"/>
      <c r="R36" s="710" t="s">
        <v>352</v>
      </c>
      <c r="S36" s="1041">
        <f>FWHeight</f>
        <v>47.5</v>
      </c>
      <c r="T36" s="710" t="s">
        <v>366</v>
      </c>
      <c r="U36" s="1040"/>
      <c r="V36" s="1043" t="s">
        <v>369</v>
      </c>
      <c r="W36" s="710" t="s">
        <v>370</v>
      </c>
      <c r="X36" s="1043" t="s">
        <v>369</v>
      </c>
      <c r="Y36" s="1846">
        <v>120074014002</v>
      </c>
      <c r="Z36" s="1608"/>
      <c r="AA36" s="1040"/>
      <c r="AB36" s="710"/>
      <c r="AC36" s="710">
        <v>2</v>
      </c>
      <c r="AD36" s="1041">
        <f>AC36*S36/12</f>
        <v>7.916666666666667</v>
      </c>
      <c r="AE36" s="710" t="s">
        <v>367</v>
      </c>
      <c r="AF36" s="1041"/>
      <c r="AG36" s="1041"/>
      <c r="AH36" s="1611">
        <v>1.8700000000000001E-2</v>
      </c>
      <c r="AI36" s="1044"/>
      <c r="AJ36" s="1044"/>
      <c r="AK36" s="1044"/>
      <c r="AL36" s="1611">
        <f>AD$36*AH36+SUM(AI36:AK36)</f>
        <v>0.14804166666666668</v>
      </c>
      <c r="AM36" s="710" t="s">
        <v>92</v>
      </c>
      <c r="AN36" s="710" t="s">
        <v>92</v>
      </c>
      <c r="AO36" s="710" t="s">
        <v>92</v>
      </c>
      <c r="AP36" s="710" t="s">
        <v>92</v>
      </c>
      <c r="AQ36" s="1880" t="s">
        <v>371</v>
      </c>
      <c r="AR36" s="710"/>
    </row>
    <row r="37" spans="1:44" ht="15" customHeight="1" x14ac:dyDescent="0.4">
      <c r="A37" s="3" t="s">
        <v>376</v>
      </c>
      <c r="B37" s="3"/>
      <c r="C37" s="7" t="s">
        <v>377</v>
      </c>
      <c r="D37" s="3"/>
      <c r="E37" s="3"/>
      <c r="F37" s="47" t="s">
        <v>364</v>
      </c>
      <c r="H37" s="20"/>
      <c r="I37" s="3" t="s">
        <v>365</v>
      </c>
      <c r="L37" s="3" t="s">
        <v>348</v>
      </c>
      <c r="M37" s="5">
        <v>5.3129999999999997</v>
      </c>
      <c r="N37" s="5" t="s">
        <v>348</v>
      </c>
      <c r="O37" s="5">
        <v>0.125</v>
      </c>
      <c r="P37" s="24"/>
      <c r="Q37" s="24"/>
      <c r="R37" s="3" t="s">
        <v>352</v>
      </c>
      <c r="S37" s="5">
        <f>FWHeight+M37+O37</f>
        <v>52.938000000000002</v>
      </c>
      <c r="T37" s="3" t="s">
        <v>366</v>
      </c>
      <c r="U37" s="20"/>
      <c r="V37" s="7"/>
      <c r="W37" s="7"/>
      <c r="X37" s="7"/>
      <c r="Y37" s="1443"/>
      <c r="Z37" s="1443"/>
      <c r="AA37" s="20"/>
      <c r="AB37" s="3">
        <v>42</v>
      </c>
      <c r="AC37" s="3">
        <v>2</v>
      </c>
      <c r="AD37" s="5">
        <f>AC37*S37/12</f>
        <v>8.8230000000000004</v>
      </c>
      <c r="AE37" s="3" t="s">
        <v>367</v>
      </c>
      <c r="AF37" s="930">
        <v>1.0449999999999999</v>
      </c>
      <c r="AG37" s="5">
        <f>AF37*AtolbperftFixed</f>
        <v>0.66336600000000001</v>
      </c>
      <c r="AH37" s="955">
        <f>AG37*FWTwinCost</f>
        <v>0.66336600000000001</v>
      </c>
      <c r="AI37" s="39"/>
      <c r="AJ37" s="39"/>
      <c r="AK37" s="39"/>
      <c r="AM37" s="3" t="s">
        <v>371</v>
      </c>
      <c r="AN37" s="3" t="s">
        <v>92</v>
      </c>
      <c r="AO37" s="3" t="s">
        <v>371</v>
      </c>
      <c r="AP37" s="3" t="s">
        <v>371</v>
      </c>
      <c r="AQ37" s="1414" t="s">
        <v>371</v>
      </c>
    </row>
    <row r="38" spans="1:44" ht="15" customHeight="1" x14ac:dyDescent="0.4">
      <c r="A38" s="3" t="s">
        <v>378</v>
      </c>
      <c r="B38" s="3"/>
      <c r="C38" s="36"/>
      <c r="D38" s="7"/>
      <c r="E38" s="3"/>
      <c r="F38" s="47" t="s">
        <v>379</v>
      </c>
      <c r="H38" s="20"/>
      <c r="I38" s="3" t="s">
        <v>365</v>
      </c>
      <c r="L38" s="3" t="s">
        <v>348</v>
      </c>
      <c r="M38" s="5">
        <v>1.5629999999999999</v>
      </c>
      <c r="N38" s="5" t="s">
        <v>348</v>
      </c>
      <c r="O38" s="5">
        <v>0.125</v>
      </c>
      <c r="R38" s="3" t="s">
        <v>352</v>
      </c>
      <c r="S38" s="5">
        <f>FWHeight+M38+O38</f>
        <v>49.188000000000002</v>
      </c>
      <c r="T38" s="3" t="s">
        <v>366</v>
      </c>
      <c r="U38" s="20"/>
      <c r="V38" s="38" t="s">
        <v>369</v>
      </c>
      <c r="W38" s="3" t="s">
        <v>370</v>
      </c>
      <c r="X38" s="38" t="s">
        <v>369</v>
      </c>
      <c r="Y38" s="1443">
        <v>200175003</v>
      </c>
      <c r="Z38" s="1443"/>
      <c r="AA38" s="20"/>
      <c r="AE38" s="3"/>
      <c r="AF38" s="930"/>
      <c r="AH38" s="51">
        <v>0.56840000000000002</v>
      </c>
      <c r="AI38" s="39"/>
      <c r="AJ38" s="39"/>
      <c r="AK38" s="39"/>
      <c r="AL38" s="51">
        <f>AD$37*AH38+SUM(AI38:AK38)</f>
        <v>5.0149932000000002</v>
      </c>
      <c r="AM38" s="3" t="s">
        <v>371</v>
      </c>
      <c r="AN38" s="3" t="s">
        <v>92</v>
      </c>
      <c r="AO38" s="3" t="s">
        <v>371</v>
      </c>
      <c r="AP38" s="3" t="s">
        <v>371</v>
      </c>
      <c r="AQ38" s="1414" t="s">
        <v>92</v>
      </c>
    </row>
    <row r="39" spans="1:44" ht="15" customHeight="1" x14ac:dyDescent="0.4">
      <c r="B39" s="3"/>
      <c r="C39" s="36"/>
      <c r="D39" s="36"/>
      <c r="E39" s="155"/>
      <c r="F39" s="155" t="s">
        <v>380</v>
      </c>
      <c r="H39" s="20"/>
      <c r="I39" s="3" t="s">
        <v>365</v>
      </c>
      <c r="L39" s="3" t="s">
        <v>348</v>
      </c>
      <c r="M39" s="5">
        <f>M38</f>
        <v>1.5629999999999999</v>
      </c>
      <c r="N39" s="5" t="s">
        <v>348</v>
      </c>
      <c r="O39" s="5">
        <v>0</v>
      </c>
      <c r="P39" s="24"/>
      <c r="Q39" s="24"/>
      <c r="R39" s="3" t="s">
        <v>352</v>
      </c>
      <c r="S39" s="5">
        <f>FWHeight+M39+O39</f>
        <v>49.063000000000002</v>
      </c>
      <c r="T39" s="3" t="s">
        <v>366</v>
      </c>
      <c r="U39" s="20"/>
      <c r="V39" s="38" t="s">
        <v>369</v>
      </c>
      <c r="W39" s="3" t="s">
        <v>372</v>
      </c>
      <c r="X39" s="38" t="s">
        <v>369</v>
      </c>
      <c r="Y39" s="1443">
        <v>200175021</v>
      </c>
      <c r="Z39" s="1443"/>
      <c r="AA39" s="20"/>
      <c r="AE39" s="3"/>
      <c r="AH39" s="51">
        <v>0.61370000000000002</v>
      </c>
      <c r="AI39" s="39"/>
      <c r="AJ39" s="39"/>
      <c r="AK39" s="39"/>
      <c r="AL39" s="51">
        <f t="shared" ref="AL39:AL43" si="4">AD$37*AH39+SUM(AI39:AK39)</f>
        <v>5.4146751000000002</v>
      </c>
      <c r="AM39" s="3" t="s">
        <v>371</v>
      </c>
      <c r="AN39" s="3" t="s">
        <v>92</v>
      </c>
      <c r="AO39" s="3" t="s">
        <v>371</v>
      </c>
      <c r="AP39" s="3" t="s">
        <v>371</v>
      </c>
      <c r="AQ39" s="1414" t="s">
        <v>92</v>
      </c>
    </row>
    <row r="40" spans="1:44" ht="15" customHeight="1" x14ac:dyDescent="0.4">
      <c r="B40" s="3"/>
      <c r="C40" s="36"/>
      <c r="D40" s="36"/>
      <c r="E40" s="155"/>
      <c r="F40" s="155"/>
      <c r="G40" s="7"/>
      <c r="H40" s="20"/>
      <c r="P40" s="24"/>
      <c r="Q40" s="24"/>
      <c r="U40" s="20"/>
      <c r="V40" s="38" t="s">
        <v>369</v>
      </c>
      <c r="W40" s="3" t="s">
        <v>373</v>
      </c>
      <c r="X40" s="38" t="s">
        <v>369</v>
      </c>
      <c r="Y40" s="1443">
        <v>200175033</v>
      </c>
      <c r="Z40" s="1443"/>
      <c r="AA40" s="20"/>
      <c r="AE40" s="3"/>
      <c r="AH40" s="51">
        <v>0.67579999999999996</v>
      </c>
      <c r="AI40" s="39"/>
      <c r="AJ40" s="39"/>
      <c r="AK40" s="39"/>
      <c r="AL40" s="51">
        <f t="shared" si="4"/>
        <v>5.9625833999999998</v>
      </c>
      <c r="AM40" s="3" t="s">
        <v>371</v>
      </c>
      <c r="AN40" s="3" t="s">
        <v>92</v>
      </c>
      <c r="AO40" s="3" t="s">
        <v>371</v>
      </c>
      <c r="AP40" s="3" t="s">
        <v>371</v>
      </c>
      <c r="AQ40" s="1414" t="s">
        <v>92</v>
      </c>
    </row>
    <row r="41" spans="1:44" ht="15" customHeight="1" x14ac:dyDescent="0.4">
      <c r="B41" s="3"/>
      <c r="C41" s="36"/>
      <c r="D41" s="36"/>
      <c r="E41" s="155"/>
      <c r="F41" s="155"/>
      <c r="G41" s="7"/>
      <c r="H41" s="20"/>
      <c r="P41" s="24"/>
      <c r="Q41" s="24"/>
      <c r="U41" s="20"/>
      <c r="V41" s="3" t="s">
        <v>2363</v>
      </c>
      <c r="W41" s="3" t="s">
        <v>370</v>
      </c>
      <c r="X41" s="38" t="s">
        <v>369</v>
      </c>
      <c r="Y41" s="1443">
        <v>200175127</v>
      </c>
      <c r="Z41" s="1443"/>
      <c r="AA41" s="20"/>
      <c r="AE41" s="3"/>
      <c r="AH41" s="51">
        <v>0.73240000000000005</v>
      </c>
      <c r="AI41" s="39"/>
      <c r="AJ41" s="39"/>
      <c r="AK41" s="39"/>
      <c r="AL41" s="51">
        <f>AD$37*AH41+SUM(AI41:AK41)</f>
        <v>6.4619652000000007</v>
      </c>
      <c r="AM41" s="3" t="s">
        <v>371</v>
      </c>
      <c r="AN41" s="3" t="s">
        <v>92</v>
      </c>
      <c r="AO41" s="3" t="s">
        <v>371</v>
      </c>
      <c r="AP41" s="3" t="s">
        <v>371</v>
      </c>
      <c r="AQ41" s="1414" t="s">
        <v>92</v>
      </c>
    </row>
    <row r="42" spans="1:44" ht="15" customHeight="1" x14ac:dyDescent="0.4">
      <c r="B42" s="3"/>
      <c r="C42" s="36"/>
      <c r="D42" s="36"/>
      <c r="E42" s="155"/>
      <c r="F42" s="155"/>
      <c r="G42" s="7"/>
      <c r="H42" s="20"/>
      <c r="P42" s="24"/>
      <c r="Q42" s="24"/>
      <c r="U42" s="20"/>
      <c r="V42" s="38" t="s">
        <v>2365</v>
      </c>
      <c r="W42" s="3" t="s">
        <v>370</v>
      </c>
      <c r="X42" s="38" t="s">
        <v>369</v>
      </c>
      <c r="Y42" s="1443">
        <v>200175180</v>
      </c>
      <c r="Z42" s="1443"/>
      <c r="AA42" s="20"/>
      <c r="AE42" s="3"/>
      <c r="AH42" s="844">
        <v>0</v>
      </c>
      <c r="AI42" s="39"/>
      <c r="AJ42" s="39"/>
      <c r="AK42" s="39"/>
      <c r="AL42" s="51">
        <f t="shared" ref="AL42" si="5">AD$37*AH42+SUM(AI42:AK42)</f>
        <v>0</v>
      </c>
      <c r="AM42" s="3" t="s">
        <v>371</v>
      </c>
      <c r="AN42" s="3" t="s">
        <v>92</v>
      </c>
      <c r="AO42" s="3" t="s">
        <v>371</v>
      </c>
      <c r="AP42" s="3" t="s">
        <v>371</v>
      </c>
      <c r="AQ42" s="1414" t="s">
        <v>371</v>
      </c>
    </row>
    <row r="43" spans="1:44" ht="15" customHeight="1" x14ac:dyDescent="0.4">
      <c r="B43" s="3"/>
      <c r="C43" s="36"/>
      <c r="D43" s="622"/>
      <c r="E43" s="623"/>
      <c r="F43" s="623"/>
      <c r="G43" s="221"/>
      <c r="H43" s="624"/>
      <c r="I43" s="577"/>
      <c r="J43" s="577"/>
      <c r="K43" s="577"/>
      <c r="L43" s="577"/>
      <c r="M43" s="575"/>
      <c r="N43" s="575"/>
      <c r="O43" s="575"/>
      <c r="P43" s="625"/>
      <c r="Q43" s="625"/>
      <c r="R43" s="577"/>
      <c r="S43" s="575"/>
      <c r="T43" s="577"/>
      <c r="U43" s="624"/>
      <c r="V43" s="1873" t="s">
        <v>2367</v>
      </c>
      <c r="W43" s="1873" t="s">
        <v>370</v>
      </c>
      <c r="X43" s="1874" t="s">
        <v>369</v>
      </c>
      <c r="Y43" s="1875">
        <v>200175152</v>
      </c>
      <c r="Z43" s="1446"/>
      <c r="AA43" s="624"/>
      <c r="AB43" s="577"/>
      <c r="AC43" s="577"/>
      <c r="AD43" s="575"/>
      <c r="AE43" s="577"/>
      <c r="AF43" s="575"/>
      <c r="AG43" s="575"/>
      <c r="AH43" s="626">
        <v>0</v>
      </c>
      <c r="AI43" s="581"/>
      <c r="AJ43" s="581"/>
      <c r="AK43" s="581"/>
      <c r="AL43" s="626">
        <f t="shared" si="4"/>
        <v>0</v>
      </c>
      <c r="AM43" s="577" t="s">
        <v>371</v>
      </c>
      <c r="AN43" s="577" t="s">
        <v>92</v>
      </c>
      <c r="AO43" s="577" t="s">
        <v>371</v>
      </c>
      <c r="AP43" s="577" t="s">
        <v>371</v>
      </c>
      <c r="AQ43" s="1881" t="s">
        <v>92</v>
      </c>
      <c r="AR43" s="577"/>
    </row>
    <row r="44" spans="1:44" ht="15" customHeight="1" thickBot="1" x14ac:dyDescent="0.45">
      <c r="B44" s="3"/>
      <c r="C44" s="36"/>
      <c r="D44" s="36" t="s">
        <v>381</v>
      </c>
      <c r="E44" s="155"/>
      <c r="F44" s="155"/>
      <c r="G44" s="924"/>
      <c r="H44" s="20"/>
      <c r="I44" s="3" t="s">
        <v>365</v>
      </c>
      <c r="L44" s="3" t="s">
        <v>348</v>
      </c>
      <c r="M44" s="5">
        <f>M37</f>
        <v>5.3129999999999997</v>
      </c>
      <c r="N44" s="5" t="s">
        <v>348</v>
      </c>
      <c r="O44" s="5">
        <f>O37</f>
        <v>0.125</v>
      </c>
      <c r="P44" s="24"/>
      <c r="Q44" s="24"/>
      <c r="R44" s="3" t="s">
        <v>352</v>
      </c>
      <c r="S44" s="5">
        <f>FWHeight+M44+O44</f>
        <v>52.938000000000002</v>
      </c>
      <c r="T44" s="3" t="s">
        <v>366</v>
      </c>
      <c r="U44" s="20"/>
      <c r="V44" s="38"/>
      <c r="X44" s="38"/>
      <c r="Y44" s="1443">
        <v>610025061</v>
      </c>
      <c r="Z44" s="41">
        <v>251882</v>
      </c>
      <c r="AA44" s="20"/>
      <c r="AC44" s="3">
        <v>2</v>
      </c>
      <c r="AD44" s="5">
        <f>AC44*S44/12</f>
        <v>8.8230000000000004</v>
      </c>
      <c r="AE44" s="3" t="s">
        <v>367</v>
      </c>
      <c r="AH44" s="51">
        <v>1.8599999999999998E-2</v>
      </c>
      <c r="AI44" s="39"/>
      <c r="AJ44" s="39"/>
      <c r="AK44" s="39"/>
      <c r="AL44" s="51">
        <f>AD$44*AH44+SUM(AI44:AK44)</f>
        <v>0.1641078</v>
      </c>
      <c r="AM44" s="889" t="s">
        <v>371</v>
      </c>
      <c r="AN44" s="889" t="s">
        <v>92</v>
      </c>
      <c r="AO44" s="889" t="s">
        <v>371</v>
      </c>
      <c r="AP44" s="889" t="s">
        <v>371</v>
      </c>
      <c r="AQ44" s="1590" t="s">
        <v>371</v>
      </c>
      <c r="AR44" s="889"/>
    </row>
    <row r="45" spans="1:44" ht="15" customHeight="1" x14ac:dyDescent="0.4">
      <c r="B45" s="3"/>
      <c r="C45" s="173" t="s">
        <v>382</v>
      </c>
      <c r="D45" s="181"/>
      <c r="E45" s="182"/>
      <c r="F45" s="182"/>
      <c r="G45" s="430" t="s">
        <v>383</v>
      </c>
      <c r="H45" s="175"/>
      <c r="I45" s="116" t="s">
        <v>365</v>
      </c>
      <c r="J45" s="116"/>
      <c r="K45" s="116"/>
      <c r="L45" s="116" t="s">
        <v>348</v>
      </c>
      <c r="M45" s="177">
        <v>3</v>
      </c>
      <c r="N45" s="177" t="s">
        <v>348</v>
      </c>
      <c r="O45" s="177">
        <f>0.25</f>
        <v>0.25</v>
      </c>
      <c r="P45" s="178"/>
      <c r="Q45" s="178"/>
      <c r="R45" s="116" t="s">
        <v>352</v>
      </c>
      <c r="S45" s="177">
        <f>FWHeight+M45+O45</f>
        <v>50.75</v>
      </c>
      <c r="T45" s="116" t="s">
        <v>366</v>
      </c>
      <c r="U45" s="175"/>
      <c r="V45" s="179"/>
      <c r="W45" s="116"/>
      <c r="X45" s="179"/>
      <c r="Y45" s="184"/>
      <c r="Z45" s="184"/>
      <c r="AA45" s="175"/>
      <c r="AB45" s="116">
        <v>42</v>
      </c>
      <c r="AC45" s="116">
        <v>2</v>
      </c>
      <c r="AD45" s="177">
        <f>AC45*S45/12</f>
        <v>8.4583333333333339</v>
      </c>
      <c r="AE45" s="116" t="s">
        <v>367</v>
      </c>
      <c r="AF45" s="177">
        <v>0.10199999999999999</v>
      </c>
      <c r="AG45" s="177">
        <f>AF45*AtolbperftFixed</f>
        <v>6.4749600000000004E-2</v>
      </c>
      <c r="AH45" s="935">
        <f>AG45*FWSingleCost</f>
        <v>9.71244E-2</v>
      </c>
      <c r="AI45" s="185"/>
      <c r="AJ45" s="185"/>
      <c r="AK45" s="185"/>
      <c r="AL45" s="185"/>
      <c r="AM45" s="3" t="s">
        <v>371</v>
      </c>
      <c r="AN45" s="3" t="s">
        <v>92</v>
      </c>
      <c r="AO45" s="3" t="s">
        <v>371</v>
      </c>
      <c r="AP45" s="3" t="s">
        <v>371</v>
      </c>
      <c r="AQ45" s="1414" t="s">
        <v>371</v>
      </c>
    </row>
    <row r="46" spans="1:44" ht="15" customHeight="1" x14ac:dyDescent="0.4">
      <c r="B46" s="36"/>
      <c r="C46" s="36"/>
      <c r="D46" s="155"/>
      <c r="E46" s="155"/>
      <c r="F46" s="155"/>
      <c r="G46" s="7"/>
      <c r="H46" s="20"/>
      <c r="P46" s="24"/>
      <c r="Q46" s="24"/>
      <c r="U46" s="20"/>
      <c r="V46" s="38" t="s">
        <v>369</v>
      </c>
      <c r="W46" s="3" t="s">
        <v>370</v>
      </c>
      <c r="X46" s="38" t="s">
        <v>369</v>
      </c>
      <c r="Y46" s="1443">
        <v>200169003</v>
      </c>
      <c r="Z46" s="1443"/>
      <c r="AA46" s="20"/>
      <c r="AE46" s="3"/>
      <c r="AF46" s="930"/>
      <c r="AH46" s="51">
        <v>0.1221</v>
      </c>
      <c r="AI46" s="39"/>
      <c r="AJ46" s="39"/>
      <c r="AK46" s="39"/>
      <c r="AL46" s="51">
        <f>AD$45*AH46+SUM(AI46:AK46)</f>
        <v>1.0327625</v>
      </c>
      <c r="AM46" s="3" t="s">
        <v>371</v>
      </c>
      <c r="AN46" s="3" t="s">
        <v>92</v>
      </c>
      <c r="AO46" s="3" t="s">
        <v>371</v>
      </c>
      <c r="AP46" s="3" t="s">
        <v>371</v>
      </c>
      <c r="AQ46" s="1414" t="s">
        <v>92</v>
      </c>
    </row>
    <row r="47" spans="1:44" ht="15" customHeight="1" x14ac:dyDescent="0.4">
      <c r="B47" s="36"/>
      <c r="C47" s="36"/>
      <c r="D47" s="155"/>
      <c r="E47" s="155"/>
      <c r="F47" s="155"/>
      <c r="G47" s="7"/>
      <c r="H47" s="20"/>
      <c r="P47" s="24"/>
      <c r="Q47" s="24"/>
      <c r="U47" s="20"/>
      <c r="V47" s="38" t="s">
        <v>369</v>
      </c>
      <c r="W47" s="3" t="s">
        <v>372</v>
      </c>
      <c r="X47" s="38" t="s">
        <v>369</v>
      </c>
      <c r="Y47" s="1443">
        <v>200169021</v>
      </c>
      <c r="Z47" s="1443"/>
      <c r="AA47" s="20"/>
      <c r="AE47" s="3"/>
      <c r="AH47" s="51">
        <v>0.13439999999999999</v>
      </c>
      <c r="AI47" s="39"/>
      <c r="AJ47" s="39"/>
      <c r="AK47" s="39"/>
      <c r="AL47" s="51">
        <f t="shared" ref="AL47:AL48" si="6">AD$45*AH47+SUM(AI47:AK47)</f>
        <v>1.1368</v>
      </c>
      <c r="AM47" s="3" t="s">
        <v>371</v>
      </c>
      <c r="AN47" s="3" t="s">
        <v>92</v>
      </c>
      <c r="AO47" s="3" t="s">
        <v>371</v>
      </c>
      <c r="AP47" s="3" t="s">
        <v>371</v>
      </c>
      <c r="AQ47" s="1414" t="s">
        <v>92</v>
      </c>
    </row>
    <row r="48" spans="1:44" ht="15" customHeight="1" x14ac:dyDescent="0.4">
      <c r="B48" s="36"/>
      <c r="C48" s="36"/>
      <c r="D48" s="155"/>
      <c r="E48" s="155"/>
      <c r="F48" s="155"/>
      <c r="G48" s="7"/>
      <c r="H48" s="20"/>
      <c r="P48" s="24"/>
      <c r="Q48" s="24"/>
      <c r="U48" s="20"/>
      <c r="V48" s="38" t="s">
        <v>369</v>
      </c>
      <c r="W48" s="3" t="s">
        <v>373</v>
      </c>
      <c r="X48" s="38" t="s">
        <v>369</v>
      </c>
      <c r="Y48" s="1443">
        <v>200169033</v>
      </c>
      <c r="Z48" s="1443"/>
      <c r="AA48" s="20"/>
      <c r="AE48" s="3"/>
      <c r="AH48" s="51">
        <v>0.12479999999999999</v>
      </c>
      <c r="AI48" s="39"/>
      <c r="AJ48" s="39"/>
      <c r="AK48" s="39"/>
      <c r="AL48" s="51">
        <f t="shared" si="6"/>
        <v>1.0556000000000001</v>
      </c>
      <c r="AM48" s="3" t="s">
        <v>371</v>
      </c>
      <c r="AN48" s="3" t="s">
        <v>92</v>
      </c>
      <c r="AO48" s="3" t="s">
        <v>371</v>
      </c>
      <c r="AP48" s="3" t="s">
        <v>371</v>
      </c>
      <c r="AQ48" s="1414" t="s">
        <v>92</v>
      </c>
    </row>
    <row r="49" spans="1:55" ht="15" customHeight="1" x14ac:dyDescent="0.4">
      <c r="B49" s="36"/>
      <c r="C49" s="36"/>
      <c r="D49" s="155"/>
      <c r="E49" s="155"/>
      <c r="F49" s="155"/>
      <c r="G49" s="7"/>
      <c r="H49" s="20"/>
      <c r="P49" s="24"/>
      <c r="Q49" s="24"/>
      <c r="U49" s="20"/>
      <c r="V49" s="38" t="s">
        <v>369</v>
      </c>
      <c r="W49" s="3" t="s">
        <v>374</v>
      </c>
      <c r="X49" s="38" t="s">
        <v>369</v>
      </c>
      <c r="Y49" s="1443">
        <v>200169090</v>
      </c>
      <c r="Z49" s="1443"/>
      <c r="AA49" s="20"/>
      <c r="AE49" s="3"/>
      <c r="AH49" s="51">
        <v>0.22009999999999999</v>
      </c>
      <c r="AI49" s="39"/>
      <c r="AJ49" s="39"/>
      <c r="AK49" s="39"/>
      <c r="AL49" s="51">
        <f>AD$45*AH49+SUM(AI49:AK49)</f>
        <v>1.8616791666666668</v>
      </c>
      <c r="AM49" s="3" t="s">
        <v>371</v>
      </c>
      <c r="AN49" s="3" t="s">
        <v>92</v>
      </c>
      <c r="AO49" s="3" t="s">
        <v>371</v>
      </c>
      <c r="AP49" s="3" t="s">
        <v>371</v>
      </c>
      <c r="AQ49" s="1414" t="s">
        <v>92</v>
      </c>
    </row>
    <row r="50" spans="1:55" ht="15" customHeight="1" x14ac:dyDescent="0.4">
      <c r="B50" s="36"/>
      <c r="C50" s="36"/>
      <c r="D50" s="155"/>
      <c r="E50" s="155"/>
      <c r="F50" s="155"/>
      <c r="G50" s="7"/>
      <c r="H50" s="20"/>
      <c r="P50" s="24"/>
      <c r="Q50" s="24"/>
      <c r="U50" s="20"/>
      <c r="V50" s="38" t="s">
        <v>369</v>
      </c>
      <c r="W50" s="3" t="s">
        <v>375</v>
      </c>
      <c r="X50" s="38" t="s">
        <v>369</v>
      </c>
      <c r="Y50" s="1443">
        <v>200169133</v>
      </c>
      <c r="Z50" s="1443"/>
      <c r="AA50" s="20"/>
      <c r="AE50" s="3"/>
      <c r="AH50" s="844">
        <v>0</v>
      </c>
      <c r="AI50" s="39"/>
      <c r="AJ50" s="39"/>
      <c r="AK50" s="39"/>
      <c r="AL50" s="51">
        <f t="shared" ref="AL50" si="7">AD$45*AH50+SUM(AI50:AK50)</f>
        <v>0</v>
      </c>
      <c r="AM50" s="3" t="s">
        <v>371</v>
      </c>
      <c r="AN50" s="3" t="s">
        <v>92</v>
      </c>
      <c r="AO50" s="3" t="s">
        <v>371</v>
      </c>
      <c r="AP50" s="3" t="s">
        <v>371</v>
      </c>
      <c r="AQ50" s="1414" t="s">
        <v>371</v>
      </c>
    </row>
    <row r="51" spans="1:55" ht="15" customHeight="1" thickBot="1" x14ac:dyDescent="0.45">
      <c r="B51" s="36"/>
      <c r="C51" s="36"/>
      <c r="D51" s="155"/>
      <c r="E51" s="155"/>
      <c r="F51" s="155"/>
      <c r="G51" s="7"/>
      <c r="H51" s="20"/>
      <c r="P51" s="24"/>
      <c r="Q51" s="24"/>
      <c r="U51" s="20"/>
      <c r="V51" s="279" t="s">
        <v>369</v>
      </c>
      <c r="W51" s="112" t="s">
        <v>1849</v>
      </c>
      <c r="X51" s="279" t="s">
        <v>369</v>
      </c>
      <c r="Y51" s="1871">
        <v>200169148</v>
      </c>
      <c r="Z51" s="1443"/>
      <c r="AA51" s="20"/>
      <c r="AE51" s="3"/>
      <c r="AH51" s="937">
        <v>0</v>
      </c>
      <c r="AI51" s="947"/>
      <c r="AJ51" s="947"/>
      <c r="AK51" s="947"/>
      <c r="AL51" s="937">
        <f>AD$45*AH51+SUM(AI51:AK51)</f>
        <v>0</v>
      </c>
      <c r="AM51" s="889" t="s">
        <v>371</v>
      </c>
      <c r="AN51" s="889" t="s">
        <v>92</v>
      </c>
      <c r="AO51" s="889" t="s">
        <v>371</v>
      </c>
      <c r="AP51" s="889" t="s">
        <v>371</v>
      </c>
      <c r="AQ51" s="1590" t="s">
        <v>92</v>
      </c>
      <c r="AR51" s="889"/>
    </row>
    <row r="52" spans="1:55" ht="15" customHeight="1" x14ac:dyDescent="0.4">
      <c r="B52" s="36"/>
      <c r="C52" s="173" t="s">
        <v>384</v>
      </c>
      <c r="D52" s="181"/>
      <c r="E52" s="182"/>
      <c r="F52" s="182"/>
      <c r="G52" s="173"/>
      <c r="H52" s="175"/>
      <c r="I52" s="116"/>
      <c r="J52" s="116"/>
      <c r="K52" s="116"/>
      <c r="L52" s="116"/>
      <c r="M52" s="177"/>
      <c r="N52" s="177"/>
      <c r="O52" s="177"/>
      <c r="P52" s="178"/>
      <c r="Q52" s="178"/>
      <c r="R52" s="116"/>
      <c r="S52" s="198">
        <v>1</v>
      </c>
      <c r="T52" s="116" t="s">
        <v>385</v>
      </c>
      <c r="U52" s="175"/>
      <c r="V52" s="179"/>
      <c r="W52" s="116"/>
      <c r="X52" s="179"/>
      <c r="Y52" s="1449"/>
      <c r="Z52" s="1449"/>
      <c r="AA52" s="175"/>
      <c r="AB52" s="116">
        <v>42</v>
      </c>
      <c r="AC52" s="116">
        <v>2</v>
      </c>
      <c r="AD52" s="198">
        <f>AC52*S52</f>
        <v>2</v>
      </c>
      <c r="AE52" s="116" t="s">
        <v>385</v>
      </c>
      <c r="AF52" s="177">
        <v>0.19800000000000001</v>
      </c>
      <c r="AG52" s="177">
        <f>AF52*AtolbperftFixed</f>
        <v>0.12569040000000001</v>
      </c>
      <c r="AH52" s="935">
        <f>AG52*FWSingleCost</f>
        <v>0.18853560000000003</v>
      </c>
      <c r="AI52" s="185"/>
      <c r="AJ52" s="185"/>
      <c r="AK52" s="185"/>
      <c r="AL52" s="185"/>
      <c r="AM52" s="3" t="s">
        <v>81</v>
      </c>
      <c r="AN52" s="3" t="s">
        <v>92</v>
      </c>
      <c r="AO52" s="3" t="s">
        <v>81</v>
      </c>
      <c r="AP52" s="3" t="s">
        <v>81</v>
      </c>
      <c r="AQ52" s="1414" t="s">
        <v>81</v>
      </c>
    </row>
    <row r="53" spans="1:55" ht="15" customHeight="1" x14ac:dyDescent="0.4">
      <c r="B53" s="36"/>
      <c r="C53" s="36"/>
      <c r="D53" s="155"/>
      <c r="E53" s="155"/>
      <c r="F53" s="155"/>
      <c r="G53" s="7"/>
      <c r="H53" s="20"/>
      <c r="P53" s="24"/>
      <c r="Q53" s="24"/>
      <c r="U53" s="20"/>
      <c r="V53" s="38" t="s">
        <v>369</v>
      </c>
      <c r="W53" s="3" t="s">
        <v>386</v>
      </c>
      <c r="X53" s="38" t="s">
        <v>369</v>
      </c>
      <c r="Y53" s="1443">
        <v>200162008</v>
      </c>
      <c r="Z53" s="1443"/>
      <c r="AA53" s="20"/>
      <c r="AE53" s="3"/>
      <c r="AF53" s="930"/>
      <c r="AH53" s="51">
        <v>8.72E-2</v>
      </c>
      <c r="AI53" s="39"/>
      <c r="AJ53" s="39"/>
      <c r="AK53" s="39"/>
      <c r="AL53" s="51">
        <f>AD$52*AH53+SUM(AI53:AK53)</f>
        <v>0.1744</v>
      </c>
      <c r="AM53" s="3" t="s">
        <v>81</v>
      </c>
      <c r="AN53" s="3" t="s">
        <v>92</v>
      </c>
      <c r="AO53" s="3" t="s">
        <v>81</v>
      </c>
      <c r="AP53" s="3" t="s">
        <v>81</v>
      </c>
      <c r="AQ53" s="1414" t="s">
        <v>81</v>
      </c>
    </row>
    <row r="54" spans="1:55" ht="15" customHeight="1" x14ac:dyDescent="0.4">
      <c r="B54" s="36"/>
      <c r="C54" s="36"/>
      <c r="D54" s="155"/>
      <c r="E54" s="155"/>
      <c r="F54" s="155"/>
      <c r="G54" s="7"/>
      <c r="H54" s="20"/>
      <c r="P54" s="24"/>
      <c r="Q54" s="24"/>
      <c r="U54" s="20"/>
      <c r="V54" s="571"/>
      <c r="W54" s="572"/>
      <c r="X54" s="571"/>
      <c r="Y54" s="1447"/>
      <c r="Z54" s="1447"/>
      <c r="AA54" s="20"/>
      <c r="AE54" s="3"/>
      <c r="AI54" s="39"/>
      <c r="AJ54" s="39"/>
      <c r="AK54" s="39"/>
      <c r="AQ54" s="1414"/>
    </row>
    <row r="55" spans="1:55" ht="15" customHeight="1" thickBot="1" x14ac:dyDescent="0.45">
      <c r="B55" s="36"/>
      <c r="C55" s="943"/>
      <c r="D55" s="925"/>
      <c r="E55" s="925"/>
      <c r="F55" s="925"/>
      <c r="G55" s="924"/>
      <c r="H55" s="887"/>
      <c r="I55" s="889"/>
      <c r="J55" s="889"/>
      <c r="K55" s="889"/>
      <c r="L55" s="889"/>
      <c r="M55" s="945"/>
      <c r="N55" s="945"/>
      <c r="O55" s="945"/>
      <c r="P55" s="1020"/>
      <c r="Q55" s="1020"/>
      <c r="R55" s="889"/>
      <c r="S55" s="945"/>
      <c r="T55" s="889"/>
      <c r="U55" s="887"/>
      <c r="V55" s="1188"/>
      <c r="W55" s="1189"/>
      <c r="X55" s="1188"/>
      <c r="Y55" s="1448"/>
      <c r="Z55" s="1448"/>
      <c r="AA55" s="887"/>
      <c r="AB55" s="889"/>
      <c r="AC55" s="889"/>
      <c r="AD55" s="945"/>
      <c r="AE55" s="889"/>
      <c r="AF55" s="945"/>
      <c r="AG55" s="945"/>
      <c r="AH55" s="937"/>
      <c r="AI55" s="947"/>
      <c r="AJ55" s="947"/>
      <c r="AK55" s="947"/>
      <c r="AL55" s="937"/>
      <c r="AM55" s="889"/>
      <c r="AN55" s="889"/>
      <c r="AO55" s="889"/>
      <c r="AP55" s="889"/>
      <c r="AQ55" s="1590"/>
      <c r="AR55" s="889"/>
    </row>
    <row r="56" spans="1:55" ht="15" customHeight="1" x14ac:dyDescent="0.4">
      <c r="B56" s="3"/>
      <c r="C56" s="173" t="s">
        <v>387</v>
      </c>
      <c r="D56" s="181"/>
      <c r="E56" s="182"/>
      <c r="F56" s="182"/>
      <c r="G56" s="173"/>
      <c r="H56" s="175"/>
      <c r="I56" s="116" t="s">
        <v>365</v>
      </c>
      <c r="J56" s="116"/>
      <c r="K56" s="116"/>
      <c r="L56" s="116" t="s">
        <v>348</v>
      </c>
      <c r="M56" s="177">
        <v>0.438</v>
      </c>
      <c r="N56" s="177"/>
      <c r="O56" s="177"/>
      <c r="P56" s="178"/>
      <c r="Q56" s="178"/>
      <c r="R56" s="116" t="s">
        <v>352</v>
      </c>
      <c r="S56" s="177">
        <f>FWHeight+M56+O56</f>
        <v>47.938000000000002</v>
      </c>
      <c r="T56" s="116" t="s">
        <v>366</v>
      </c>
      <c r="U56" s="175"/>
      <c r="V56" s="179"/>
      <c r="W56" s="116"/>
      <c r="X56" s="179"/>
      <c r="Y56" s="1449"/>
      <c r="Z56" s="1449"/>
      <c r="AA56" s="175"/>
      <c r="AB56" s="116">
        <v>42</v>
      </c>
      <c r="AC56" s="116">
        <v>2</v>
      </c>
      <c r="AD56" s="177">
        <f>AC56*S56/12</f>
        <v>7.9896666666666674</v>
      </c>
      <c r="AE56" s="116" t="s">
        <v>367</v>
      </c>
      <c r="AF56" s="177">
        <v>9.4E-2</v>
      </c>
      <c r="AG56" s="177">
        <f>AF56*AtolbperftFixed</f>
        <v>5.9671200000000001E-2</v>
      </c>
      <c r="AH56" s="935">
        <f>AG56*FWSingleCost</f>
        <v>8.9506799999999997E-2</v>
      </c>
      <c r="AI56" s="185"/>
      <c r="AJ56" s="185"/>
      <c r="AK56" s="185"/>
      <c r="AL56" s="185"/>
      <c r="AM56" s="3" t="s">
        <v>371</v>
      </c>
      <c r="AN56" s="3" t="s">
        <v>92</v>
      </c>
      <c r="AO56" s="3" t="s">
        <v>371</v>
      </c>
      <c r="AP56" s="3" t="s">
        <v>371</v>
      </c>
      <c r="AQ56" s="1414" t="s">
        <v>371</v>
      </c>
      <c r="AY56" s="139"/>
      <c r="AZ56" s="139"/>
      <c r="BA56" s="139"/>
      <c r="BB56" s="139"/>
      <c r="BC56" s="139"/>
    </row>
    <row r="57" spans="1:55" ht="15" customHeight="1" x14ac:dyDescent="0.4">
      <c r="B57" s="36"/>
      <c r="C57" s="36"/>
      <c r="D57" s="155"/>
      <c r="E57" s="155"/>
      <c r="F57" s="155"/>
      <c r="G57" s="7"/>
      <c r="H57" s="20"/>
      <c r="P57" s="24"/>
      <c r="Q57" s="24"/>
      <c r="U57" s="20"/>
      <c r="V57" s="38" t="s">
        <v>369</v>
      </c>
      <c r="W57" s="3" t="s">
        <v>370</v>
      </c>
      <c r="X57" s="38" t="s">
        <v>369</v>
      </c>
      <c r="Y57" s="1443">
        <v>200178003</v>
      </c>
      <c r="Z57" s="1443"/>
      <c r="AA57" s="20"/>
      <c r="AE57" s="3"/>
      <c r="AF57" s="930"/>
      <c r="AH57" s="51">
        <v>0.10589999999999999</v>
      </c>
      <c r="AI57" s="39"/>
      <c r="AJ57" s="39"/>
      <c r="AK57" s="39"/>
      <c r="AL57" s="51">
        <f>AD$56*AH57+SUM(AI57:AK57)</f>
        <v>0.84610570000000007</v>
      </c>
      <c r="AM57" s="3" t="s">
        <v>371</v>
      </c>
      <c r="AN57" s="3" t="s">
        <v>92</v>
      </c>
      <c r="AO57" s="3" t="s">
        <v>371</v>
      </c>
      <c r="AP57" s="3" t="s">
        <v>371</v>
      </c>
      <c r="AQ57" s="1414" t="s">
        <v>92</v>
      </c>
      <c r="AY57" s="139"/>
      <c r="AZ57" s="139"/>
      <c r="BA57" s="139"/>
      <c r="BB57" s="139"/>
      <c r="BC57" s="139"/>
    </row>
    <row r="58" spans="1:55" ht="15" customHeight="1" x14ac:dyDescent="0.4">
      <c r="B58" s="36"/>
      <c r="C58" s="36"/>
      <c r="D58" s="155"/>
      <c r="E58" s="155"/>
      <c r="F58" s="155"/>
      <c r="G58" s="7"/>
      <c r="H58" s="20"/>
      <c r="P58" s="24"/>
      <c r="Q58" s="24"/>
      <c r="U58" s="20"/>
      <c r="V58" s="38" t="s">
        <v>369</v>
      </c>
      <c r="W58" s="3" t="s">
        <v>372</v>
      </c>
      <c r="X58" s="38" t="s">
        <v>369</v>
      </c>
      <c r="Y58" s="1443">
        <v>200178021</v>
      </c>
      <c r="Z58" s="1443"/>
      <c r="AA58" s="20"/>
      <c r="AE58" s="3"/>
      <c r="AH58" s="51">
        <v>0.1183</v>
      </c>
      <c r="AI58" s="39"/>
      <c r="AJ58" s="39"/>
      <c r="AK58" s="39"/>
      <c r="AL58" s="51">
        <f t="shared" ref="AL58:AL62" si="8">AD$56*AH58+SUM(AI58:AK58)</f>
        <v>0.94517756666666675</v>
      </c>
      <c r="AM58" s="3" t="s">
        <v>371</v>
      </c>
      <c r="AN58" s="3" t="s">
        <v>92</v>
      </c>
      <c r="AO58" s="3" t="s">
        <v>371</v>
      </c>
      <c r="AP58" s="3" t="s">
        <v>371</v>
      </c>
      <c r="AQ58" s="1414" t="s">
        <v>92</v>
      </c>
      <c r="AY58" s="139"/>
      <c r="AZ58" s="139"/>
      <c r="BA58" s="139"/>
      <c r="BB58" s="139"/>
      <c r="BC58" s="139"/>
    </row>
    <row r="59" spans="1:55" ht="15" customHeight="1" x14ac:dyDescent="0.4">
      <c r="B59" s="36"/>
      <c r="C59" s="36"/>
      <c r="D59" s="155"/>
      <c r="E59" s="155"/>
      <c r="F59" s="155"/>
      <c r="G59" s="7"/>
      <c r="H59" s="20"/>
      <c r="P59" s="24"/>
      <c r="Q59" s="24"/>
      <c r="U59" s="20"/>
      <c r="V59" s="38" t="s">
        <v>369</v>
      </c>
      <c r="W59" s="3" t="s">
        <v>373</v>
      </c>
      <c r="X59" s="38" t="s">
        <v>369</v>
      </c>
      <c r="Y59" s="1443">
        <v>200178033</v>
      </c>
      <c r="Z59" s="1443"/>
      <c r="AA59" s="20"/>
      <c r="AE59" s="3"/>
      <c r="AH59" s="51">
        <v>0.1275</v>
      </c>
      <c r="AI59" s="39"/>
      <c r="AJ59" s="39"/>
      <c r="AK59" s="39"/>
      <c r="AL59" s="51">
        <f t="shared" si="8"/>
        <v>1.0186825000000002</v>
      </c>
      <c r="AM59" s="3" t="s">
        <v>371</v>
      </c>
      <c r="AN59" s="3" t="s">
        <v>92</v>
      </c>
      <c r="AO59" s="3" t="s">
        <v>371</v>
      </c>
      <c r="AP59" s="3" t="s">
        <v>371</v>
      </c>
      <c r="AQ59" s="1414" t="s">
        <v>92</v>
      </c>
      <c r="AY59" s="139"/>
      <c r="AZ59" s="139"/>
      <c r="BA59" s="139"/>
      <c r="BB59" s="139"/>
      <c r="BC59" s="139"/>
    </row>
    <row r="60" spans="1:55" ht="15" customHeight="1" x14ac:dyDescent="0.4">
      <c r="B60" s="36"/>
      <c r="C60" s="36"/>
      <c r="D60" s="155"/>
      <c r="E60" s="155"/>
      <c r="F60" s="155"/>
      <c r="G60" s="7"/>
      <c r="H60" s="20"/>
      <c r="P60" s="24"/>
      <c r="Q60" s="24"/>
      <c r="U60" s="20"/>
      <c r="V60" s="38" t="s">
        <v>369</v>
      </c>
      <c r="W60" s="3" t="s">
        <v>374</v>
      </c>
      <c r="X60" s="38" t="s">
        <v>369</v>
      </c>
      <c r="Y60" s="1443">
        <v>200178090</v>
      </c>
      <c r="Z60" s="1443"/>
      <c r="AA60" s="20"/>
      <c r="AE60" s="3"/>
      <c r="AH60" s="51">
        <v>0.2167</v>
      </c>
      <c r="AI60" s="39"/>
      <c r="AJ60" s="39"/>
      <c r="AK60" s="39"/>
      <c r="AL60" s="51">
        <f>AD$56*AH60+SUM(AI60:AK60)</f>
        <v>1.7313607666666668</v>
      </c>
      <c r="AM60" s="3" t="s">
        <v>371</v>
      </c>
      <c r="AN60" s="3" t="s">
        <v>92</v>
      </c>
      <c r="AO60" s="3" t="s">
        <v>371</v>
      </c>
      <c r="AP60" s="3" t="s">
        <v>371</v>
      </c>
      <c r="AQ60" s="1414" t="s">
        <v>92</v>
      </c>
      <c r="AY60" s="139"/>
      <c r="AZ60" s="139"/>
      <c r="BA60" s="139"/>
      <c r="BB60" s="139"/>
      <c r="BC60" s="139"/>
    </row>
    <row r="61" spans="1:55" ht="15" customHeight="1" x14ac:dyDescent="0.4">
      <c r="B61" s="36"/>
      <c r="C61" s="36"/>
      <c r="D61" s="155"/>
      <c r="E61" s="155"/>
      <c r="F61" s="155"/>
      <c r="G61" s="7"/>
      <c r="H61" s="20"/>
      <c r="P61" s="24"/>
      <c r="Q61" s="24"/>
      <c r="U61" s="20"/>
      <c r="V61" s="38" t="s">
        <v>369</v>
      </c>
      <c r="W61" s="3" t="s">
        <v>375</v>
      </c>
      <c r="X61" s="38" t="s">
        <v>369</v>
      </c>
      <c r="Y61" s="1443">
        <v>200178133</v>
      </c>
      <c r="Z61" s="1443"/>
      <c r="AA61" s="20"/>
      <c r="AE61" s="3"/>
      <c r="AH61" s="844">
        <v>0</v>
      </c>
      <c r="AI61" s="39"/>
      <c r="AJ61" s="39"/>
      <c r="AK61" s="39"/>
      <c r="AL61" s="51">
        <f t="shared" ref="AL61" si="9">AD$56*AH61+SUM(AI61:AK61)</f>
        <v>0</v>
      </c>
      <c r="AM61" s="3" t="s">
        <v>371</v>
      </c>
      <c r="AN61" s="3" t="s">
        <v>92</v>
      </c>
      <c r="AO61" s="3" t="s">
        <v>371</v>
      </c>
      <c r="AP61" s="3" t="s">
        <v>371</v>
      </c>
      <c r="AQ61" s="1414" t="s">
        <v>371</v>
      </c>
      <c r="AY61" s="139"/>
      <c r="AZ61" s="139"/>
      <c r="BA61" s="139"/>
      <c r="BB61" s="139"/>
      <c r="BC61" s="139"/>
    </row>
    <row r="62" spans="1:55" ht="15" customHeight="1" thickBot="1" x14ac:dyDescent="0.45">
      <c r="B62" s="36"/>
      <c r="C62" s="36"/>
      <c r="D62" s="155"/>
      <c r="E62" s="155"/>
      <c r="F62" s="155"/>
      <c r="G62" s="7"/>
      <c r="H62" s="20"/>
      <c r="P62" s="24"/>
      <c r="Q62" s="24"/>
      <c r="U62" s="20"/>
      <c r="V62" s="279" t="s">
        <v>369</v>
      </c>
      <c r="W62" s="112" t="s">
        <v>1849</v>
      </c>
      <c r="X62" s="279" t="s">
        <v>369</v>
      </c>
      <c r="Y62" s="1871">
        <v>200178148</v>
      </c>
      <c r="Z62" s="1443"/>
      <c r="AA62" s="20"/>
      <c r="AE62" s="3"/>
      <c r="AH62" s="51">
        <v>0</v>
      </c>
      <c r="AI62" s="39"/>
      <c r="AJ62" s="39"/>
      <c r="AK62" s="39"/>
      <c r="AL62" s="51">
        <f t="shared" si="8"/>
        <v>0</v>
      </c>
      <c r="AM62" s="889" t="s">
        <v>371</v>
      </c>
      <c r="AN62" s="889" t="s">
        <v>92</v>
      </c>
      <c r="AO62" s="889" t="s">
        <v>371</v>
      </c>
      <c r="AP62" s="889" t="s">
        <v>371</v>
      </c>
      <c r="AQ62" s="1590" t="s">
        <v>92</v>
      </c>
      <c r="AR62" s="889"/>
      <c r="AY62" s="139"/>
      <c r="AZ62" s="139"/>
      <c r="BA62" s="139"/>
      <c r="BB62" s="139"/>
      <c r="BC62" s="139"/>
    </row>
    <row r="63" spans="1:55" ht="15" customHeight="1" thickBot="1" x14ac:dyDescent="0.45">
      <c r="B63" s="135" t="s">
        <v>388</v>
      </c>
      <c r="C63" s="173"/>
      <c r="D63" s="116"/>
      <c r="E63" s="136"/>
      <c r="F63" s="174"/>
      <c r="G63" s="173"/>
      <c r="H63" s="175"/>
      <c r="I63" s="116"/>
      <c r="J63" s="116"/>
      <c r="K63" s="116"/>
      <c r="L63" s="116"/>
      <c r="M63" s="116"/>
      <c r="N63" s="177"/>
      <c r="O63" s="177"/>
      <c r="P63" s="177"/>
      <c r="Q63" s="177"/>
      <c r="R63" s="116"/>
      <c r="S63" s="177"/>
      <c r="T63" s="116"/>
      <c r="U63" s="175"/>
      <c r="V63" s="173"/>
      <c r="W63" s="173"/>
      <c r="X63" s="173"/>
      <c r="Y63" s="1449"/>
      <c r="Z63" s="1449"/>
      <c r="AA63" s="175"/>
      <c r="AB63" s="116"/>
      <c r="AC63" s="116"/>
      <c r="AD63" s="177"/>
      <c r="AE63" s="116"/>
      <c r="AF63" s="627"/>
      <c r="AG63" s="177"/>
      <c r="AH63" s="185"/>
      <c r="AI63" s="185"/>
      <c r="AJ63" s="185"/>
      <c r="AK63" s="185"/>
      <c r="AL63" s="185"/>
      <c r="AM63" s="889" t="s">
        <v>81</v>
      </c>
      <c r="AN63" s="889" t="s">
        <v>92</v>
      </c>
      <c r="AO63" s="889" t="s">
        <v>81</v>
      </c>
      <c r="AP63" s="889" t="s">
        <v>81</v>
      </c>
      <c r="AQ63" s="1590" t="s">
        <v>81</v>
      </c>
      <c r="AR63" s="889"/>
    </row>
    <row r="64" spans="1:55" ht="15" customHeight="1" x14ac:dyDescent="0.4">
      <c r="A64" s="3" t="s">
        <v>389</v>
      </c>
      <c r="B64" s="7"/>
      <c r="C64" s="173" t="s">
        <v>2267</v>
      </c>
      <c r="D64" s="116"/>
      <c r="E64" s="138"/>
      <c r="F64" s="174" t="s">
        <v>391</v>
      </c>
      <c r="G64" s="173"/>
      <c r="H64" s="175"/>
      <c r="I64" s="116" t="s">
        <v>392</v>
      </c>
      <c r="J64" s="116"/>
      <c r="K64" s="116"/>
      <c r="L64" s="116" t="s">
        <v>348</v>
      </c>
      <c r="M64" s="177">
        <f>1.375*2</f>
        <v>2.75</v>
      </c>
      <c r="N64" s="177" t="s">
        <v>348</v>
      </c>
      <c r="O64" s="177">
        <f>0.25</f>
        <v>0.25</v>
      </c>
      <c r="P64" s="177"/>
      <c r="Q64" s="177"/>
      <c r="R64" s="116" t="s">
        <v>352</v>
      </c>
      <c r="S64" s="177">
        <f>FWWidth+M64+O64</f>
        <v>50.5</v>
      </c>
      <c r="T64" s="116" t="s">
        <v>366</v>
      </c>
      <c r="U64" s="175"/>
      <c r="V64" s="179"/>
      <c r="W64" s="116"/>
      <c r="X64" s="179"/>
      <c r="Y64" s="1449"/>
      <c r="Z64" s="1449"/>
      <c r="AA64" s="175"/>
      <c r="AB64" s="116">
        <v>42</v>
      </c>
      <c r="AC64" s="116">
        <v>1</v>
      </c>
      <c r="AD64" s="177">
        <f>AC64*S64/12</f>
        <v>4.208333333333333</v>
      </c>
      <c r="AE64" s="116" t="s">
        <v>367</v>
      </c>
      <c r="AF64" s="627">
        <v>1.1379999999999999</v>
      </c>
      <c r="AG64" s="177">
        <f>AF64*AtolbperftFixed</f>
        <v>0.7224024</v>
      </c>
      <c r="AH64" s="935">
        <f>AG64*FWTwinCost</f>
        <v>0.7224024</v>
      </c>
      <c r="AI64" s="185"/>
      <c r="AJ64" s="185"/>
      <c r="AK64" s="185"/>
      <c r="AL64" s="185"/>
      <c r="AM64" s="3" t="s">
        <v>81</v>
      </c>
      <c r="AN64" s="3" t="s">
        <v>92</v>
      </c>
      <c r="AO64" s="3" t="s">
        <v>81</v>
      </c>
      <c r="AP64" s="3" t="s">
        <v>81</v>
      </c>
      <c r="AQ64" s="1414" t="s">
        <v>81</v>
      </c>
    </row>
    <row r="65" spans="1:44" ht="15" customHeight="1" x14ac:dyDescent="0.4">
      <c r="B65" s="3"/>
      <c r="C65" s="36"/>
      <c r="D65" s="155"/>
      <c r="F65" s="47" t="s">
        <v>1138</v>
      </c>
      <c r="G65" s="7"/>
      <c r="H65" s="20"/>
      <c r="I65" s="3" t="s">
        <v>392</v>
      </c>
      <c r="L65" s="3" t="s">
        <v>348</v>
      </c>
      <c r="M65" s="5">
        <v>0</v>
      </c>
      <c r="N65" s="5" t="s">
        <v>348</v>
      </c>
      <c r="O65" s="5">
        <v>0.25</v>
      </c>
      <c r="R65" s="3" t="s">
        <v>352</v>
      </c>
      <c r="S65" s="5">
        <f>FWWidth+M65+O65</f>
        <v>47.75</v>
      </c>
      <c r="T65" s="3" t="s">
        <v>366</v>
      </c>
      <c r="U65" s="20"/>
      <c r="V65" s="38" t="s">
        <v>369</v>
      </c>
      <c r="W65" s="3" t="s">
        <v>370</v>
      </c>
      <c r="X65" s="38" t="s">
        <v>369</v>
      </c>
      <c r="Y65" s="1443">
        <v>200445003</v>
      </c>
      <c r="Z65" s="1443"/>
      <c r="AA65" s="20"/>
      <c r="AE65" s="3"/>
      <c r="AF65" s="930"/>
      <c r="AH65" s="51">
        <f t="shared" ref="AH65:AH71" si="10">AH16</f>
        <v>0.53380000000000005</v>
      </c>
      <c r="AI65" s="39"/>
      <c r="AJ65" s="39"/>
      <c r="AK65" s="39"/>
      <c r="AL65" s="51">
        <f>AD$64*AH65+SUM(AI65:AK65)</f>
        <v>2.2464083333333336</v>
      </c>
      <c r="AM65" s="3" t="s">
        <v>81</v>
      </c>
      <c r="AN65" s="3" t="s">
        <v>92</v>
      </c>
      <c r="AO65" s="3" t="s">
        <v>81</v>
      </c>
      <c r="AP65" s="3" t="s">
        <v>81</v>
      </c>
      <c r="AQ65" s="1414" t="s">
        <v>92</v>
      </c>
    </row>
    <row r="66" spans="1:44" ht="15" customHeight="1" x14ac:dyDescent="0.4">
      <c r="B66" s="3"/>
      <c r="C66" s="36"/>
      <c r="D66" s="155"/>
      <c r="E66" s="155"/>
      <c r="F66" s="155"/>
      <c r="G66" s="7"/>
      <c r="H66" s="20"/>
      <c r="U66" s="20"/>
      <c r="V66" s="38" t="s">
        <v>369</v>
      </c>
      <c r="W66" s="3" t="s">
        <v>372</v>
      </c>
      <c r="X66" s="38" t="s">
        <v>369</v>
      </c>
      <c r="Y66" s="1443">
        <v>200445021</v>
      </c>
      <c r="Z66" s="1443"/>
      <c r="AA66" s="20"/>
      <c r="AE66" s="3"/>
      <c r="AF66" s="930"/>
      <c r="AH66" s="51">
        <f t="shared" si="10"/>
        <v>0.57999999999999996</v>
      </c>
      <c r="AI66" s="39"/>
      <c r="AJ66" s="39"/>
      <c r="AK66" s="39"/>
      <c r="AL66" s="51">
        <f t="shared" ref="AL66:AL72" si="11">AD$64*AH66+SUM(AI66:AK66)</f>
        <v>2.440833333333333</v>
      </c>
      <c r="AM66" s="3" t="s">
        <v>371</v>
      </c>
      <c r="AN66" s="3" t="s">
        <v>92</v>
      </c>
      <c r="AO66" s="3" t="s">
        <v>371</v>
      </c>
      <c r="AP66" s="3" t="s">
        <v>371</v>
      </c>
      <c r="AQ66" s="1414" t="s">
        <v>92</v>
      </c>
    </row>
    <row r="67" spans="1:44" ht="15" customHeight="1" x14ac:dyDescent="0.4">
      <c r="B67" s="3"/>
      <c r="C67" s="36"/>
      <c r="D67" s="155"/>
      <c r="E67" s="155"/>
      <c r="F67" s="155"/>
      <c r="G67" s="7"/>
      <c r="H67" s="20"/>
      <c r="U67" s="20"/>
      <c r="V67" s="38" t="s">
        <v>369</v>
      </c>
      <c r="W67" s="3" t="s">
        <v>373</v>
      </c>
      <c r="X67" s="38" t="s">
        <v>369</v>
      </c>
      <c r="Y67" s="1443">
        <v>200445033</v>
      </c>
      <c r="Z67" s="1443"/>
      <c r="AA67" s="20"/>
      <c r="AE67" s="3"/>
      <c r="AF67" s="930"/>
      <c r="AH67" s="51">
        <f t="shared" si="10"/>
        <v>0.64390000000000003</v>
      </c>
      <c r="AI67" s="39"/>
      <c r="AJ67" s="39"/>
      <c r="AK67" s="39"/>
      <c r="AL67" s="51">
        <f t="shared" si="11"/>
        <v>2.7097458333333333</v>
      </c>
      <c r="AM67" s="3" t="s">
        <v>371</v>
      </c>
      <c r="AN67" s="3" t="s">
        <v>92</v>
      </c>
      <c r="AO67" s="3" t="s">
        <v>371</v>
      </c>
      <c r="AP67" s="3" t="s">
        <v>371</v>
      </c>
      <c r="AQ67" s="1414" t="s">
        <v>92</v>
      </c>
    </row>
    <row r="68" spans="1:44" ht="15" customHeight="1" x14ac:dyDescent="0.4">
      <c r="B68" s="3"/>
      <c r="C68" s="36"/>
      <c r="D68" s="155"/>
      <c r="E68" s="155"/>
      <c r="F68" s="155"/>
      <c r="G68" s="7"/>
      <c r="H68" s="20"/>
      <c r="U68" s="20"/>
      <c r="V68" s="3" t="s">
        <v>2363</v>
      </c>
      <c r="W68" s="3" t="s">
        <v>370</v>
      </c>
      <c r="X68" s="38" t="s">
        <v>369</v>
      </c>
      <c r="Y68" s="1443">
        <v>200445127</v>
      </c>
      <c r="Z68" s="1443"/>
      <c r="AA68" s="20"/>
      <c r="AE68" s="3"/>
      <c r="AF68" s="930"/>
      <c r="AH68" s="51">
        <f t="shared" si="10"/>
        <v>0.78280000000000005</v>
      </c>
      <c r="AI68" s="39"/>
      <c r="AJ68" s="39"/>
      <c r="AK68" s="39"/>
      <c r="AL68" s="51">
        <f t="shared" si="11"/>
        <v>3.2942833333333335</v>
      </c>
      <c r="AM68" s="3" t="s">
        <v>371</v>
      </c>
      <c r="AN68" s="3" t="s">
        <v>92</v>
      </c>
      <c r="AO68" s="3" t="s">
        <v>371</v>
      </c>
      <c r="AP68" s="3" t="s">
        <v>371</v>
      </c>
      <c r="AQ68" s="1414" t="s">
        <v>92</v>
      </c>
    </row>
    <row r="69" spans="1:44" ht="15" customHeight="1" x14ac:dyDescent="0.4">
      <c r="B69" s="3"/>
      <c r="C69" s="36"/>
      <c r="D69" s="155"/>
      <c r="E69" s="155"/>
      <c r="F69" s="155"/>
      <c r="G69" s="7"/>
      <c r="H69" s="20"/>
      <c r="U69" s="20"/>
      <c r="V69" s="572" t="s">
        <v>2366</v>
      </c>
      <c r="W69" s="572" t="s">
        <v>370</v>
      </c>
      <c r="X69" s="571" t="s">
        <v>369</v>
      </c>
      <c r="Y69" s="1447">
        <v>200445128</v>
      </c>
      <c r="Z69" s="1443"/>
      <c r="AA69" s="20"/>
      <c r="AE69" s="3"/>
      <c r="AF69" s="930"/>
      <c r="AH69" s="51">
        <f t="shared" si="10"/>
        <v>0.69099999999999995</v>
      </c>
      <c r="AI69" s="39"/>
      <c r="AJ69" s="39"/>
      <c r="AK69" s="39"/>
      <c r="AL69" s="51">
        <f t="shared" si="11"/>
        <v>2.9079583333333328</v>
      </c>
      <c r="AM69" s="3" t="s">
        <v>371</v>
      </c>
      <c r="AN69" s="3" t="s">
        <v>92</v>
      </c>
      <c r="AO69" s="3" t="s">
        <v>371</v>
      </c>
      <c r="AP69" s="3" t="s">
        <v>371</v>
      </c>
      <c r="AQ69" s="1414" t="s">
        <v>92</v>
      </c>
    </row>
    <row r="70" spans="1:44" ht="15" customHeight="1" x14ac:dyDescent="0.4">
      <c r="B70" s="3"/>
      <c r="C70" s="36"/>
      <c r="D70" s="155"/>
      <c r="E70" s="155"/>
      <c r="F70" s="155"/>
      <c r="G70" s="7"/>
      <c r="H70" s="20"/>
      <c r="U70" s="20"/>
      <c r="V70" s="3" t="s">
        <v>2364</v>
      </c>
      <c r="W70" s="3" t="s">
        <v>370</v>
      </c>
      <c r="X70" s="38" t="s">
        <v>369</v>
      </c>
      <c r="Y70" s="1443">
        <v>200445129</v>
      </c>
      <c r="Z70" s="1443"/>
      <c r="AA70" s="20"/>
      <c r="AE70" s="3"/>
      <c r="AF70" s="930"/>
      <c r="AH70" s="51">
        <f t="shared" si="10"/>
        <v>0.69099999999999995</v>
      </c>
      <c r="AI70" s="39"/>
      <c r="AJ70" s="39"/>
      <c r="AK70" s="39"/>
      <c r="AL70" s="51">
        <f>AD$64*AH70+SUM(AI70:AK70)</f>
        <v>2.9079583333333328</v>
      </c>
      <c r="AM70" s="3" t="s">
        <v>371</v>
      </c>
      <c r="AN70" s="3" t="s">
        <v>92</v>
      </c>
      <c r="AO70" s="3" t="s">
        <v>371</v>
      </c>
      <c r="AP70" s="3" t="s">
        <v>371</v>
      </c>
      <c r="AQ70" s="1414" t="s">
        <v>92</v>
      </c>
    </row>
    <row r="71" spans="1:44" ht="15" customHeight="1" x14ac:dyDescent="0.4">
      <c r="B71" s="3"/>
      <c r="C71" s="36"/>
      <c r="D71" s="155"/>
      <c r="E71" s="155"/>
      <c r="F71" s="155"/>
      <c r="G71" s="7"/>
      <c r="H71" s="20"/>
      <c r="U71" s="20"/>
      <c r="V71" s="3" t="s">
        <v>2365</v>
      </c>
      <c r="W71" s="3" t="s">
        <v>370</v>
      </c>
      <c r="X71" s="38" t="s">
        <v>369</v>
      </c>
      <c r="Y71" s="1443">
        <v>200445180</v>
      </c>
      <c r="Z71" s="1443"/>
      <c r="AA71" s="20"/>
      <c r="AE71" s="3"/>
      <c r="AF71" s="930"/>
      <c r="AH71" s="844">
        <f t="shared" si="10"/>
        <v>0</v>
      </c>
      <c r="AI71" s="39"/>
      <c r="AJ71" s="39"/>
      <c r="AK71" s="39"/>
      <c r="AL71" s="51">
        <f t="shared" ref="AL71" si="12">AD$64*AH71+SUM(AI71:AK71)</f>
        <v>0</v>
      </c>
      <c r="AM71" s="3" t="s">
        <v>371</v>
      </c>
      <c r="AN71" s="3" t="s">
        <v>92</v>
      </c>
      <c r="AO71" s="3" t="s">
        <v>371</v>
      </c>
      <c r="AP71" s="3" t="s">
        <v>371</v>
      </c>
      <c r="AQ71" s="1414" t="s">
        <v>92</v>
      </c>
    </row>
    <row r="72" spans="1:44" ht="15" customHeight="1" x14ac:dyDescent="0.4">
      <c r="B72" s="3"/>
      <c r="C72" s="36"/>
      <c r="D72" s="1847"/>
      <c r="E72" s="155"/>
      <c r="F72" s="155"/>
      <c r="G72" s="7"/>
      <c r="H72" s="20"/>
      <c r="U72" s="20"/>
      <c r="V72" s="112" t="s">
        <v>2367</v>
      </c>
      <c r="W72" s="112" t="s">
        <v>370</v>
      </c>
      <c r="X72" s="279" t="s">
        <v>369</v>
      </c>
      <c r="Y72" s="1871">
        <v>200445152</v>
      </c>
      <c r="Z72" s="1443"/>
      <c r="AA72" s="20"/>
      <c r="AE72" s="3"/>
      <c r="AF72" s="930"/>
      <c r="AH72" s="51">
        <v>0</v>
      </c>
      <c r="AI72" s="39"/>
      <c r="AJ72" s="39"/>
      <c r="AK72" s="39"/>
      <c r="AL72" s="51">
        <f t="shared" si="11"/>
        <v>0</v>
      </c>
      <c r="AM72" s="3" t="s">
        <v>371</v>
      </c>
      <c r="AN72" s="3" t="s">
        <v>92</v>
      </c>
      <c r="AO72" s="3" t="s">
        <v>371</v>
      </c>
      <c r="AP72" s="3" t="s">
        <v>371</v>
      </c>
      <c r="AQ72" s="1414" t="s">
        <v>92</v>
      </c>
    </row>
    <row r="73" spans="1:44" ht="15" customHeight="1" x14ac:dyDescent="0.4">
      <c r="B73" s="3"/>
      <c r="C73" s="36"/>
      <c r="D73" s="1847"/>
      <c r="E73" s="155"/>
      <c r="F73" s="155"/>
      <c r="G73" s="7"/>
      <c r="H73" s="20"/>
      <c r="U73" s="20"/>
      <c r="V73" s="3" t="s">
        <v>2365</v>
      </c>
      <c r="W73" s="3" t="s">
        <v>370</v>
      </c>
      <c r="X73" s="38" t="s">
        <v>2365</v>
      </c>
      <c r="Y73" s="1443">
        <v>200445181</v>
      </c>
      <c r="Z73" s="1443"/>
      <c r="AA73" s="20"/>
      <c r="AE73" s="3"/>
      <c r="AF73" s="930"/>
      <c r="AI73" s="39"/>
      <c r="AJ73" s="39"/>
      <c r="AK73" s="39"/>
      <c r="AM73" s="3" t="s">
        <v>371</v>
      </c>
      <c r="AN73" s="3" t="s">
        <v>92</v>
      </c>
      <c r="AO73" s="3" t="s">
        <v>371</v>
      </c>
      <c r="AP73" s="3" t="s">
        <v>371</v>
      </c>
      <c r="AQ73" s="1414" t="s">
        <v>81</v>
      </c>
    </row>
    <row r="74" spans="1:44" ht="15.75" customHeight="1" thickBot="1" x14ac:dyDescent="0.45">
      <c r="B74" s="3"/>
      <c r="C74" s="943"/>
      <c r="D74" s="1037" t="s">
        <v>2352</v>
      </c>
      <c r="E74" s="1038"/>
      <c r="F74" s="1038"/>
      <c r="G74" s="1039"/>
      <c r="H74" s="1040"/>
      <c r="I74" s="710" t="s">
        <v>392</v>
      </c>
      <c r="J74" s="710"/>
      <c r="K74" s="710"/>
      <c r="L74" s="710"/>
      <c r="M74" s="1041"/>
      <c r="N74" s="1041"/>
      <c r="O74" s="1041"/>
      <c r="P74" s="1042"/>
      <c r="Q74" s="1042"/>
      <c r="R74" s="710" t="s">
        <v>352</v>
      </c>
      <c r="S74" s="1041">
        <f>FWWidth</f>
        <v>47.5</v>
      </c>
      <c r="T74" s="710" t="s">
        <v>366</v>
      </c>
      <c r="U74" s="1040"/>
      <c r="V74" s="1043" t="s">
        <v>369</v>
      </c>
      <c r="W74" s="710" t="s">
        <v>370</v>
      </c>
      <c r="X74" s="1043" t="s">
        <v>369</v>
      </c>
      <c r="Y74" s="1846">
        <v>120074014002</v>
      </c>
      <c r="Z74" s="1608"/>
      <c r="AA74" s="1040"/>
      <c r="AB74" s="710"/>
      <c r="AC74" s="710">
        <v>1</v>
      </c>
      <c r="AD74" s="1041">
        <f>AC74*S74/12</f>
        <v>3.9583333333333335</v>
      </c>
      <c r="AE74" s="710" t="s">
        <v>367</v>
      </c>
      <c r="AF74" s="1041"/>
      <c r="AG74" s="1041"/>
      <c r="AH74" s="1611">
        <v>1.8700000000000001E-2</v>
      </c>
      <c r="AI74" s="1044"/>
      <c r="AJ74" s="1044"/>
      <c r="AK74" s="1044"/>
      <c r="AL74" s="1611">
        <f>AD$74*AH74+SUM(AI74:AK74)</f>
        <v>7.4020833333333341E-2</v>
      </c>
      <c r="AM74" s="710" t="s">
        <v>92</v>
      </c>
      <c r="AN74" s="710" t="s">
        <v>92</v>
      </c>
      <c r="AO74" s="710" t="s">
        <v>92</v>
      </c>
      <c r="AP74" s="710" t="s">
        <v>92</v>
      </c>
      <c r="AQ74" s="1880" t="s">
        <v>81</v>
      </c>
      <c r="AR74" s="710"/>
    </row>
    <row r="75" spans="1:44" ht="15" customHeight="1" x14ac:dyDescent="0.4">
      <c r="A75" s="3" t="s">
        <v>389</v>
      </c>
      <c r="B75" s="7"/>
      <c r="C75" s="7" t="s">
        <v>2270</v>
      </c>
      <c r="D75" s="3"/>
      <c r="F75" s="47"/>
      <c r="G75" s="7"/>
      <c r="H75" s="20"/>
      <c r="I75" s="8" t="s">
        <v>1139</v>
      </c>
      <c r="U75" s="20"/>
      <c r="V75" s="7"/>
      <c r="W75" s="7"/>
      <c r="X75" s="7"/>
      <c r="Y75" s="1443"/>
      <c r="Z75" s="1443"/>
      <c r="AA75" s="20"/>
      <c r="AB75" s="3">
        <v>42</v>
      </c>
      <c r="AC75" s="3">
        <v>2</v>
      </c>
      <c r="AD75" s="5">
        <f>AC75*S75/12</f>
        <v>0</v>
      </c>
      <c r="AE75" s="3" t="s">
        <v>367</v>
      </c>
      <c r="AF75" s="930">
        <f>AF26</f>
        <v>1.39</v>
      </c>
      <c r="AG75" s="5">
        <f>AF75*AtolbperftFixed</f>
        <v>0.88237199999999993</v>
      </c>
      <c r="AH75" s="955">
        <f>AG75*FWTwinCost</f>
        <v>0.88237199999999993</v>
      </c>
      <c r="AM75" s="3" t="s">
        <v>371</v>
      </c>
      <c r="AN75" s="3" t="s">
        <v>92</v>
      </c>
      <c r="AO75" s="3" t="s">
        <v>371</v>
      </c>
      <c r="AP75" s="3" t="s">
        <v>371</v>
      </c>
      <c r="AQ75" s="1414" t="s">
        <v>371</v>
      </c>
    </row>
    <row r="76" spans="1:44" ht="15" customHeight="1" x14ac:dyDescent="0.4">
      <c r="B76" s="36"/>
      <c r="C76" s="36"/>
      <c r="D76" s="155"/>
      <c r="E76" s="47"/>
      <c r="F76" s="47"/>
      <c r="G76" s="7"/>
      <c r="H76" s="20"/>
      <c r="U76" s="20"/>
      <c r="V76" s="38" t="s">
        <v>369</v>
      </c>
      <c r="W76" s="3" t="s">
        <v>370</v>
      </c>
      <c r="X76" s="38" t="s">
        <v>369</v>
      </c>
      <c r="Y76" s="1443">
        <v>200149003</v>
      </c>
      <c r="Z76" s="1443"/>
      <c r="AA76" s="20"/>
      <c r="AE76" s="3"/>
      <c r="AF76" s="930"/>
      <c r="AH76" s="51">
        <f t="shared" ref="AH76:AH82" si="13">AH27</f>
        <v>0.72240000000000004</v>
      </c>
      <c r="AI76" s="39"/>
      <c r="AJ76" s="39"/>
      <c r="AK76" s="39"/>
      <c r="AL76" s="51">
        <f>AD$75*AH76+SUM(AI76:AK76)</f>
        <v>0</v>
      </c>
      <c r="AM76" s="3" t="s">
        <v>371</v>
      </c>
      <c r="AN76" s="3" t="s">
        <v>92</v>
      </c>
      <c r="AO76" s="3" t="s">
        <v>371</v>
      </c>
      <c r="AP76" s="3" t="s">
        <v>371</v>
      </c>
      <c r="AQ76" s="1414" t="s">
        <v>371</v>
      </c>
    </row>
    <row r="77" spans="1:44" ht="15" customHeight="1" x14ac:dyDescent="0.4">
      <c r="B77" s="36"/>
      <c r="C77" s="36"/>
      <c r="D77" s="155"/>
      <c r="E77" s="155"/>
      <c r="F77" s="155"/>
      <c r="G77" s="7"/>
      <c r="H77" s="20"/>
      <c r="P77" s="24"/>
      <c r="Q77" s="24"/>
      <c r="U77" s="20"/>
      <c r="V77" s="38" t="s">
        <v>369</v>
      </c>
      <c r="W77" s="3" t="s">
        <v>372</v>
      </c>
      <c r="X77" s="38" t="s">
        <v>369</v>
      </c>
      <c r="Y77" s="1443">
        <v>200149021</v>
      </c>
      <c r="Z77" s="1443"/>
      <c r="AA77" s="20"/>
      <c r="AE77" s="3"/>
      <c r="AH77" s="51">
        <f t="shared" si="13"/>
        <v>0.78439999999999999</v>
      </c>
      <c r="AI77" s="39"/>
      <c r="AJ77" s="39"/>
      <c r="AK77" s="39"/>
      <c r="AL77" s="51">
        <f t="shared" ref="AL77:AL80" si="14">AD$75*AH77+SUM(AI77:AK77)</f>
        <v>0</v>
      </c>
      <c r="AM77" s="3" t="s">
        <v>371</v>
      </c>
      <c r="AN77" s="3" t="s">
        <v>92</v>
      </c>
      <c r="AO77" s="3" t="s">
        <v>371</v>
      </c>
      <c r="AP77" s="3" t="s">
        <v>371</v>
      </c>
      <c r="AQ77" s="1414" t="s">
        <v>92</v>
      </c>
    </row>
    <row r="78" spans="1:44" ht="15.75" customHeight="1" x14ac:dyDescent="0.4">
      <c r="B78" s="3"/>
      <c r="C78" s="36"/>
      <c r="D78" s="155"/>
      <c r="E78" s="155"/>
      <c r="F78" s="155"/>
      <c r="G78" s="7"/>
      <c r="H78" s="20"/>
      <c r="P78" s="24"/>
      <c r="Q78" s="24"/>
      <c r="U78" s="20"/>
      <c r="V78" s="38" t="s">
        <v>369</v>
      </c>
      <c r="W78" s="3" t="s">
        <v>373</v>
      </c>
      <c r="X78" s="38" t="s">
        <v>369</v>
      </c>
      <c r="Y78" s="1443">
        <v>200149033</v>
      </c>
      <c r="Z78" s="1443"/>
      <c r="AA78" s="20"/>
      <c r="AE78" s="3"/>
      <c r="AH78" s="51">
        <f t="shared" si="13"/>
        <v>0.86990000000000001</v>
      </c>
      <c r="AI78" s="39"/>
      <c r="AJ78" s="39"/>
      <c r="AK78" s="39"/>
      <c r="AL78" s="51">
        <f t="shared" si="14"/>
        <v>0</v>
      </c>
      <c r="AM78" s="3" t="s">
        <v>371</v>
      </c>
      <c r="AN78" s="3" t="s">
        <v>92</v>
      </c>
      <c r="AO78" s="3" t="s">
        <v>371</v>
      </c>
      <c r="AP78" s="3" t="s">
        <v>371</v>
      </c>
      <c r="AQ78" s="1414" t="s">
        <v>92</v>
      </c>
    </row>
    <row r="79" spans="1:44" ht="15.75" customHeight="1" x14ac:dyDescent="0.4">
      <c r="B79" s="3"/>
      <c r="C79" s="36"/>
      <c r="D79" s="155"/>
      <c r="E79" s="155"/>
      <c r="F79" s="155"/>
      <c r="G79" s="7"/>
      <c r="H79" s="20"/>
      <c r="P79" s="24"/>
      <c r="Q79" s="24"/>
      <c r="U79" s="20"/>
      <c r="V79" s="3" t="s">
        <v>2363</v>
      </c>
      <c r="W79" s="3" t="s">
        <v>370</v>
      </c>
      <c r="X79" s="38" t="s">
        <v>369</v>
      </c>
      <c r="Y79" s="1443">
        <v>200149127</v>
      </c>
      <c r="Z79" s="1443"/>
      <c r="AA79" s="20"/>
      <c r="AE79" s="3"/>
      <c r="AH79" s="51">
        <f t="shared" si="13"/>
        <v>0.9728</v>
      </c>
      <c r="AI79" s="39"/>
      <c r="AJ79" s="39"/>
      <c r="AK79" s="39"/>
      <c r="AL79" s="51">
        <f t="shared" si="14"/>
        <v>0</v>
      </c>
      <c r="AM79" s="3" t="s">
        <v>371</v>
      </c>
      <c r="AN79" s="3" t="s">
        <v>92</v>
      </c>
      <c r="AO79" s="3" t="s">
        <v>371</v>
      </c>
      <c r="AP79" s="3" t="s">
        <v>371</v>
      </c>
      <c r="AQ79" s="1414" t="s">
        <v>92</v>
      </c>
    </row>
    <row r="80" spans="1:44" ht="15.75" customHeight="1" x14ac:dyDescent="0.4">
      <c r="B80" s="3"/>
      <c r="C80" s="36"/>
      <c r="D80" s="155"/>
      <c r="E80" s="155"/>
      <c r="F80" s="155"/>
      <c r="G80" s="7"/>
      <c r="H80" s="20"/>
      <c r="P80" s="24"/>
      <c r="Q80" s="24"/>
      <c r="U80" s="20"/>
      <c r="V80" s="572" t="s">
        <v>2366</v>
      </c>
      <c r="W80" s="572" t="s">
        <v>370</v>
      </c>
      <c r="X80" s="571" t="s">
        <v>369</v>
      </c>
      <c r="Y80" s="1447">
        <v>200149128</v>
      </c>
      <c r="Z80" s="1443"/>
      <c r="AA80" s="20"/>
      <c r="AE80" s="3"/>
      <c r="AH80" s="51">
        <f t="shared" si="13"/>
        <v>0.86619999999999997</v>
      </c>
      <c r="AI80" s="39"/>
      <c r="AJ80" s="39"/>
      <c r="AK80" s="39"/>
      <c r="AL80" s="51">
        <f t="shared" si="14"/>
        <v>0</v>
      </c>
      <c r="AM80" s="3" t="s">
        <v>371</v>
      </c>
      <c r="AN80" s="3" t="s">
        <v>92</v>
      </c>
      <c r="AO80" s="3" t="s">
        <v>371</v>
      </c>
      <c r="AP80" s="3" t="s">
        <v>371</v>
      </c>
      <c r="AQ80" s="1414" t="s">
        <v>92</v>
      </c>
    </row>
    <row r="81" spans="1:44" ht="15.75" customHeight="1" x14ac:dyDescent="0.4">
      <c r="B81" s="3"/>
      <c r="C81" s="36"/>
      <c r="D81" s="155"/>
      <c r="E81" s="155"/>
      <c r="F81" s="155"/>
      <c r="G81" s="7"/>
      <c r="H81" s="20"/>
      <c r="P81" s="24"/>
      <c r="Q81" s="24"/>
      <c r="U81" s="20"/>
      <c r="V81" s="3" t="s">
        <v>2364</v>
      </c>
      <c r="W81" s="3" t="s">
        <v>370</v>
      </c>
      <c r="X81" s="38" t="s">
        <v>369</v>
      </c>
      <c r="Y81" s="1443">
        <v>200149129</v>
      </c>
      <c r="Z81" s="1443"/>
      <c r="AA81" s="20"/>
      <c r="AE81" s="3"/>
      <c r="AH81" s="51">
        <f t="shared" si="13"/>
        <v>0.86619999999999997</v>
      </c>
      <c r="AI81" s="39"/>
      <c r="AJ81" s="39"/>
      <c r="AK81" s="39"/>
      <c r="AL81" s="51">
        <f>AD$75*AH81+SUM(AI81:AK81)</f>
        <v>0</v>
      </c>
      <c r="AM81" s="3" t="s">
        <v>371</v>
      </c>
      <c r="AN81" s="3" t="s">
        <v>92</v>
      </c>
      <c r="AO81" s="3" t="s">
        <v>371</v>
      </c>
      <c r="AP81" s="3" t="s">
        <v>371</v>
      </c>
      <c r="AQ81" s="1414" t="s">
        <v>92</v>
      </c>
    </row>
    <row r="82" spans="1:44" ht="15.75" customHeight="1" x14ac:dyDescent="0.4">
      <c r="B82" s="3"/>
      <c r="C82" s="36"/>
      <c r="D82" s="155"/>
      <c r="E82" s="155"/>
      <c r="F82" s="155"/>
      <c r="G82" s="7"/>
      <c r="H82" s="20"/>
      <c r="P82" s="24"/>
      <c r="Q82" s="24"/>
      <c r="U82" s="20"/>
      <c r="V82" s="3" t="s">
        <v>2365</v>
      </c>
      <c r="W82" s="3" t="s">
        <v>370</v>
      </c>
      <c r="X82" s="38" t="s">
        <v>369</v>
      </c>
      <c r="Y82" s="1443">
        <v>200149180</v>
      </c>
      <c r="Z82" s="1443"/>
      <c r="AA82" s="20"/>
      <c r="AE82" s="3"/>
      <c r="AH82" s="844">
        <f t="shared" si="13"/>
        <v>0</v>
      </c>
      <c r="AI82" s="39"/>
      <c r="AJ82" s="39"/>
      <c r="AK82" s="39"/>
      <c r="AL82" s="51">
        <f t="shared" ref="AL82" si="15">AD$75*AH82+SUM(AI82:AK82)</f>
        <v>0</v>
      </c>
      <c r="AM82" s="3" t="s">
        <v>371</v>
      </c>
      <c r="AN82" s="3" t="s">
        <v>92</v>
      </c>
      <c r="AO82" s="3" t="s">
        <v>371</v>
      </c>
      <c r="AP82" s="3" t="s">
        <v>371</v>
      </c>
      <c r="AQ82" s="1414" t="s">
        <v>92</v>
      </c>
    </row>
    <row r="83" spans="1:44" ht="15.75" customHeight="1" x14ac:dyDescent="0.4">
      <c r="B83" s="3"/>
      <c r="C83" s="36"/>
      <c r="D83" s="155"/>
      <c r="E83" s="155"/>
      <c r="F83" s="155"/>
      <c r="G83" s="7"/>
      <c r="H83" s="20"/>
      <c r="P83" s="24"/>
      <c r="Q83" s="24"/>
      <c r="U83" s="20"/>
      <c r="V83" s="112" t="s">
        <v>2367</v>
      </c>
      <c r="W83" s="112" t="s">
        <v>370</v>
      </c>
      <c r="X83" s="279" t="s">
        <v>369</v>
      </c>
      <c r="Y83" s="1871">
        <v>200149152</v>
      </c>
      <c r="Z83" s="1443"/>
      <c r="AA83" s="20"/>
      <c r="AE83" s="3"/>
      <c r="AH83" s="51">
        <v>0</v>
      </c>
      <c r="AI83" s="39"/>
      <c r="AJ83" s="39"/>
      <c r="AK83" s="39"/>
      <c r="AM83" s="3" t="s">
        <v>371</v>
      </c>
      <c r="AN83" s="3" t="s">
        <v>92</v>
      </c>
      <c r="AO83" s="3" t="s">
        <v>371</v>
      </c>
      <c r="AP83" s="3" t="s">
        <v>371</v>
      </c>
      <c r="AQ83" s="1414" t="s">
        <v>92</v>
      </c>
    </row>
    <row r="84" spans="1:44" ht="15.75" customHeight="1" x14ac:dyDescent="0.4">
      <c r="B84" s="3"/>
      <c r="C84" s="36"/>
      <c r="D84" s="155"/>
      <c r="E84" s="155"/>
      <c r="F84" s="155"/>
      <c r="G84" s="7"/>
      <c r="H84" s="20"/>
      <c r="P84" s="24"/>
      <c r="Q84" s="24"/>
      <c r="U84" s="20"/>
      <c r="V84" s="3" t="s">
        <v>2365</v>
      </c>
      <c r="W84" s="3" t="s">
        <v>370</v>
      </c>
      <c r="X84" s="38" t="s">
        <v>2365</v>
      </c>
      <c r="Y84" s="1443">
        <v>200149181</v>
      </c>
      <c r="Z84" s="1443"/>
      <c r="AA84" s="20"/>
      <c r="AE84" s="3"/>
      <c r="AI84" s="39"/>
      <c r="AJ84" s="39"/>
      <c r="AK84" s="39"/>
      <c r="AM84" s="3" t="s">
        <v>371</v>
      </c>
      <c r="AN84" s="3" t="s">
        <v>92</v>
      </c>
      <c r="AO84" s="3" t="s">
        <v>371</v>
      </c>
      <c r="AP84" s="3" t="s">
        <v>371</v>
      </c>
      <c r="AQ84" s="1414" t="s">
        <v>371</v>
      </c>
    </row>
    <row r="85" spans="1:44" ht="15.75" customHeight="1" thickBot="1" x14ac:dyDescent="0.45">
      <c r="B85" s="3"/>
      <c r="C85" s="943"/>
      <c r="D85" s="1037" t="s">
        <v>2352</v>
      </c>
      <c r="E85" s="1038"/>
      <c r="F85" s="1038"/>
      <c r="G85" s="1039"/>
      <c r="H85" s="1040"/>
      <c r="I85" s="710" t="s">
        <v>392</v>
      </c>
      <c r="J85" s="710"/>
      <c r="K85" s="710"/>
      <c r="L85" s="710"/>
      <c r="M85" s="1041"/>
      <c r="N85" s="1041"/>
      <c r="O85" s="1041"/>
      <c r="P85" s="1042"/>
      <c r="Q85" s="1042"/>
      <c r="R85" s="710" t="s">
        <v>352</v>
      </c>
      <c r="S85" s="1041">
        <f>FWWidth</f>
        <v>47.5</v>
      </c>
      <c r="T85" s="710" t="s">
        <v>366</v>
      </c>
      <c r="U85" s="1040"/>
      <c r="V85" s="1043" t="s">
        <v>369</v>
      </c>
      <c r="W85" s="710" t="s">
        <v>370</v>
      </c>
      <c r="X85" s="1043" t="s">
        <v>369</v>
      </c>
      <c r="Y85" s="1846">
        <v>120074014002</v>
      </c>
      <c r="Z85" s="1608"/>
      <c r="AA85" s="1040"/>
      <c r="AB85" s="710"/>
      <c r="AC85" s="710">
        <v>1</v>
      </c>
      <c r="AD85" s="1041">
        <f>AC85*S85/12</f>
        <v>3.9583333333333335</v>
      </c>
      <c r="AE85" s="710" t="s">
        <v>367</v>
      </c>
      <c r="AF85" s="1041"/>
      <c r="AG85" s="1041"/>
      <c r="AH85" s="1611">
        <v>1.8700000000000001E-2</v>
      </c>
      <c r="AI85" s="1044"/>
      <c r="AJ85" s="1044"/>
      <c r="AK85" s="1044"/>
      <c r="AL85" s="1611">
        <f>AD$85*AH85+SUM(AI85:AK85)</f>
        <v>7.4020833333333341E-2</v>
      </c>
      <c r="AM85" s="710" t="s">
        <v>92</v>
      </c>
      <c r="AN85" s="710" t="s">
        <v>92</v>
      </c>
      <c r="AO85" s="710" t="s">
        <v>92</v>
      </c>
      <c r="AP85" s="710" t="s">
        <v>92</v>
      </c>
      <c r="AQ85" s="1880" t="s">
        <v>371</v>
      </c>
      <c r="AR85" s="710"/>
    </row>
    <row r="86" spans="1:44" ht="15" customHeight="1" x14ac:dyDescent="0.4">
      <c r="B86" s="7"/>
      <c r="C86" s="7" t="s">
        <v>2384</v>
      </c>
      <c r="D86" s="3"/>
      <c r="F86" s="47"/>
      <c r="G86" s="7"/>
      <c r="H86" s="20"/>
      <c r="I86" s="8" t="s">
        <v>1139</v>
      </c>
      <c r="U86" s="20"/>
      <c r="V86" s="7"/>
      <c r="W86" s="7"/>
      <c r="X86" s="7"/>
      <c r="Y86" s="1443"/>
      <c r="Z86" s="1443"/>
      <c r="AA86" s="20"/>
      <c r="AB86" s="3">
        <v>42</v>
      </c>
      <c r="AC86" s="3">
        <v>2</v>
      </c>
      <c r="AD86" s="5">
        <f>AC86*S86/12</f>
        <v>0</v>
      </c>
      <c r="AE86" s="3" t="s">
        <v>367</v>
      </c>
      <c r="AF86" s="930">
        <v>0</v>
      </c>
      <c r="AG86" s="5">
        <f>AF86*AtolbperftFixed</f>
        <v>0</v>
      </c>
      <c r="AM86" s="3" t="s">
        <v>371</v>
      </c>
      <c r="AN86" s="3" t="s">
        <v>92</v>
      </c>
      <c r="AO86" s="3" t="s">
        <v>371</v>
      </c>
      <c r="AP86" s="3" t="s">
        <v>371</v>
      </c>
      <c r="AQ86" s="1414" t="s">
        <v>371</v>
      </c>
    </row>
    <row r="87" spans="1:44" ht="15" customHeight="1" x14ac:dyDescent="0.4">
      <c r="B87" s="36"/>
      <c r="C87" s="36"/>
      <c r="D87" s="155"/>
      <c r="E87" s="47"/>
      <c r="F87" s="1894" t="s">
        <v>2381</v>
      </c>
      <c r="G87" s="7"/>
      <c r="H87" s="20"/>
      <c r="U87" s="20"/>
      <c r="V87" s="38" t="s">
        <v>369</v>
      </c>
      <c r="W87" s="3" t="s">
        <v>370</v>
      </c>
      <c r="X87" s="38" t="s">
        <v>369</v>
      </c>
      <c r="Y87" s="1443">
        <v>200244003</v>
      </c>
      <c r="Z87" s="1443"/>
      <c r="AA87" s="20"/>
      <c r="AE87" s="3"/>
      <c r="AF87" s="930"/>
      <c r="AH87" s="51">
        <v>0</v>
      </c>
      <c r="AI87" s="39"/>
      <c r="AJ87" s="39"/>
      <c r="AK87" s="39"/>
      <c r="AL87" s="51">
        <f>AD$86*AH87+SUM(AI87:AK87)</f>
        <v>0</v>
      </c>
      <c r="AM87" s="3" t="s">
        <v>371</v>
      </c>
      <c r="AN87" s="3" t="s">
        <v>92</v>
      </c>
      <c r="AO87" s="3" t="s">
        <v>371</v>
      </c>
      <c r="AP87" s="3" t="s">
        <v>371</v>
      </c>
      <c r="AQ87" s="1414" t="s">
        <v>92</v>
      </c>
    </row>
    <row r="88" spans="1:44" ht="15" customHeight="1" x14ac:dyDescent="0.4">
      <c r="B88" s="36"/>
      <c r="C88" s="36"/>
      <c r="D88" s="155"/>
      <c r="E88" s="155"/>
      <c r="F88" s="155"/>
      <c r="G88" s="7"/>
      <c r="H88" s="20"/>
      <c r="P88" s="24"/>
      <c r="Q88" s="24"/>
      <c r="U88" s="20"/>
      <c r="V88" s="38" t="s">
        <v>369</v>
      </c>
      <c r="W88" s="3" t="s">
        <v>372</v>
      </c>
      <c r="X88" s="38" t="s">
        <v>369</v>
      </c>
      <c r="Y88" s="1443">
        <v>200244021</v>
      </c>
      <c r="Z88" s="1443"/>
      <c r="AA88" s="20"/>
      <c r="AE88" s="3"/>
      <c r="AH88" s="51">
        <v>0</v>
      </c>
      <c r="AI88" s="39"/>
      <c r="AJ88" s="39"/>
      <c r="AK88" s="39"/>
      <c r="AL88" s="51">
        <f t="shared" ref="AL88:AL91" si="16">AD$86*AH88+SUM(AI88:AK88)</f>
        <v>0</v>
      </c>
      <c r="AM88" s="3" t="s">
        <v>371</v>
      </c>
      <c r="AN88" s="3" t="s">
        <v>92</v>
      </c>
      <c r="AO88" s="3" t="s">
        <v>371</v>
      </c>
      <c r="AP88" s="3" t="s">
        <v>371</v>
      </c>
      <c r="AQ88" s="1414" t="s">
        <v>92</v>
      </c>
    </row>
    <row r="89" spans="1:44" ht="15.75" customHeight="1" x14ac:dyDescent="0.4">
      <c r="B89" s="3"/>
      <c r="C89" s="36"/>
      <c r="D89" s="155"/>
      <c r="E89" s="155"/>
      <c r="F89" s="155"/>
      <c r="G89" s="7"/>
      <c r="H89" s="20"/>
      <c r="P89" s="24"/>
      <c r="Q89" s="24"/>
      <c r="U89" s="20"/>
      <c r="V89" s="38" t="s">
        <v>369</v>
      </c>
      <c r="W89" s="3" t="s">
        <v>373</v>
      </c>
      <c r="X89" s="38" t="s">
        <v>369</v>
      </c>
      <c r="Y89" s="1443">
        <v>200244033</v>
      </c>
      <c r="Z89" s="1443"/>
      <c r="AA89" s="20"/>
      <c r="AE89" s="3"/>
      <c r="AH89" s="51">
        <v>0</v>
      </c>
      <c r="AI89" s="39"/>
      <c r="AJ89" s="39"/>
      <c r="AK89" s="39"/>
      <c r="AL89" s="51">
        <f t="shared" si="16"/>
        <v>0</v>
      </c>
      <c r="AM89" s="3" t="s">
        <v>371</v>
      </c>
      <c r="AN89" s="3" t="s">
        <v>92</v>
      </c>
      <c r="AO89" s="3" t="s">
        <v>371</v>
      </c>
      <c r="AP89" s="3" t="s">
        <v>371</v>
      </c>
      <c r="AQ89" s="1414" t="s">
        <v>92</v>
      </c>
    </row>
    <row r="90" spans="1:44" ht="15.75" customHeight="1" x14ac:dyDescent="0.4">
      <c r="B90" s="3"/>
      <c r="C90" s="36"/>
      <c r="D90" s="155"/>
      <c r="E90" s="155"/>
      <c r="F90" s="155"/>
      <c r="G90" s="7"/>
      <c r="H90" s="20"/>
      <c r="P90" s="24"/>
      <c r="Q90" s="24"/>
      <c r="U90" s="20"/>
      <c r="V90" s="3" t="s">
        <v>2363</v>
      </c>
      <c r="W90" s="3" t="s">
        <v>370</v>
      </c>
      <c r="X90" s="38" t="s">
        <v>369</v>
      </c>
      <c r="Y90" s="1443">
        <v>200244127</v>
      </c>
      <c r="Z90" s="1443"/>
      <c r="AA90" s="20"/>
      <c r="AE90" s="3"/>
      <c r="AH90" s="51">
        <v>0</v>
      </c>
      <c r="AI90" s="39"/>
      <c r="AJ90" s="39"/>
      <c r="AK90" s="39"/>
      <c r="AL90" s="51">
        <f t="shared" si="16"/>
        <v>0</v>
      </c>
      <c r="AM90" s="3" t="s">
        <v>371</v>
      </c>
      <c r="AN90" s="3" t="s">
        <v>92</v>
      </c>
      <c r="AO90" s="3" t="s">
        <v>371</v>
      </c>
      <c r="AP90" s="3" t="s">
        <v>371</v>
      </c>
      <c r="AQ90" s="1414" t="s">
        <v>92</v>
      </c>
    </row>
    <row r="91" spans="1:44" ht="15.75" customHeight="1" x14ac:dyDescent="0.4">
      <c r="B91" s="3"/>
      <c r="C91" s="36"/>
      <c r="D91" s="155"/>
      <c r="E91" s="155"/>
      <c r="G91" s="7"/>
      <c r="H91" s="20"/>
      <c r="P91" s="24"/>
      <c r="Q91" s="24"/>
      <c r="U91" s="20"/>
      <c r="V91" s="112" t="s">
        <v>2366</v>
      </c>
      <c r="W91" s="112" t="s">
        <v>370</v>
      </c>
      <c r="X91" s="279" t="s">
        <v>369</v>
      </c>
      <c r="Y91" s="1871">
        <v>200244128</v>
      </c>
      <c r="Z91" s="1443"/>
      <c r="AA91" s="20"/>
      <c r="AE91" s="3"/>
      <c r="AH91" s="51">
        <v>0</v>
      </c>
      <c r="AI91" s="39"/>
      <c r="AJ91" s="39"/>
      <c r="AK91" s="39"/>
      <c r="AL91" s="51">
        <f t="shared" si="16"/>
        <v>0</v>
      </c>
      <c r="AM91" s="3" t="s">
        <v>371</v>
      </c>
      <c r="AN91" s="3" t="s">
        <v>92</v>
      </c>
      <c r="AO91" s="3" t="s">
        <v>371</v>
      </c>
      <c r="AP91" s="3" t="s">
        <v>371</v>
      </c>
      <c r="AQ91" s="1414" t="s">
        <v>92</v>
      </c>
    </row>
    <row r="92" spans="1:44" ht="15.75" customHeight="1" x14ac:dyDescent="0.4">
      <c r="B92" s="3"/>
      <c r="C92" s="36"/>
      <c r="D92" s="155"/>
      <c r="E92" s="155"/>
      <c r="F92" s="155"/>
      <c r="G92" s="7"/>
      <c r="H92" s="20"/>
      <c r="P92" s="24"/>
      <c r="Q92" s="24"/>
      <c r="U92" s="20"/>
      <c r="V92" s="3" t="s">
        <v>2364</v>
      </c>
      <c r="W92" s="3" t="s">
        <v>370</v>
      </c>
      <c r="X92" s="38" t="s">
        <v>369</v>
      </c>
      <c r="Y92" s="1443">
        <v>200244129</v>
      </c>
      <c r="Z92" s="1443"/>
      <c r="AA92" s="20"/>
      <c r="AE92" s="3"/>
      <c r="AH92" s="51">
        <v>0</v>
      </c>
      <c r="AI92" s="39"/>
      <c r="AJ92" s="39"/>
      <c r="AK92" s="39"/>
      <c r="AL92" s="51">
        <f>AD$86*AH93+SUM(AI92:AK92)</f>
        <v>0</v>
      </c>
      <c r="AM92" s="3" t="s">
        <v>371</v>
      </c>
      <c r="AN92" s="3" t="s">
        <v>92</v>
      </c>
      <c r="AO92" s="3" t="s">
        <v>371</v>
      </c>
      <c r="AP92" s="3" t="s">
        <v>371</v>
      </c>
      <c r="AQ92" s="1414" t="s">
        <v>92</v>
      </c>
    </row>
    <row r="93" spans="1:44" ht="15.75" customHeight="1" x14ac:dyDescent="0.4">
      <c r="B93" s="3"/>
      <c r="C93" s="36"/>
      <c r="D93" s="155"/>
      <c r="E93" s="155"/>
      <c r="F93" s="155"/>
      <c r="G93" s="7"/>
      <c r="H93" s="20"/>
      <c r="P93" s="24"/>
      <c r="Q93" s="24"/>
      <c r="U93" s="20"/>
      <c r="V93" s="3" t="s">
        <v>2365</v>
      </c>
      <c r="W93" s="3" t="s">
        <v>370</v>
      </c>
      <c r="X93" s="38" t="s">
        <v>369</v>
      </c>
      <c r="Y93" s="1443">
        <v>200244180</v>
      </c>
      <c r="Z93" s="1443"/>
      <c r="AA93" s="20"/>
      <c r="AE93" s="3"/>
      <c r="AH93" s="51">
        <v>0</v>
      </c>
      <c r="AI93" s="39"/>
      <c r="AJ93" s="39"/>
      <c r="AK93" s="39"/>
      <c r="AM93" s="3" t="s">
        <v>371</v>
      </c>
      <c r="AN93" s="3" t="s">
        <v>92</v>
      </c>
      <c r="AO93" s="3" t="s">
        <v>371</v>
      </c>
      <c r="AP93" s="3" t="s">
        <v>371</v>
      </c>
      <c r="AQ93" s="1414" t="s">
        <v>92</v>
      </c>
    </row>
    <row r="94" spans="1:44" ht="15.75" customHeight="1" thickBot="1" x14ac:dyDescent="0.45">
      <c r="B94" s="3"/>
      <c r="C94" s="36"/>
      <c r="D94" s="155"/>
      <c r="E94" s="155"/>
      <c r="F94" s="155"/>
      <c r="G94" s="7"/>
      <c r="H94" s="20"/>
      <c r="P94" s="24"/>
      <c r="Q94" s="24"/>
      <c r="U94" s="20"/>
      <c r="V94" s="3" t="s">
        <v>2365</v>
      </c>
      <c r="W94" s="3" t="s">
        <v>370</v>
      </c>
      <c r="X94" s="38" t="s">
        <v>2365</v>
      </c>
      <c r="Y94" s="1443">
        <v>200244181</v>
      </c>
      <c r="Z94" s="1443"/>
      <c r="AA94" s="20"/>
      <c r="AE94" s="3"/>
      <c r="AH94" s="937"/>
      <c r="AI94" s="39"/>
      <c r="AJ94" s="39"/>
      <c r="AK94" s="39"/>
      <c r="AM94" s="889" t="s">
        <v>92</v>
      </c>
      <c r="AN94" s="889" t="s">
        <v>92</v>
      </c>
      <c r="AO94" s="889" t="s">
        <v>92</v>
      </c>
      <c r="AP94" s="889" t="s">
        <v>92</v>
      </c>
      <c r="AQ94" s="1590" t="s">
        <v>371</v>
      </c>
      <c r="AR94" s="889"/>
    </row>
    <row r="95" spans="1:44" ht="15" customHeight="1" x14ac:dyDescent="0.4">
      <c r="A95" s="3" t="s">
        <v>394</v>
      </c>
      <c r="B95" s="3"/>
      <c r="C95" s="173" t="s">
        <v>395</v>
      </c>
      <c r="D95" s="116"/>
      <c r="E95" s="116"/>
      <c r="F95" s="174" t="s">
        <v>391</v>
      </c>
      <c r="G95" s="173"/>
      <c r="H95" s="175"/>
      <c r="I95" s="116" t="s">
        <v>392</v>
      </c>
      <c r="J95" s="116"/>
      <c r="K95" s="116"/>
      <c r="L95" s="116" t="s">
        <v>348</v>
      </c>
      <c r="M95" s="177">
        <v>6.1879999999999997</v>
      </c>
      <c r="N95" s="177" t="s">
        <v>348</v>
      </c>
      <c r="O95" s="177">
        <f>0.125*2</f>
        <v>0.25</v>
      </c>
      <c r="P95" s="177"/>
      <c r="Q95" s="177"/>
      <c r="R95" s="116" t="s">
        <v>352</v>
      </c>
      <c r="S95" s="177">
        <f>FWWidth+M95+O95</f>
        <v>53.938000000000002</v>
      </c>
      <c r="T95" s="116" t="s">
        <v>366</v>
      </c>
      <c r="U95" s="175"/>
      <c r="V95" s="173"/>
      <c r="W95" s="173"/>
      <c r="X95" s="173"/>
      <c r="Y95" s="1449"/>
      <c r="Z95" s="1449"/>
      <c r="AA95" s="175"/>
      <c r="AB95" s="116">
        <v>42</v>
      </c>
      <c r="AC95" s="116">
        <v>1</v>
      </c>
      <c r="AD95" s="177">
        <f>AC95*S95/12</f>
        <v>4.4948333333333332</v>
      </c>
      <c r="AE95" s="116" t="s">
        <v>367</v>
      </c>
      <c r="AF95" s="627">
        <f>AF37</f>
        <v>1.0449999999999999</v>
      </c>
      <c r="AG95" s="177">
        <f>AF95*AtolbperftFixed</f>
        <v>0.66336600000000001</v>
      </c>
      <c r="AH95" s="935">
        <f>AG95*FWTwinCost</f>
        <v>0.66336600000000001</v>
      </c>
      <c r="AI95" s="185"/>
      <c r="AJ95" s="185"/>
      <c r="AK95" s="185"/>
      <c r="AL95" s="185"/>
      <c r="AM95" s="3" t="s">
        <v>371</v>
      </c>
      <c r="AN95" s="3" t="s">
        <v>92</v>
      </c>
      <c r="AO95" s="3" t="s">
        <v>371</v>
      </c>
      <c r="AP95" s="3" t="s">
        <v>371</v>
      </c>
      <c r="AQ95" s="1414" t="s">
        <v>371</v>
      </c>
    </row>
    <row r="96" spans="1:44" ht="15" customHeight="1" x14ac:dyDescent="0.4">
      <c r="B96" s="3"/>
      <c r="C96" s="36"/>
      <c r="D96" s="36"/>
      <c r="E96" s="155"/>
      <c r="F96" s="155" t="s">
        <v>396</v>
      </c>
      <c r="G96" s="7"/>
      <c r="H96" s="20"/>
      <c r="I96" s="3" t="s">
        <v>392</v>
      </c>
      <c r="L96" s="3" t="s">
        <v>348</v>
      </c>
      <c r="M96" s="5">
        <f>M95-1.125*2</f>
        <v>3.9379999999999997</v>
      </c>
      <c r="N96" s="5" t="s">
        <v>348</v>
      </c>
      <c r="O96" s="5">
        <f>0.125*2</f>
        <v>0.25</v>
      </c>
      <c r="P96" s="24"/>
      <c r="Q96" s="24"/>
      <c r="R96" s="3" t="s">
        <v>352</v>
      </c>
      <c r="S96" s="5">
        <f>FWWidth+M96+O96</f>
        <v>51.688000000000002</v>
      </c>
      <c r="T96" s="3" t="s">
        <v>366</v>
      </c>
      <c r="U96" s="20"/>
      <c r="V96" s="38" t="s">
        <v>369</v>
      </c>
      <c r="W96" s="3" t="s">
        <v>370</v>
      </c>
      <c r="X96" s="38" t="s">
        <v>369</v>
      </c>
      <c r="Y96" s="1443">
        <v>200175003</v>
      </c>
      <c r="Z96" s="1443"/>
      <c r="AA96" s="20"/>
      <c r="AE96" s="3"/>
      <c r="AF96" s="930"/>
      <c r="AH96" s="51">
        <f>AH38</f>
        <v>0.56840000000000002</v>
      </c>
      <c r="AI96" s="39"/>
      <c r="AJ96" s="39"/>
      <c r="AK96" s="39"/>
      <c r="AL96" s="51">
        <f>AD$95*AH96+SUM(AI96:AK96)</f>
        <v>2.5548632666666666</v>
      </c>
      <c r="AM96" s="3" t="s">
        <v>371</v>
      </c>
      <c r="AN96" s="3" t="s">
        <v>92</v>
      </c>
      <c r="AO96" s="3" t="s">
        <v>371</v>
      </c>
      <c r="AP96" s="3" t="s">
        <v>371</v>
      </c>
      <c r="AQ96" s="1414" t="s">
        <v>92</v>
      </c>
    </row>
    <row r="97" spans="2:44" ht="15" customHeight="1" x14ac:dyDescent="0.4">
      <c r="B97" s="3"/>
      <c r="C97" s="36"/>
      <c r="D97" s="36"/>
      <c r="E97" s="155"/>
      <c r="F97" s="155" t="s">
        <v>380</v>
      </c>
      <c r="G97" s="7"/>
      <c r="H97" s="20"/>
      <c r="I97" s="3" t="s">
        <v>392</v>
      </c>
      <c r="L97" s="3" t="s">
        <v>348</v>
      </c>
      <c r="M97" s="5">
        <f>M96</f>
        <v>3.9379999999999997</v>
      </c>
      <c r="N97" s="5" t="s">
        <v>348</v>
      </c>
      <c r="O97" s="5">
        <v>0</v>
      </c>
      <c r="P97" s="24"/>
      <c r="Q97" s="24"/>
      <c r="R97" s="3" t="s">
        <v>352</v>
      </c>
      <c r="S97" s="5">
        <f>FWWidth+M97+O97</f>
        <v>51.438000000000002</v>
      </c>
      <c r="T97" s="3" t="s">
        <v>366</v>
      </c>
      <c r="U97" s="20"/>
      <c r="V97" s="38" t="s">
        <v>369</v>
      </c>
      <c r="W97" s="3" t="s">
        <v>372</v>
      </c>
      <c r="X97" s="38" t="s">
        <v>369</v>
      </c>
      <c r="Y97" s="1443">
        <v>200175021</v>
      </c>
      <c r="Z97" s="1443"/>
      <c r="AA97" s="20"/>
      <c r="AE97" s="3"/>
      <c r="AH97" s="51">
        <f>AH39</f>
        <v>0.61370000000000002</v>
      </c>
      <c r="AI97" s="39"/>
      <c r="AJ97" s="39"/>
      <c r="AK97" s="39"/>
      <c r="AL97" s="51">
        <f t="shared" ref="AL97:AL101" si="17">AD$95*AH97+SUM(AI97:AK97)</f>
        <v>2.7584792166666667</v>
      </c>
      <c r="AM97" s="3" t="s">
        <v>371</v>
      </c>
      <c r="AN97" s="3" t="s">
        <v>92</v>
      </c>
      <c r="AO97" s="3" t="s">
        <v>371</v>
      </c>
      <c r="AP97" s="3" t="s">
        <v>371</v>
      </c>
      <c r="AQ97" s="1414" t="s">
        <v>92</v>
      </c>
    </row>
    <row r="98" spans="2:44" ht="15" customHeight="1" x14ac:dyDescent="0.4">
      <c r="B98" s="3"/>
      <c r="C98" s="36"/>
      <c r="D98" s="36"/>
      <c r="E98" s="155"/>
      <c r="F98" s="155"/>
      <c r="G98" s="7"/>
      <c r="H98" s="20"/>
      <c r="P98" s="24"/>
      <c r="Q98" s="24"/>
      <c r="U98" s="20"/>
      <c r="V98" s="38" t="s">
        <v>369</v>
      </c>
      <c r="W98" s="3" t="s">
        <v>373</v>
      </c>
      <c r="X98" s="38" t="s">
        <v>369</v>
      </c>
      <c r="Y98" s="1443">
        <v>200175033</v>
      </c>
      <c r="Z98" s="1443"/>
      <c r="AA98" s="20"/>
      <c r="AE98" s="3"/>
      <c r="AH98" s="51">
        <f>AH40</f>
        <v>0.67579999999999996</v>
      </c>
      <c r="AI98" s="39"/>
      <c r="AJ98" s="39"/>
      <c r="AK98" s="39"/>
      <c r="AL98" s="51">
        <f t="shared" si="17"/>
        <v>3.0376083666666664</v>
      </c>
      <c r="AM98" s="3" t="s">
        <v>371</v>
      </c>
      <c r="AN98" s="3" t="s">
        <v>92</v>
      </c>
      <c r="AO98" s="3" t="s">
        <v>371</v>
      </c>
      <c r="AP98" s="3" t="s">
        <v>371</v>
      </c>
      <c r="AQ98" s="1414" t="s">
        <v>92</v>
      </c>
    </row>
    <row r="99" spans="2:44" ht="15" customHeight="1" x14ac:dyDescent="0.4">
      <c r="B99" s="3"/>
      <c r="C99" s="36"/>
      <c r="D99" s="36"/>
      <c r="E99" s="155"/>
      <c r="F99" s="155"/>
      <c r="G99" s="7"/>
      <c r="H99" s="20"/>
      <c r="P99" s="24"/>
      <c r="Q99" s="24"/>
      <c r="U99" s="20"/>
      <c r="V99" s="3" t="s">
        <v>2363</v>
      </c>
      <c r="W99" s="3" t="s">
        <v>370</v>
      </c>
      <c r="X99" s="38" t="s">
        <v>369</v>
      </c>
      <c r="Y99" s="1443">
        <v>200175127</v>
      </c>
      <c r="Z99" s="1443"/>
      <c r="AA99" s="20"/>
      <c r="AE99" s="3"/>
      <c r="AH99" s="51">
        <f>AH41</f>
        <v>0.73240000000000005</v>
      </c>
      <c r="AI99" s="39"/>
      <c r="AJ99" s="39"/>
      <c r="AK99" s="39"/>
      <c r="AL99" s="51">
        <f>AD$95*AH99+SUM(AI99:AK99)</f>
        <v>3.2920159333333334</v>
      </c>
      <c r="AM99" s="3" t="s">
        <v>371</v>
      </c>
      <c r="AN99" s="3" t="s">
        <v>92</v>
      </c>
      <c r="AO99" s="3" t="s">
        <v>371</v>
      </c>
      <c r="AP99" s="3" t="s">
        <v>371</v>
      </c>
      <c r="AQ99" s="1414" t="s">
        <v>92</v>
      </c>
    </row>
    <row r="100" spans="2:44" ht="15" customHeight="1" x14ac:dyDescent="0.4">
      <c r="B100" s="3"/>
      <c r="C100" s="36"/>
      <c r="D100" s="36"/>
      <c r="E100" s="155"/>
      <c r="F100" s="155"/>
      <c r="G100" s="7"/>
      <c r="H100" s="20"/>
      <c r="P100" s="24"/>
      <c r="Q100" s="24"/>
      <c r="U100" s="20"/>
      <c r="V100" s="38" t="s">
        <v>2365</v>
      </c>
      <c r="W100" s="3" t="s">
        <v>370</v>
      </c>
      <c r="X100" s="38" t="s">
        <v>369</v>
      </c>
      <c r="Y100" s="1443">
        <v>200175180</v>
      </c>
      <c r="Z100" s="1443"/>
      <c r="AA100" s="20"/>
      <c r="AE100" s="3"/>
      <c r="AH100" s="844">
        <f>AH42</f>
        <v>0</v>
      </c>
      <c r="AI100" s="39"/>
      <c r="AJ100" s="39"/>
      <c r="AK100" s="39"/>
      <c r="AL100" s="51">
        <f t="shared" ref="AL100" si="18">AD$95*AH100+SUM(AI100:AK100)</f>
        <v>0</v>
      </c>
      <c r="AM100" s="3" t="s">
        <v>371</v>
      </c>
      <c r="AN100" s="3" t="s">
        <v>92</v>
      </c>
      <c r="AO100" s="3" t="s">
        <v>371</v>
      </c>
      <c r="AP100" s="3" t="s">
        <v>371</v>
      </c>
      <c r="AQ100" s="1414" t="s">
        <v>92</v>
      </c>
    </row>
    <row r="101" spans="2:44" ht="15" customHeight="1" x14ac:dyDescent="0.4">
      <c r="B101" s="3"/>
      <c r="C101" s="36"/>
      <c r="D101" s="622"/>
      <c r="E101" s="623"/>
      <c r="F101" s="623"/>
      <c r="G101" s="221"/>
      <c r="H101" s="624"/>
      <c r="I101" s="577"/>
      <c r="J101" s="577"/>
      <c r="K101" s="577"/>
      <c r="L101" s="577"/>
      <c r="M101" s="575"/>
      <c r="N101" s="575"/>
      <c r="O101" s="575"/>
      <c r="P101" s="625"/>
      <c r="Q101" s="625"/>
      <c r="R101" s="577"/>
      <c r="S101" s="575"/>
      <c r="T101" s="577"/>
      <c r="U101" s="624"/>
      <c r="V101" s="1873" t="s">
        <v>2367</v>
      </c>
      <c r="W101" s="1873" t="s">
        <v>370</v>
      </c>
      <c r="X101" s="1874" t="s">
        <v>369</v>
      </c>
      <c r="Y101" s="1875">
        <v>200175152</v>
      </c>
      <c r="Z101" s="1446"/>
      <c r="AA101" s="624"/>
      <c r="AB101" s="577"/>
      <c r="AC101" s="577"/>
      <c r="AD101" s="575"/>
      <c r="AE101" s="577"/>
      <c r="AF101" s="575"/>
      <c r="AG101" s="575"/>
      <c r="AH101" s="626">
        <v>0</v>
      </c>
      <c r="AI101" s="581"/>
      <c r="AJ101" s="581"/>
      <c r="AK101" s="581"/>
      <c r="AL101" s="626">
        <f t="shared" si="17"/>
        <v>0</v>
      </c>
      <c r="AM101" s="577" t="s">
        <v>371</v>
      </c>
      <c r="AN101" s="577" t="s">
        <v>92</v>
      </c>
      <c r="AO101" s="577" t="s">
        <v>371</v>
      </c>
      <c r="AP101" s="577" t="s">
        <v>371</v>
      </c>
      <c r="AQ101" s="1881" t="s">
        <v>371</v>
      </c>
      <c r="AR101" s="577"/>
    </row>
    <row r="102" spans="2:44" ht="15" customHeight="1" thickBot="1" x14ac:dyDescent="0.45">
      <c r="B102" s="3"/>
      <c r="C102" s="36"/>
      <c r="D102" s="36" t="s">
        <v>381</v>
      </c>
      <c r="E102" s="155"/>
      <c r="F102" s="155"/>
      <c r="G102" s="924"/>
      <c r="H102" s="20"/>
      <c r="I102" s="3" t="s">
        <v>392</v>
      </c>
      <c r="L102" s="3" t="s">
        <v>348</v>
      </c>
      <c r="M102" s="5">
        <f>M95</f>
        <v>6.1879999999999997</v>
      </c>
      <c r="N102" s="5" t="s">
        <v>348</v>
      </c>
      <c r="O102" s="5">
        <f>O95</f>
        <v>0.25</v>
      </c>
      <c r="P102" s="24"/>
      <c r="Q102" s="24"/>
      <c r="R102" s="3" t="s">
        <v>352</v>
      </c>
      <c r="S102" s="5">
        <f>FWWidth+M102+O102</f>
        <v>53.938000000000002</v>
      </c>
      <c r="T102" s="3" t="s">
        <v>366</v>
      </c>
      <c r="U102" s="20"/>
      <c r="V102" s="38"/>
      <c r="X102" s="38"/>
      <c r="Y102" s="1443">
        <v>610025061</v>
      </c>
      <c r="Z102" s="41">
        <v>251882</v>
      </c>
      <c r="AA102" s="20"/>
      <c r="AC102" s="3">
        <v>2</v>
      </c>
      <c r="AD102" s="5">
        <f>AC102*S102/12</f>
        <v>8.9896666666666665</v>
      </c>
      <c r="AE102" s="3" t="s">
        <v>367</v>
      </c>
      <c r="AH102" s="51">
        <f>AH44</f>
        <v>1.8599999999999998E-2</v>
      </c>
      <c r="AI102" s="39"/>
      <c r="AJ102" s="39"/>
      <c r="AK102" s="39"/>
      <c r="AL102" s="51">
        <f>AD$102*AH102+SUM(AI102:AK102)</f>
        <v>0.16720779999999999</v>
      </c>
      <c r="AM102" s="889" t="s">
        <v>371</v>
      </c>
      <c r="AN102" s="889" t="s">
        <v>92</v>
      </c>
      <c r="AO102" s="889" t="s">
        <v>371</v>
      </c>
      <c r="AP102" s="889" t="s">
        <v>371</v>
      </c>
      <c r="AQ102" s="1590" t="s">
        <v>371</v>
      </c>
      <c r="AR102" s="889"/>
    </row>
    <row r="103" spans="2:44" ht="15" customHeight="1" x14ac:dyDescent="0.4">
      <c r="B103" s="3"/>
      <c r="C103" s="173" t="s">
        <v>400</v>
      </c>
      <c r="D103" s="116"/>
      <c r="E103" s="116"/>
      <c r="F103" s="174"/>
      <c r="H103" s="175"/>
      <c r="I103" s="114" t="s">
        <v>1139</v>
      </c>
      <c r="J103" s="116"/>
      <c r="K103" s="116"/>
      <c r="L103" s="116"/>
      <c r="M103" s="177"/>
      <c r="N103" s="177"/>
      <c r="O103" s="177"/>
      <c r="P103" s="178"/>
      <c r="Q103" s="178"/>
      <c r="R103" s="116"/>
      <c r="S103" s="177"/>
      <c r="T103" s="116"/>
      <c r="U103" s="175"/>
      <c r="V103" s="173"/>
      <c r="W103" s="173"/>
      <c r="X103" s="173"/>
      <c r="Y103" s="116"/>
      <c r="Z103" s="116"/>
      <c r="AA103" s="175"/>
      <c r="AB103" s="116">
        <v>42</v>
      </c>
      <c r="AC103" s="116">
        <v>2</v>
      </c>
      <c r="AD103" s="177">
        <f>AC103*S103/12</f>
        <v>0</v>
      </c>
      <c r="AE103" s="116" t="s">
        <v>367</v>
      </c>
      <c r="AF103" s="627">
        <v>0</v>
      </c>
      <c r="AG103" s="177">
        <f>AF103*AtolbperftFixed</f>
        <v>0</v>
      </c>
      <c r="AH103" s="185"/>
      <c r="AI103" s="180"/>
      <c r="AJ103" s="180"/>
      <c r="AK103" s="180"/>
      <c r="AL103" s="185"/>
      <c r="AM103" s="3" t="s">
        <v>371</v>
      </c>
      <c r="AN103" s="3" t="s">
        <v>92</v>
      </c>
      <c r="AO103" s="3" t="s">
        <v>371</v>
      </c>
      <c r="AP103" s="3" t="s">
        <v>371</v>
      </c>
      <c r="AQ103" s="1414" t="s">
        <v>371</v>
      </c>
    </row>
    <row r="104" spans="2:44" ht="15" customHeight="1" x14ac:dyDescent="0.4">
      <c r="B104" s="3"/>
      <c r="C104" s="36"/>
      <c r="D104" s="7"/>
      <c r="E104" s="3"/>
      <c r="F104" s="47"/>
      <c r="H104" s="20"/>
      <c r="U104" s="20"/>
      <c r="V104" s="38" t="s">
        <v>369</v>
      </c>
      <c r="W104" s="3" t="s">
        <v>370</v>
      </c>
      <c r="X104" s="38" t="s">
        <v>369</v>
      </c>
      <c r="Y104" s="1443">
        <v>200236003</v>
      </c>
      <c r="Z104" s="1443"/>
      <c r="AA104" s="20"/>
      <c r="AE104" s="3"/>
      <c r="AF104" s="930"/>
      <c r="AH104" s="844">
        <v>0</v>
      </c>
      <c r="AI104" s="39"/>
      <c r="AJ104" s="39"/>
      <c r="AK104" s="39"/>
      <c r="AL104" s="51">
        <f>AD$103*AH104+SUM(AI104:AK104)</f>
        <v>0</v>
      </c>
      <c r="AM104" s="3" t="s">
        <v>371</v>
      </c>
      <c r="AN104" s="3" t="s">
        <v>92</v>
      </c>
      <c r="AO104" s="3" t="s">
        <v>371</v>
      </c>
      <c r="AP104" s="3" t="s">
        <v>371</v>
      </c>
      <c r="AQ104" s="1414" t="s">
        <v>92</v>
      </c>
    </row>
    <row r="105" spans="2:44" ht="15" customHeight="1" x14ac:dyDescent="0.4">
      <c r="B105" s="3"/>
      <c r="C105" s="36"/>
      <c r="D105" s="36"/>
      <c r="E105" s="155"/>
      <c r="F105" s="155"/>
      <c r="H105" s="20"/>
      <c r="P105" s="24"/>
      <c r="Q105" s="24"/>
      <c r="U105" s="20"/>
      <c r="V105" s="38" t="s">
        <v>369</v>
      </c>
      <c r="W105" s="3" t="s">
        <v>372</v>
      </c>
      <c r="X105" s="38" t="s">
        <v>369</v>
      </c>
      <c r="Y105" s="1443">
        <v>200236021</v>
      </c>
      <c r="Z105" s="1443"/>
      <c r="AA105" s="20"/>
      <c r="AE105" s="3"/>
      <c r="AH105" s="844">
        <v>0</v>
      </c>
      <c r="AI105" s="39"/>
      <c r="AJ105" s="39"/>
      <c r="AK105" s="39"/>
      <c r="AL105" s="51">
        <f t="shared" ref="AL105:AL109" si="19">AD$103*AH105+SUM(AI105:AK105)</f>
        <v>0</v>
      </c>
      <c r="AM105" s="3" t="s">
        <v>371</v>
      </c>
      <c r="AN105" s="3" t="s">
        <v>92</v>
      </c>
      <c r="AO105" s="3" t="s">
        <v>371</v>
      </c>
      <c r="AP105" s="3" t="s">
        <v>371</v>
      </c>
      <c r="AQ105" s="1414" t="s">
        <v>92</v>
      </c>
    </row>
    <row r="106" spans="2:44" ht="15" customHeight="1" x14ac:dyDescent="0.4">
      <c r="B106" s="3"/>
      <c r="C106" s="36"/>
      <c r="D106" s="36"/>
      <c r="E106" s="155"/>
      <c r="F106" s="155"/>
      <c r="G106" s="7"/>
      <c r="H106" s="20"/>
      <c r="P106" s="24"/>
      <c r="Q106" s="24"/>
      <c r="U106" s="20"/>
      <c r="V106" s="38" t="s">
        <v>369</v>
      </c>
      <c r="W106" s="3" t="s">
        <v>373</v>
      </c>
      <c r="X106" s="38" t="s">
        <v>369</v>
      </c>
      <c r="Y106" s="1443">
        <v>200236033</v>
      </c>
      <c r="Z106" s="1443"/>
      <c r="AA106" s="20"/>
      <c r="AE106" s="3"/>
      <c r="AH106" s="844">
        <v>0</v>
      </c>
      <c r="AI106" s="39"/>
      <c r="AJ106" s="39"/>
      <c r="AK106" s="39"/>
      <c r="AL106" s="51">
        <f t="shared" si="19"/>
        <v>0</v>
      </c>
      <c r="AM106" s="3" t="s">
        <v>371</v>
      </c>
      <c r="AN106" s="3" t="s">
        <v>92</v>
      </c>
      <c r="AO106" s="3" t="s">
        <v>371</v>
      </c>
      <c r="AP106" s="3" t="s">
        <v>371</v>
      </c>
      <c r="AQ106" s="1414" t="s">
        <v>92</v>
      </c>
    </row>
    <row r="107" spans="2:44" ht="15" customHeight="1" x14ac:dyDescent="0.4">
      <c r="B107" s="3"/>
      <c r="C107" s="36"/>
      <c r="D107" s="36"/>
      <c r="E107" s="155"/>
      <c r="F107" s="155"/>
      <c r="G107" s="7"/>
      <c r="H107" s="20"/>
      <c r="P107" s="24"/>
      <c r="Q107" s="24"/>
      <c r="U107" s="20"/>
      <c r="V107" s="3" t="s">
        <v>2363</v>
      </c>
      <c r="W107" s="3" t="s">
        <v>370</v>
      </c>
      <c r="X107" s="38" t="s">
        <v>369</v>
      </c>
      <c r="Y107" s="1443">
        <v>200236127</v>
      </c>
      <c r="Z107" s="1443"/>
      <c r="AA107" s="20"/>
      <c r="AE107" s="3"/>
      <c r="AH107" s="844">
        <v>0</v>
      </c>
      <c r="AI107" s="39"/>
      <c r="AJ107" s="39"/>
      <c r="AK107" s="39"/>
      <c r="AL107" s="51">
        <f>AD$103*AH107+SUM(AI107:AK107)</f>
        <v>0</v>
      </c>
      <c r="AM107" s="3" t="s">
        <v>371</v>
      </c>
      <c r="AN107" s="3" t="s">
        <v>92</v>
      </c>
      <c r="AO107" s="3" t="s">
        <v>371</v>
      </c>
      <c r="AP107" s="3" t="s">
        <v>371</v>
      </c>
      <c r="AQ107" s="1414" t="s">
        <v>92</v>
      </c>
    </row>
    <row r="108" spans="2:44" ht="15" customHeight="1" x14ac:dyDescent="0.4">
      <c r="B108" s="3"/>
      <c r="C108" s="36"/>
      <c r="D108" s="36"/>
      <c r="E108" s="155"/>
      <c r="F108" s="155"/>
      <c r="G108" s="7"/>
      <c r="H108" s="20"/>
      <c r="P108" s="24"/>
      <c r="Q108" s="24"/>
      <c r="U108" s="20"/>
      <c r="V108" s="38" t="s">
        <v>2365</v>
      </c>
      <c r="W108" s="3" t="s">
        <v>370</v>
      </c>
      <c r="X108" s="38" t="s">
        <v>369</v>
      </c>
      <c r="Y108" s="1443">
        <v>200236180</v>
      </c>
      <c r="Z108" s="1443"/>
      <c r="AA108" s="20"/>
      <c r="AE108" s="3"/>
      <c r="AH108" s="844">
        <v>0</v>
      </c>
      <c r="AI108" s="39"/>
      <c r="AJ108" s="39"/>
      <c r="AK108" s="39"/>
      <c r="AL108" s="51">
        <f t="shared" ref="AL108" si="20">AD$103*AH108+SUM(AI108:AK108)</f>
        <v>0</v>
      </c>
      <c r="AM108" s="3" t="s">
        <v>371</v>
      </c>
      <c r="AN108" s="3" t="s">
        <v>92</v>
      </c>
      <c r="AO108" s="3" t="s">
        <v>371</v>
      </c>
      <c r="AP108" s="3" t="s">
        <v>371</v>
      </c>
      <c r="AQ108" s="1414" t="s">
        <v>371</v>
      </c>
    </row>
    <row r="109" spans="2:44" ht="15" customHeight="1" thickBot="1" x14ac:dyDescent="0.45">
      <c r="B109" s="3"/>
      <c r="C109" s="36"/>
      <c r="D109" s="36"/>
      <c r="E109" s="155"/>
      <c r="F109" s="155"/>
      <c r="G109" s="7"/>
      <c r="H109" s="20"/>
      <c r="P109" s="24"/>
      <c r="Q109" s="24"/>
      <c r="U109" s="20"/>
      <c r="V109" s="112" t="s">
        <v>2367</v>
      </c>
      <c r="W109" s="112" t="s">
        <v>370</v>
      </c>
      <c r="X109" s="279" t="s">
        <v>369</v>
      </c>
      <c r="Y109" s="1871">
        <v>200236152</v>
      </c>
      <c r="Z109" s="1443"/>
      <c r="AA109" s="20"/>
      <c r="AE109" s="3"/>
      <c r="AH109" s="844">
        <v>0</v>
      </c>
      <c r="AI109" s="39"/>
      <c r="AJ109" s="39"/>
      <c r="AK109" s="39"/>
      <c r="AL109" s="51">
        <f t="shared" si="19"/>
        <v>0</v>
      </c>
      <c r="AM109" s="889" t="s">
        <v>371</v>
      </c>
      <c r="AN109" s="889" t="s">
        <v>92</v>
      </c>
      <c r="AO109" s="889" t="s">
        <v>371</v>
      </c>
      <c r="AP109" s="889" t="s">
        <v>371</v>
      </c>
      <c r="AQ109" s="1590" t="s">
        <v>371</v>
      </c>
      <c r="AR109" s="889"/>
    </row>
    <row r="110" spans="2:44" ht="15" customHeight="1" x14ac:dyDescent="0.4">
      <c r="B110" s="3"/>
      <c r="C110" s="173" t="s">
        <v>397</v>
      </c>
      <c r="D110" s="181"/>
      <c r="E110" s="182"/>
      <c r="F110" s="182"/>
      <c r="G110" s="430" t="s">
        <v>383</v>
      </c>
      <c r="H110" s="175"/>
      <c r="I110" s="116" t="s">
        <v>392</v>
      </c>
      <c r="J110" s="116"/>
      <c r="K110" s="116"/>
      <c r="L110" s="116" t="s">
        <v>348</v>
      </c>
      <c r="M110" s="177">
        <v>3</v>
      </c>
      <c r="N110" s="177" t="s">
        <v>348</v>
      </c>
      <c r="O110" s="177">
        <f>0.25</f>
        <v>0.25</v>
      </c>
      <c r="P110" s="178"/>
      <c r="Q110" s="178"/>
      <c r="R110" s="116" t="s">
        <v>352</v>
      </c>
      <c r="S110" s="177">
        <f>FWHeight+M110+O110</f>
        <v>50.75</v>
      </c>
      <c r="T110" s="116" t="s">
        <v>366</v>
      </c>
      <c r="U110" s="175"/>
      <c r="V110" s="179"/>
      <c r="W110" s="116"/>
      <c r="X110" s="179"/>
      <c r="Y110" s="1449"/>
      <c r="Z110" s="1449"/>
      <c r="AA110" s="175"/>
      <c r="AB110" s="116">
        <v>42</v>
      </c>
      <c r="AC110" s="116">
        <v>1</v>
      </c>
      <c r="AD110" s="177">
        <f>AC110*S110/12</f>
        <v>4.229166666666667</v>
      </c>
      <c r="AE110" s="116" t="s">
        <v>367</v>
      </c>
      <c r="AF110" s="177">
        <f>AF45</f>
        <v>0.10199999999999999</v>
      </c>
      <c r="AG110" s="177">
        <f>AF110*AtolbperftFixed</f>
        <v>6.4749600000000004E-2</v>
      </c>
      <c r="AH110" s="935">
        <f>AG110*FWSingleCost</f>
        <v>9.71244E-2</v>
      </c>
      <c r="AI110" s="185"/>
      <c r="AJ110" s="185"/>
      <c r="AK110" s="185"/>
      <c r="AL110" s="185"/>
      <c r="AM110" s="3" t="s">
        <v>371</v>
      </c>
      <c r="AN110" s="3" t="s">
        <v>92</v>
      </c>
      <c r="AO110" s="3" t="s">
        <v>371</v>
      </c>
      <c r="AP110" s="3" t="s">
        <v>371</v>
      </c>
      <c r="AQ110" s="1414" t="s">
        <v>371</v>
      </c>
    </row>
    <row r="111" spans="2:44" ht="14.25" customHeight="1" x14ac:dyDescent="0.4">
      <c r="B111" s="36"/>
      <c r="C111" s="155"/>
      <c r="D111" s="155"/>
      <c r="E111" s="155"/>
      <c r="F111" s="155"/>
      <c r="G111" s="7"/>
      <c r="H111" s="20"/>
      <c r="P111" s="24"/>
      <c r="Q111" s="24"/>
      <c r="U111" s="20"/>
      <c r="V111" s="38" t="s">
        <v>369</v>
      </c>
      <c r="W111" s="3" t="s">
        <v>370</v>
      </c>
      <c r="X111" s="38" t="s">
        <v>369</v>
      </c>
      <c r="Y111" s="1443">
        <v>200169003</v>
      </c>
      <c r="Z111" s="1443"/>
      <c r="AA111" s="20"/>
      <c r="AE111" s="3"/>
      <c r="AF111" s="930"/>
      <c r="AH111" s="51">
        <f>AH46</f>
        <v>0.1221</v>
      </c>
      <c r="AI111" s="39"/>
      <c r="AJ111" s="39"/>
      <c r="AK111" s="39"/>
      <c r="AL111" s="51">
        <f>AD$110*AH111+SUM(AI111:AK111)</f>
        <v>0.51638125000000001</v>
      </c>
      <c r="AM111" s="3" t="s">
        <v>371</v>
      </c>
      <c r="AN111" s="3" t="s">
        <v>92</v>
      </c>
      <c r="AO111" s="3" t="s">
        <v>371</v>
      </c>
      <c r="AP111" s="3" t="s">
        <v>371</v>
      </c>
      <c r="AQ111" s="1414" t="s">
        <v>92</v>
      </c>
    </row>
    <row r="112" spans="2:44" ht="15" customHeight="1" x14ac:dyDescent="0.4">
      <c r="B112" s="36"/>
      <c r="C112" s="155"/>
      <c r="D112" s="155"/>
      <c r="E112" s="155"/>
      <c r="F112" s="155"/>
      <c r="G112" s="7"/>
      <c r="H112" s="20"/>
      <c r="P112" s="24"/>
      <c r="Q112" s="24"/>
      <c r="U112" s="20"/>
      <c r="V112" s="38" t="s">
        <v>369</v>
      </c>
      <c r="W112" s="3" t="s">
        <v>372</v>
      </c>
      <c r="X112" s="38" t="s">
        <v>369</v>
      </c>
      <c r="Y112" s="1443">
        <v>200169021</v>
      </c>
      <c r="Z112" s="1443"/>
      <c r="AA112" s="20"/>
      <c r="AE112" s="3"/>
      <c r="AH112" s="51">
        <f>AH47</f>
        <v>0.13439999999999999</v>
      </c>
      <c r="AI112" s="39"/>
      <c r="AJ112" s="39"/>
      <c r="AK112" s="39"/>
      <c r="AL112" s="51">
        <f t="shared" ref="AL112:AL113" si="21">AD$110*AH112+SUM(AI112:AK112)</f>
        <v>0.56840000000000002</v>
      </c>
      <c r="AM112" s="3" t="s">
        <v>371</v>
      </c>
      <c r="AN112" s="3" t="s">
        <v>92</v>
      </c>
      <c r="AO112" s="3" t="s">
        <v>371</v>
      </c>
      <c r="AP112" s="3" t="s">
        <v>371</v>
      </c>
      <c r="AQ112" s="1414" t="s">
        <v>92</v>
      </c>
    </row>
    <row r="113" spans="1:55" ht="15" customHeight="1" x14ac:dyDescent="0.4">
      <c r="B113" s="36"/>
      <c r="C113" s="155"/>
      <c r="D113" s="155"/>
      <c r="E113" s="155"/>
      <c r="F113" s="155"/>
      <c r="G113" s="7"/>
      <c r="H113" s="20"/>
      <c r="P113" s="24"/>
      <c r="Q113" s="24"/>
      <c r="U113" s="20"/>
      <c r="V113" s="38" t="s">
        <v>369</v>
      </c>
      <c r="W113" s="3" t="s">
        <v>373</v>
      </c>
      <c r="X113" s="38" t="s">
        <v>369</v>
      </c>
      <c r="Y113" s="1443">
        <v>200169033</v>
      </c>
      <c r="Z113" s="1443"/>
      <c r="AA113" s="20"/>
      <c r="AE113" s="3"/>
      <c r="AH113" s="51">
        <f>AH48</f>
        <v>0.12479999999999999</v>
      </c>
      <c r="AI113" s="39"/>
      <c r="AJ113" s="39"/>
      <c r="AK113" s="39"/>
      <c r="AL113" s="51">
        <f t="shared" si="21"/>
        <v>0.52780000000000005</v>
      </c>
      <c r="AM113" s="3" t="s">
        <v>371</v>
      </c>
      <c r="AN113" s="3" t="s">
        <v>92</v>
      </c>
      <c r="AO113" s="3" t="s">
        <v>371</v>
      </c>
      <c r="AP113" s="3" t="s">
        <v>371</v>
      </c>
      <c r="AQ113" s="1414" t="s">
        <v>92</v>
      </c>
    </row>
    <row r="114" spans="1:55" ht="15" customHeight="1" x14ac:dyDescent="0.4">
      <c r="B114" s="36"/>
      <c r="C114" s="155"/>
      <c r="D114" s="155"/>
      <c r="E114" s="155"/>
      <c r="F114" s="155"/>
      <c r="G114" s="7"/>
      <c r="H114" s="20"/>
      <c r="P114" s="24"/>
      <c r="Q114" s="24"/>
      <c r="U114" s="20"/>
      <c r="V114" s="38" t="s">
        <v>369</v>
      </c>
      <c r="W114" s="3" t="s">
        <v>374</v>
      </c>
      <c r="X114" s="38" t="s">
        <v>369</v>
      </c>
      <c r="Y114" s="1443">
        <v>200169090</v>
      </c>
      <c r="Z114" s="1443"/>
      <c r="AA114" s="20"/>
      <c r="AE114" s="3"/>
      <c r="AH114" s="51">
        <f>AH49</f>
        <v>0.22009999999999999</v>
      </c>
      <c r="AI114" s="39"/>
      <c r="AJ114" s="39"/>
      <c r="AK114" s="39"/>
      <c r="AL114" s="51">
        <f>AD$110*AH114+SUM(AI114:AK114)</f>
        <v>0.93083958333333339</v>
      </c>
      <c r="AM114" s="3" t="s">
        <v>371</v>
      </c>
      <c r="AN114" s="3" t="s">
        <v>92</v>
      </c>
      <c r="AO114" s="3" t="s">
        <v>371</v>
      </c>
      <c r="AP114" s="3" t="s">
        <v>371</v>
      </c>
      <c r="AQ114" s="1414" t="s">
        <v>92</v>
      </c>
    </row>
    <row r="115" spans="1:55" ht="15" customHeight="1" x14ac:dyDescent="0.4">
      <c r="B115" s="36"/>
      <c r="C115" s="155"/>
      <c r="D115" s="155"/>
      <c r="E115" s="155"/>
      <c r="F115" s="155"/>
      <c r="G115" s="7"/>
      <c r="H115" s="20"/>
      <c r="P115" s="24"/>
      <c r="Q115" s="24"/>
      <c r="U115" s="20"/>
      <c r="V115" s="38" t="s">
        <v>369</v>
      </c>
      <c r="W115" s="3" t="s">
        <v>375</v>
      </c>
      <c r="X115" s="38" t="s">
        <v>369</v>
      </c>
      <c r="Y115" s="1443">
        <v>200169133</v>
      </c>
      <c r="Z115" s="1443"/>
      <c r="AA115" s="20"/>
      <c r="AE115" s="3"/>
      <c r="AH115" s="844">
        <f>AH50</f>
        <v>0</v>
      </c>
      <c r="AI115" s="39"/>
      <c r="AJ115" s="39"/>
      <c r="AK115" s="39"/>
      <c r="AL115" s="51">
        <f t="shared" ref="AL115" si="22">AD$110*AH115+SUM(AI115:AK115)</f>
        <v>0</v>
      </c>
      <c r="AM115" s="3" t="s">
        <v>371</v>
      </c>
      <c r="AN115" s="3" t="s">
        <v>92</v>
      </c>
      <c r="AO115" s="3" t="s">
        <v>371</v>
      </c>
      <c r="AP115" s="3" t="s">
        <v>371</v>
      </c>
      <c r="AQ115" s="1414" t="s">
        <v>371</v>
      </c>
    </row>
    <row r="116" spans="1:55" ht="15" customHeight="1" thickBot="1" x14ac:dyDescent="0.45">
      <c r="B116" s="36"/>
      <c r="C116" s="155"/>
      <c r="D116" s="155"/>
      <c r="E116" s="155"/>
      <c r="F116" s="155"/>
      <c r="G116" s="7"/>
      <c r="H116" s="20"/>
      <c r="P116" s="24"/>
      <c r="Q116" s="24"/>
      <c r="U116" s="20"/>
      <c r="V116" s="38" t="s">
        <v>369</v>
      </c>
      <c r="W116" s="112" t="s">
        <v>1849</v>
      </c>
      <c r="X116" s="279" t="s">
        <v>369</v>
      </c>
      <c r="Y116" s="1871">
        <v>200169148</v>
      </c>
      <c r="Z116" s="1443"/>
      <c r="AA116" s="20"/>
      <c r="AE116" s="3"/>
      <c r="AH116" s="51">
        <v>0</v>
      </c>
      <c r="AI116" s="39"/>
      <c r="AJ116" s="39"/>
      <c r="AK116" s="39"/>
      <c r="AL116" s="51">
        <f t="shared" ref="AL116" si="23">AD$110*AH116+SUM(AI116:AK116)</f>
        <v>0</v>
      </c>
      <c r="AM116" s="889" t="s">
        <v>371</v>
      </c>
      <c r="AN116" s="889" t="s">
        <v>92</v>
      </c>
      <c r="AO116" s="889" t="s">
        <v>371</v>
      </c>
      <c r="AP116" s="889" t="s">
        <v>371</v>
      </c>
      <c r="AQ116" s="1590" t="s">
        <v>92</v>
      </c>
      <c r="AR116" s="889"/>
    </row>
    <row r="117" spans="1:55" ht="15" customHeight="1" x14ac:dyDescent="0.4">
      <c r="B117" s="3"/>
      <c r="C117" s="173" t="s">
        <v>398</v>
      </c>
      <c r="D117" s="181"/>
      <c r="E117" s="182"/>
      <c r="F117" s="182"/>
      <c r="G117" s="173"/>
      <c r="H117" s="175"/>
      <c r="I117" s="116" t="s">
        <v>392</v>
      </c>
      <c r="J117" s="116"/>
      <c r="K117" s="116"/>
      <c r="L117" s="116" t="s">
        <v>348</v>
      </c>
      <c r="M117" s="177">
        <v>0.438</v>
      </c>
      <c r="N117" s="177"/>
      <c r="O117" s="177"/>
      <c r="P117" s="178"/>
      <c r="Q117" s="178"/>
      <c r="R117" s="116" t="s">
        <v>352</v>
      </c>
      <c r="S117" s="177">
        <f>FWWidth+M117+O117</f>
        <v>47.938000000000002</v>
      </c>
      <c r="T117" s="116" t="s">
        <v>366</v>
      </c>
      <c r="U117" s="175"/>
      <c r="V117" s="179"/>
      <c r="W117" s="116"/>
      <c r="X117" s="179"/>
      <c r="Y117" s="1449"/>
      <c r="Z117" s="1449"/>
      <c r="AA117" s="175"/>
      <c r="AB117" s="116">
        <v>42</v>
      </c>
      <c r="AC117" s="116">
        <v>1</v>
      </c>
      <c r="AD117" s="177">
        <f>AC117*S117/12</f>
        <v>3.9948333333333337</v>
      </c>
      <c r="AE117" s="116" t="s">
        <v>367</v>
      </c>
      <c r="AF117" s="177">
        <f>AF56</f>
        <v>9.4E-2</v>
      </c>
      <c r="AG117" s="177">
        <f>AF117*AtolbperftFixed</f>
        <v>5.9671200000000001E-2</v>
      </c>
      <c r="AH117" s="935">
        <f>AG117*FWSingleCost</f>
        <v>8.9506799999999997E-2</v>
      </c>
      <c r="AI117" s="185"/>
      <c r="AJ117" s="185"/>
      <c r="AK117" s="185"/>
      <c r="AL117" s="185"/>
      <c r="AM117" s="3" t="s">
        <v>371</v>
      </c>
      <c r="AN117" s="3" t="s">
        <v>92</v>
      </c>
      <c r="AO117" s="3" t="s">
        <v>371</v>
      </c>
      <c r="AP117" s="3" t="s">
        <v>371</v>
      </c>
      <c r="AQ117" s="1414" t="s">
        <v>371</v>
      </c>
      <c r="AY117" s="139"/>
      <c r="AZ117" s="139"/>
      <c r="BA117" s="139"/>
      <c r="BB117" s="139"/>
      <c r="BC117" s="139"/>
    </row>
    <row r="118" spans="1:55" ht="15" customHeight="1" x14ac:dyDescent="0.4">
      <c r="B118" s="36"/>
      <c r="C118" s="36"/>
      <c r="D118" s="155"/>
      <c r="E118" s="155"/>
      <c r="F118" s="155"/>
      <c r="G118" s="7"/>
      <c r="H118" s="20"/>
      <c r="P118" s="24"/>
      <c r="Q118" s="24"/>
      <c r="U118" s="20"/>
      <c r="V118" s="38" t="s">
        <v>369</v>
      </c>
      <c r="W118" s="3" t="s">
        <v>370</v>
      </c>
      <c r="X118" s="38" t="s">
        <v>369</v>
      </c>
      <c r="Y118" s="1443">
        <v>200178003</v>
      </c>
      <c r="Z118" s="1443"/>
      <c r="AA118" s="20"/>
      <c r="AE118" s="3"/>
      <c r="AF118" s="930"/>
      <c r="AH118" s="51">
        <f>AH57</f>
        <v>0.10589999999999999</v>
      </c>
      <c r="AI118" s="39"/>
      <c r="AJ118" s="39"/>
      <c r="AK118" s="39"/>
      <c r="AL118" s="51">
        <f>AD$117*AH118+SUM(AI118:AK118)</f>
        <v>0.42305285000000004</v>
      </c>
      <c r="AM118" s="3" t="s">
        <v>371</v>
      </c>
      <c r="AN118" s="3" t="s">
        <v>92</v>
      </c>
      <c r="AO118" s="3" t="s">
        <v>371</v>
      </c>
      <c r="AP118" s="3" t="s">
        <v>371</v>
      </c>
      <c r="AQ118" s="1414" t="s">
        <v>92</v>
      </c>
      <c r="AY118" s="139"/>
      <c r="AZ118" s="139"/>
      <c r="BA118" s="139"/>
      <c r="BB118" s="139"/>
      <c r="BC118" s="139"/>
    </row>
    <row r="119" spans="1:55" ht="15" customHeight="1" x14ac:dyDescent="0.4">
      <c r="B119" s="36"/>
      <c r="C119" s="36"/>
      <c r="D119" s="155"/>
      <c r="E119" s="155"/>
      <c r="F119" s="155"/>
      <c r="G119" s="7"/>
      <c r="H119" s="20"/>
      <c r="P119" s="24"/>
      <c r="Q119" s="24"/>
      <c r="U119" s="20"/>
      <c r="V119" s="38" t="s">
        <v>369</v>
      </c>
      <c r="W119" s="3" t="s">
        <v>372</v>
      </c>
      <c r="X119" s="38" t="s">
        <v>369</v>
      </c>
      <c r="Y119" s="1443">
        <v>200178021</v>
      </c>
      <c r="Z119" s="1443"/>
      <c r="AA119" s="20"/>
      <c r="AE119" s="3"/>
      <c r="AH119" s="51">
        <f>AH58</f>
        <v>0.1183</v>
      </c>
      <c r="AI119" s="39"/>
      <c r="AJ119" s="39"/>
      <c r="AK119" s="39"/>
      <c r="AL119" s="51">
        <f t="shared" ref="AL119:AL120" si="24">AD$117*AH119+SUM(AI119:AK119)</f>
        <v>0.47258878333333337</v>
      </c>
      <c r="AM119" s="3" t="s">
        <v>371</v>
      </c>
      <c r="AN119" s="3" t="s">
        <v>92</v>
      </c>
      <c r="AO119" s="3" t="s">
        <v>371</v>
      </c>
      <c r="AP119" s="3" t="s">
        <v>371</v>
      </c>
      <c r="AQ119" s="1414" t="s">
        <v>92</v>
      </c>
      <c r="AY119" s="139"/>
      <c r="AZ119" s="139"/>
      <c r="BA119" s="139"/>
      <c r="BB119" s="139"/>
      <c r="BC119" s="139"/>
    </row>
    <row r="120" spans="1:55" ht="15" customHeight="1" x14ac:dyDescent="0.4">
      <c r="B120" s="36"/>
      <c r="C120" s="36"/>
      <c r="D120" s="155"/>
      <c r="E120" s="155"/>
      <c r="F120" s="155"/>
      <c r="G120" s="7"/>
      <c r="H120" s="20"/>
      <c r="P120" s="24"/>
      <c r="Q120" s="24"/>
      <c r="U120" s="20"/>
      <c r="V120" s="38" t="s">
        <v>369</v>
      </c>
      <c r="W120" s="3" t="s">
        <v>373</v>
      </c>
      <c r="X120" s="38" t="s">
        <v>369</v>
      </c>
      <c r="Y120" s="1443">
        <v>200178033</v>
      </c>
      <c r="Z120" s="1443"/>
      <c r="AA120" s="20"/>
      <c r="AE120" s="3"/>
      <c r="AH120" s="51">
        <f>AH59</f>
        <v>0.1275</v>
      </c>
      <c r="AI120" s="39"/>
      <c r="AJ120" s="39"/>
      <c r="AK120" s="39"/>
      <c r="AL120" s="51">
        <f t="shared" si="24"/>
        <v>0.50934125000000008</v>
      </c>
      <c r="AM120" s="3" t="s">
        <v>371</v>
      </c>
      <c r="AN120" s="3" t="s">
        <v>92</v>
      </c>
      <c r="AO120" s="3" t="s">
        <v>371</v>
      </c>
      <c r="AP120" s="3" t="s">
        <v>371</v>
      </c>
      <c r="AQ120" s="1414" t="s">
        <v>92</v>
      </c>
      <c r="AY120" s="139"/>
      <c r="AZ120" s="139"/>
      <c r="BA120" s="139"/>
      <c r="BB120" s="139"/>
      <c r="BC120" s="139"/>
    </row>
    <row r="121" spans="1:55" ht="15" customHeight="1" x14ac:dyDescent="0.4">
      <c r="B121" s="36"/>
      <c r="C121" s="36"/>
      <c r="D121" s="155"/>
      <c r="E121" s="155"/>
      <c r="F121" s="155"/>
      <c r="G121" s="7"/>
      <c r="H121" s="20"/>
      <c r="P121" s="24"/>
      <c r="Q121" s="24"/>
      <c r="U121" s="20"/>
      <c r="V121" s="38" t="s">
        <v>369</v>
      </c>
      <c r="W121" s="3" t="s">
        <v>374</v>
      </c>
      <c r="X121" s="38" t="s">
        <v>369</v>
      </c>
      <c r="Y121" s="1443">
        <v>200178090</v>
      </c>
      <c r="Z121" s="1443"/>
      <c r="AA121" s="20"/>
      <c r="AE121" s="3"/>
      <c r="AH121" s="51">
        <f>AH60</f>
        <v>0.2167</v>
      </c>
      <c r="AI121" s="39"/>
      <c r="AJ121" s="39"/>
      <c r="AK121" s="39"/>
      <c r="AL121" s="51">
        <f>AD$117*AH121+SUM(AI121:AK121)</f>
        <v>0.86568038333333341</v>
      </c>
      <c r="AM121" s="3" t="s">
        <v>371</v>
      </c>
      <c r="AN121" s="3" t="s">
        <v>92</v>
      </c>
      <c r="AO121" s="3" t="s">
        <v>371</v>
      </c>
      <c r="AP121" s="3" t="s">
        <v>371</v>
      </c>
      <c r="AQ121" s="1414" t="s">
        <v>92</v>
      </c>
      <c r="AY121" s="139"/>
      <c r="AZ121" s="139"/>
      <c r="BA121" s="139"/>
      <c r="BB121" s="139"/>
      <c r="BC121" s="139"/>
    </row>
    <row r="122" spans="1:55" ht="15" customHeight="1" x14ac:dyDescent="0.4">
      <c r="B122" s="36"/>
      <c r="C122" s="36"/>
      <c r="D122" s="155"/>
      <c r="E122" s="155"/>
      <c r="F122" s="155"/>
      <c r="G122" s="7"/>
      <c r="H122" s="20"/>
      <c r="P122" s="24"/>
      <c r="Q122" s="24"/>
      <c r="U122" s="20"/>
      <c r="V122" s="38" t="s">
        <v>369</v>
      </c>
      <c r="W122" s="3" t="s">
        <v>375</v>
      </c>
      <c r="X122" s="38" t="s">
        <v>369</v>
      </c>
      <c r="Y122" s="1443">
        <v>200178133</v>
      </c>
      <c r="Z122" s="1443"/>
      <c r="AA122" s="20"/>
      <c r="AE122" s="3"/>
      <c r="AH122" s="844">
        <f>AH61</f>
        <v>0</v>
      </c>
      <c r="AI122" s="39"/>
      <c r="AJ122" s="39"/>
      <c r="AK122" s="39"/>
      <c r="AL122" s="51">
        <f t="shared" ref="AL122" si="25">AD$117*AH122+SUM(AI122:AK122)</f>
        <v>0</v>
      </c>
      <c r="AM122" s="3" t="s">
        <v>371</v>
      </c>
      <c r="AN122" s="3" t="s">
        <v>92</v>
      </c>
      <c r="AO122" s="3" t="s">
        <v>371</v>
      </c>
      <c r="AP122" s="3" t="s">
        <v>371</v>
      </c>
      <c r="AQ122" s="1414" t="s">
        <v>371</v>
      </c>
      <c r="AY122" s="139"/>
      <c r="AZ122" s="139"/>
      <c r="BA122" s="139"/>
      <c r="BB122" s="139"/>
      <c r="BC122" s="139"/>
    </row>
    <row r="123" spans="1:55" ht="15" customHeight="1" thickBot="1" x14ac:dyDescent="0.45">
      <c r="B123" s="36"/>
      <c r="C123" s="36"/>
      <c r="D123" s="155"/>
      <c r="E123" s="155"/>
      <c r="F123" s="155"/>
      <c r="G123" s="7"/>
      <c r="H123" s="20"/>
      <c r="P123" s="24"/>
      <c r="Q123" s="24"/>
      <c r="U123" s="20"/>
      <c r="V123" s="279" t="s">
        <v>369</v>
      </c>
      <c r="W123" s="112" t="s">
        <v>1849</v>
      </c>
      <c r="X123" s="279" t="s">
        <v>369</v>
      </c>
      <c r="Y123" s="1871">
        <v>200178148</v>
      </c>
      <c r="Z123" s="1443"/>
      <c r="AA123" s="20"/>
      <c r="AE123" s="3"/>
      <c r="AH123" s="51">
        <v>0</v>
      </c>
      <c r="AI123" s="39"/>
      <c r="AJ123" s="39"/>
      <c r="AK123" s="39"/>
      <c r="AL123" s="51">
        <f t="shared" ref="AL123" si="26">AD$117*AH123+SUM(AI123:AK123)</f>
        <v>0</v>
      </c>
      <c r="AM123" s="889" t="s">
        <v>371</v>
      </c>
      <c r="AN123" s="889" t="s">
        <v>92</v>
      </c>
      <c r="AO123" s="889" t="s">
        <v>371</v>
      </c>
      <c r="AP123" s="889" t="s">
        <v>371</v>
      </c>
      <c r="AQ123" s="1590" t="s">
        <v>92</v>
      </c>
      <c r="AR123" s="889"/>
      <c r="AY123" s="139"/>
      <c r="AZ123" s="139"/>
      <c r="BA123" s="139"/>
      <c r="BB123" s="139"/>
      <c r="BC123" s="139"/>
    </row>
    <row r="124" spans="1:55" ht="15" customHeight="1" thickBot="1" x14ac:dyDescent="0.45">
      <c r="B124" s="135" t="s">
        <v>401</v>
      </c>
      <c r="C124" s="173"/>
      <c r="D124" s="116"/>
      <c r="E124" s="136"/>
      <c r="F124" s="174"/>
      <c r="G124" s="173"/>
      <c r="H124" s="175"/>
      <c r="I124" s="116"/>
      <c r="J124" s="116"/>
      <c r="K124" s="116"/>
      <c r="L124" s="116"/>
      <c r="M124" s="116"/>
      <c r="N124" s="177"/>
      <c r="O124" s="177"/>
      <c r="P124" s="177"/>
      <c r="Q124" s="177"/>
      <c r="R124" s="116"/>
      <c r="S124" s="177"/>
      <c r="T124" s="116"/>
      <c r="U124" s="175"/>
      <c r="V124" s="173"/>
      <c r="W124" s="173"/>
      <c r="X124" s="173"/>
      <c r="Y124" s="1449"/>
      <c r="Z124" s="1449"/>
      <c r="AA124" s="175"/>
      <c r="AB124" s="116"/>
      <c r="AC124" s="116"/>
      <c r="AD124" s="177"/>
      <c r="AE124" s="116"/>
      <c r="AF124" s="627"/>
      <c r="AG124" s="177"/>
      <c r="AH124" s="185"/>
      <c r="AI124" s="185"/>
      <c r="AJ124" s="185"/>
      <c r="AK124" s="185"/>
      <c r="AL124" s="185"/>
      <c r="AM124" s="889" t="s">
        <v>81</v>
      </c>
      <c r="AN124" s="889" t="s">
        <v>92</v>
      </c>
      <c r="AO124" s="889" t="s">
        <v>81</v>
      </c>
      <c r="AP124" s="889" t="s">
        <v>81</v>
      </c>
      <c r="AQ124" s="1590" t="s">
        <v>81</v>
      </c>
      <c r="AR124" s="889"/>
    </row>
    <row r="125" spans="1:55" ht="15" customHeight="1" x14ac:dyDescent="0.4">
      <c r="A125" s="3" t="s">
        <v>402</v>
      </c>
      <c r="B125" s="7"/>
      <c r="C125" s="173" t="s">
        <v>2271</v>
      </c>
      <c r="D125" s="116"/>
      <c r="E125" s="182"/>
      <c r="F125" s="182" t="s">
        <v>438</v>
      </c>
      <c r="G125" s="173"/>
      <c r="H125" s="175"/>
      <c r="I125" s="116" t="s">
        <v>392</v>
      </c>
      <c r="J125" s="116"/>
      <c r="K125" s="116"/>
      <c r="L125" s="116" t="s">
        <v>348</v>
      </c>
      <c r="M125" s="177">
        <f>1.375*2</f>
        <v>2.75</v>
      </c>
      <c r="N125" s="177" t="s">
        <v>348</v>
      </c>
      <c r="O125" s="177">
        <f>0.25</f>
        <v>0.25</v>
      </c>
      <c r="P125" s="177"/>
      <c r="Q125" s="177"/>
      <c r="R125" s="116" t="s">
        <v>352</v>
      </c>
      <c r="S125" s="177">
        <f>FWWidth+M125+O125</f>
        <v>50.5</v>
      </c>
      <c r="T125" s="116" t="s">
        <v>366</v>
      </c>
      <c r="U125" s="175"/>
      <c r="V125" s="179"/>
      <c r="W125" s="116"/>
      <c r="X125" s="179"/>
      <c r="Y125" s="1449"/>
      <c r="Z125" s="1449"/>
      <c r="AA125" s="175"/>
      <c r="AB125" s="116">
        <v>42</v>
      </c>
      <c r="AC125" s="116">
        <v>1</v>
      </c>
      <c r="AD125" s="177">
        <f>AC125*S125/12</f>
        <v>4.208333333333333</v>
      </c>
      <c r="AE125" s="116" t="s">
        <v>367</v>
      </c>
      <c r="AF125" s="627">
        <f>AF64</f>
        <v>1.1379999999999999</v>
      </c>
      <c r="AG125" s="177">
        <f>AF125*AtolbperftFixed</f>
        <v>0.7224024</v>
      </c>
      <c r="AH125" s="935">
        <f>AG125*FWTwinCost</f>
        <v>0.7224024</v>
      </c>
      <c r="AI125" s="185"/>
      <c r="AJ125" s="185"/>
      <c r="AK125" s="185"/>
      <c r="AL125" s="185"/>
      <c r="AM125" s="3" t="s">
        <v>81</v>
      </c>
      <c r="AN125" s="3" t="s">
        <v>92</v>
      </c>
      <c r="AO125" s="3" t="s">
        <v>81</v>
      </c>
      <c r="AP125" s="3" t="s">
        <v>81</v>
      </c>
      <c r="AQ125" s="1414" t="s">
        <v>81</v>
      </c>
    </row>
    <row r="126" spans="1:55" ht="15" customHeight="1" x14ac:dyDescent="0.4">
      <c r="B126" s="3"/>
      <c r="C126" s="155"/>
      <c r="D126" s="155"/>
      <c r="E126" s="155"/>
      <c r="F126" s="47" t="s">
        <v>1138</v>
      </c>
      <c r="G126" s="7"/>
      <c r="H126" s="20"/>
      <c r="I126" s="3" t="s">
        <v>392</v>
      </c>
      <c r="L126" s="3" t="s">
        <v>348</v>
      </c>
      <c r="M126" s="5">
        <v>0</v>
      </c>
      <c r="N126" s="5" t="s">
        <v>348</v>
      </c>
      <c r="O126" s="5">
        <v>0.25</v>
      </c>
      <c r="R126" s="3" t="s">
        <v>352</v>
      </c>
      <c r="S126" s="5">
        <f>FWWidth+M126+O126</f>
        <v>47.75</v>
      </c>
      <c r="T126" s="3" t="s">
        <v>366</v>
      </c>
      <c r="U126" s="20"/>
      <c r="V126" s="38" t="s">
        <v>369</v>
      </c>
      <c r="W126" s="3" t="s">
        <v>370</v>
      </c>
      <c r="X126" s="38" t="s">
        <v>369</v>
      </c>
      <c r="Y126" s="1443">
        <v>200445003</v>
      </c>
      <c r="Z126" s="1443"/>
      <c r="AA126" s="20"/>
      <c r="AE126" s="3"/>
      <c r="AF126" s="930"/>
      <c r="AH126" s="51">
        <f t="shared" ref="AH126:AH132" si="27">AH65</f>
        <v>0.53380000000000005</v>
      </c>
      <c r="AI126" s="39"/>
      <c r="AJ126" s="39"/>
      <c r="AK126" s="39"/>
      <c r="AL126" s="51">
        <f>AD$125*AH126+SUM(AI126:AK126)</f>
        <v>2.2464083333333336</v>
      </c>
      <c r="AM126" s="3" t="s">
        <v>81</v>
      </c>
      <c r="AN126" s="3" t="s">
        <v>92</v>
      </c>
      <c r="AO126" s="3" t="s">
        <v>81</v>
      </c>
      <c r="AP126" s="3" t="s">
        <v>81</v>
      </c>
      <c r="AQ126" s="1414" t="s">
        <v>92</v>
      </c>
    </row>
    <row r="127" spans="1:55" ht="15" customHeight="1" x14ac:dyDescent="0.4">
      <c r="B127" s="3"/>
      <c r="C127" s="36"/>
      <c r="D127" s="155"/>
      <c r="E127" s="155"/>
      <c r="F127" s="155"/>
      <c r="G127" s="7"/>
      <c r="H127" s="20"/>
      <c r="U127" s="20"/>
      <c r="V127" s="38" t="s">
        <v>369</v>
      </c>
      <c r="W127" s="3" t="s">
        <v>372</v>
      </c>
      <c r="X127" s="38" t="s">
        <v>369</v>
      </c>
      <c r="Y127" s="1443">
        <v>200445021</v>
      </c>
      <c r="Z127" s="1443"/>
      <c r="AA127" s="20"/>
      <c r="AE127" s="3"/>
      <c r="AF127" s="930"/>
      <c r="AH127" s="51">
        <f t="shared" si="27"/>
        <v>0.57999999999999996</v>
      </c>
      <c r="AI127" s="39"/>
      <c r="AJ127" s="39"/>
      <c r="AK127" s="39"/>
      <c r="AL127" s="51">
        <f t="shared" ref="AL127:AL133" si="28">AD$125*AH127+SUM(AI127:AK127)</f>
        <v>2.440833333333333</v>
      </c>
      <c r="AM127" s="3" t="s">
        <v>371</v>
      </c>
      <c r="AN127" s="3" t="s">
        <v>92</v>
      </c>
      <c r="AO127" s="3" t="s">
        <v>371</v>
      </c>
      <c r="AP127" s="3" t="s">
        <v>371</v>
      </c>
      <c r="AQ127" s="1414" t="s">
        <v>92</v>
      </c>
    </row>
    <row r="128" spans="1:55" ht="15" customHeight="1" x14ac:dyDescent="0.4">
      <c r="B128" s="3"/>
      <c r="C128" s="36"/>
      <c r="D128" s="155"/>
      <c r="E128" s="155"/>
      <c r="F128" s="155"/>
      <c r="G128" s="7"/>
      <c r="H128" s="20"/>
      <c r="U128" s="20"/>
      <c r="V128" s="38" t="s">
        <v>369</v>
      </c>
      <c r="W128" s="3" t="s">
        <v>373</v>
      </c>
      <c r="X128" s="38" t="s">
        <v>369</v>
      </c>
      <c r="Y128" s="1443">
        <v>200445033</v>
      </c>
      <c r="Z128" s="1443"/>
      <c r="AA128" s="20"/>
      <c r="AE128" s="3"/>
      <c r="AF128" s="930"/>
      <c r="AH128" s="51">
        <f t="shared" si="27"/>
        <v>0.64390000000000003</v>
      </c>
      <c r="AI128" s="39"/>
      <c r="AJ128" s="39"/>
      <c r="AK128" s="39"/>
      <c r="AL128" s="51">
        <f t="shared" si="28"/>
        <v>2.7097458333333333</v>
      </c>
      <c r="AM128" s="3" t="s">
        <v>371</v>
      </c>
      <c r="AN128" s="3" t="s">
        <v>92</v>
      </c>
      <c r="AO128" s="3" t="s">
        <v>371</v>
      </c>
      <c r="AP128" s="3" t="s">
        <v>371</v>
      </c>
      <c r="AQ128" s="1414" t="s">
        <v>92</v>
      </c>
    </row>
    <row r="129" spans="1:44" ht="15" customHeight="1" x14ac:dyDescent="0.4">
      <c r="B129" s="3"/>
      <c r="C129" s="36"/>
      <c r="D129" s="155"/>
      <c r="E129" s="155"/>
      <c r="F129" s="155"/>
      <c r="G129" s="7"/>
      <c r="H129" s="20"/>
      <c r="U129" s="20"/>
      <c r="V129" s="3" t="s">
        <v>2363</v>
      </c>
      <c r="W129" s="3" t="s">
        <v>370</v>
      </c>
      <c r="X129" s="38" t="s">
        <v>369</v>
      </c>
      <c r="Y129" s="1443">
        <v>200445127</v>
      </c>
      <c r="Z129" s="1443"/>
      <c r="AA129" s="20"/>
      <c r="AE129" s="3"/>
      <c r="AF129" s="930"/>
      <c r="AH129" s="51">
        <f t="shared" si="27"/>
        <v>0.78280000000000005</v>
      </c>
      <c r="AI129" s="39"/>
      <c r="AJ129" s="39"/>
      <c r="AK129" s="39"/>
      <c r="AL129" s="51">
        <f t="shared" si="28"/>
        <v>3.2942833333333335</v>
      </c>
      <c r="AM129" s="3" t="s">
        <v>371</v>
      </c>
      <c r="AN129" s="3" t="s">
        <v>92</v>
      </c>
      <c r="AO129" s="3" t="s">
        <v>371</v>
      </c>
      <c r="AP129" s="3" t="s">
        <v>371</v>
      </c>
      <c r="AQ129" s="1414" t="s">
        <v>92</v>
      </c>
    </row>
    <row r="130" spans="1:44" ht="15" customHeight="1" x14ac:dyDescent="0.4">
      <c r="B130" s="3"/>
      <c r="C130" s="36"/>
      <c r="D130" s="155"/>
      <c r="E130" s="155"/>
      <c r="F130" s="155"/>
      <c r="G130" s="7"/>
      <c r="H130" s="20"/>
      <c r="U130" s="20"/>
      <c r="V130" s="572" t="s">
        <v>2366</v>
      </c>
      <c r="W130" s="572" t="s">
        <v>370</v>
      </c>
      <c r="X130" s="571" t="s">
        <v>369</v>
      </c>
      <c r="Y130" s="1447">
        <v>200445128</v>
      </c>
      <c r="Z130" s="1443"/>
      <c r="AA130" s="20"/>
      <c r="AE130" s="3"/>
      <c r="AF130" s="930"/>
      <c r="AH130" s="51">
        <f t="shared" si="27"/>
        <v>0.69099999999999995</v>
      </c>
      <c r="AI130" s="39"/>
      <c r="AJ130" s="39"/>
      <c r="AK130" s="39"/>
      <c r="AL130" s="51">
        <f t="shared" si="28"/>
        <v>2.9079583333333328</v>
      </c>
      <c r="AM130" s="3" t="s">
        <v>371</v>
      </c>
      <c r="AN130" s="3" t="s">
        <v>92</v>
      </c>
      <c r="AO130" s="3" t="s">
        <v>371</v>
      </c>
      <c r="AP130" s="3" t="s">
        <v>371</v>
      </c>
      <c r="AQ130" s="1414" t="s">
        <v>92</v>
      </c>
    </row>
    <row r="131" spans="1:44" ht="15" customHeight="1" x14ac:dyDescent="0.4">
      <c r="B131" s="3"/>
      <c r="C131" s="36"/>
      <c r="D131" s="155"/>
      <c r="E131" s="155"/>
      <c r="F131" s="155"/>
      <c r="G131" s="7"/>
      <c r="H131" s="20"/>
      <c r="U131" s="20"/>
      <c r="V131" s="3" t="s">
        <v>2364</v>
      </c>
      <c r="W131" s="3" t="s">
        <v>370</v>
      </c>
      <c r="X131" s="38" t="s">
        <v>369</v>
      </c>
      <c r="Y131" s="1443">
        <v>200445129</v>
      </c>
      <c r="Z131" s="1443"/>
      <c r="AA131" s="20"/>
      <c r="AE131" s="3"/>
      <c r="AF131" s="930"/>
      <c r="AH131" s="51">
        <f t="shared" si="27"/>
        <v>0.69099999999999995</v>
      </c>
      <c r="AI131" s="39"/>
      <c r="AJ131" s="39"/>
      <c r="AK131" s="39"/>
      <c r="AL131" s="51">
        <f>AD$125*AH131+SUM(AI131:AK131)</f>
        <v>2.9079583333333328</v>
      </c>
      <c r="AM131" s="3" t="s">
        <v>371</v>
      </c>
      <c r="AN131" s="3" t="s">
        <v>92</v>
      </c>
      <c r="AO131" s="3" t="s">
        <v>371</v>
      </c>
      <c r="AP131" s="3" t="s">
        <v>371</v>
      </c>
      <c r="AQ131" s="1414" t="s">
        <v>92</v>
      </c>
    </row>
    <row r="132" spans="1:44" ht="15" customHeight="1" x14ac:dyDescent="0.4">
      <c r="B132" s="3"/>
      <c r="C132" s="36"/>
      <c r="D132" s="155"/>
      <c r="E132" s="155"/>
      <c r="F132" s="155"/>
      <c r="G132" s="7"/>
      <c r="H132" s="20"/>
      <c r="U132" s="20"/>
      <c r="V132" s="3" t="s">
        <v>2365</v>
      </c>
      <c r="W132" s="3" t="s">
        <v>370</v>
      </c>
      <c r="X132" s="38" t="s">
        <v>369</v>
      </c>
      <c r="Y132" s="1443">
        <v>200445180</v>
      </c>
      <c r="Z132" s="1443"/>
      <c r="AA132" s="20"/>
      <c r="AE132" s="3"/>
      <c r="AF132" s="930"/>
      <c r="AH132" s="844">
        <f t="shared" si="27"/>
        <v>0</v>
      </c>
      <c r="AI132" s="39"/>
      <c r="AJ132" s="39"/>
      <c r="AK132" s="39"/>
      <c r="AL132" s="51">
        <f t="shared" ref="AL132" si="29">AD$125*AH132+SUM(AI132:AK132)</f>
        <v>0</v>
      </c>
      <c r="AM132" s="3" t="s">
        <v>371</v>
      </c>
      <c r="AN132" s="3" t="s">
        <v>92</v>
      </c>
      <c r="AO132" s="3" t="s">
        <v>371</v>
      </c>
      <c r="AP132" s="3" t="s">
        <v>371</v>
      </c>
      <c r="AQ132" s="1414" t="s">
        <v>92</v>
      </c>
    </row>
    <row r="133" spans="1:44" ht="15" customHeight="1" x14ac:dyDescent="0.4">
      <c r="B133" s="3"/>
      <c r="C133" s="36"/>
      <c r="D133" s="155"/>
      <c r="E133" s="155"/>
      <c r="F133" s="155"/>
      <c r="G133" s="7"/>
      <c r="H133" s="20"/>
      <c r="U133" s="20"/>
      <c r="V133" s="112" t="s">
        <v>2367</v>
      </c>
      <c r="W133" s="112" t="s">
        <v>370</v>
      </c>
      <c r="X133" s="279" t="s">
        <v>369</v>
      </c>
      <c r="Y133" s="1871">
        <v>200445152</v>
      </c>
      <c r="Z133" s="1443"/>
      <c r="AA133" s="20"/>
      <c r="AE133" s="3"/>
      <c r="AF133" s="930"/>
      <c r="AH133" s="844">
        <v>0</v>
      </c>
      <c r="AI133" s="39"/>
      <c r="AJ133" s="39"/>
      <c r="AK133" s="39"/>
      <c r="AL133" s="51">
        <f t="shared" si="28"/>
        <v>0</v>
      </c>
      <c r="AM133" s="3" t="s">
        <v>371</v>
      </c>
      <c r="AN133" s="3" t="s">
        <v>92</v>
      </c>
      <c r="AO133" s="3" t="s">
        <v>371</v>
      </c>
      <c r="AP133" s="3" t="s">
        <v>371</v>
      </c>
      <c r="AQ133" s="1414" t="s">
        <v>92</v>
      </c>
    </row>
    <row r="134" spans="1:44" ht="15" customHeight="1" x14ac:dyDescent="0.4">
      <c r="B134" s="3"/>
      <c r="C134" s="36"/>
      <c r="D134" s="155"/>
      <c r="E134" s="155"/>
      <c r="F134" s="155"/>
      <c r="G134" s="7"/>
      <c r="H134" s="20"/>
      <c r="U134" s="20"/>
      <c r="V134" s="3" t="s">
        <v>2365</v>
      </c>
      <c r="W134" s="3" t="s">
        <v>370</v>
      </c>
      <c r="X134" s="38" t="s">
        <v>2365</v>
      </c>
      <c r="Y134" s="1443">
        <v>200445181</v>
      </c>
      <c r="Z134" s="1443"/>
      <c r="AA134" s="20"/>
      <c r="AE134" s="3"/>
      <c r="AF134" s="930"/>
      <c r="AH134" s="844"/>
      <c r="AI134" s="39"/>
      <c r="AJ134" s="39"/>
      <c r="AK134" s="39"/>
      <c r="AM134" s="3" t="s">
        <v>371</v>
      </c>
      <c r="AN134" s="3" t="s">
        <v>92</v>
      </c>
      <c r="AO134" s="3" t="s">
        <v>371</v>
      </c>
      <c r="AP134" s="3" t="s">
        <v>371</v>
      </c>
      <c r="AQ134" s="1414" t="s">
        <v>81</v>
      </c>
    </row>
    <row r="135" spans="1:44" ht="15.75" customHeight="1" thickBot="1" x14ac:dyDescent="0.45">
      <c r="B135" s="3"/>
      <c r="C135" s="943"/>
      <c r="D135" s="1037" t="s">
        <v>2352</v>
      </c>
      <c r="E135" s="1038"/>
      <c r="F135" s="1038"/>
      <c r="G135" s="1039"/>
      <c r="H135" s="1040"/>
      <c r="I135" s="710" t="s">
        <v>392</v>
      </c>
      <c r="J135" s="710"/>
      <c r="K135" s="710"/>
      <c r="L135" s="710"/>
      <c r="M135" s="1041"/>
      <c r="N135" s="1041"/>
      <c r="O135" s="1041"/>
      <c r="P135" s="1042"/>
      <c r="Q135" s="1042"/>
      <c r="R135" s="710" t="s">
        <v>352</v>
      </c>
      <c r="S135" s="1041">
        <f>FWWidth</f>
        <v>47.5</v>
      </c>
      <c r="T135" s="710" t="s">
        <v>366</v>
      </c>
      <c r="U135" s="1040"/>
      <c r="V135" s="1043" t="s">
        <v>369</v>
      </c>
      <c r="W135" s="710" t="s">
        <v>370</v>
      </c>
      <c r="X135" s="1043" t="s">
        <v>369</v>
      </c>
      <c r="Y135" s="1846">
        <v>120074014002</v>
      </c>
      <c r="Z135" s="1608"/>
      <c r="AA135" s="1040"/>
      <c r="AB135" s="710"/>
      <c r="AC135" s="710">
        <v>1</v>
      </c>
      <c r="AD135" s="1041">
        <f>AC135*S135/12</f>
        <v>3.9583333333333335</v>
      </c>
      <c r="AE135" s="710" t="s">
        <v>367</v>
      </c>
      <c r="AF135" s="1041"/>
      <c r="AG135" s="1041"/>
      <c r="AH135" s="1611">
        <v>1.8700000000000001E-2</v>
      </c>
      <c r="AI135" s="1044"/>
      <c r="AJ135" s="1044"/>
      <c r="AK135" s="1044"/>
      <c r="AL135" s="1611">
        <f>AD$135*AH135+SUM(AI135:AK135)</f>
        <v>7.4020833333333341E-2</v>
      </c>
      <c r="AM135" s="710" t="s">
        <v>92</v>
      </c>
      <c r="AN135" s="710" t="s">
        <v>92</v>
      </c>
      <c r="AO135" s="710" t="s">
        <v>92</v>
      </c>
      <c r="AP135" s="710" t="s">
        <v>92</v>
      </c>
      <c r="AQ135" s="1880" t="s">
        <v>81</v>
      </c>
      <c r="AR135" s="710"/>
    </row>
    <row r="136" spans="1:44" ht="15" customHeight="1" x14ac:dyDescent="0.4">
      <c r="A136" s="3" t="s">
        <v>402</v>
      </c>
      <c r="B136" s="7"/>
      <c r="C136" s="7" t="s">
        <v>2272</v>
      </c>
      <c r="D136" s="3"/>
      <c r="F136" s="47" t="s">
        <v>391</v>
      </c>
      <c r="G136" s="7"/>
      <c r="H136" s="20"/>
      <c r="I136" s="3" t="s">
        <v>392</v>
      </c>
      <c r="L136" s="3" t="s">
        <v>348</v>
      </c>
      <c r="M136" s="5">
        <f>1.375*2</f>
        <v>2.75</v>
      </c>
      <c r="N136" s="5" t="s">
        <v>348</v>
      </c>
      <c r="O136" s="5">
        <f>0.25</f>
        <v>0.25</v>
      </c>
      <c r="R136" s="3" t="s">
        <v>352</v>
      </c>
      <c r="S136" s="5">
        <f>FWWidth+M136+O136</f>
        <v>50.5</v>
      </c>
      <c r="T136" s="3" t="s">
        <v>366</v>
      </c>
      <c r="U136" s="20"/>
      <c r="V136" s="7"/>
      <c r="W136" s="7"/>
      <c r="X136" s="7"/>
      <c r="Y136" s="1443"/>
      <c r="Z136" s="1443"/>
      <c r="AA136" s="20"/>
      <c r="AB136" s="3">
        <v>42</v>
      </c>
      <c r="AC136" s="3">
        <v>2</v>
      </c>
      <c r="AD136" s="5">
        <f>AC136*S136/12</f>
        <v>8.4166666666666661</v>
      </c>
      <c r="AE136" s="3" t="s">
        <v>367</v>
      </c>
      <c r="AF136" s="930">
        <f>AF75</f>
        <v>1.39</v>
      </c>
      <c r="AG136" s="5">
        <f>AF136*AtolbperftFixed</f>
        <v>0.88237199999999993</v>
      </c>
      <c r="AH136" s="955">
        <f>AG136*FWTwinCost</f>
        <v>0.88237199999999993</v>
      </c>
      <c r="AM136" s="3" t="s">
        <v>371</v>
      </c>
      <c r="AN136" s="3" t="s">
        <v>92</v>
      </c>
      <c r="AO136" s="3" t="s">
        <v>371</v>
      </c>
      <c r="AP136" s="3" t="s">
        <v>371</v>
      </c>
      <c r="AQ136" s="1414" t="s">
        <v>371</v>
      </c>
    </row>
    <row r="137" spans="1:44" ht="15" customHeight="1" x14ac:dyDescent="0.4">
      <c r="B137" s="36"/>
      <c r="C137" s="36"/>
      <c r="D137" s="155"/>
      <c r="E137" s="47"/>
      <c r="F137" s="47" t="s">
        <v>1138</v>
      </c>
      <c r="G137" s="7"/>
      <c r="H137" s="20"/>
      <c r="I137" s="3" t="s">
        <v>392</v>
      </c>
      <c r="L137" s="3" t="s">
        <v>348</v>
      </c>
      <c r="M137" s="5">
        <v>0</v>
      </c>
      <c r="N137" s="5" t="s">
        <v>348</v>
      </c>
      <c r="O137" s="5">
        <v>0.25</v>
      </c>
      <c r="R137" s="3" t="s">
        <v>352</v>
      </c>
      <c r="S137" s="5">
        <f>FWWidth+M137+O137</f>
        <v>47.75</v>
      </c>
      <c r="T137" s="3" t="s">
        <v>366</v>
      </c>
      <c r="U137" s="20"/>
      <c r="V137" s="38" t="s">
        <v>369</v>
      </c>
      <c r="W137" s="3" t="s">
        <v>370</v>
      </c>
      <c r="X137" s="38" t="s">
        <v>369</v>
      </c>
      <c r="Y137" s="1443">
        <v>200149003</v>
      </c>
      <c r="Z137" s="1443"/>
      <c r="AA137" s="20"/>
      <c r="AE137" s="3"/>
      <c r="AF137" s="930"/>
      <c r="AH137" s="51">
        <f t="shared" ref="AH137:AH143" si="30">AH76</f>
        <v>0.72240000000000004</v>
      </c>
      <c r="AI137" s="39"/>
      <c r="AJ137" s="39"/>
      <c r="AK137" s="39"/>
      <c r="AL137" s="51">
        <f>AD$136*AH137+SUM(AI137:AK137)</f>
        <v>6.0801999999999996</v>
      </c>
      <c r="AM137" s="3" t="s">
        <v>371</v>
      </c>
      <c r="AN137" s="3" t="s">
        <v>92</v>
      </c>
      <c r="AO137" s="3" t="s">
        <v>371</v>
      </c>
      <c r="AP137" s="3" t="s">
        <v>371</v>
      </c>
      <c r="AQ137" s="1414" t="s">
        <v>92</v>
      </c>
    </row>
    <row r="138" spans="1:44" ht="15" customHeight="1" x14ac:dyDescent="0.4">
      <c r="B138" s="36"/>
      <c r="C138" s="36"/>
      <c r="D138" s="155"/>
      <c r="E138" s="155"/>
      <c r="F138" s="155"/>
      <c r="G138" s="7"/>
      <c r="H138" s="20"/>
      <c r="P138" s="24"/>
      <c r="Q138" s="24"/>
      <c r="U138" s="20"/>
      <c r="V138" s="38" t="s">
        <v>369</v>
      </c>
      <c r="W138" s="3" t="s">
        <v>372</v>
      </c>
      <c r="X138" s="38" t="s">
        <v>369</v>
      </c>
      <c r="Y138" s="1443">
        <v>200149021</v>
      </c>
      <c r="Z138" s="1443"/>
      <c r="AA138" s="20"/>
      <c r="AE138" s="3"/>
      <c r="AH138" s="51">
        <f t="shared" si="30"/>
        <v>0.78439999999999999</v>
      </c>
      <c r="AI138" s="39"/>
      <c r="AJ138" s="39"/>
      <c r="AK138" s="39"/>
      <c r="AL138" s="51">
        <f t="shared" ref="AL138:AL144" si="31">AD$136*AH138+SUM(AI138:AK138)</f>
        <v>6.602033333333333</v>
      </c>
      <c r="AM138" s="3" t="s">
        <v>371</v>
      </c>
      <c r="AN138" s="3" t="s">
        <v>92</v>
      </c>
      <c r="AO138" s="3" t="s">
        <v>371</v>
      </c>
      <c r="AP138" s="3" t="s">
        <v>371</v>
      </c>
      <c r="AQ138" s="1414" t="s">
        <v>92</v>
      </c>
    </row>
    <row r="139" spans="1:44" ht="15.75" customHeight="1" x14ac:dyDescent="0.4">
      <c r="B139" s="3"/>
      <c r="C139" s="36"/>
      <c r="D139" s="155"/>
      <c r="E139" s="155"/>
      <c r="F139" s="155"/>
      <c r="G139" s="7"/>
      <c r="H139" s="20"/>
      <c r="P139" s="24"/>
      <c r="Q139" s="24"/>
      <c r="U139" s="20"/>
      <c r="V139" s="38" t="s">
        <v>369</v>
      </c>
      <c r="W139" s="3" t="s">
        <v>373</v>
      </c>
      <c r="X139" s="38" t="s">
        <v>369</v>
      </c>
      <c r="Y139" s="1443">
        <v>200149033</v>
      </c>
      <c r="Z139" s="1443"/>
      <c r="AA139" s="20"/>
      <c r="AE139" s="3"/>
      <c r="AH139" s="51">
        <f t="shared" si="30"/>
        <v>0.86990000000000001</v>
      </c>
      <c r="AI139" s="39"/>
      <c r="AJ139" s="39"/>
      <c r="AK139" s="39"/>
      <c r="AL139" s="51">
        <f t="shared" si="31"/>
        <v>7.3216583333333327</v>
      </c>
      <c r="AM139" s="3" t="s">
        <v>371</v>
      </c>
      <c r="AN139" s="3" t="s">
        <v>92</v>
      </c>
      <c r="AO139" s="3" t="s">
        <v>371</v>
      </c>
      <c r="AP139" s="3" t="s">
        <v>371</v>
      </c>
      <c r="AQ139" s="1414" t="s">
        <v>92</v>
      </c>
    </row>
    <row r="140" spans="1:44" ht="15.75" customHeight="1" x14ac:dyDescent="0.4">
      <c r="B140" s="3"/>
      <c r="C140" s="36"/>
      <c r="D140" s="155"/>
      <c r="E140" s="155"/>
      <c r="F140" s="155"/>
      <c r="G140" s="7"/>
      <c r="H140" s="20"/>
      <c r="P140" s="24"/>
      <c r="Q140" s="24"/>
      <c r="U140" s="20"/>
      <c r="V140" s="3" t="s">
        <v>2363</v>
      </c>
      <c r="W140" s="3" t="s">
        <v>370</v>
      </c>
      <c r="X140" s="38" t="s">
        <v>369</v>
      </c>
      <c r="Y140" s="1443">
        <v>200149127</v>
      </c>
      <c r="Z140" s="1443"/>
      <c r="AA140" s="20"/>
      <c r="AE140" s="3"/>
      <c r="AH140" s="51">
        <f t="shared" si="30"/>
        <v>0.9728</v>
      </c>
      <c r="AI140" s="39"/>
      <c r="AJ140" s="39"/>
      <c r="AK140" s="39"/>
      <c r="AL140" s="51">
        <f t="shared" si="31"/>
        <v>8.1877333333333322</v>
      </c>
      <c r="AM140" s="3" t="s">
        <v>371</v>
      </c>
      <c r="AN140" s="3" t="s">
        <v>92</v>
      </c>
      <c r="AO140" s="3" t="s">
        <v>371</v>
      </c>
      <c r="AP140" s="3" t="s">
        <v>371</v>
      </c>
      <c r="AQ140" s="1414" t="s">
        <v>92</v>
      </c>
    </row>
    <row r="141" spans="1:44" ht="15.75" customHeight="1" x14ac:dyDescent="0.4">
      <c r="B141" s="3"/>
      <c r="C141" s="36"/>
      <c r="D141" s="155"/>
      <c r="E141" s="155"/>
      <c r="F141" s="155"/>
      <c r="G141" s="7"/>
      <c r="H141" s="20"/>
      <c r="P141" s="24"/>
      <c r="Q141" s="24"/>
      <c r="U141" s="20"/>
      <c r="V141" s="572" t="s">
        <v>2366</v>
      </c>
      <c r="W141" s="572" t="s">
        <v>370</v>
      </c>
      <c r="X141" s="571" t="s">
        <v>369</v>
      </c>
      <c r="Y141" s="1447">
        <v>200149128</v>
      </c>
      <c r="Z141" s="1443"/>
      <c r="AA141" s="20"/>
      <c r="AE141" s="3"/>
      <c r="AH141" s="51">
        <f t="shared" si="30"/>
        <v>0.86619999999999997</v>
      </c>
      <c r="AI141" s="39"/>
      <c r="AJ141" s="39"/>
      <c r="AK141" s="39"/>
      <c r="AL141" s="51">
        <f t="shared" si="31"/>
        <v>7.2905166666666661</v>
      </c>
      <c r="AM141" s="3" t="s">
        <v>371</v>
      </c>
      <c r="AN141" s="3" t="s">
        <v>92</v>
      </c>
      <c r="AO141" s="3" t="s">
        <v>371</v>
      </c>
      <c r="AP141" s="3" t="s">
        <v>371</v>
      </c>
      <c r="AQ141" s="1414" t="s">
        <v>92</v>
      </c>
    </row>
    <row r="142" spans="1:44" ht="15.75" customHeight="1" x14ac:dyDescent="0.4">
      <c r="B142" s="3"/>
      <c r="C142" s="36"/>
      <c r="D142" s="155"/>
      <c r="E142" s="155"/>
      <c r="F142" s="155"/>
      <c r="G142" s="7"/>
      <c r="H142" s="20"/>
      <c r="P142" s="24"/>
      <c r="Q142" s="24"/>
      <c r="U142" s="20"/>
      <c r="V142" s="3" t="s">
        <v>2364</v>
      </c>
      <c r="W142" s="3" t="s">
        <v>370</v>
      </c>
      <c r="X142" s="38" t="s">
        <v>369</v>
      </c>
      <c r="Y142" s="1443">
        <v>200149129</v>
      </c>
      <c r="Z142" s="1443"/>
      <c r="AA142" s="20"/>
      <c r="AE142" s="3"/>
      <c r="AH142" s="51">
        <f t="shared" si="30"/>
        <v>0.86619999999999997</v>
      </c>
      <c r="AI142" s="39"/>
      <c r="AJ142" s="39"/>
      <c r="AK142" s="39"/>
      <c r="AL142" s="51">
        <f>AD$136*AH142+SUM(AI142:AK142)</f>
        <v>7.2905166666666661</v>
      </c>
      <c r="AM142" s="3" t="s">
        <v>371</v>
      </c>
      <c r="AN142" s="3" t="s">
        <v>92</v>
      </c>
      <c r="AO142" s="3" t="s">
        <v>371</v>
      </c>
      <c r="AP142" s="3" t="s">
        <v>371</v>
      </c>
      <c r="AQ142" s="1414" t="s">
        <v>92</v>
      </c>
    </row>
    <row r="143" spans="1:44" ht="15.75" customHeight="1" x14ac:dyDescent="0.4">
      <c r="B143" s="3"/>
      <c r="C143" s="36"/>
      <c r="D143" s="155"/>
      <c r="E143" s="155"/>
      <c r="F143" s="155"/>
      <c r="G143" s="7"/>
      <c r="H143" s="20"/>
      <c r="P143" s="24"/>
      <c r="Q143" s="24"/>
      <c r="U143" s="20"/>
      <c r="V143" s="3" t="s">
        <v>2365</v>
      </c>
      <c r="W143" s="3" t="s">
        <v>370</v>
      </c>
      <c r="X143" s="38" t="s">
        <v>369</v>
      </c>
      <c r="Y143" s="1443">
        <v>200149180</v>
      </c>
      <c r="Z143" s="1443"/>
      <c r="AA143" s="20"/>
      <c r="AE143" s="3"/>
      <c r="AH143" s="844">
        <f t="shared" si="30"/>
        <v>0</v>
      </c>
      <c r="AI143" s="39"/>
      <c r="AJ143" s="39"/>
      <c r="AK143" s="39"/>
      <c r="AL143" s="51">
        <f t="shared" ref="AL143" si="32">AD$136*AH143+SUM(AI143:AK143)</f>
        <v>0</v>
      </c>
      <c r="AM143" s="3" t="s">
        <v>371</v>
      </c>
      <c r="AN143" s="3" t="s">
        <v>92</v>
      </c>
      <c r="AO143" s="3" t="s">
        <v>371</v>
      </c>
      <c r="AP143" s="3" t="s">
        <v>371</v>
      </c>
      <c r="AQ143" s="1414" t="s">
        <v>92</v>
      </c>
    </row>
    <row r="144" spans="1:44" ht="15.75" customHeight="1" x14ac:dyDescent="0.4">
      <c r="B144" s="3"/>
      <c r="C144" s="36"/>
      <c r="D144" s="155"/>
      <c r="E144" s="155"/>
      <c r="F144" s="155"/>
      <c r="G144" s="7"/>
      <c r="H144" s="20"/>
      <c r="P144" s="24"/>
      <c r="Q144" s="24"/>
      <c r="U144" s="20"/>
      <c r="V144" s="112" t="s">
        <v>2367</v>
      </c>
      <c r="W144" s="112" t="s">
        <v>370</v>
      </c>
      <c r="X144" s="279" t="s">
        <v>369</v>
      </c>
      <c r="Y144" s="1871">
        <v>200149152</v>
      </c>
      <c r="Z144" s="1443"/>
      <c r="AA144" s="20"/>
      <c r="AE144" s="3"/>
      <c r="AH144" s="51">
        <v>0</v>
      </c>
      <c r="AI144" s="39"/>
      <c r="AJ144" s="39"/>
      <c r="AK144" s="39"/>
      <c r="AL144" s="51">
        <f t="shared" si="31"/>
        <v>0</v>
      </c>
      <c r="AM144" s="3" t="s">
        <v>371</v>
      </c>
      <c r="AN144" s="3" t="s">
        <v>92</v>
      </c>
      <c r="AO144" s="3" t="s">
        <v>371</v>
      </c>
      <c r="AP144" s="3" t="s">
        <v>371</v>
      </c>
      <c r="AQ144" s="1414" t="s">
        <v>92</v>
      </c>
    </row>
    <row r="145" spans="2:55" ht="15.75" customHeight="1" x14ac:dyDescent="0.4">
      <c r="B145" s="3"/>
      <c r="C145" s="36"/>
      <c r="D145" s="155"/>
      <c r="E145" s="155"/>
      <c r="F145" s="155"/>
      <c r="G145" s="7"/>
      <c r="H145" s="20"/>
      <c r="P145" s="24"/>
      <c r="Q145" s="24"/>
      <c r="U145" s="20"/>
      <c r="V145" s="3" t="s">
        <v>2365</v>
      </c>
      <c r="W145" s="3" t="s">
        <v>370</v>
      </c>
      <c r="X145" s="38" t="s">
        <v>2365</v>
      </c>
      <c r="Y145" s="1443">
        <v>200149181</v>
      </c>
      <c r="Z145" s="1443"/>
      <c r="AA145" s="20"/>
      <c r="AE145" s="3"/>
      <c r="AI145" s="39"/>
      <c r="AJ145" s="39"/>
      <c r="AK145" s="39"/>
      <c r="AM145" s="3" t="s">
        <v>371</v>
      </c>
      <c r="AN145" s="3" t="s">
        <v>92</v>
      </c>
      <c r="AO145" s="3" t="s">
        <v>371</v>
      </c>
      <c r="AP145" s="3" t="s">
        <v>371</v>
      </c>
      <c r="AQ145" s="1414" t="s">
        <v>371</v>
      </c>
    </row>
    <row r="146" spans="2:55" ht="15.75" customHeight="1" thickBot="1" x14ac:dyDescent="0.45">
      <c r="B146" s="3"/>
      <c r="C146" s="943"/>
      <c r="D146" s="1037" t="s">
        <v>2352</v>
      </c>
      <c r="E146" s="1038"/>
      <c r="F146" s="1038"/>
      <c r="G146" s="1039"/>
      <c r="H146" s="1040"/>
      <c r="I146" s="710" t="s">
        <v>392</v>
      </c>
      <c r="J146" s="710"/>
      <c r="K146" s="710"/>
      <c r="L146" s="710"/>
      <c r="M146" s="1041"/>
      <c r="N146" s="1041"/>
      <c r="O146" s="1041"/>
      <c r="P146" s="1042"/>
      <c r="Q146" s="1042"/>
      <c r="R146" s="710" t="s">
        <v>352</v>
      </c>
      <c r="S146" s="1041">
        <f>FWWidth</f>
        <v>47.5</v>
      </c>
      <c r="T146" s="710" t="s">
        <v>366</v>
      </c>
      <c r="U146" s="1040"/>
      <c r="V146" s="1043" t="s">
        <v>369</v>
      </c>
      <c r="W146" s="710" t="s">
        <v>370</v>
      </c>
      <c r="X146" s="1043" t="s">
        <v>369</v>
      </c>
      <c r="Y146" s="1846">
        <v>120074014002</v>
      </c>
      <c r="Z146" s="1608"/>
      <c r="AA146" s="1040"/>
      <c r="AB146" s="710"/>
      <c r="AC146" s="710">
        <v>1</v>
      </c>
      <c r="AD146" s="1041">
        <f>AC146*S146/12</f>
        <v>3.9583333333333335</v>
      </c>
      <c r="AE146" s="710" t="s">
        <v>367</v>
      </c>
      <c r="AF146" s="1041"/>
      <c r="AG146" s="1041"/>
      <c r="AH146" s="1611">
        <v>1.8700000000000001E-2</v>
      </c>
      <c r="AI146" s="1044"/>
      <c r="AJ146" s="1044"/>
      <c r="AK146" s="1044"/>
      <c r="AL146" s="1611">
        <f>AD$146*AH146+SUM(AI146:AK146)</f>
        <v>7.4020833333333341E-2</v>
      </c>
      <c r="AM146" s="710" t="s">
        <v>92</v>
      </c>
      <c r="AN146" s="710" t="s">
        <v>92</v>
      </c>
      <c r="AO146" s="710" t="s">
        <v>92</v>
      </c>
      <c r="AP146" s="710" t="s">
        <v>92</v>
      </c>
      <c r="AQ146" s="1880" t="s">
        <v>371</v>
      </c>
      <c r="AR146" s="710"/>
    </row>
    <row r="147" spans="2:55" ht="15" customHeight="1" x14ac:dyDescent="0.4">
      <c r="B147" s="3"/>
      <c r="C147" s="7" t="s">
        <v>407</v>
      </c>
      <c r="D147" s="36"/>
      <c r="E147" s="155"/>
      <c r="F147" s="155"/>
      <c r="G147" s="434" t="s">
        <v>383</v>
      </c>
      <c r="H147" s="20"/>
      <c r="I147" s="3" t="s">
        <v>392</v>
      </c>
      <c r="L147" s="3" t="s">
        <v>348</v>
      </c>
      <c r="M147" s="5">
        <v>3</v>
      </c>
      <c r="N147" s="5" t="s">
        <v>348</v>
      </c>
      <c r="O147" s="5">
        <f>0.25</f>
        <v>0.25</v>
      </c>
      <c r="P147" s="24"/>
      <c r="Q147" s="24"/>
      <c r="R147" s="3" t="s">
        <v>352</v>
      </c>
      <c r="S147" s="5">
        <f>FWWidth+M147+O147</f>
        <v>50.75</v>
      </c>
      <c r="T147" s="3" t="s">
        <v>366</v>
      </c>
      <c r="U147" s="20"/>
      <c r="V147" s="38"/>
      <c r="X147" s="38"/>
      <c r="Y147" s="1443"/>
      <c r="Z147" s="1443"/>
      <c r="AA147" s="20"/>
      <c r="AB147" s="3">
        <v>42</v>
      </c>
      <c r="AC147" s="3">
        <v>1</v>
      </c>
      <c r="AD147" s="5">
        <f>AC147*S147/12</f>
        <v>4.229166666666667</v>
      </c>
      <c r="AE147" s="3" t="s">
        <v>367</v>
      </c>
      <c r="AF147" s="5">
        <f>AF110</f>
        <v>0.10199999999999999</v>
      </c>
      <c r="AG147" s="5">
        <f>AF147*AtolbperftFixed</f>
        <v>6.4749600000000004E-2</v>
      </c>
      <c r="AH147" s="955">
        <f>AG147*FWSingleCost</f>
        <v>9.71244E-2</v>
      </c>
      <c r="AM147" s="3" t="s">
        <v>371</v>
      </c>
      <c r="AN147" s="3" t="s">
        <v>92</v>
      </c>
      <c r="AO147" s="3" t="s">
        <v>371</v>
      </c>
      <c r="AP147" s="3" t="s">
        <v>371</v>
      </c>
      <c r="AQ147" s="1414" t="s">
        <v>371</v>
      </c>
    </row>
    <row r="148" spans="2:55" ht="15" customHeight="1" x14ac:dyDescent="0.4">
      <c r="B148" s="36"/>
      <c r="C148" s="155"/>
      <c r="D148" s="155"/>
      <c r="E148" s="155"/>
      <c r="F148" s="155"/>
      <c r="G148" s="7"/>
      <c r="H148" s="20"/>
      <c r="P148" s="24"/>
      <c r="Q148" s="24"/>
      <c r="U148" s="20"/>
      <c r="V148" s="38" t="s">
        <v>369</v>
      </c>
      <c r="W148" s="3" t="s">
        <v>370</v>
      </c>
      <c r="X148" s="38" t="s">
        <v>369</v>
      </c>
      <c r="Y148" s="1443">
        <v>200169003</v>
      </c>
      <c r="Z148" s="1443"/>
      <c r="AA148" s="20"/>
      <c r="AE148" s="3"/>
      <c r="AF148" s="930"/>
      <c r="AH148" s="51">
        <f>AH111</f>
        <v>0.1221</v>
      </c>
      <c r="AI148" s="39"/>
      <c r="AJ148" s="39"/>
      <c r="AK148" s="39"/>
      <c r="AL148" s="51">
        <f>AD$147*AH148+SUM(AI148:AK148)</f>
        <v>0.51638125000000001</v>
      </c>
      <c r="AM148" s="3" t="s">
        <v>371</v>
      </c>
      <c r="AN148" s="3" t="s">
        <v>92</v>
      </c>
      <c r="AO148" s="3" t="s">
        <v>371</v>
      </c>
      <c r="AP148" s="3" t="s">
        <v>371</v>
      </c>
      <c r="AQ148" s="1414" t="s">
        <v>92</v>
      </c>
    </row>
    <row r="149" spans="2:55" ht="15" customHeight="1" x14ac:dyDescent="0.4">
      <c r="B149" s="36"/>
      <c r="C149" s="155"/>
      <c r="D149" s="155"/>
      <c r="E149" s="155"/>
      <c r="F149" s="155"/>
      <c r="G149" s="7"/>
      <c r="H149" s="20"/>
      <c r="P149" s="24"/>
      <c r="Q149" s="24"/>
      <c r="U149" s="20"/>
      <c r="V149" s="38" t="s">
        <v>369</v>
      </c>
      <c r="W149" s="3" t="s">
        <v>372</v>
      </c>
      <c r="X149" s="38" t="s">
        <v>369</v>
      </c>
      <c r="Y149" s="1443">
        <v>200169021</v>
      </c>
      <c r="Z149" s="1443"/>
      <c r="AA149" s="20"/>
      <c r="AE149" s="3"/>
      <c r="AH149" s="51">
        <f>AH112</f>
        <v>0.13439999999999999</v>
      </c>
      <c r="AI149" s="39"/>
      <c r="AJ149" s="39"/>
      <c r="AK149" s="39"/>
      <c r="AL149" s="51">
        <f t="shared" ref="AL149:AL150" si="33">AD$147*AH149+SUM(AI149:AK149)</f>
        <v>0.56840000000000002</v>
      </c>
      <c r="AM149" s="3" t="s">
        <v>371</v>
      </c>
      <c r="AN149" s="3" t="s">
        <v>92</v>
      </c>
      <c r="AO149" s="3" t="s">
        <v>371</v>
      </c>
      <c r="AP149" s="3" t="s">
        <v>371</v>
      </c>
      <c r="AQ149" s="1414" t="s">
        <v>92</v>
      </c>
    </row>
    <row r="150" spans="2:55" ht="15" customHeight="1" x14ac:dyDescent="0.4">
      <c r="B150" s="36"/>
      <c r="C150" s="155"/>
      <c r="D150" s="155"/>
      <c r="E150" s="155"/>
      <c r="F150" s="155"/>
      <c r="G150" s="7"/>
      <c r="H150" s="20"/>
      <c r="P150" s="24"/>
      <c r="Q150" s="24"/>
      <c r="U150" s="20"/>
      <c r="V150" s="38" t="s">
        <v>369</v>
      </c>
      <c r="W150" s="3" t="s">
        <v>373</v>
      </c>
      <c r="X150" s="38" t="s">
        <v>369</v>
      </c>
      <c r="Y150" s="1443">
        <v>200169033</v>
      </c>
      <c r="Z150" s="1443"/>
      <c r="AA150" s="20"/>
      <c r="AE150" s="3"/>
      <c r="AH150" s="51">
        <f>AH113</f>
        <v>0.12479999999999999</v>
      </c>
      <c r="AI150" s="39"/>
      <c r="AJ150" s="39"/>
      <c r="AK150" s="39"/>
      <c r="AL150" s="51">
        <f t="shared" si="33"/>
        <v>0.52780000000000005</v>
      </c>
      <c r="AM150" s="3" t="s">
        <v>371</v>
      </c>
      <c r="AN150" s="3" t="s">
        <v>92</v>
      </c>
      <c r="AO150" s="3" t="s">
        <v>371</v>
      </c>
      <c r="AP150" s="3" t="s">
        <v>371</v>
      </c>
      <c r="AQ150" s="1414" t="s">
        <v>92</v>
      </c>
    </row>
    <row r="151" spans="2:55" ht="15" customHeight="1" x14ac:dyDescent="0.4">
      <c r="B151" s="36"/>
      <c r="C151" s="155"/>
      <c r="D151" s="155"/>
      <c r="E151" s="155"/>
      <c r="F151" s="155"/>
      <c r="G151" s="7"/>
      <c r="H151" s="20"/>
      <c r="P151" s="24"/>
      <c r="Q151" s="24"/>
      <c r="U151" s="20"/>
      <c r="V151" s="38" t="s">
        <v>369</v>
      </c>
      <c r="W151" s="3" t="s">
        <v>374</v>
      </c>
      <c r="X151" s="38" t="s">
        <v>369</v>
      </c>
      <c r="Y151" s="1443">
        <v>200169090</v>
      </c>
      <c r="Z151" s="1443"/>
      <c r="AA151" s="20"/>
      <c r="AE151" s="3"/>
      <c r="AH151" s="51">
        <f>AH114</f>
        <v>0.22009999999999999</v>
      </c>
      <c r="AI151" s="39"/>
      <c r="AJ151" s="39"/>
      <c r="AK151" s="39"/>
      <c r="AL151" s="51">
        <f>AD$147*AH151+SUM(AI151:AK151)</f>
        <v>0.93083958333333339</v>
      </c>
      <c r="AM151" s="3" t="s">
        <v>371</v>
      </c>
      <c r="AN151" s="3" t="s">
        <v>92</v>
      </c>
      <c r="AO151" s="3" t="s">
        <v>371</v>
      </c>
      <c r="AP151" s="3" t="s">
        <v>371</v>
      </c>
      <c r="AQ151" s="1414" t="s">
        <v>92</v>
      </c>
    </row>
    <row r="152" spans="2:55" ht="15" customHeight="1" x14ac:dyDescent="0.4">
      <c r="B152" s="36"/>
      <c r="C152" s="155"/>
      <c r="D152" s="155"/>
      <c r="E152" s="155"/>
      <c r="F152" s="155"/>
      <c r="G152" s="7"/>
      <c r="H152" s="20"/>
      <c r="P152" s="24"/>
      <c r="Q152" s="24"/>
      <c r="U152" s="20"/>
      <c r="V152" s="38" t="s">
        <v>369</v>
      </c>
      <c r="W152" s="3" t="s">
        <v>375</v>
      </c>
      <c r="X152" s="38" t="s">
        <v>369</v>
      </c>
      <c r="Y152" s="1443">
        <v>200169133</v>
      </c>
      <c r="Z152" s="1443"/>
      <c r="AA152" s="20"/>
      <c r="AE152" s="3"/>
      <c r="AH152" s="844">
        <f>AH115</f>
        <v>0</v>
      </c>
      <c r="AI152" s="39"/>
      <c r="AJ152" s="39"/>
      <c r="AK152" s="39"/>
      <c r="AL152" s="51">
        <f t="shared" ref="AL152" si="34">AD$147*AH152+SUM(AI152:AK152)</f>
        <v>0</v>
      </c>
      <c r="AM152" s="3" t="s">
        <v>371</v>
      </c>
      <c r="AN152" s="3" t="s">
        <v>92</v>
      </c>
      <c r="AO152" s="3" t="s">
        <v>371</v>
      </c>
      <c r="AP152" s="3" t="s">
        <v>371</v>
      </c>
      <c r="AQ152" s="1414" t="s">
        <v>371</v>
      </c>
    </row>
    <row r="153" spans="2:55" ht="15" customHeight="1" thickBot="1" x14ac:dyDescent="0.45">
      <c r="B153" s="36"/>
      <c r="C153" s="155"/>
      <c r="D153" s="155"/>
      <c r="E153" s="155"/>
      <c r="F153" s="155"/>
      <c r="G153" s="7"/>
      <c r="H153" s="20"/>
      <c r="P153" s="24"/>
      <c r="Q153" s="24"/>
      <c r="U153" s="20"/>
      <c r="V153" s="279" t="s">
        <v>369</v>
      </c>
      <c r="W153" s="112" t="s">
        <v>1849</v>
      </c>
      <c r="X153" s="279" t="s">
        <v>369</v>
      </c>
      <c r="Y153" s="1871">
        <v>200169148</v>
      </c>
      <c r="Z153" s="1443"/>
      <c r="AA153" s="20"/>
      <c r="AE153" s="3"/>
      <c r="AH153" s="51">
        <v>0</v>
      </c>
      <c r="AI153" s="39"/>
      <c r="AJ153" s="39"/>
      <c r="AK153" s="39"/>
      <c r="AL153" s="51">
        <f t="shared" ref="AL153" si="35">AD$147*AH153+SUM(AI153:AK153)</f>
        <v>0</v>
      </c>
      <c r="AM153" s="889" t="s">
        <v>371</v>
      </c>
      <c r="AN153" s="889" t="s">
        <v>92</v>
      </c>
      <c r="AO153" s="889" t="s">
        <v>371</v>
      </c>
      <c r="AP153" s="889" t="s">
        <v>371</v>
      </c>
      <c r="AQ153" s="1590" t="s">
        <v>92</v>
      </c>
      <c r="AR153" s="889"/>
    </row>
    <row r="154" spans="2:55" ht="15" customHeight="1" x14ac:dyDescent="0.4">
      <c r="B154" s="3"/>
      <c r="C154" s="173" t="s">
        <v>408</v>
      </c>
      <c r="D154" s="181"/>
      <c r="E154" s="182"/>
      <c r="F154" s="182"/>
      <c r="G154" s="173"/>
      <c r="H154" s="175"/>
      <c r="I154" s="116" t="s">
        <v>392</v>
      </c>
      <c r="J154" s="116"/>
      <c r="K154" s="116"/>
      <c r="L154" s="116" t="s">
        <v>348</v>
      </c>
      <c r="M154" s="177">
        <v>0.438</v>
      </c>
      <c r="N154" s="177"/>
      <c r="O154" s="177"/>
      <c r="P154" s="178"/>
      <c r="Q154" s="178"/>
      <c r="R154" s="116" t="s">
        <v>352</v>
      </c>
      <c r="S154" s="177">
        <f>FWWidth+M154+O154</f>
        <v>47.938000000000002</v>
      </c>
      <c r="T154" s="116" t="s">
        <v>366</v>
      </c>
      <c r="U154" s="175"/>
      <c r="V154" s="179"/>
      <c r="W154" s="116"/>
      <c r="X154" s="179"/>
      <c r="Y154" s="1449"/>
      <c r="Z154" s="1449"/>
      <c r="AA154" s="175"/>
      <c r="AB154" s="116">
        <v>42</v>
      </c>
      <c r="AC154" s="116">
        <v>1</v>
      </c>
      <c r="AD154" s="177">
        <f>AC154*S154/12</f>
        <v>3.9948333333333337</v>
      </c>
      <c r="AE154" s="116" t="s">
        <v>367</v>
      </c>
      <c r="AF154" s="177">
        <f>AF117</f>
        <v>9.4E-2</v>
      </c>
      <c r="AG154" s="177">
        <f>AF154*AtolbperftFixed</f>
        <v>5.9671200000000001E-2</v>
      </c>
      <c r="AH154" s="935">
        <f>AG154*FWSingleCost</f>
        <v>8.9506799999999997E-2</v>
      </c>
      <c r="AI154" s="185"/>
      <c r="AJ154" s="185"/>
      <c r="AK154" s="185"/>
      <c r="AL154" s="185"/>
      <c r="AM154" s="3" t="s">
        <v>371</v>
      </c>
      <c r="AN154" s="3" t="s">
        <v>92</v>
      </c>
      <c r="AO154" s="3" t="s">
        <v>371</v>
      </c>
      <c r="AP154" s="3" t="s">
        <v>371</v>
      </c>
      <c r="AQ154" s="1414" t="s">
        <v>371</v>
      </c>
      <c r="AY154" s="139"/>
      <c r="AZ154" s="139"/>
      <c r="BA154" s="139"/>
      <c r="BB154" s="139"/>
      <c r="BC154" s="139"/>
    </row>
    <row r="155" spans="2:55" ht="15" customHeight="1" x14ac:dyDescent="0.4">
      <c r="B155" s="36"/>
      <c r="C155" s="36"/>
      <c r="D155" s="155"/>
      <c r="E155" s="155"/>
      <c r="F155" s="155"/>
      <c r="G155" s="7"/>
      <c r="H155" s="20"/>
      <c r="P155" s="24"/>
      <c r="Q155" s="24"/>
      <c r="U155" s="20"/>
      <c r="V155" s="38" t="s">
        <v>369</v>
      </c>
      <c r="W155" s="3" t="s">
        <v>370</v>
      </c>
      <c r="X155" s="38" t="s">
        <v>369</v>
      </c>
      <c r="Y155" s="1443">
        <v>200178003</v>
      </c>
      <c r="Z155" s="1443"/>
      <c r="AA155" s="20"/>
      <c r="AE155" s="3"/>
      <c r="AF155" s="930"/>
      <c r="AH155" s="51">
        <f>AH118</f>
        <v>0.10589999999999999</v>
      </c>
      <c r="AI155" s="39"/>
      <c r="AJ155" s="39"/>
      <c r="AK155" s="39"/>
      <c r="AL155" s="51">
        <f>AD$154*AH155+SUM(AI155:AK155)</f>
        <v>0.42305285000000004</v>
      </c>
      <c r="AM155" s="3" t="s">
        <v>371</v>
      </c>
      <c r="AN155" s="3" t="s">
        <v>92</v>
      </c>
      <c r="AO155" s="3" t="s">
        <v>371</v>
      </c>
      <c r="AP155" s="3" t="s">
        <v>371</v>
      </c>
      <c r="AQ155" s="1414" t="s">
        <v>92</v>
      </c>
      <c r="AY155" s="139"/>
      <c r="AZ155" s="139"/>
      <c r="BA155" s="139"/>
      <c r="BB155" s="139"/>
      <c r="BC155" s="139"/>
    </row>
    <row r="156" spans="2:55" ht="15" customHeight="1" x14ac:dyDescent="0.4">
      <c r="B156" s="36"/>
      <c r="C156" s="36"/>
      <c r="D156" s="155"/>
      <c r="E156" s="155"/>
      <c r="F156" s="155"/>
      <c r="G156" s="7"/>
      <c r="H156" s="20"/>
      <c r="P156" s="24"/>
      <c r="Q156" s="24"/>
      <c r="U156" s="20"/>
      <c r="V156" s="38" t="s">
        <v>369</v>
      </c>
      <c r="W156" s="3" t="s">
        <v>372</v>
      </c>
      <c r="X156" s="38" t="s">
        <v>369</v>
      </c>
      <c r="Y156" s="1443">
        <v>200178021</v>
      </c>
      <c r="Z156" s="1443"/>
      <c r="AA156" s="20"/>
      <c r="AE156" s="3"/>
      <c r="AH156" s="51">
        <f>AH119</f>
        <v>0.1183</v>
      </c>
      <c r="AI156" s="39"/>
      <c r="AJ156" s="39"/>
      <c r="AK156" s="39"/>
      <c r="AL156" s="51">
        <f t="shared" ref="AL156:AL157" si="36">AD$154*AH156+SUM(AI156:AK156)</f>
        <v>0.47258878333333337</v>
      </c>
      <c r="AM156" s="3" t="s">
        <v>371</v>
      </c>
      <c r="AN156" s="3" t="s">
        <v>92</v>
      </c>
      <c r="AO156" s="3" t="s">
        <v>371</v>
      </c>
      <c r="AP156" s="3" t="s">
        <v>371</v>
      </c>
      <c r="AQ156" s="1414" t="s">
        <v>92</v>
      </c>
      <c r="AY156" s="139"/>
      <c r="AZ156" s="139"/>
      <c r="BA156" s="139"/>
      <c r="BB156" s="139"/>
      <c r="BC156" s="139"/>
    </row>
    <row r="157" spans="2:55" ht="15" customHeight="1" x14ac:dyDescent="0.4">
      <c r="B157" s="36"/>
      <c r="C157" s="36"/>
      <c r="D157" s="155"/>
      <c r="E157" s="155"/>
      <c r="F157" s="155"/>
      <c r="G157" s="7"/>
      <c r="H157" s="20"/>
      <c r="P157" s="24"/>
      <c r="Q157" s="24"/>
      <c r="U157" s="20"/>
      <c r="V157" s="38" t="s">
        <v>369</v>
      </c>
      <c r="W157" s="3" t="s">
        <v>373</v>
      </c>
      <c r="X157" s="38" t="s">
        <v>369</v>
      </c>
      <c r="Y157" s="1443">
        <v>200178033</v>
      </c>
      <c r="Z157" s="1443"/>
      <c r="AA157" s="20"/>
      <c r="AE157" s="3"/>
      <c r="AH157" s="51">
        <f>AH120</f>
        <v>0.1275</v>
      </c>
      <c r="AI157" s="39"/>
      <c r="AJ157" s="39"/>
      <c r="AK157" s="39"/>
      <c r="AL157" s="51">
        <f t="shared" si="36"/>
        <v>0.50934125000000008</v>
      </c>
      <c r="AM157" s="3" t="s">
        <v>371</v>
      </c>
      <c r="AN157" s="3" t="s">
        <v>92</v>
      </c>
      <c r="AO157" s="3" t="s">
        <v>371</v>
      </c>
      <c r="AP157" s="3" t="s">
        <v>371</v>
      </c>
      <c r="AQ157" s="1414" t="s">
        <v>92</v>
      </c>
      <c r="AY157" s="139"/>
      <c r="AZ157" s="139"/>
      <c r="BA157" s="139"/>
      <c r="BB157" s="139"/>
      <c r="BC157" s="139"/>
    </row>
    <row r="158" spans="2:55" ht="15" customHeight="1" x14ac:dyDescent="0.4">
      <c r="B158" s="36"/>
      <c r="C158" s="36"/>
      <c r="D158" s="155"/>
      <c r="E158" s="155"/>
      <c r="F158" s="155"/>
      <c r="G158" s="7"/>
      <c r="H158" s="20"/>
      <c r="P158" s="24"/>
      <c r="Q158" s="24"/>
      <c r="U158" s="20"/>
      <c r="V158" s="38" t="s">
        <v>369</v>
      </c>
      <c r="W158" s="3" t="s">
        <v>374</v>
      </c>
      <c r="X158" s="38" t="s">
        <v>369</v>
      </c>
      <c r="Y158" s="1443">
        <v>200178090</v>
      </c>
      <c r="Z158" s="1443"/>
      <c r="AA158" s="20"/>
      <c r="AE158" s="3"/>
      <c r="AH158" s="51">
        <f>AH121</f>
        <v>0.2167</v>
      </c>
      <c r="AI158" s="39"/>
      <c r="AJ158" s="39"/>
      <c r="AK158" s="39"/>
      <c r="AL158" s="51">
        <f>AD$154*AH158+SUM(AI158:AK158)</f>
        <v>0.86568038333333341</v>
      </c>
      <c r="AM158" s="3" t="s">
        <v>371</v>
      </c>
      <c r="AN158" s="3" t="s">
        <v>92</v>
      </c>
      <c r="AO158" s="3" t="s">
        <v>371</v>
      </c>
      <c r="AP158" s="3" t="s">
        <v>371</v>
      </c>
      <c r="AQ158" s="1414" t="s">
        <v>92</v>
      </c>
      <c r="AY158" s="139"/>
      <c r="AZ158" s="139"/>
      <c r="BA158" s="139"/>
      <c r="BB158" s="139"/>
      <c r="BC158" s="139"/>
    </row>
    <row r="159" spans="2:55" ht="15" customHeight="1" x14ac:dyDescent="0.4">
      <c r="B159" s="36"/>
      <c r="C159" s="36"/>
      <c r="D159" s="155"/>
      <c r="E159" s="155"/>
      <c r="F159" s="155"/>
      <c r="G159" s="7"/>
      <c r="H159" s="20"/>
      <c r="P159" s="24"/>
      <c r="Q159" s="24"/>
      <c r="U159" s="20"/>
      <c r="V159" s="38" t="s">
        <v>369</v>
      </c>
      <c r="W159" s="3" t="s">
        <v>375</v>
      </c>
      <c r="X159" s="38" t="s">
        <v>369</v>
      </c>
      <c r="Y159" s="1443">
        <v>200178133</v>
      </c>
      <c r="Z159" s="1443"/>
      <c r="AA159" s="20"/>
      <c r="AE159" s="3"/>
      <c r="AH159" s="844">
        <f>AH122</f>
        <v>0</v>
      </c>
      <c r="AI159" s="39"/>
      <c r="AJ159" s="39"/>
      <c r="AK159" s="39"/>
      <c r="AL159" s="51">
        <f t="shared" ref="AL159" si="37">AD$154*AH159+SUM(AI159:AK159)</f>
        <v>0</v>
      </c>
      <c r="AM159" s="3" t="s">
        <v>371</v>
      </c>
      <c r="AN159" s="3" t="s">
        <v>92</v>
      </c>
      <c r="AO159" s="3" t="s">
        <v>371</v>
      </c>
      <c r="AP159" s="3" t="s">
        <v>371</v>
      </c>
      <c r="AQ159" s="1414" t="s">
        <v>371</v>
      </c>
      <c r="AY159" s="139"/>
      <c r="AZ159" s="139"/>
      <c r="BA159" s="139"/>
      <c r="BB159" s="139"/>
      <c r="BC159" s="139"/>
    </row>
    <row r="160" spans="2:55" ht="15" customHeight="1" thickBot="1" x14ac:dyDescent="0.45">
      <c r="B160" s="36"/>
      <c r="C160" s="36"/>
      <c r="D160" s="155"/>
      <c r="E160" s="155"/>
      <c r="F160" s="155"/>
      <c r="G160" s="7"/>
      <c r="H160" s="20"/>
      <c r="P160" s="24"/>
      <c r="Q160" s="24"/>
      <c r="U160" s="20"/>
      <c r="V160" s="279" t="s">
        <v>369</v>
      </c>
      <c r="W160" s="112" t="s">
        <v>1849</v>
      </c>
      <c r="X160" s="279" t="s">
        <v>369</v>
      </c>
      <c r="Y160" s="1871">
        <v>200178148</v>
      </c>
      <c r="Z160" s="1443"/>
      <c r="AA160" s="20"/>
      <c r="AE160" s="3"/>
      <c r="AH160" s="51">
        <v>0</v>
      </c>
      <c r="AI160" s="39"/>
      <c r="AJ160" s="39"/>
      <c r="AK160" s="39"/>
      <c r="AL160" s="51">
        <f t="shared" ref="AL160" si="38">AD$154*AH160+SUM(AI160:AK160)</f>
        <v>0</v>
      </c>
      <c r="AM160" s="889" t="s">
        <v>371</v>
      </c>
      <c r="AN160" s="889" t="s">
        <v>92</v>
      </c>
      <c r="AO160" s="889" t="s">
        <v>371</v>
      </c>
      <c r="AP160" s="889" t="s">
        <v>371</v>
      </c>
      <c r="AQ160" s="1590" t="s">
        <v>92</v>
      </c>
      <c r="AR160" s="889"/>
      <c r="AY160" s="139"/>
      <c r="AZ160" s="139"/>
      <c r="BA160" s="139"/>
      <c r="BB160" s="139"/>
      <c r="BC160" s="139"/>
    </row>
    <row r="161" spans="1:44" ht="15" customHeight="1" x14ac:dyDescent="0.4">
      <c r="A161" s="3" t="s">
        <v>409</v>
      </c>
      <c r="C161" s="173" t="s">
        <v>410</v>
      </c>
      <c r="D161" s="116"/>
      <c r="E161" s="116"/>
      <c r="F161" s="174"/>
      <c r="G161" s="173"/>
      <c r="H161" s="175"/>
      <c r="I161" s="116" t="s">
        <v>392</v>
      </c>
      <c r="J161" s="116"/>
      <c r="K161" s="116"/>
      <c r="L161" s="116" t="s">
        <v>348</v>
      </c>
      <c r="M161" s="177">
        <v>3.9375</v>
      </c>
      <c r="N161" s="177"/>
      <c r="O161" s="177"/>
      <c r="P161" s="177"/>
      <c r="Q161" s="177"/>
      <c r="R161" s="116" t="s">
        <v>352</v>
      </c>
      <c r="S161" s="177">
        <f>FWWidth+M161+O161</f>
        <v>51.4375</v>
      </c>
      <c r="T161" s="116" t="s">
        <v>366</v>
      </c>
      <c r="U161" s="175"/>
      <c r="V161" s="173"/>
      <c r="W161" s="173"/>
      <c r="X161" s="173"/>
      <c r="Y161" s="1449"/>
      <c r="Z161" s="1449"/>
      <c r="AA161" s="175"/>
      <c r="AB161" s="116">
        <v>42</v>
      </c>
      <c r="AC161" s="116">
        <v>1</v>
      </c>
      <c r="AD161" s="177">
        <f>AC161*S161/12</f>
        <v>4.286458333333333</v>
      </c>
      <c r="AE161" s="116" t="s">
        <v>367</v>
      </c>
      <c r="AF161" s="627">
        <v>0.34599999999999997</v>
      </c>
      <c r="AG161" s="177">
        <f>AF161*AtolbperftFixed</f>
        <v>0.2196408</v>
      </c>
      <c r="AH161" s="935">
        <f>AG161*FWTwinCost</f>
        <v>0.2196408</v>
      </c>
      <c r="AI161" s="185"/>
      <c r="AJ161" s="185"/>
      <c r="AK161" s="185"/>
      <c r="AL161" s="185"/>
      <c r="AM161" s="3" t="s">
        <v>371</v>
      </c>
      <c r="AN161" s="3" t="s">
        <v>92</v>
      </c>
      <c r="AO161" s="3" t="s">
        <v>371</v>
      </c>
      <c r="AP161" s="3" t="s">
        <v>371</v>
      </c>
      <c r="AQ161" s="1414" t="s">
        <v>371</v>
      </c>
    </row>
    <row r="162" spans="1:44" ht="15" customHeight="1" x14ac:dyDescent="0.4">
      <c r="C162" s="36"/>
      <c r="D162" s="36"/>
      <c r="E162" s="155"/>
      <c r="F162" s="155"/>
      <c r="G162" s="7"/>
      <c r="H162" s="20"/>
      <c r="P162" s="24"/>
      <c r="Q162" s="24"/>
      <c r="U162" s="20"/>
      <c r="V162" s="38" t="s">
        <v>369</v>
      </c>
      <c r="W162" s="3" t="s">
        <v>370</v>
      </c>
      <c r="X162" s="38" t="s">
        <v>369</v>
      </c>
      <c r="Y162" s="1443">
        <v>200174003</v>
      </c>
      <c r="Z162" s="1443"/>
      <c r="AA162" s="20"/>
      <c r="AE162" s="3"/>
      <c r="AF162" s="930"/>
      <c r="AH162" s="51">
        <v>0.22839999999999999</v>
      </c>
      <c r="AI162" s="39"/>
      <c r="AJ162" s="39"/>
      <c r="AK162" s="39"/>
      <c r="AL162" s="51">
        <f>AD$161*AH162+SUM(AI162:AK162)</f>
        <v>0.97902708333333321</v>
      </c>
      <c r="AM162" s="3" t="s">
        <v>371</v>
      </c>
      <c r="AN162" s="3" t="s">
        <v>92</v>
      </c>
      <c r="AO162" s="3" t="s">
        <v>371</v>
      </c>
      <c r="AP162" s="3" t="s">
        <v>371</v>
      </c>
      <c r="AQ162" s="1414" t="s">
        <v>92</v>
      </c>
    </row>
    <row r="163" spans="1:44" ht="15" customHeight="1" x14ac:dyDescent="0.4">
      <c r="C163" s="36"/>
      <c r="D163" s="36"/>
      <c r="E163" s="155"/>
      <c r="F163" s="155"/>
      <c r="G163" s="7"/>
      <c r="H163" s="20"/>
      <c r="P163" s="24"/>
      <c r="Q163" s="24"/>
      <c r="U163" s="20"/>
      <c r="V163" s="38" t="s">
        <v>369</v>
      </c>
      <c r="W163" s="3" t="s">
        <v>372</v>
      </c>
      <c r="X163" s="38" t="s">
        <v>369</v>
      </c>
      <c r="Y163" s="1443">
        <v>200174021</v>
      </c>
      <c r="Z163" s="1443"/>
      <c r="AA163" s="20"/>
      <c r="AE163" s="3"/>
      <c r="AH163" s="51">
        <v>0.24299999999999999</v>
      </c>
      <c r="AI163" s="39"/>
      <c r="AJ163" s="39"/>
      <c r="AK163" s="39"/>
      <c r="AL163" s="51">
        <f t="shared" ref="AL163:AL167" si="39">AD$161*AH163+SUM(AI163:AK163)</f>
        <v>1.0416093749999999</v>
      </c>
      <c r="AM163" s="3" t="s">
        <v>371</v>
      </c>
      <c r="AN163" s="3" t="s">
        <v>92</v>
      </c>
      <c r="AO163" s="3" t="s">
        <v>371</v>
      </c>
      <c r="AP163" s="3" t="s">
        <v>371</v>
      </c>
      <c r="AQ163" s="1414" t="s">
        <v>92</v>
      </c>
    </row>
    <row r="164" spans="1:44" ht="15" customHeight="1" x14ac:dyDescent="0.4">
      <c r="C164" s="36"/>
      <c r="D164" s="36"/>
      <c r="E164" s="155"/>
      <c r="F164" s="155"/>
      <c r="G164" s="7"/>
      <c r="H164" s="20"/>
      <c r="P164" s="24"/>
      <c r="Q164" s="24"/>
      <c r="U164" s="20"/>
      <c r="V164" s="38" t="s">
        <v>369</v>
      </c>
      <c r="W164" s="3" t="s">
        <v>373</v>
      </c>
      <c r="X164" s="38" t="s">
        <v>369</v>
      </c>
      <c r="Y164" s="1443">
        <v>200174033</v>
      </c>
      <c r="Z164" s="1443"/>
      <c r="AA164" s="20"/>
      <c r="AE164" s="3"/>
      <c r="AH164" s="51">
        <v>0.26300000000000001</v>
      </c>
      <c r="AI164" s="39"/>
      <c r="AJ164" s="39"/>
      <c r="AK164" s="39"/>
      <c r="AL164" s="51">
        <f t="shared" si="39"/>
        <v>1.1273385416666666</v>
      </c>
      <c r="AM164" s="3" t="s">
        <v>371</v>
      </c>
      <c r="AN164" s="3" t="s">
        <v>92</v>
      </c>
      <c r="AO164" s="3" t="s">
        <v>371</v>
      </c>
      <c r="AP164" s="3" t="s">
        <v>371</v>
      </c>
      <c r="AQ164" s="1414" t="s">
        <v>92</v>
      </c>
    </row>
    <row r="165" spans="1:44" ht="15" customHeight="1" x14ac:dyDescent="0.4">
      <c r="C165" s="36"/>
      <c r="D165" s="36"/>
      <c r="E165" s="155"/>
      <c r="F165" s="155"/>
      <c r="G165" s="7"/>
      <c r="H165" s="20"/>
      <c r="P165" s="24"/>
      <c r="Q165" s="24"/>
      <c r="U165" s="20"/>
      <c r="V165" s="3" t="s">
        <v>2363</v>
      </c>
      <c r="W165" s="3" t="s">
        <v>370</v>
      </c>
      <c r="X165" s="38" t="s">
        <v>369</v>
      </c>
      <c r="Y165" s="1443">
        <v>200174127</v>
      </c>
      <c r="Z165" s="1443"/>
      <c r="AA165" s="20"/>
      <c r="AE165" s="3"/>
      <c r="AH165" s="51">
        <v>0.35270000000000001</v>
      </c>
      <c r="AI165" s="39"/>
      <c r="AJ165" s="39"/>
      <c r="AK165" s="39"/>
      <c r="AL165" s="51">
        <f>AD$161*AH165+SUM(AI165:AK165)</f>
        <v>1.5118338541666667</v>
      </c>
      <c r="AM165" s="3" t="s">
        <v>371</v>
      </c>
      <c r="AN165" s="3" t="s">
        <v>92</v>
      </c>
      <c r="AO165" s="3" t="s">
        <v>371</v>
      </c>
      <c r="AP165" s="3" t="s">
        <v>371</v>
      </c>
      <c r="AQ165" s="1414" t="s">
        <v>92</v>
      </c>
    </row>
    <row r="166" spans="1:44" ht="15" customHeight="1" x14ac:dyDescent="0.4">
      <c r="C166" s="36"/>
      <c r="D166" s="36"/>
      <c r="E166" s="155"/>
      <c r="F166" s="155"/>
      <c r="G166" s="7"/>
      <c r="H166" s="20"/>
      <c r="P166" s="24"/>
      <c r="Q166" s="24"/>
      <c r="U166" s="20"/>
      <c r="V166" s="38" t="s">
        <v>2365</v>
      </c>
      <c r="W166" s="3" t="s">
        <v>370</v>
      </c>
      <c r="X166" s="38" t="s">
        <v>369</v>
      </c>
      <c r="Y166" s="1443">
        <v>200174180</v>
      </c>
      <c r="Z166" s="1443"/>
      <c r="AA166" s="20"/>
      <c r="AE166" s="3"/>
      <c r="AH166" s="844">
        <v>0</v>
      </c>
      <c r="AI166" s="39"/>
      <c r="AJ166" s="39"/>
      <c r="AK166" s="39"/>
      <c r="AL166" s="51">
        <f t="shared" ref="AL166" si="40">AD$161*AH166+SUM(AI166:AK166)</f>
        <v>0</v>
      </c>
      <c r="AM166" s="3" t="s">
        <v>371</v>
      </c>
      <c r="AN166" s="3" t="s">
        <v>92</v>
      </c>
      <c r="AO166" s="3" t="s">
        <v>371</v>
      </c>
      <c r="AP166" s="3" t="s">
        <v>371</v>
      </c>
      <c r="AQ166" s="1414" t="s">
        <v>371</v>
      </c>
    </row>
    <row r="167" spans="1:44" ht="15" customHeight="1" thickBot="1" x14ac:dyDescent="0.45">
      <c r="C167" s="943"/>
      <c r="D167" s="943"/>
      <c r="E167" s="925"/>
      <c r="F167" s="925"/>
      <c r="G167" s="924"/>
      <c r="H167" s="887"/>
      <c r="I167" s="889"/>
      <c r="J167" s="889"/>
      <c r="K167" s="889"/>
      <c r="L167" s="889"/>
      <c r="M167" s="945"/>
      <c r="N167" s="945"/>
      <c r="O167" s="945"/>
      <c r="P167" s="1020"/>
      <c r="Q167" s="1020"/>
      <c r="R167" s="889"/>
      <c r="S167" s="945"/>
      <c r="T167" s="889"/>
      <c r="U167" s="887"/>
      <c r="V167" s="112" t="s">
        <v>2367</v>
      </c>
      <c r="W167" s="112" t="s">
        <v>370</v>
      </c>
      <c r="X167" s="279" t="s">
        <v>369</v>
      </c>
      <c r="Y167" s="1871">
        <v>200174152</v>
      </c>
      <c r="Z167" s="1443"/>
      <c r="AA167" s="20"/>
      <c r="AE167" s="3"/>
      <c r="AH167" s="51">
        <v>0</v>
      </c>
      <c r="AI167" s="39"/>
      <c r="AJ167" s="39"/>
      <c r="AK167" s="39"/>
      <c r="AL167" s="51">
        <f t="shared" si="39"/>
        <v>0</v>
      </c>
      <c r="AM167" s="889" t="s">
        <v>371</v>
      </c>
      <c r="AN167" s="889" t="s">
        <v>92</v>
      </c>
      <c r="AO167" s="889" t="s">
        <v>371</v>
      </c>
      <c r="AP167" s="889" t="s">
        <v>371</v>
      </c>
      <c r="AQ167" s="1590" t="s">
        <v>92</v>
      </c>
      <c r="AR167" s="889"/>
    </row>
    <row r="168" spans="1:44" ht="15" customHeight="1" x14ac:dyDescent="0.4">
      <c r="C168" s="36" t="s">
        <v>411</v>
      </c>
      <c r="D168" s="36"/>
      <c r="E168" s="447"/>
      <c r="F168" s="155"/>
      <c r="G168" s="7"/>
      <c r="H168" s="20"/>
      <c r="S168" s="5">
        <v>1</v>
      </c>
      <c r="T168" s="3" t="s">
        <v>385</v>
      </c>
      <c r="U168" s="20"/>
      <c r="V168" s="173"/>
      <c r="W168" s="173"/>
      <c r="X168" s="173"/>
      <c r="Y168" s="1449"/>
      <c r="Z168" s="1449"/>
      <c r="AA168" s="175"/>
      <c r="AB168" s="116">
        <v>40</v>
      </c>
      <c r="AC168" s="116">
        <v>2</v>
      </c>
      <c r="AD168" s="198">
        <f>AC168*S168</f>
        <v>2</v>
      </c>
      <c r="AE168" s="116" t="s">
        <v>385</v>
      </c>
      <c r="AF168" s="627"/>
      <c r="AG168" s="177"/>
      <c r="AH168" s="185"/>
      <c r="AI168" s="185"/>
      <c r="AJ168" s="185"/>
      <c r="AK168" s="185"/>
      <c r="AL168" s="185"/>
      <c r="AM168" s="3" t="s">
        <v>371</v>
      </c>
      <c r="AN168" s="3" t="s">
        <v>92</v>
      </c>
      <c r="AO168" s="3" t="s">
        <v>371</v>
      </c>
      <c r="AP168" s="3" t="s">
        <v>371</v>
      </c>
      <c r="AQ168" s="1414" t="s">
        <v>371</v>
      </c>
    </row>
    <row r="169" spans="1:44" ht="15" customHeight="1" x14ac:dyDescent="0.4">
      <c r="C169" s="36"/>
      <c r="D169" s="36"/>
      <c r="E169" s="447"/>
      <c r="F169" s="155"/>
      <c r="G169" s="7"/>
      <c r="H169" s="20"/>
      <c r="U169" s="20"/>
      <c r="V169" s="38" t="s">
        <v>369</v>
      </c>
      <c r="W169" s="3" t="s">
        <v>370</v>
      </c>
      <c r="X169" s="38" t="s">
        <v>369</v>
      </c>
      <c r="Y169" s="1443">
        <v>430027003</v>
      </c>
      <c r="Z169" s="1443"/>
      <c r="AA169" s="20"/>
      <c r="AE169" s="3"/>
      <c r="AF169" s="930"/>
      <c r="AH169" s="51">
        <v>7.5800000000000006E-2</v>
      </c>
      <c r="AI169" s="39"/>
      <c r="AJ169" s="39"/>
      <c r="AK169" s="39"/>
      <c r="AL169" s="51">
        <f>AD$168*AH169+SUM(AI169:AK169)</f>
        <v>0.15160000000000001</v>
      </c>
      <c r="AM169" s="3" t="s">
        <v>371</v>
      </c>
      <c r="AN169" s="3" t="s">
        <v>92</v>
      </c>
      <c r="AO169" s="3" t="s">
        <v>371</v>
      </c>
      <c r="AP169" s="3" t="s">
        <v>371</v>
      </c>
      <c r="AQ169" s="1414" t="s">
        <v>92</v>
      </c>
    </row>
    <row r="170" spans="1:44" ht="15" customHeight="1" x14ac:dyDescent="0.4">
      <c r="C170" s="36"/>
      <c r="D170" s="36"/>
      <c r="E170" s="447"/>
      <c r="F170" s="155"/>
      <c r="G170" s="7"/>
      <c r="H170" s="20"/>
      <c r="U170" s="20"/>
      <c r="V170" s="38" t="s">
        <v>369</v>
      </c>
      <c r="W170" s="3" t="s">
        <v>372</v>
      </c>
      <c r="X170" s="38" t="s">
        <v>369</v>
      </c>
      <c r="Y170" s="1443">
        <v>430027021</v>
      </c>
      <c r="Z170" s="1443"/>
      <c r="AA170" s="20"/>
      <c r="AE170" s="3"/>
      <c r="AH170" s="51">
        <v>7.5800000000000006E-2</v>
      </c>
      <c r="AI170" s="39"/>
      <c r="AJ170" s="39"/>
      <c r="AK170" s="39"/>
      <c r="AL170" s="51">
        <f t="shared" ref="AL170:AL174" si="41">AD$168*AH170+SUM(AI170:AK170)</f>
        <v>0.15160000000000001</v>
      </c>
      <c r="AM170" s="3" t="s">
        <v>371</v>
      </c>
      <c r="AN170" s="3" t="s">
        <v>92</v>
      </c>
      <c r="AO170" s="3" t="s">
        <v>371</v>
      </c>
      <c r="AP170" s="3" t="s">
        <v>371</v>
      </c>
      <c r="AQ170" s="1414" t="s">
        <v>92</v>
      </c>
    </row>
    <row r="171" spans="1:44" ht="15" customHeight="1" x14ac:dyDescent="0.4">
      <c r="C171" s="36"/>
      <c r="D171" s="36"/>
      <c r="E171" s="447"/>
      <c r="F171" s="155"/>
      <c r="G171" s="7"/>
      <c r="H171" s="20"/>
      <c r="U171" s="20"/>
      <c r="V171" s="38" t="s">
        <v>369</v>
      </c>
      <c r="W171" s="3" t="s">
        <v>373</v>
      </c>
      <c r="X171" s="38" t="s">
        <v>369</v>
      </c>
      <c r="Y171" s="1443">
        <v>430027033</v>
      </c>
      <c r="Z171" s="1443"/>
      <c r="AA171" s="20"/>
      <c r="AE171" s="3"/>
      <c r="AH171" s="51">
        <v>7.5800000000000006E-2</v>
      </c>
      <c r="AI171" s="39"/>
      <c r="AJ171" s="39"/>
      <c r="AK171" s="39"/>
      <c r="AL171" s="51">
        <f t="shared" si="41"/>
        <v>0.15160000000000001</v>
      </c>
      <c r="AM171" s="3" t="s">
        <v>371</v>
      </c>
      <c r="AN171" s="3" t="s">
        <v>92</v>
      </c>
      <c r="AO171" s="3" t="s">
        <v>371</v>
      </c>
      <c r="AP171" s="3" t="s">
        <v>371</v>
      </c>
      <c r="AQ171" s="1414" t="s">
        <v>92</v>
      </c>
    </row>
    <row r="172" spans="1:44" ht="15" customHeight="1" x14ac:dyDescent="0.4">
      <c r="C172" s="36"/>
      <c r="D172" s="36"/>
      <c r="E172" s="447"/>
      <c r="F172" s="155"/>
      <c r="G172" s="7"/>
      <c r="H172" s="20"/>
      <c r="U172" s="20"/>
      <c r="V172" s="38" t="s">
        <v>369</v>
      </c>
      <c r="W172" s="3" t="s">
        <v>374</v>
      </c>
      <c r="X172" s="38" t="s">
        <v>369</v>
      </c>
      <c r="Y172" s="1443">
        <v>430027090</v>
      </c>
      <c r="Z172" s="1443"/>
      <c r="AA172" s="20"/>
      <c r="AE172" s="3"/>
      <c r="AH172" s="51">
        <v>7.5800000000000006E-2</v>
      </c>
      <c r="AI172" s="39"/>
      <c r="AJ172" s="39"/>
      <c r="AK172" s="39"/>
      <c r="AL172" s="51">
        <f>AD$168*AH172+SUM(AI172:AK172)</f>
        <v>0.15160000000000001</v>
      </c>
      <c r="AM172" s="3" t="s">
        <v>371</v>
      </c>
      <c r="AN172" s="3" t="s">
        <v>92</v>
      </c>
      <c r="AO172" s="3" t="s">
        <v>371</v>
      </c>
      <c r="AP172" s="3" t="s">
        <v>371</v>
      </c>
      <c r="AQ172" s="1414" t="s">
        <v>92</v>
      </c>
    </row>
    <row r="173" spans="1:44" ht="15" customHeight="1" x14ac:dyDescent="0.4">
      <c r="C173" s="36"/>
      <c r="D173" s="36"/>
      <c r="E173" s="447"/>
      <c r="F173" s="155"/>
      <c r="G173" s="7"/>
      <c r="H173" s="20"/>
      <c r="U173" s="20"/>
      <c r="V173" s="38" t="s">
        <v>369</v>
      </c>
      <c r="W173" s="3" t="s">
        <v>375</v>
      </c>
      <c r="X173" s="38" t="s">
        <v>369</v>
      </c>
      <c r="Y173" s="1443">
        <v>430027133</v>
      </c>
      <c r="Z173" s="1443"/>
      <c r="AA173" s="20"/>
      <c r="AE173" s="3"/>
      <c r="AH173" s="844">
        <v>7.5800000000000006E-2</v>
      </c>
      <c r="AI173" s="39"/>
      <c r="AJ173" s="39"/>
      <c r="AK173" s="39"/>
      <c r="AL173" s="51">
        <f t="shared" ref="AL173" si="42">AD$168*AH173+SUM(AI173:AK173)</f>
        <v>0.15160000000000001</v>
      </c>
      <c r="AM173" s="3" t="s">
        <v>371</v>
      </c>
      <c r="AN173" s="3" t="s">
        <v>92</v>
      </c>
      <c r="AO173" s="3" t="s">
        <v>371</v>
      </c>
      <c r="AP173" s="3" t="s">
        <v>371</v>
      </c>
      <c r="AQ173" s="1414" t="s">
        <v>371</v>
      </c>
    </row>
    <row r="174" spans="1:44" ht="15" customHeight="1" thickBot="1" x14ac:dyDescent="0.45">
      <c r="C174" s="36"/>
      <c r="D174" s="36"/>
      <c r="E174" s="447"/>
      <c r="F174" s="155"/>
      <c r="G174" s="7"/>
      <c r="H174" s="20"/>
      <c r="U174" s="20"/>
      <c r="V174" s="279" t="s">
        <v>369</v>
      </c>
      <c r="W174" s="112" t="s">
        <v>1849</v>
      </c>
      <c r="X174" s="279" t="s">
        <v>369</v>
      </c>
      <c r="Y174" s="1871">
        <v>430027148</v>
      </c>
      <c r="Z174" s="1444"/>
      <c r="AA174" s="887"/>
      <c r="AB174" s="889"/>
      <c r="AC174" s="889"/>
      <c r="AD174" s="945"/>
      <c r="AE174" s="889"/>
      <c r="AF174" s="945"/>
      <c r="AG174" s="945"/>
      <c r="AH174" s="937">
        <v>0</v>
      </c>
      <c r="AI174" s="947"/>
      <c r="AJ174" s="947"/>
      <c r="AK174" s="947"/>
      <c r="AL174" s="937">
        <f t="shared" si="41"/>
        <v>0</v>
      </c>
      <c r="AM174" s="889" t="s">
        <v>371</v>
      </c>
      <c r="AN174" s="889" t="s">
        <v>92</v>
      </c>
      <c r="AO174" s="889" t="s">
        <v>371</v>
      </c>
      <c r="AP174" s="889" t="s">
        <v>371</v>
      </c>
      <c r="AQ174" s="1590" t="s">
        <v>92</v>
      </c>
      <c r="AR174" s="889"/>
    </row>
    <row r="175" spans="1:44" ht="15" customHeight="1" x14ac:dyDescent="0.4">
      <c r="C175" s="476" t="s">
        <v>1140</v>
      </c>
      <c r="D175" s="116"/>
      <c r="E175" s="116"/>
      <c r="F175" s="173"/>
      <c r="G175" s="173"/>
      <c r="H175" s="193"/>
      <c r="I175" s="114"/>
      <c r="J175" s="116"/>
      <c r="K175" s="116"/>
      <c r="L175" s="116"/>
      <c r="M175" s="177"/>
      <c r="N175" s="177"/>
      <c r="O175" s="177"/>
      <c r="P175" s="177"/>
      <c r="Q175" s="177"/>
      <c r="R175" s="116"/>
      <c r="S175" s="198">
        <v>1</v>
      </c>
      <c r="T175" s="116" t="s">
        <v>385</v>
      </c>
      <c r="U175" s="193"/>
      <c r="V175" s="179"/>
      <c r="W175" s="116"/>
      <c r="X175" s="179"/>
      <c r="Y175" s="1449"/>
      <c r="Z175" s="1443"/>
      <c r="AC175" s="3">
        <v>2</v>
      </c>
      <c r="AD175" s="56">
        <f>AC175*S175</f>
        <v>2</v>
      </c>
      <c r="AE175" s="3" t="s">
        <v>385</v>
      </c>
      <c r="AF175" s="930"/>
      <c r="AG175" s="38"/>
      <c r="AH175" s="492"/>
      <c r="AI175" s="477"/>
      <c r="AJ175" s="477"/>
      <c r="AK175" s="477"/>
      <c r="AM175" s="3" t="s">
        <v>371</v>
      </c>
      <c r="AN175" s="3" t="s">
        <v>92</v>
      </c>
      <c r="AO175" s="3" t="s">
        <v>371</v>
      </c>
      <c r="AP175" s="3" t="s">
        <v>371</v>
      </c>
      <c r="AQ175" s="1414" t="s">
        <v>371</v>
      </c>
    </row>
    <row r="176" spans="1:44" ht="15" customHeight="1" x14ac:dyDescent="0.4">
      <c r="B176" s="36"/>
      <c r="C176" s="7"/>
      <c r="D176" s="7"/>
      <c r="E176" s="7"/>
      <c r="F176" s="7"/>
      <c r="G176" s="7"/>
      <c r="I176" s="8"/>
      <c r="S176" s="56"/>
      <c r="V176" s="38" t="s">
        <v>369</v>
      </c>
      <c r="W176" s="3" t="s">
        <v>370</v>
      </c>
      <c r="X176" s="38" t="s">
        <v>369</v>
      </c>
      <c r="Y176" s="1443" t="s">
        <v>413</v>
      </c>
      <c r="Z176" s="1443"/>
      <c r="AB176" s="3">
        <v>42</v>
      </c>
      <c r="AD176" s="56"/>
      <c r="AE176" s="3"/>
      <c r="AF176" s="930"/>
      <c r="AG176" s="38"/>
      <c r="AH176" s="492">
        <v>7.0000000000000001E-3</v>
      </c>
      <c r="AI176" s="477"/>
      <c r="AJ176" s="477"/>
      <c r="AK176" s="477"/>
      <c r="AL176" s="51">
        <f>AD$175*AH176+SUM(AI176:AK176)</f>
        <v>1.4E-2</v>
      </c>
      <c r="AM176" s="3" t="s">
        <v>371</v>
      </c>
      <c r="AN176" s="3" t="s">
        <v>92</v>
      </c>
      <c r="AO176" s="3" t="s">
        <v>371</v>
      </c>
      <c r="AP176" s="3" t="s">
        <v>371</v>
      </c>
      <c r="AQ176" s="1414" t="s">
        <v>92</v>
      </c>
    </row>
    <row r="177" spans="2:44" ht="15" customHeight="1" x14ac:dyDescent="0.4">
      <c r="B177" s="36"/>
      <c r="C177" s="7"/>
      <c r="D177" s="7"/>
      <c r="E177" s="7"/>
      <c r="F177" s="7"/>
      <c r="G177" s="7"/>
      <c r="I177" s="8"/>
      <c r="S177" s="56"/>
      <c r="V177" s="38" t="s">
        <v>369</v>
      </c>
      <c r="W177" s="3" t="s">
        <v>372</v>
      </c>
      <c r="X177" s="38" t="s">
        <v>369</v>
      </c>
      <c r="Y177" s="1443">
        <v>440029021</v>
      </c>
      <c r="Z177" s="1443"/>
      <c r="AB177" s="3">
        <v>42</v>
      </c>
      <c r="AD177" s="56"/>
      <c r="AE177" s="3"/>
      <c r="AF177" s="930"/>
      <c r="AG177" s="38"/>
      <c r="AH177" s="492">
        <v>7.0000000000000001E-3</v>
      </c>
      <c r="AI177" s="477"/>
      <c r="AJ177" s="477"/>
      <c r="AK177" s="477"/>
      <c r="AL177" s="51">
        <f t="shared" ref="AL177:AL181" si="43">AD$175*AH177+SUM(AI177:AK177)</f>
        <v>1.4E-2</v>
      </c>
      <c r="AM177" s="3" t="s">
        <v>371</v>
      </c>
      <c r="AN177" s="3" t="s">
        <v>92</v>
      </c>
      <c r="AO177" s="3" t="s">
        <v>371</v>
      </c>
      <c r="AP177" s="3" t="s">
        <v>371</v>
      </c>
      <c r="AQ177" s="1414" t="s">
        <v>92</v>
      </c>
    </row>
    <row r="178" spans="2:44" ht="15" customHeight="1" x14ac:dyDescent="0.4">
      <c r="B178" s="36"/>
      <c r="C178" s="7"/>
      <c r="D178" s="7"/>
      <c r="E178" s="7"/>
      <c r="F178" s="7"/>
      <c r="G178" s="7"/>
      <c r="I178" s="8"/>
      <c r="S178" s="56"/>
      <c r="V178" s="38" t="s">
        <v>369</v>
      </c>
      <c r="W178" s="3" t="s">
        <v>373</v>
      </c>
      <c r="X178" s="38" t="s">
        <v>369</v>
      </c>
      <c r="Y178" s="1443" t="s">
        <v>415</v>
      </c>
      <c r="Z178" s="1443"/>
      <c r="AB178" s="3">
        <v>42</v>
      </c>
      <c r="AD178" s="56"/>
      <c r="AE178" s="3"/>
      <c r="AF178" s="930"/>
      <c r="AG178" s="38"/>
      <c r="AH178" s="492">
        <v>7.0000000000000001E-3</v>
      </c>
      <c r="AI178" s="477"/>
      <c r="AJ178" s="477"/>
      <c r="AK178" s="477"/>
      <c r="AL178" s="51">
        <f t="shared" si="43"/>
        <v>1.4E-2</v>
      </c>
      <c r="AM178" s="3" t="s">
        <v>371</v>
      </c>
      <c r="AN178" s="3" t="s">
        <v>92</v>
      </c>
      <c r="AO178" s="3" t="s">
        <v>371</v>
      </c>
      <c r="AP178" s="3" t="s">
        <v>371</v>
      </c>
      <c r="AQ178" s="1414" t="s">
        <v>92</v>
      </c>
    </row>
    <row r="179" spans="2:44" ht="15" customHeight="1" x14ac:dyDescent="0.4">
      <c r="B179" s="36"/>
      <c r="C179" s="7"/>
      <c r="D179" s="7"/>
      <c r="E179" s="7"/>
      <c r="F179" s="7"/>
      <c r="G179" s="7"/>
      <c r="I179" s="8"/>
      <c r="S179" s="56"/>
      <c r="V179" s="38" t="s">
        <v>369</v>
      </c>
      <c r="W179" s="3" t="s">
        <v>374</v>
      </c>
      <c r="X179" s="38" t="s">
        <v>369</v>
      </c>
      <c r="Y179" s="1443">
        <v>440029090</v>
      </c>
      <c r="Z179" s="1443"/>
      <c r="AD179" s="56"/>
      <c r="AE179" s="3"/>
      <c r="AF179" s="930"/>
      <c r="AG179" s="38"/>
      <c r="AH179" s="492">
        <v>8.9999999999999993E-3</v>
      </c>
      <c r="AI179" s="477"/>
      <c r="AJ179" s="477"/>
      <c r="AK179" s="477"/>
      <c r="AL179" s="51">
        <f>AD$175*AH179+SUM(AI179:AK179)</f>
        <v>1.7999999999999999E-2</v>
      </c>
      <c r="AM179" s="3" t="s">
        <v>371</v>
      </c>
      <c r="AN179" s="3" t="s">
        <v>92</v>
      </c>
      <c r="AO179" s="3" t="s">
        <v>371</v>
      </c>
      <c r="AP179" s="3" t="s">
        <v>371</v>
      </c>
      <c r="AQ179" s="1414" t="s">
        <v>92</v>
      </c>
    </row>
    <row r="180" spans="2:44" ht="15" customHeight="1" x14ac:dyDescent="0.4">
      <c r="B180" s="36"/>
      <c r="C180" s="7"/>
      <c r="D180" s="7"/>
      <c r="E180" s="7"/>
      <c r="F180" s="7"/>
      <c r="G180" s="7"/>
      <c r="I180" s="8"/>
      <c r="S180" s="56"/>
      <c r="V180" s="38" t="s">
        <v>369</v>
      </c>
      <c r="W180" s="3" t="s">
        <v>375</v>
      </c>
      <c r="X180" s="38" t="s">
        <v>369</v>
      </c>
      <c r="Y180" s="1443">
        <v>440029133</v>
      </c>
      <c r="Z180" s="1443"/>
      <c r="AB180" s="3">
        <v>42</v>
      </c>
      <c r="AD180" s="56"/>
      <c r="AE180" s="3"/>
      <c r="AF180" s="930"/>
      <c r="AG180" s="38"/>
      <c r="AH180" s="1030">
        <v>7.0000000000000001E-3</v>
      </c>
      <c r="AI180" s="477"/>
      <c r="AJ180" s="477"/>
      <c r="AK180" s="477"/>
      <c r="AL180" s="51">
        <f t="shared" ref="AL180" si="44">AD$175*AH180+SUM(AI180:AK180)</f>
        <v>1.4E-2</v>
      </c>
      <c r="AM180" s="3" t="s">
        <v>371</v>
      </c>
      <c r="AN180" s="3" t="s">
        <v>92</v>
      </c>
      <c r="AO180" s="3" t="s">
        <v>371</v>
      </c>
      <c r="AP180" s="3" t="s">
        <v>371</v>
      </c>
      <c r="AQ180" s="1414" t="s">
        <v>371</v>
      </c>
    </row>
    <row r="181" spans="2:44" ht="15" customHeight="1" thickBot="1" x14ac:dyDescent="0.45">
      <c r="B181" s="36"/>
      <c r="C181" s="7"/>
      <c r="D181" s="7"/>
      <c r="E181" s="7"/>
      <c r="F181" s="7"/>
      <c r="G181" s="7"/>
      <c r="I181" s="8"/>
      <c r="S181" s="56"/>
      <c r="V181" s="279" t="s">
        <v>369</v>
      </c>
      <c r="W181" s="112" t="s">
        <v>1849</v>
      </c>
      <c r="X181" s="279" t="s">
        <v>369</v>
      </c>
      <c r="Y181" s="1871">
        <v>440029148</v>
      </c>
      <c r="Z181" s="1443"/>
      <c r="AC181" s="889"/>
      <c r="AD181" s="1156"/>
      <c r="AE181" s="889"/>
      <c r="AF181" s="1234"/>
      <c r="AG181" s="888"/>
      <c r="AH181" s="942">
        <v>0</v>
      </c>
      <c r="AI181" s="1157"/>
      <c r="AJ181" s="1157"/>
      <c r="AK181" s="1157"/>
      <c r="AL181" s="937">
        <f t="shared" si="43"/>
        <v>0</v>
      </c>
      <c r="AM181" s="889" t="s">
        <v>371</v>
      </c>
      <c r="AN181" s="889" t="s">
        <v>92</v>
      </c>
      <c r="AO181" s="889" t="s">
        <v>371</v>
      </c>
      <c r="AP181" s="889" t="s">
        <v>371</v>
      </c>
      <c r="AQ181" s="1590" t="s">
        <v>92</v>
      </c>
      <c r="AR181" s="889"/>
    </row>
    <row r="182" spans="2:44" ht="15" customHeight="1" x14ac:dyDescent="0.4">
      <c r="C182" s="476" t="s">
        <v>416</v>
      </c>
      <c r="D182" s="116"/>
      <c r="E182" s="116"/>
      <c r="F182" s="173"/>
      <c r="G182" s="173"/>
      <c r="H182" s="193"/>
      <c r="I182" s="114"/>
      <c r="J182" s="116"/>
      <c r="K182" s="116"/>
      <c r="L182" s="116"/>
      <c r="M182" s="177"/>
      <c r="N182" s="177"/>
      <c r="O182" s="177"/>
      <c r="P182" s="177"/>
      <c r="Q182" s="177"/>
      <c r="R182" s="116"/>
      <c r="S182" s="198">
        <v>1</v>
      </c>
      <c r="T182" s="116" t="s">
        <v>385</v>
      </c>
      <c r="U182" s="193"/>
      <c r="V182" s="179"/>
      <c r="W182" s="116"/>
      <c r="X182" s="179"/>
      <c r="Y182" s="1449"/>
      <c r="Z182" s="1449"/>
      <c r="AA182" s="193"/>
      <c r="AB182" s="116"/>
      <c r="AC182" s="3">
        <v>4</v>
      </c>
      <c r="AD182" s="56">
        <f>AC182*S182</f>
        <v>4</v>
      </c>
      <c r="AE182" s="3" t="s">
        <v>385</v>
      </c>
      <c r="AF182" s="930"/>
      <c r="AG182" s="38"/>
      <c r="AH182" s="492"/>
      <c r="AI182" s="477"/>
      <c r="AJ182" s="477"/>
      <c r="AK182" s="477"/>
      <c r="AM182" s="3" t="s">
        <v>371</v>
      </c>
      <c r="AN182" s="3" t="s">
        <v>92</v>
      </c>
      <c r="AO182" s="3" t="s">
        <v>371</v>
      </c>
      <c r="AP182" s="3" t="s">
        <v>371</v>
      </c>
      <c r="AQ182" s="1414" t="s">
        <v>371</v>
      </c>
    </row>
    <row r="183" spans="2:44" ht="15" customHeight="1" x14ac:dyDescent="0.4">
      <c r="B183" s="36"/>
      <c r="C183" s="7"/>
      <c r="D183" s="7"/>
      <c r="E183" s="7"/>
      <c r="F183" s="7"/>
      <c r="G183" s="7"/>
      <c r="I183" s="8"/>
      <c r="S183" s="56"/>
      <c r="V183" s="38" t="s">
        <v>369</v>
      </c>
      <c r="W183" s="3" t="s">
        <v>370</v>
      </c>
      <c r="X183" s="38" t="s">
        <v>369</v>
      </c>
      <c r="Y183" s="1443">
        <v>440016006</v>
      </c>
      <c r="Z183" s="1443"/>
      <c r="AB183" s="3">
        <v>42</v>
      </c>
      <c r="AD183" s="56"/>
      <c r="AE183" s="3"/>
      <c r="AF183" s="930"/>
      <c r="AG183" s="38"/>
      <c r="AH183" s="492">
        <v>2.3E-2</v>
      </c>
      <c r="AI183" s="477"/>
      <c r="AJ183" s="477"/>
      <c r="AK183" s="477"/>
      <c r="AL183" s="51">
        <f>AD$182*AH183+SUM(AI183:AK183)</f>
        <v>9.1999999999999998E-2</v>
      </c>
      <c r="AM183" s="3" t="s">
        <v>371</v>
      </c>
      <c r="AN183" s="3" t="s">
        <v>92</v>
      </c>
      <c r="AO183" s="3" t="s">
        <v>371</v>
      </c>
      <c r="AP183" s="3" t="s">
        <v>371</v>
      </c>
      <c r="AQ183" s="1414" t="s">
        <v>92</v>
      </c>
    </row>
    <row r="184" spans="2:44" ht="14.25" customHeight="1" x14ac:dyDescent="0.4">
      <c r="B184" s="36"/>
      <c r="C184" s="7"/>
      <c r="D184" s="7"/>
      <c r="E184" s="7"/>
      <c r="F184" s="7"/>
      <c r="G184" s="7"/>
      <c r="I184" s="8"/>
      <c r="S184" s="56"/>
      <c r="V184" s="38" t="s">
        <v>369</v>
      </c>
      <c r="W184" s="3" t="s">
        <v>372</v>
      </c>
      <c r="X184" s="38" t="s">
        <v>369</v>
      </c>
      <c r="Y184" s="1443">
        <v>440016021</v>
      </c>
      <c r="Z184" s="1443"/>
      <c r="AB184" s="3">
        <v>42</v>
      </c>
      <c r="AD184" s="56"/>
      <c r="AE184" s="3"/>
      <c r="AF184" s="930"/>
      <c r="AG184" s="38"/>
      <c r="AH184" s="492">
        <v>1.7500000000000002E-2</v>
      </c>
      <c r="AI184" s="477"/>
      <c r="AJ184" s="477"/>
      <c r="AK184" s="477"/>
      <c r="AL184" s="51">
        <f t="shared" ref="AL184:AL185" si="45">AD$182*AH184+SUM(AI184:AK184)</f>
        <v>7.0000000000000007E-2</v>
      </c>
      <c r="AM184" s="3" t="s">
        <v>371</v>
      </c>
      <c r="AN184" s="3" t="s">
        <v>92</v>
      </c>
      <c r="AO184" s="3" t="s">
        <v>371</v>
      </c>
      <c r="AP184" s="3" t="s">
        <v>371</v>
      </c>
      <c r="AQ184" s="1414" t="s">
        <v>92</v>
      </c>
    </row>
    <row r="185" spans="2:44" ht="12.75" customHeight="1" x14ac:dyDescent="0.4">
      <c r="B185" s="36"/>
      <c r="C185" s="7"/>
      <c r="D185" s="7"/>
      <c r="E185" s="7"/>
      <c r="F185" s="7"/>
      <c r="G185" s="7"/>
      <c r="I185" s="8"/>
      <c r="S185" s="56"/>
      <c r="V185" s="38" t="s">
        <v>369</v>
      </c>
      <c r="W185" s="3" t="s">
        <v>373</v>
      </c>
      <c r="X185" s="38" t="s">
        <v>369</v>
      </c>
      <c r="Y185" s="1443">
        <v>440016033</v>
      </c>
      <c r="Z185" s="1443"/>
      <c r="AB185" s="3">
        <v>42</v>
      </c>
      <c r="AD185" s="56"/>
      <c r="AE185" s="3"/>
      <c r="AF185" s="930"/>
      <c r="AG185" s="38"/>
      <c r="AH185" s="492">
        <v>2.3E-2</v>
      </c>
      <c r="AI185" s="477"/>
      <c r="AJ185" s="477"/>
      <c r="AK185" s="477"/>
      <c r="AL185" s="51">
        <f t="shared" si="45"/>
        <v>9.1999999999999998E-2</v>
      </c>
      <c r="AM185" s="3" t="s">
        <v>371</v>
      </c>
      <c r="AN185" s="3" t="s">
        <v>92</v>
      </c>
      <c r="AO185" s="3" t="s">
        <v>371</v>
      </c>
      <c r="AP185" s="3" t="s">
        <v>371</v>
      </c>
      <c r="AQ185" s="1414" t="s">
        <v>92</v>
      </c>
    </row>
    <row r="186" spans="2:44" ht="12.75" customHeight="1" x14ac:dyDescent="0.4">
      <c r="B186" s="36"/>
      <c r="C186" s="7"/>
      <c r="D186" s="7"/>
      <c r="E186" s="7"/>
      <c r="F186" s="7"/>
      <c r="G186" s="7"/>
      <c r="I186" s="8"/>
      <c r="S186" s="56"/>
      <c r="V186" s="38" t="s">
        <v>369</v>
      </c>
      <c r="W186" s="3" t="s">
        <v>374</v>
      </c>
      <c r="X186" s="38" t="s">
        <v>369</v>
      </c>
      <c r="Y186" s="1443">
        <v>440016090</v>
      </c>
      <c r="Z186" s="1443"/>
      <c r="AD186" s="56"/>
      <c r="AE186" s="3"/>
      <c r="AF186" s="930"/>
      <c r="AG186" s="38"/>
      <c r="AH186" s="492">
        <v>2.3E-2</v>
      </c>
      <c r="AI186" s="477"/>
      <c r="AJ186" s="477"/>
      <c r="AK186" s="477"/>
      <c r="AL186" s="51">
        <f>AD$182*AH186+SUM(AI186:AK186)</f>
        <v>9.1999999999999998E-2</v>
      </c>
      <c r="AM186" s="3" t="s">
        <v>371</v>
      </c>
      <c r="AN186" s="3" t="s">
        <v>92</v>
      </c>
      <c r="AO186" s="3" t="s">
        <v>371</v>
      </c>
      <c r="AP186" s="3" t="s">
        <v>371</v>
      </c>
      <c r="AQ186" s="1414" t="s">
        <v>92</v>
      </c>
    </row>
    <row r="187" spans="2:44" ht="12.75" customHeight="1" x14ac:dyDescent="0.4">
      <c r="B187" s="36"/>
      <c r="C187" s="7"/>
      <c r="D187" s="7"/>
      <c r="E187" s="7"/>
      <c r="F187" s="7"/>
      <c r="G187" s="7"/>
      <c r="I187" s="8"/>
      <c r="S187" s="56"/>
      <c r="V187" s="38" t="s">
        <v>369</v>
      </c>
      <c r="W187" s="3" t="s">
        <v>375</v>
      </c>
      <c r="X187" s="38" t="s">
        <v>369</v>
      </c>
      <c r="Y187" s="1443">
        <v>440016133</v>
      </c>
      <c r="Z187" s="1443"/>
      <c r="AB187" s="3">
        <v>42</v>
      </c>
      <c r="AD187" s="56"/>
      <c r="AE187" s="3"/>
      <c r="AF187" s="930"/>
      <c r="AG187" s="38"/>
      <c r="AH187" s="1030">
        <v>2.3E-2</v>
      </c>
      <c r="AI187" s="477"/>
      <c r="AJ187" s="477"/>
      <c r="AK187" s="477"/>
      <c r="AL187" s="51">
        <f t="shared" ref="AL187" si="46">AD$182*AH187+SUM(AI187:AK187)</f>
        <v>9.1999999999999998E-2</v>
      </c>
      <c r="AM187" s="3" t="s">
        <v>371</v>
      </c>
      <c r="AN187" s="3" t="s">
        <v>92</v>
      </c>
      <c r="AO187" s="3" t="s">
        <v>371</v>
      </c>
      <c r="AP187" s="3" t="s">
        <v>371</v>
      </c>
      <c r="AQ187" s="1414" t="s">
        <v>371</v>
      </c>
    </row>
    <row r="188" spans="2:44" ht="15" customHeight="1" thickBot="1" x14ac:dyDescent="0.45">
      <c r="D188" s="924"/>
      <c r="AM188" s="889"/>
      <c r="AN188" s="889"/>
      <c r="AO188" s="889"/>
      <c r="AP188" s="889"/>
      <c r="AQ188" s="1590"/>
      <c r="AR188" s="889"/>
    </row>
    <row r="189" spans="2:44" ht="15" customHeight="1" x14ac:dyDescent="0.4">
      <c r="B189" s="181" t="s">
        <v>1141</v>
      </c>
      <c r="C189" s="448"/>
      <c r="D189" s="3"/>
      <c r="E189" s="182"/>
      <c r="F189" s="430" t="s">
        <v>418</v>
      </c>
      <c r="G189" s="431">
        <v>3</v>
      </c>
      <c r="H189" s="175"/>
      <c r="I189" s="432" t="str">
        <f xml:space="preserve"> "Length = INT ( ( UW - " &amp;FIXED(G190,2)&amp;") / "&amp;FIXED(G189,2)&amp;" ) *"&amp;FIXED(G189,2)</f>
        <v>Length = INT ( ( UW - 2.00) / 3.00 ) *3.00</v>
      </c>
      <c r="J189" s="116"/>
      <c r="K189" s="116"/>
      <c r="L189" s="116"/>
      <c r="M189" s="177"/>
      <c r="N189" s="177"/>
      <c r="O189" s="177"/>
      <c r="P189" s="178"/>
      <c r="Q189" s="178"/>
      <c r="R189" s="116" t="s">
        <v>352</v>
      </c>
      <c r="S189" s="177">
        <f>INT((FWWidth-G190)/G189)*G189</f>
        <v>45</v>
      </c>
      <c r="T189" s="116" t="s">
        <v>366</v>
      </c>
      <c r="U189" s="175"/>
      <c r="V189" s="179"/>
      <c r="W189" s="116"/>
      <c r="X189" s="179"/>
      <c r="Y189" s="1449"/>
      <c r="Z189" s="1449"/>
      <c r="AA189" s="175"/>
      <c r="AB189" s="116">
        <v>42</v>
      </c>
      <c r="AC189" s="116">
        <v>1</v>
      </c>
      <c r="AD189" s="177">
        <f>AC189*S189/12</f>
        <v>3.75</v>
      </c>
      <c r="AE189" s="116" t="s">
        <v>367</v>
      </c>
      <c r="AF189" s="177">
        <v>0.16600000000000001</v>
      </c>
      <c r="AG189" s="177">
        <f>AF189*AtolbperftFixed</f>
        <v>0.10537680000000001</v>
      </c>
      <c r="AH189" s="935">
        <f>AG189*FWSingleCost</f>
        <v>0.15806520000000002</v>
      </c>
      <c r="AI189" s="185"/>
      <c r="AJ189" s="185"/>
      <c r="AK189" s="185"/>
      <c r="AL189" s="185"/>
      <c r="AM189" s="3" t="s">
        <v>371</v>
      </c>
      <c r="AN189" s="3" t="s">
        <v>92</v>
      </c>
      <c r="AO189" s="3" t="s">
        <v>371</v>
      </c>
      <c r="AP189" s="3" t="s">
        <v>371</v>
      </c>
      <c r="AQ189" s="1414" t="s">
        <v>371</v>
      </c>
    </row>
    <row r="190" spans="2:44" ht="15" customHeight="1" x14ac:dyDescent="0.4">
      <c r="B190" s="36"/>
      <c r="C190" s="155"/>
      <c r="D190" s="155"/>
      <c r="E190" s="155"/>
      <c r="F190" s="434" t="s">
        <v>419</v>
      </c>
      <c r="G190" s="435">
        <v>2</v>
      </c>
      <c r="H190" s="20"/>
      <c r="P190" s="24"/>
      <c r="Q190" s="24"/>
      <c r="U190" s="20"/>
      <c r="V190" s="38" t="s">
        <v>369</v>
      </c>
      <c r="W190" s="3" t="s">
        <v>370</v>
      </c>
      <c r="X190" s="38" t="s">
        <v>369</v>
      </c>
      <c r="Y190" s="1443">
        <v>200143003</v>
      </c>
      <c r="Z190" s="1443"/>
      <c r="AA190" s="20"/>
      <c r="AE190" s="3"/>
      <c r="AF190" s="930"/>
      <c r="AH190" s="51">
        <v>0.16350000000000001</v>
      </c>
      <c r="AI190" s="39"/>
      <c r="AJ190" s="39"/>
      <c r="AK190" s="39"/>
      <c r="AL190" s="51">
        <f>AD$189*AH190+SUM(AI190:AK190)</f>
        <v>0.61312500000000003</v>
      </c>
      <c r="AM190" s="3" t="s">
        <v>371</v>
      </c>
      <c r="AN190" s="3" t="s">
        <v>92</v>
      </c>
      <c r="AO190" s="3" t="s">
        <v>371</v>
      </c>
      <c r="AP190" s="3" t="s">
        <v>371</v>
      </c>
      <c r="AQ190" s="1414" t="s">
        <v>92</v>
      </c>
    </row>
    <row r="191" spans="2:44" ht="15" customHeight="1" x14ac:dyDescent="0.4">
      <c r="B191" s="36"/>
      <c r="C191" s="155"/>
      <c r="D191" s="155"/>
      <c r="E191" s="155"/>
      <c r="F191" s="155"/>
      <c r="G191" s="7"/>
      <c r="H191" s="20"/>
      <c r="P191" s="24"/>
      <c r="Q191" s="24"/>
      <c r="U191" s="20"/>
      <c r="V191" s="38" t="s">
        <v>369</v>
      </c>
      <c r="W191" s="3" t="s">
        <v>372</v>
      </c>
      <c r="X191" s="38" t="s">
        <v>369</v>
      </c>
      <c r="Y191" s="1443">
        <v>200143021</v>
      </c>
      <c r="Z191" s="1443"/>
      <c r="AA191" s="20"/>
      <c r="AE191" s="3"/>
      <c r="AH191" s="51">
        <v>0.182</v>
      </c>
      <c r="AI191" s="39"/>
      <c r="AJ191" s="39"/>
      <c r="AK191" s="39"/>
      <c r="AL191" s="51">
        <f t="shared" ref="AL191:AL195" si="47">AD$189*AH191+SUM(AI191:AK191)</f>
        <v>0.6825</v>
      </c>
      <c r="AM191" s="3" t="s">
        <v>371</v>
      </c>
      <c r="AN191" s="3" t="s">
        <v>92</v>
      </c>
      <c r="AO191" s="3" t="s">
        <v>371</v>
      </c>
      <c r="AP191" s="3" t="s">
        <v>371</v>
      </c>
      <c r="AQ191" s="1414" t="s">
        <v>92</v>
      </c>
    </row>
    <row r="192" spans="2:44" ht="15" customHeight="1" x14ac:dyDescent="0.4">
      <c r="B192" s="36"/>
      <c r="C192" s="155"/>
      <c r="D192" s="155"/>
      <c r="E192" s="155"/>
      <c r="F192" s="155"/>
      <c r="G192" s="7"/>
      <c r="H192" s="20"/>
      <c r="P192" s="24"/>
      <c r="Q192" s="24"/>
      <c r="U192" s="20"/>
      <c r="V192" s="38" t="s">
        <v>369</v>
      </c>
      <c r="W192" s="3" t="s">
        <v>373</v>
      </c>
      <c r="X192" s="38" t="s">
        <v>369</v>
      </c>
      <c r="Y192" s="1443">
        <v>200143033</v>
      </c>
      <c r="Z192" s="1443"/>
      <c r="AA192" s="20"/>
      <c r="AE192" s="3"/>
      <c r="AH192" s="51">
        <v>0.19620000000000001</v>
      </c>
      <c r="AI192" s="39"/>
      <c r="AJ192" s="39"/>
      <c r="AK192" s="39"/>
      <c r="AL192" s="51">
        <f t="shared" si="47"/>
        <v>0.73575000000000002</v>
      </c>
      <c r="AM192" s="3" t="s">
        <v>371</v>
      </c>
      <c r="AN192" s="3" t="s">
        <v>92</v>
      </c>
      <c r="AO192" s="3" t="s">
        <v>371</v>
      </c>
      <c r="AP192" s="3" t="s">
        <v>371</v>
      </c>
      <c r="AQ192" s="1414" t="s">
        <v>92</v>
      </c>
    </row>
    <row r="193" spans="1:47" ht="15" customHeight="1" x14ac:dyDescent="0.4">
      <c r="B193" s="36"/>
      <c r="C193" s="155"/>
      <c r="D193" s="155"/>
      <c r="E193" s="155"/>
      <c r="F193" s="155"/>
      <c r="G193" s="7"/>
      <c r="H193" s="20"/>
      <c r="P193" s="24"/>
      <c r="Q193" s="24"/>
      <c r="U193" s="20"/>
      <c r="V193" s="38" t="s">
        <v>369</v>
      </c>
      <c r="W193" s="3" t="s">
        <v>374</v>
      </c>
      <c r="X193" s="38" t="s">
        <v>369</v>
      </c>
      <c r="Y193" s="1443">
        <v>200143090</v>
      </c>
      <c r="Z193" s="1443"/>
      <c r="AA193" s="20"/>
      <c r="AE193" s="3"/>
      <c r="AH193" s="844">
        <v>0</v>
      </c>
      <c r="AI193" s="39"/>
      <c r="AJ193" s="39"/>
      <c r="AK193" s="39"/>
      <c r="AL193" s="51">
        <f>AD$189*AH193+SUM(AI193:AK193)</f>
        <v>0</v>
      </c>
      <c r="AM193" s="3" t="s">
        <v>371</v>
      </c>
      <c r="AN193" s="3" t="s">
        <v>92</v>
      </c>
      <c r="AO193" s="3" t="s">
        <v>371</v>
      </c>
      <c r="AP193" s="3" t="s">
        <v>371</v>
      </c>
      <c r="AQ193" s="1414" t="s">
        <v>92</v>
      </c>
    </row>
    <row r="194" spans="1:47" ht="15" customHeight="1" x14ac:dyDescent="0.4">
      <c r="B194" s="36"/>
      <c r="C194" s="155"/>
      <c r="D194" s="155"/>
      <c r="E194" s="155"/>
      <c r="F194" s="155"/>
      <c r="G194" s="7"/>
      <c r="H194" s="20"/>
      <c r="P194" s="24"/>
      <c r="Q194" s="24"/>
      <c r="U194" s="20"/>
      <c r="V194" s="38" t="s">
        <v>369</v>
      </c>
      <c r="W194" s="3" t="s">
        <v>375</v>
      </c>
      <c r="X194" s="38" t="s">
        <v>369</v>
      </c>
      <c r="Y194" s="1443">
        <v>200143133</v>
      </c>
      <c r="Z194" s="1443"/>
      <c r="AA194" s="20"/>
      <c r="AE194" s="3"/>
      <c r="AH194" s="844">
        <v>0</v>
      </c>
      <c r="AI194" s="39"/>
      <c r="AJ194" s="39"/>
      <c r="AK194" s="39"/>
      <c r="AL194" s="51">
        <f t="shared" ref="AL194" si="48">AD$189*AH194+SUM(AI194:AK194)</f>
        <v>0</v>
      </c>
      <c r="AM194" s="3" t="s">
        <v>371</v>
      </c>
      <c r="AN194" s="3" t="s">
        <v>92</v>
      </c>
      <c r="AO194" s="3" t="s">
        <v>371</v>
      </c>
      <c r="AP194" s="3" t="s">
        <v>371</v>
      </c>
      <c r="AQ194" s="1414" t="s">
        <v>371</v>
      </c>
    </row>
    <row r="195" spans="1:47" ht="15" customHeight="1" thickBot="1" x14ac:dyDescent="0.45">
      <c r="B195" s="36"/>
      <c r="C195" s="155"/>
      <c r="D195" s="155"/>
      <c r="E195" s="155"/>
      <c r="F195" s="155"/>
      <c r="G195" s="7"/>
      <c r="H195" s="20"/>
      <c r="P195" s="24"/>
      <c r="Q195" s="24"/>
      <c r="U195" s="20"/>
      <c r="V195" s="1876" t="s">
        <v>369</v>
      </c>
      <c r="W195" s="1877" t="s">
        <v>1849</v>
      </c>
      <c r="X195" s="1876" t="s">
        <v>369</v>
      </c>
      <c r="Y195" s="1878">
        <v>200143148</v>
      </c>
      <c r="Z195" s="1444"/>
      <c r="AA195" s="887"/>
      <c r="AB195" s="889"/>
      <c r="AC195" s="889"/>
      <c r="AD195" s="945"/>
      <c r="AE195" s="889"/>
      <c r="AF195" s="945"/>
      <c r="AG195" s="945"/>
      <c r="AH195" s="998">
        <v>0</v>
      </c>
      <c r="AI195" s="947"/>
      <c r="AJ195" s="947"/>
      <c r="AK195" s="947"/>
      <c r="AL195" s="937">
        <f t="shared" si="47"/>
        <v>0</v>
      </c>
      <c r="AM195" s="889" t="s">
        <v>371</v>
      </c>
      <c r="AN195" s="889" t="s">
        <v>92</v>
      </c>
      <c r="AO195" s="889" t="s">
        <v>371</v>
      </c>
      <c r="AP195" s="889" t="s">
        <v>371</v>
      </c>
      <c r="AQ195" s="1590" t="s">
        <v>92</v>
      </c>
      <c r="AR195" s="889"/>
    </row>
    <row r="196" spans="1:47" ht="15" customHeight="1" thickBot="1" x14ac:dyDescent="0.45">
      <c r="B196" s="135" t="s">
        <v>420</v>
      </c>
      <c r="C196" s="827"/>
      <c r="D196" s="827"/>
      <c r="E196" s="827"/>
      <c r="F196" s="827"/>
      <c r="G196" s="135"/>
      <c r="H196" s="828"/>
      <c r="I196" s="136"/>
      <c r="J196" s="136"/>
      <c r="K196" s="136"/>
      <c r="L196" s="136"/>
      <c r="M196" s="506"/>
      <c r="N196" s="506"/>
      <c r="O196" s="506"/>
      <c r="P196" s="496"/>
      <c r="Q196" s="496"/>
      <c r="R196" s="136"/>
      <c r="S196" s="506"/>
      <c r="T196" s="136"/>
      <c r="U196" s="828"/>
      <c r="V196" s="557"/>
      <c r="W196" s="136"/>
      <c r="X196" s="557"/>
      <c r="Y196" s="829"/>
      <c r="Z196" s="829"/>
      <c r="AA196" s="828"/>
      <c r="AB196" s="136"/>
      <c r="AC196" s="136"/>
      <c r="AD196" s="506"/>
      <c r="AE196" s="136"/>
      <c r="AF196" s="506"/>
      <c r="AG196" s="506"/>
      <c r="AH196" s="475"/>
      <c r="AI196" s="137"/>
      <c r="AJ196" s="137"/>
      <c r="AK196" s="137"/>
      <c r="AL196" s="475"/>
      <c r="AM196" s="889" t="s">
        <v>371</v>
      </c>
      <c r="AN196" s="889" t="s">
        <v>92</v>
      </c>
      <c r="AO196" s="889" t="s">
        <v>371</v>
      </c>
      <c r="AP196" s="889" t="s">
        <v>371</v>
      </c>
      <c r="AQ196" s="1590" t="s">
        <v>371</v>
      </c>
      <c r="AR196" s="889"/>
      <c r="AS196" s="139"/>
      <c r="AT196" s="139"/>
      <c r="AU196" s="139"/>
    </row>
    <row r="197" spans="1:47" ht="15" customHeight="1" x14ac:dyDescent="0.4">
      <c r="B197" s="36"/>
      <c r="C197" s="476" t="s">
        <v>421</v>
      </c>
      <c r="G197" s="7"/>
      <c r="H197" s="20"/>
      <c r="P197" s="24"/>
      <c r="Q197" s="24"/>
      <c r="S197" s="5">
        <v>1</v>
      </c>
      <c r="U197" s="20"/>
      <c r="V197" s="38" t="s">
        <v>369</v>
      </c>
      <c r="W197" s="3" t="s">
        <v>422</v>
      </c>
      <c r="X197" s="38" t="s">
        <v>369</v>
      </c>
      <c r="Y197" s="1443">
        <v>120032000</v>
      </c>
      <c r="Z197" s="41">
        <v>251334</v>
      </c>
      <c r="AA197" s="20"/>
      <c r="AB197" s="3">
        <v>45</v>
      </c>
      <c r="AC197" s="3">
        <v>1</v>
      </c>
      <c r="AD197" s="177">
        <f>S197*AC197</f>
        <v>1</v>
      </c>
      <c r="AE197" s="3"/>
      <c r="AH197" s="51">
        <v>7.7600000000000002E-2</v>
      </c>
      <c r="AI197" s="39"/>
      <c r="AJ197" s="39"/>
      <c r="AK197" s="39"/>
      <c r="AL197" s="51">
        <f>AD$197*AH197+SUM(AI197:AK197)</f>
        <v>7.7600000000000002E-2</v>
      </c>
      <c r="AM197" s="3" t="s">
        <v>371</v>
      </c>
      <c r="AN197" s="3" t="s">
        <v>92</v>
      </c>
      <c r="AO197" s="3" t="s">
        <v>371</v>
      </c>
      <c r="AP197" s="3" t="s">
        <v>371</v>
      </c>
      <c r="AQ197" s="1414" t="s">
        <v>371</v>
      </c>
    </row>
    <row r="198" spans="1:47" ht="15" customHeight="1" thickBot="1" x14ac:dyDescent="0.45">
      <c r="B198" s="36"/>
      <c r="C198" s="1191"/>
      <c r="D198" s="968"/>
      <c r="E198" s="968"/>
      <c r="F198" s="968"/>
      <c r="G198" s="924"/>
      <c r="H198" s="887"/>
      <c r="I198" s="889"/>
      <c r="J198" s="889"/>
      <c r="K198" s="889"/>
      <c r="L198" s="889"/>
      <c r="M198" s="945"/>
      <c r="N198" s="945"/>
      <c r="O198" s="945"/>
      <c r="P198" s="1020"/>
      <c r="Q198" s="1020"/>
      <c r="R198" s="889"/>
      <c r="S198" s="945"/>
      <c r="T198" s="889"/>
      <c r="U198" s="887"/>
      <c r="V198" s="888"/>
      <c r="W198" s="889"/>
      <c r="X198" s="888"/>
      <c r="Y198" s="946"/>
      <c r="Z198" s="946"/>
      <c r="AA198" s="887"/>
      <c r="AB198" s="889"/>
      <c r="AC198" s="889"/>
      <c r="AD198" s="945"/>
      <c r="AE198" s="889"/>
      <c r="AF198" s="945"/>
      <c r="AG198" s="945"/>
      <c r="AH198" s="937"/>
      <c r="AI198" s="947"/>
      <c r="AJ198" s="947"/>
      <c r="AK198" s="947"/>
      <c r="AL198" s="937"/>
      <c r="AM198" s="889" t="s">
        <v>371</v>
      </c>
      <c r="AN198" s="889" t="s">
        <v>92</v>
      </c>
      <c r="AO198" s="889" t="s">
        <v>371</v>
      </c>
      <c r="AP198" s="889" t="s">
        <v>371</v>
      </c>
      <c r="AQ198" s="1590" t="s">
        <v>371</v>
      </c>
      <c r="AR198" s="889"/>
    </row>
    <row r="199" spans="1:47" ht="15" customHeight="1" x14ac:dyDescent="0.4">
      <c r="B199" s="36"/>
      <c r="C199" s="7" t="s">
        <v>423</v>
      </c>
      <c r="G199" s="7"/>
      <c r="H199" s="20"/>
      <c r="P199" s="24"/>
      <c r="Q199" s="24"/>
      <c r="S199" s="5">
        <v>1</v>
      </c>
      <c r="U199" s="20"/>
      <c r="V199" s="38" t="s">
        <v>369</v>
      </c>
      <c r="X199" s="38" t="s">
        <v>369</v>
      </c>
      <c r="Y199" s="1443">
        <v>170243000</v>
      </c>
      <c r="Z199" s="41" t="s">
        <v>424</v>
      </c>
      <c r="AA199" s="20"/>
      <c r="AB199" s="3">
        <v>42</v>
      </c>
      <c r="AC199" s="3">
        <v>1</v>
      </c>
      <c r="AD199" s="5">
        <f>S199*AC199</f>
        <v>1</v>
      </c>
      <c r="AE199" s="3"/>
      <c r="AH199" s="51">
        <v>0.01</v>
      </c>
      <c r="AI199" s="39"/>
      <c r="AJ199" s="39"/>
      <c r="AK199" s="39"/>
      <c r="AL199" s="51">
        <f>AD$199*AH199+SUM(AI199:AK199)</f>
        <v>0.01</v>
      </c>
      <c r="AM199" s="3" t="s">
        <v>371</v>
      </c>
      <c r="AN199" s="3" t="s">
        <v>92</v>
      </c>
      <c r="AO199" s="3" t="s">
        <v>371</v>
      </c>
      <c r="AP199" s="3" t="s">
        <v>371</v>
      </c>
      <c r="AQ199" s="1414" t="s">
        <v>371</v>
      </c>
    </row>
    <row r="200" spans="1:47" ht="15" customHeight="1" thickBot="1" x14ac:dyDescent="0.45">
      <c r="B200" s="36"/>
      <c r="C200" s="924"/>
      <c r="D200" s="968"/>
      <c r="E200" s="968"/>
      <c r="F200" s="968"/>
      <c r="G200" s="924"/>
      <c r="H200" s="887"/>
      <c r="I200" s="889"/>
      <c r="J200" s="889"/>
      <c r="K200" s="889"/>
      <c r="L200" s="889"/>
      <c r="M200" s="945"/>
      <c r="N200" s="945"/>
      <c r="O200" s="945"/>
      <c r="P200" s="1020"/>
      <c r="Q200" s="1020"/>
      <c r="R200" s="889"/>
      <c r="S200" s="945"/>
      <c r="T200" s="889"/>
      <c r="U200" s="887"/>
      <c r="V200" s="888"/>
      <c r="W200" s="889"/>
      <c r="X200" s="888"/>
      <c r="Y200" s="946"/>
      <c r="Z200" s="946"/>
      <c r="AA200" s="887"/>
      <c r="AB200" s="889"/>
      <c r="AC200" s="889"/>
      <c r="AD200" s="945"/>
      <c r="AE200" s="889"/>
      <c r="AF200" s="945"/>
      <c r="AG200" s="945"/>
      <c r="AH200" s="937"/>
      <c r="AI200" s="947"/>
      <c r="AJ200" s="947"/>
      <c r="AK200" s="947"/>
      <c r="AL200" s="937"/>
      <c r="AM200" s="889" t="s">
        <v>371</v>
      </c>
      <c r="AN200" s="889" t="s">
        <v>92</v>
      </c>
      <c r="AO200" s="889" t="s">
        <v>371</v>
      </c>
      <c r="AP200" s="889" t="s">
        <v>371</v>
      </c>
      <c r="AQ200" s="1590" t="s">
        <v>371</v>
      </c>
      <c r="AR200" s="889"/>
    </row>
    <row r="201" spans="1:47" ht="15" customHeight="1" x14ac:dyDescent="0.4">
      <c r="B201" s="36"/>
      <c r="C201" s="7" t="s">
        <v>425</v>
      </c>
      <c r="G201" s="7"/>
      <c r="H201" s="20"/>
      <c r="M201" s="5" t="s">
        <v>426</v>
      </c>
      <c r="P201" s="24"/>
      <c r="Q201" s="24"/>
      <c r="S201" s="5">
        <v>1</v>
      </c>
      <c r="U201" s="20"/>
      <c r="V201" s="38" t="s">
        <v>369</v>
      </c>
      <c r="X201" s="38" t="s">
        <v>369</v>
      </c>
      <c r="Y201" s="1443">
        <v>440121000</v>
      </c>
      <c r="Z201" s="41">
        <v>254058</v>
      </c>
      <c r="AA201" s="20"/>
      <c r="AB201" s="3">
        <v>45</v>
      </c>
      <c r="AC201" s="3">
        <v>6</v>
      </c>
      <c r="AD201" s="5">
        <f>S201*AC201</f>
        <v>6</v>
      </c>
      <c r="AE201" s="3"/>
      <c r="AH201" s="51">
        <v>1.7600000000000001E-2</v>
      </c>
      <c r="AI201" s="39"/>
      <c r="AJ201" s="39"/>
      <c r="AK201" s="39"/>
      <c r="AL201" s="51">
        <f>AD$201*AH201+SUM(AI201:AK201)</f>
        <v>0.1056</v>
      </c>
      <c r="AM201" s="3" t="s">
        <v>371</v>
      </c>
      <c r="AN201" s="3" t="s">
        <v>92</v>
      </c>
      <c r="AO201" s="3" t="s">
        <v>371</v>
      </c>
      <c r="AP201" s="3" t="s">
        <v>371</v>
      </c>
      <c r="AQ201" s="1414" t="s">
        <v>371</v>
      </c>
    </row>
    <row r="202" spans="1:47" ht="15" customHeight="1" x14ac:dyDescent="0.4">
      <c r="B202" s="36"/>
      <c r="C202" s="4"/>
      <c r="G202" s="7"/>
      <c r="H202" s="20"/>
      <c r="P202" s="24"/>
      <c r="Q202" s="24"/>
      <c r="U202" s="20"/>
      <c r="V202" s="38"/>
      <c r="X202" s="38"/>
      <c r="Y202" s="41"/>
      <c r="Z202" s="41"/>
      <c r="AA202" s="20"/>
      <c r="AE202" s="3"/>
      <c r="AI202" s="39"/>
      <c r="AJ202" s="39"/>
      <c r="AK202" s="39"/>
      <c r="AM202" s="3" t="s">
        <v>371</v>
      </c>
      <c r="AN202" s="3" t="s">
        <v>92</v>
      </c>
      <c r="AO202" s="3" t="s">
        <v>371</v>
      </c>
      <c r="AP202" s="3" t="s">
        <v>371</v>
      </c>
      <c r="AQ202" s="1414" t="s">
        <v>371</v>
      </c>
    </row>
    <row r="203" spans="1:47" ht="15" customHeight="1" x14ac:dyDescent="0.4">
      <c r="B203" s="36"/>
      <c r="C203" s="4"/>
      <c r="G203" s="7"/>
      <c r="H203" s="20"/>
      <c r="P203" s="24"/>
      <c r="Q203" s="24"/>
      <c r="U203" s="20"/>
      <c r="V203" s="38"/>
      <c r="X203" s="38"/>
      <c r="Y203" s="41"/>
      <c r="Z203" s="41"/>
      <c r="AA203" s="20"/>
      <c r="AE203" s="3"/>
      <c r="AI203" s="39"/>
      <c r="AJ203" s="39"/>
      <c r="AK203" s="39"/>
      <c r="AM203" s="3" t="s">
        <v>371</v>
      </c>
      <c r="AN203" s="3" t="s">
        <v>92</v>
      </c>
      <c r="AO203" s="3" t="s">
        <v>371</v>
      </c>
      <c r="AP203" s="3" t="s">
        <v>371</v>
      </c>
      <c r="AQ203" s="1414" t="s">
        <v>371</v>
      </c>
    </row>
    <row r="204" spans="1:47" ht="15" customHeight="1" thickBot="1" x14ac:dyDescent="0.45">
      <c r="B204" s="911" t="s">
        <v>427</v>
      </c>
      <c r="C204" s="912"/>
      <c r="D204" s="913"/>
      <c r="E204" s="913"/>
      <c r="F204" s="913"/>
      <c r="G204" s="913"/>
      <c r="H204" s="914"/>
      <c r="I204" s="914"/>
      <c r="J204" s="914"/>
      <c r="K204" s="914"/>
      <c r="L204" s="914"/>
      <c r="M204" s="915"/>
      <c r="N204" s="915"/>
      <c r="O204" s="915"/>
      <c r="P204" s="915"/>
      <c r="Q204" s="915"/>
      <c r="R204" s="914"/>
      <c r="S204" s="915"/>
      <c r="T204" s="914"/>
      <c r="U204" s="914"/>
      <c r="V204" s="913"/>
      <c r="W204" s="913"/>
      <c r="X204" s="913"/>
      <c r="Y204" s="916"/>
      <c r="Z204" s="916"/>
      <c r="AA204" s="914"/>
      <c r="AB204" s="917"/>
      <c r="AC204" s="914"/>
      <c r="AD204" s="915"/>
      <c r="AE204" s="914"/>
      <c r="AF204" s="915"/>
      <c r="AG204" s="914"/>
      <c r="AH204" s="918"/>
      <c r="AI204" s="918"/>
      <c r="AJ204" s="918"/>
      <c r="AK204" s="919" t="s">
        <v>428</v>
      </c>
      <c r="AL204" s="1026">
        <f>SUBTOTAL(109,AL205:AL347)</f>
        <v>106.83633750000004</v>
      </c>
      <c r="AM204" s="920" t="s">
        <v>92</v>
      </c>
      <c r="AN204" s="920" t="s">
        <v>81</v>
      </c>
      <c r="AO204" s="920" t="s">
        <v>92</v>
      </c>
      <c r="AP204" s="920" t="s">
        <v>92</v>
      </c>
      <c r="AQ204" s="920" t="s">
        <v>92</v>
      </c>
      <c r="AR204" s="920"/>
    </row>
    <row r="205" spans="1:47" ht="15" customHeight="1" thickBot="1" x14ac:dyDescent="0.45">
      <c r="B205" s="7" t="s">
        <v>429</v>
      </c>
      <c r="C205" s="7"/>
      <c r="D205" s="3"/>
      <c r="E205" s="889"/>
      <c r="F205" s="47"/>
      <c r="G205" s="7"/>
      <c r="H205" s="20"/>
      <c r="U205" s="20"/>
      <c r="V205" s="7"/>
      <c r="W205" s="7"/>
      <c r="X205" s="7"/>
      <c r="AA205" s="20"/>
      <c r="AE205" s="3"/>
      <c r="AF205" s="930"/>
      <c r="AM205" s="889" t="s">
        <v>92</v>
      </c>
      <c r="AN205" s="889" t="s">
        <v>81</v>
      </c>
      <c r="AO205" s="889" t="s">
        <v>92</v>
      </c>
      <c r="AP205" s="889" t="s">
        <v>92</v>
      </c>
      <c r="AQ205" s="1590" t="s">
        <v>92</v>
      </c>
      <c r="AR205" s="889"/>
    </row>
    <row r="206" spans="1:47" ht="15" customHeight="1" x14ac:dyDescent="0.4">
      <c r="A206" s="3" t="s">
        <v>389</v>
      </c>
      <c r="B206" s="7"/>
      <c r="C206" s="173" t="s">
        <v>1941</v>
      </c>
      <c r="D206" s="116"/>
      <c r="E206" s="182"/>
      <c r="F206" s="174" t="s">
        <v>1143</v>
      </c>
      <c r="G206" s="173"/>
      <c r="H206" s="175"/>
      <c r="I206" s="116" t="s">
        <v>365</v>
      </c>
      <c r="J206" s="116"/>
      <c r="K206" s="116"/>
      <c r="L206" s="116" t="s">
        <v>348</v>
      </c>
      <c r="M206" s="177">
        <v>3</v>
      </c>
      <c r="N206" s="177" t="s">
        <v>348</v>
      </c>
      <c r="O206" s="177">
        <f>0.25</f>
        <v>0.25</v>
      </c>
      <c r="P206" s="177"/>
      <c r="Q206" s="177"/>
      <c r="R206" s="116" t="s">
        <v>352</v>
      </c>
      <c r="S206" s="177">
        <f>FWWidth+M206+O206</f>
        <v>50.75</v>
      </c>
      <c r="T206" s="116" t="s">
        <v>366</v>
      </c>
      <c r="U206" s="175"/>
      <c r="V206" s="179"/>
      <c r="W206" s="116"/>
      <c r="X206" s="179"/>
      <c r="Y206" s="116"/>
      <c r="Z206" s="116"/>
      <c r="AA206" s="175"/>
      <c r="AB206" s="116">
        <v>42</v>
      </c>
      <c r="AC206" s="116">
        <v>1</v>
      </c>
      <c r="AD206" s="177">
        <f>AC206*S206/12</f>
        <v>4.229166666666667</v>
      </c>
      <c r="AE206" s="116" t="s">
        <v>367</v>
      </c>
      <c r="AF206" s="627">
        <v>1.133</v>
      </c>
      <c r="AG206" s="177">
        <f>AF206*AtolbperftFixed</f>
        <v>0.71922839999999999</v>
      </c>
      <c r="AH206" s="935">
        <f>AG206*FWTwinCost</f>
        <v>0.71922839999999999</v>
      </c>
      <c r="AI206" s="185"/>
      <c r="AJ206" s="185"/>
      <c r="AK206" s="185"/>
      <c r="AL206" s="185"/>
      <c r="AM206" s="3" t="s">
        <v>92</v>
      </c>
      <c r="AN206" s="3" t="s">
        <v>81</v>
      </c>
      <c r="AO206" s="3" t="s">
        <v>92</v>
      </c>
      <c r="AP206" s="3" t="s">
        <v>92</v>
      </c>
      <c r="AQ206" s="1414" t="s">
        <v>92</v>
      </c>
    </row>
    <row r="207" spans="1:47" ht="15" customHeight="1" x14ac:dyDescent="0.4">
      <c r="B207" s="36"/>
      <c r="C207" s="155"/>
      <c r="D207" s="155"/>
      <c r="E207" s="155"/>
      <c r="F207" s="47" t="s">
        <v>1138</v>
      </c>
      <c r="G207" s="7"/>
      <c r="H207" s="20"/>
      <c r="I207" s="3" t="s">
        <v>365</v>
      </c>
      <c r="L207" s="3" t="s">
        <v>348</v>
      </c>
      <c r="M207" s="5">
        <v>0</v>
      </c>
      <c r="N207" s="5" t="s">
        <v>348</v>
      </c>
      <c r="O207" s="5">
        <f>0.25</f>
        <v>0.25</v>
      </c>
      <c r="P207" s="24"/>
      <c r="Q207" s="24"/>
      <c r="R207" s="3" t="s">
        <v>352</v>
      </c>
      <c r="S207" s="5">
        <f>FWWidth+M207+O207</f>
        <v>47.75</v>
      </c>
      <c r="T207" s="3" t="s">
        <v>366</v>
      </c>
      <c r="U207" s="20"/>
      <c r="V207" s="38" t="s">
        <v>369</v>
      </c>
      <c r="W207" s="3" t="s">
        <v>370</v>
      </c>
      <c r="X207" s="38" t="s">
        <v>369</v>
      </c>
      <c r="Y207" s="1443">
        <v>200446003</v>
      </c>
      <c r="Z207" s="1443"/>
      <c r="AA207" s="20"/>
      <c r="AE207" s="3"/>
      <c r="AF207" s="930"/>
      <c r="AH207" s="51">
        <v>0.65849999999999997</v>
      </c>
      <c r="AI207" s="39"/>
      <c r="AJ207" s="39"/>
      <c r="AK207" s="39"/>
      <c r="AL207" s="51">
        <f>AD$206*AH207+SUM(AI207:AK207)</f>
        <v>2.7849062500000001</v>
      </c>
      <c r="AM207" s="3" t="s">
        <v>92</v>
      </c>
      <c r="AN207" s="3" t="s">
        <v>81</v>
      </c>
      <c r="AO207" s="3" t="s">
        <v>92</v>
      </c>
      <c r="AP207" s="3" t="s">
        <v>92</v>
      </c>
      <c r="AQ207" s="1414" t="s">
        <v>92</v>
      </c>
    </row>
    <row r="208" spans="1:47" ht="15" customHeight="1" x14ac:dyDescent="0.4">
      <c r="B208" s="36"/>
      <c r="C208" s="155"/>
      <c r="D208" s="155"/>
      <c r="E208" s="155"/>
      <c r="F208" s="155"/>
      <c r="G208" s="7"/>
      <c r="H208" s="20"/>
      <c r="U208" s="20"/>
      <c r="V208" s="38" t="s">
        <v>369</v>
      </c>
      <c r="W208" s="3" t="s">
        <v>372</v>
      </c>
      <c r="X208" s="38" t="s">
        <v>369</v>
      </c>
      <c r="Y208" s="1563">
        <v>200446021</v>
      </c>
      <c r="Z208" s="1443"/>
      <c r="AA208" s="20"/>
      <c r="AE208" s="3"/>
      <c r="AF208" s="930"/>
      <c r="AH208" s="51">
        <v>0.70189999999999997</v>
      </c>
      <c r="AI208" s="39"/>
      <c r="AJ208" s="39"/>
      <c r="AK208" s="39"/>
      <c r="AL208" s="51">
        <f t="shared" ref="AL208:AL209" si="49">AD$206*AH208+SUM(AI208:AK208)</f>
        <v>2.9684520833333332</v>
      </c>
      <c r="AM208" s="3" t="s">
        <v>92</v>
      </c>
      <c r="AN208" s="3" t="s">
        <v>371</v>
      </c>
      <c r="AO208" s="3" t="s">
        <v>92</v>
      </c>
      <c r="AP208" s="3" t="s">
        <v>92</v>
      </c>
      <c r="AQ208" s="1414" t="s">
        <v>92</v>
      </c>
    </row>
    <row r="209" spans="1:44" ht="15" customHeight="1" x14ac:dyDescent="0.4">
      <c r="B209" s="3"/>
      <c r="C209" s="36"/>
      <c r="D209" s="155"/>
      <c r="E209" s="155"/>
      <c r="F209" s="155"/>
      <c r="G209" s="7"/>
      <c r="H209" s="20"/>
      <c r="U209" s="20"/>
      <c r="V209" s="38" t="s">
        <v>369</v>
      </c>
      <c r="W209" s="3" t="s">
        <v>373</v>
      </c>
      <c r="X209" s="38" t="s">
        <v>369</v>
      </c>
      <c r="Y209" s="1443">
        <v>200446033</v>
      </c>
      <c r="Z209" s="1443"/>
      <c r="AA209" s="20"/>
      <c r="AE209" s="3"/>
      <c r="AF209" s="930"/>
      <c r="AH209" s="51">
        <v>0.75409999999999999</v>
      </c>
      <c r="AI209" s="39"/>
      <c r="AJ209" s="39"/>
      <c r="AK209" s="39"/>
      <c r="AL209" s="51">
        <f t="shared" si="49"/>
        <v>3.1892145833333334</v>
      </c>
      <c r="AM209" s="3" t="s">
        <v>92</v>
      </c>
      <c r="AN209" s="3" t="s">
        <v>371</v>
      </c>
      <c r="AO209" s="3" t="s">
        <v>92</v>
      </c>
      <c r="AP209" s="3" t="s">
        <v>92</v>
      </c>
      <c r="AQ209" s="1414" t="s">
        <v>92</v>
      </c>
    </row>
    <row r="210" spans="1:44" ht="15" customHeight="1" x14ac:dyDescent="0.4">
      <c r="B210" s="3"/>
      <c r="C210" s="36"/>
      <c r="D210" s="155"/>
      <c r="E210" s="155"/>
      <c r="F210" s="155"/>
      <c r="G210" s="7"/>
      <c r="H210" s="20"/>
      <c r="U210" s="20"/>
      <c r="V210" s="3" t="s">
        <v>2363</v>
      </c>
      <c r="W210" s="3" t="s">
        <v>370</v>
      </c>
      <c r="X210" s="38" t="s">
        <v>369</v>
      </c>
      <c r="Y210" s="1443">
        <v>200446127</v>
      </c>
      <c r="Z210" s="1443"/>
      <c r="AA210" s="20"/>
      <c r="AE210" s="3"/>
      <c r="AF210" s="930"/>
      <c r="AI210" s="39"/>
      <c r="AJ210" s="39"/>
      <c r="AK210" s="39"/>
      <c r="AM210" s="3" t="s">
        <v>92</v>
      </c>
      <c r="AN210" s="3" t="s">
        <v>371</v>
      </c>
      <c r="AO210" s="3" t="s">
        <v>92</v>
      </c>
      <c r="AP210" s="3" t="s">
        <v>92</v>
      </c>
      <c r="AQ210" s="1414" t="s">
        <v>92</v>
      </c>
    </row>
    <row r="211" spans="1:44" ht="15" customHeight="1" x14ac:dyDescent="0.4">
      <c r="B211" s="3"/>
      <c r="C211" s="36"/>
      <c r="D211" s="155"/>
      <c r="E211" s="155"/>
      <c r="F211" s="155"/>
      <c r="G211" s="7"/>
      <c r="H211" s="20"/>
      <c r="U211" s="20"/>
      <c r="V211" s="3" t="s">
        <v>2365</v>
      </c>
      <c r="W211" s="3" t="s">
        <v>370</v>
      </c>
      <c r="X211" s="38" t="s">
        <v>369</v>
      </c>
      <c r="Y211" s="1443">
        <v>200446180</v>
      </c>
      <c r="Z211" s="1443"/>
      <c r="AA211" s="20"/>
      <c r="AE211" s="3"/>
      <c r="AF211" s="930"/>
      <c r="AI211" s="39"/>
      <c r="AJ211" s="39"/>
      <c r="AK211" s="39"/>
      <c r="AM211" s="3" t="s">
        <v>92</v>
      </c>
      <c r="AN211" s="3" t="s">
        <v>371</v>
      </c>
      <c r="AO211" s="3" t="s">
        <v>92</v>
      </c>
      <c r="AP211" s="3" t="s">
        <v>92</v>
      </c>
      <c r="AQ211" s="1414" t="s">
        <v>92</v>
      </c>
    </row>
    <row r="212" spans="1:44" ht="15" customHeight="1" thickBot="1" x14ac:dyDescent="0.45">
      <c r="B212" s="3"/>
      <c r="C212" s="36"/>
      <c r="D212" s="155"/>
      <c r="E212" s="155"/>
      <c r="F212" s="155"/>
      <c r="G212" s="7"/>
      <c r="H212" s="20"/>
      <c r="U212" s="20"/>
      <c r="V212" s="38"/>
      <c r="X212" s="38"/>
      <c r="Y212" s="1443"/>
      <c r="Z212" s="1443"/>
      <c r="AA212" s="20"/>
      <c r="AE212" s="3"/>
      <c r="AF212" s="930"/>
      <c r="AI212" s="39"/>
      <c r="AJ212" s="39"/>
      <c r="AK212" s="39"/>
      <c r="AM212" s="889"/>
      <c r="AN212" s="889"/>
      <c r="AO212" s="889"/>
      <c r="AP212" s="889"/>
      <c r="AQ212" s="1590"/>
      <c r="AR212" s="889"/>
    </row>
    <row r="213" spans="1:44" ht="15.75" customHeight="1" thickBot="1" x14ac:dyDescent="0.45">
      <c r="B213" s="3"/>
      <c r="C213" s="943"/>
      <c r="D213" s="1037" t="s">
        <v>2353</v>
      </c>
      <c r="E213" s="1038"/>
      <c r="F213" s="1038"/>
      <c r="G213" s="1039"/>
      <c r="H213" s="1040"/>
      <c r="I213" s="710" t="s">
        <v>365</v>
      </c>
      <c r="J213" s="710"/>
      <c r="K213" s="710"/>
      <c r="L213" s="710"/>
      <c r="M213" s="1041"/>
      <c r="N213" s="1041"/>
      <c r="O213" s="1041"/>
      <c r="P213" s="1042"/>
      <c r="Q213" s="1042"/>
      <c r="R213" s="710" t="s">
        <v>352</v>
      </c>
      <c r="S213" s="1041">
        <f>FWHeight</f>
        <v>47.5</v>
      </c>
      <c r="T213" s="710" t="s">
        <v>366</v>
      </c>
      <c r="U213" s="1040"/>
      <c r="V213" s="1043" t="s">
        <v>369</v>
      </c>
      <c r="W213" s="710" t="s">
        <v>370</v>
      </c>
      <c r="X213" s="1043" t="s">
        <v>369</v>
      </c>
      <c r="Y213" s="1846">
        <v>120074014938</v>
      </c>
      <c r="Z213" s="1608"/>
      <c r="AA213" s="1040"/>
      <c r="AB213" s="710"/>
      <c r="AC213" s="710">
        <v>2</v>
      </c>
      <c r="AD213" s="1041">
        <f>AC213*S213/12</f>
        <v>7.916666666666667</v>
      </c>
      <c r="AE213" s="710" t="s">
        <v>367</v>
      </c>
      <c r="AF213" s="1041"/>
      <c r="AG213" s="1041"/>
      <c r="AH213" s="1611">
        <v>8.77E-3</v>
      </c>
      <c r="AI213" s="1044"/>
      <c r="AJ213" s="1044"/>
      <c r="AK213" s="1044"/>
      <c r="AL213" s="1611">
        <f>AD$213*AH213+SUM(AI213:AK213)</f>
        <v>6.9429166666666667E-2</v>
      </c>
      <c r="AM213" s="710" t="s">
        <v>92</v>
      </c>
      <c r="AN213" s="710" t="s">
        <v>92</v>
      </c>
      <c r="AO213" s="710" t="s">
        <v>92</v>
      </c>
      <c r="AP213" s="710" t="s">
        <v>92</v>
      </c>
      <c r="AQ213" s="1880" t="s">
        <v>92</v>
      </c>
      <c r="AR213" s="710"/>
    </row>
    <row r="214" spans="1:44" ht="15" customHeight="1" x14ac:dyDescent="0.4">
      <c r="A214" s="3" t="s">
        <v>389</v>
      </c>
      <c r="B214" s="3"/>
      <c r="C214" s="173" t="s">
        <v>1144</v>
      </c>
      <c r="D214" s="182"/>
      <c r="E214" s="182"/>
      <c r="F214" s="174" t="s">
        <v>1143</v>
      </c>
      <c r="G214" s="173"/>
      <c r="H214" s="175"/>
      <c r="I214" s="116" t="s">
        <v>365</v>
      </c>
      <c r="J214" s="116"/>
      <c r="K214" s="116"/>
      <c r="L214" s="116" t="s">
        <v>348</v>
      </c>
      <c r="M214" s="177">
        <v>3</v>
      </c>
      <c r="N214" s="177" t="s">
        <v>348</v>
      </c>
      <c r="O214" s="177">
        <f>0.25</f>
        <v>0.25</v>
      </c>
      <c r="P214" s="177"/>
      <c r="Q214" s="177"/>
      <c r="R214" s="116" t="s">
        <v>352</v>
      </c>
      <c r="S214" s="177">
        <f>FWWidth+M214+O214</f>
        <v>50.75</v>
      </c>
      <c r="T214" s="116" t="s">
        <v>366</v>
      </c>
      <c r="U214" s="175"/>
      <c r="V214" s="179"/>
      <c r="W214" s="116"/>
      <c r="X214" s="179"/>
      <c r="Y214" s="1449"/>
      <c r="Z214" s="1449"/>
      <c r="AA214" s="175"/>
      <c r="AB214" s="116">
        <v>42</v>
      </c>
      <c r="AC214" s="116">
        <v>1</v>
      </c>
      <c r="AD214" s="177">
        <f>AC214*S214/12</f>
        <v>4.229166666666667</v>
      </c>
      <c r="AE214" s="116" t="s">
        <v>367</v>
      </c>
      <c r="AF214" s="627">
        <f>AF206</f>
        <v>1.133</v>
      </c>
      <c r="AG214" s="177">
        <f>AF214*AtolbperftFixed</f>
        <v>0.71922839999999999</v>
      </c>
      <c r="AH214" s="935">
        <f>AG214*FWTwinCost</f>
        <v>0.71922839999999999</v>
      </c>
      <c r="AI214" s="185"/>
      <c r="AJ214" s="185"/>
      <c r="AK214" s="185"/>
      <c r="AL214" s="185"/>
      <c r="AM214" s="3" t="s">
        <v>92</v>
      </c>
      <c r="AN214" s="3" t="s">
        <v>371</v>
      </c>
      <c r="AO214" s="3" t="s">
        <v>92</v>
      </c>
      <c r="AP214" s="3" t="s">
        <v>92</v>
      </c>
      <c r="AQ214" s="1414" t="s">
        <v>92</v>
      </c>
    </row>
    <row r="215" spans="1:44" ht="15" customHeight="1" x14ac:dyDescent="0.4">
      <c r="B215" s="3"/>
      <c r="C215" s="36"/>
      <c r="D215" s="155"/>
      <c r="E215" s="155"/>
      <c r="F215" s="47" t="s">
        <v>1138</v>
      </c>
      <c r="G215" s="7"/>
      <c r="H215" s="20"/>
      <c r="I215" s="3" t="s">
        <v>365</v>
      </c>
      <c r="L215" s="3" t="s">
        <v>348</v>
      </c>
      <c r="M215" s="5">
        <v>0</v>
      </c>
      <c r="N215" s="5" t="s">
        <v>348</v>
      </c>
      <c r="O215" s="5">
        <f>0.25</f>
        <v>0.25</v>
      </c>
      <c r="P215" s="24"/>
      <c r="Q215" s="24"/>
      <c r="R215" s="3" t="s">
        <v>352</v>
      </c>
      <c r="S215" s="5">
        <f>FWWidth+M215+O215</f>
        <v>47.75</v>
      </c>
      <c r="T215" s="3" t="s">
        <v>366</v>
      </c>
      <c r="U215" s="20"/>
      <c r="V215" s="38" t="s">
        <v>369</v>
      </c>
      <c r="W215" s="3" t="s">
        <v>370</v>
      </c>
      <c r="X215" s="38" t="s">
        <v>369</v>
      </c>
      <c r="Y215" s="1443">
        <v>200447003</v>
      </c>
      <c r="Z215" s="1443"/>
      <c r="AA215" s="20"/>
      <c r="AE215" s="3"/>
      <c r="AF215" s="930"/>
      <c r="AH215" s="51">
        <v>0.65849999999999997</v>
      </c>
      <c r="AI215" s="39"/>
      <c r="AJ215" s="39"/>
      <c r="AK215" s="39"/>
      <c r="AL215" s="51">
        <f>AD$214*AH215+SUM(AI215:AK215)</f>
        <v>2.7849062500000001</v>
      </c>
      <c r="AM215" s="3" t="s">
        <v>92</v>
      </c>
      <c r="AN215" s="3" t="s">
        <v>371</v>
      </c>
      <c r="AO215" s="3" t="s">
        <v>92</v>
      </c>
      <c r="AP215" s="3" t="s">
        <v>92</v>
      </c>
      <c r="AQ215" s="1414" t="s">
        <v>92</v>
      </c>
    </row>
    <row r="216" spans="1:44" ht="15" customHeight="1" x14ac:dyDescent="0.4">
      <c r="B216" s="3"/>
      <c r="C216" s="36"/>
      <c r="D216" s="155"/>
      <c r="E216" s="155"/>
      <c r="F216" s="155"/>
      <c r="G216" s="7"/>
      <c r="H216" s="20"/>
      <c r="U216" s="20"/>
      <c r="V216" s="38" t="s">
        <v>369</v>
      </c>
      <c r="W216" s="3" t="s">
        <v>372</v>
      </c>
      <c r="X216" s="38" t="s">
        <v>369</v>
      </c>
      <c r="Y216" s="1563">
        <v>200447021</v>
      </c>
      <c r="Z216" s="1443"/>
      <c r="AA216" s="20"/>
      <c r="AE216" s="3"/>
      <c r="AF216" s="930"/>
      <c r="AH216" s="51">
        <v>0.70189999999999997</v>
      </c>
      <c r="AI216" s="39"/>
      <c r="AJ216" s="39"/>
      <c r="AK216" s="39"/>
      <c r="AL216" s="51">
        <f t="shared" ref="AL216:AL219" si="50">AD$214*AH216+SUM(AI216:AK216)</f>
        <v>2.9684520833333332</v>
      </c>
      <c r="AM216" s="3" t="s">
        <v>92</v>
      </c>
      <c r="AN216" s="3" t="s">
        <v>371</v>
      </c>
      <c r="AO216" s="3" t="s">
        <v>92</v>
      </c>
      <c r="AP216" s="3" t="s">
        <v>92</v>
      </c>
      <c r="AQ216" s="1414" t="s">
        <v>92</v>
      </c>
    </row>
    <row r="217" spans="1:44" ht="15" customHeight="1" x14ac:dyDescent="0.4">
      <c r="C217" s="155"/>
      <c r="D217" s="36"/>
      <c r="E217" s="155"/>
      <c r="F217" s="155"/>
      <c r="G217" s="7"/>
      <c r="H217" s="20"/>
      <c r="U217" s="20"/>
      <c r="V217" s="38" t="s">
        <v>369</v>
      </c>
      <c r="W217" s="3" t="s">
        <v>373</v>
      </c>
      <c r="X217" s="38" t="s">
        <v>369</v>
      </c>
      <c r="Y217" s="1443">
        <v>200447033</v>
      </c>
      <c r="Z217" s="1443"/>
      <c r="AA217" s="20"/>
      <c r="AE217" s="3"/>
      <c r="AF217" s="930"/>
      <c r="AH217" s="51">
        <v>0.75409999999999999</v>
      </c>
      <c r="AI217" s="39"/>
      <c r="AJ217" s="39"/>
      <c r="AK217" s="39"/>
      <c r="AL217" s="51">
        <f t="shared" si="50"/>
        <v>3.1892145833333334</v>
      </c>
      <c r="AM217" s="3" t="s">
        <v>92</v>
      </c>
      <c r="AN217" s="3" t="s">
        <v>371</v>
      </c>
      <c r="AO217" s="3" t="s">
        <v>92</v>
      </c>
      <c r="AP217" s="3" t="s">
        <v>92</v>
      </c>
      <c r="AQ217" s="1414" t="s">
        <v>92</v>
      </c>
    </row>
    <row r="218" spans="1:44" ht="15" customHeight="1" x14ac:dyDescent="0.4">
      <c r="B218" s="3"/>
      <c r="C218" s="36"/>
      <c r="D218" s="155"/>
      <c r="E218" s="155"/>
      <c r="F218" s="155"/>
      <c r="G218" s="7"/>
      <c r="H218" s="20"/>
      <c r="U218" s="20"/>
      <c r="V218" s="3" t="s">
        <v>2363</v>
      </c>
      <c r="W218" s="3" t="s">
        <v>370</v>
      </c>
      <c r="X218" s="38" t="s">
        <v>369</v>
      </c>
      <c r="Y218" s="1443">
        <v>200447127</v>
      </c>
      <c r="Z218" s="1443"/>
      <c r="AA218" s="20"/>
      <c r="AE218" s="3"/>
      <c r="AF218" s="930"/>
      <c r="AI218" s="39"/>
      <c r="AJ218" s="39"/>
      <c r="AK218" s="39"/>
      <c r="AL218" s="51">
        <f t="shared" si="50"/>
        <v>0</v>
      </c>
      <c r="AM218" s="3" t="s">
        <v>92</v>
      </c>
      <c r="AN218" s="3" t="s">
        <v>371</v>
      </c>
      <c r="AO218" s="3" t="s">
        <v>92</v>
      </c>
      <c r="AP218" s="3" t="s">
        <v>92</v>
      </c>
      <c r="AQ218" s="1414" t="s">
        <v>92</v>
      </c>
    </row>
    <row r="219" spans="1:44" ht="15" customHeight="1" x14ac:dyDescent="0.4">
      <c r="B219" s="3"/>
      <c r="C219" s="36"/>
      <c r="D219" s="155"/>
      <c r="E219" s="155"/>
      <c r="F219" s="155"/>
      <c r="G219" s="7"/>
      <c r="H219" s="20"/>
      <c r="U219" s="20"/>
      <c r="V219" s="3" t="s">
        <v>2365</v>
      </c>
      <c r="W219" s="3" t="s">
        <v>370</v>
      </c>
      <c r="X219" s="38" t="s">
        <v>369</v>
      </c>
      <c r="Y219" s="1443">
        <v>200447180</v>
      </c>
      <c r="Z219" s="1443"/>
      <c r="AA219" s="20"/>
      <c r="AE219" s="3"/>
      <c r="AF219" s="930"/>
      <c r="AI219" s="39"/>
      <c r="AJ219" s="39"/>
      <c r="AK219" s="39"/>
      <c r="AL219" s="51">
        <f t="shared" si="50"/>
        <v>0</v>
      </c>
      <c r="AM219" s="3" t="s">
        <v>92</v>
      </c>
      <c r="AN219" s="3" t="s">
        <v>371</v>
      </c>
      <c r="AO219" s="3" t="s">
        <v>92</v>
      </c>
      <c r="AP219" s="3" t="s">
        <v>92</v>
      </c>
      <c r="AQ219" s="1414" t="s">
        <v>92</v>
      </c>
    </row>
    <row r="220" spans="1:44" ht="15" customHeight="1" x14ac:dyDescent="0.4">
      <c r="B220" s="3"/>
      <c r="C220" s="36"/>
      <c r="D220" s="155"/>
      <c r="E220" s="155"/>
      <c r="F220" s="155"/>
      <c r="G220" s="7"/>
      <c r="H220" s="20"/>
      <c r="U220" s="20"/>
      <c r="X220" s="38"/>
      <c r="Y220" s="1443"/>
      <c r="Z220" s="1443"/>
      <c r="AA220" s="20"/>
      <c r="AE220" s="3"/>
      <c r="AF220" s="930"/>
      <c r="AI220" s="39"/>
      <c r="AJ220" s="39"/>
      <c r="AK220" s="39"/>
      <c r="AQ220" s="1414"/>
    </row>
    <row r="221" spans="1:44" ht="15.75" customHeight="1" thickBot="1" x14ac:dyDescent="0.45">
      <c r="B221" s="3"/>
      <c r="C221" s="943"/>
      <c r="D221" s="1037" t="s">
        <v>2353</v>
      </c>
      <c r="E221" s="1038"/>
      <c r="F221" s="1038"/>
      <c r="G221" s="1039"/>
      <c r="H221" s="1040"/>
      <c r="I221" s="710" t="s">
        <v>392</v>
      </c>
      <c r="J221" s="710"/>
      <c r="K221" s="710"/>
      <c r="L221" s="710"/>
      <c r="M221" s="1041"/>
      <c r="N221" s="1041"/>
      <c r="O221" s="1041"/>
      <c r="P221" s="1042"/>
      <c r="Q221" s="1042"/>
      <c r="R221" s="710" t="s">
        <v>352</v>
      </c>
      <c r="S221" s="1041">
        <f>FWHeight</f>
        <v>47.5</v>
      </c>
      <c r="T221" s="710" t="s">
        <v>366</v>
      </c>
      <c r="U221" s="1040"/>
      <c r="V221" s="1043" t="s">
        <v>369</v>
      </c>
      <c r="W221" s="710" t="s">
        <v>370</v>
      </c>
      <c r="X221" s="1043" t="s">
        <v>369</v>
      </c>
      <c r="Y221" s="1846">
        <v>120074014938</v>
      </c>
      <c r="Z221" s="1608"/>
      <c r="AA221" s="1040"/>
      <c r="AB221" s="710"/>
      <c r="AC221" s="710">
        <v>2</v>
      </c>
      <c r="AD221" s="1041">
        <f>AC221*S221/12</f>
        <v>7.916666666666667</v>
      </c>
      <c r="AE221" s="710" t="s">
        <v>367</v>
      </c>
      <c r="AF221" s="1041"/>
      <c r="AG221" s="1041"/>
      <c r="AH221" s="1611">
        <v>8.77E-3</v>
      </c>
      <c r="AI221" s="1044"/>
      <c r="AJ221" s="1044"/>
      <c r="AK221" s="1044"/>
      <c r="AL221" s="1611">
        <f>AD$221*AH221+SUM(AI221:AK221)</f>
        <v>6.9429166666666667E-2</v>
      </c>
      <c r="AM221" s="710" t="s">
        <v>92</v>
      </c>
      <c r="AN221" s="710" t="s">
        <v>92</v>
      </c>
      <c r="AO221" s="710" t="s">
        <v>92</v>
      </c>
      <c r="AP221" s="710" t="s">
        <v>92</v>
      </c>
      <c r="AQ221" s="1880" t="s">
        <v>92</v>
      </c>
      <c r="AR221" s="710"/>
    </row>
    <row r="222" spans="1:44" ht="15.75" customHeight="1" x14ac:dyDescent="0.4">
      <c r="B222" s="36"/>
      <c r="C222" s="36" t="s">
        <v>434</v>
      </c>
      <c r="D222" s="155"/>
      <c r="E222" s="155"/>
      <c r="F222" s="174" t="s">
        <v>1143</v>
      </c>
      <c r="G222" s="173"/>
      <c r="H222" s="175"/>
      <c r="I222" s="116" t="s">
        <v>365</v>
      </c>
      <c r="J222" s="116"/>
      <c r="K222" s="116"/>
      <c r="L222" s="116" t="s">
        <v>348</v>
      </c>
      <c r="M222" s="177">
        <v>3</v>
      </c>
      <c r="N222" s="177" t="s">
        <v>348</v>
      </c>
      <c r="O222" s="177">
        <f>0.25</f>
        <v>0.25</v>
      </c>
      <c r="P222" s="177"/>
      <c r="Q222" s="177"/>
      <c r="R222" s="116" t="s">
        <v>352</v>
      </c>
      <c r="S222" s="177">
        <f>FWWidth+M222+O222</f>
        <v>50.75</v>
      </c>
      <c r="T222" s="116" t="s">
        <v>366</v>
      </c>
      <c r="U222" s="175"/>
      <c r="V222" s="173"/>
      <c r="W222" s="173"/>
      <c r="X222" s="173"/>
      <c r="Y222" s="1449"/>
      <c r="Z222" s="1449"/>
      <c r="AA222" s="175"/>
      <c r="AB222" s="116">
        <v>42</v>
      </c>
      <c r="AC222" s="116">
        <v>2</v>
      </c>
      <c r="AD222" s="177">
        <f>AC222*S222/12</f>
        <v>8.4583333333333339</v>
      </c>
      <c r="AE222" s="116" t="s">
        <v>367</v>
      </c>
      <c r="AF222" s="627">
        <f>AF206</f>
        <v>1.133</v>
      </c>
      <c r="AG222" s="177">
        <f>AF222*AtolbperftFixed</f>
        <v>0.71922839999999999</v>
      </c>
      <c r="AH222" s="935">
        <f>AG222*FWTwinCost</f>
        <v>0.71922839999999999</v>
      </c>
      <c r="AI222" s="185"/>
      <c r="AJ222" s="185"/>
      <c r="AK222" s="185"/>
      <c r="AL222" s="185"/>
      <c r="AM222" s="3" t="s">
        <v>92</v>
      </c>
      <c r="AN222" s="3" t="s">
        <v>371</v>
      </c>
      <c r="AO222" s="3" t="s">
        <v>92</v>
      </c>
      <c r="AP222" s="3" t="s">
        <v>92</v>
      </c>
      <c r="AQ222" s="1414" t="s">
        <v>92</v>
      </c>
    </row>
    <row r="223" spans="1:44" ht="15.75" customHeight="1" x14ac:dyDescent="0.4">
      <c r="B223" s="36"/>
      <c r="C223" s="36"/>
      <c r="D223" s="155"/>
      <c r="E223" s="155"/>
      <c r="F223" s="47" t="s">
        <v>1138</v>
      </c>
      <c r="G223" s="7"/>
      <c r="H223" s="20"/>
      <c r="I223" s="3" t="s">
        <v>365</v>
      </c>
      <c r="L223" s="3" t="s">
        <v>348</v>
      </c>
      <c r="M223" s="5">
        <v>0</v>
      </c>
      <c r="N223" s="5" t="s">
        <v>348</v>
      </c>
      <c r="O223" s="5">
        <f>0.25</f>
        <v>0.25</v>
      </c>
      <c r="P223" s="24"/>
      <c r="Q223" s="24"/>
      <c r="R223" s="3" t="s">
        <v>352</v>
      </c>
      <c r="S223" s="5">
        <f>FWWidth+M223+O223</f>
        <v>47.75</v>
      </c>
      <c r="T223" s="3" t="s">
        <v>366</v>
      </c>
      <c r="U223" s="20"/>
      <c r="V223" s="38" t="s">
        <v>369</v>
      </c>
      <c r="W223" s="3" t="s">
        <v>370</v>
      </c>
      <c r="X223" s="38" t="s">
        <v>369</v>
      </c>
      <c r="Y223" s="1443">
        <v>207955003</v>
      </c>
      <c r="Z223" s="1443"/>
      <c r="AA223" s="20"/>
      <c r="AE223" s="3"/>
      <c r="AF223" s="930"/>
      <c r="AH223" s="51">
        <v>0.65849999999999997</v>
      </c>
      <c r="AI223" s="39"/>
      <c r="AJ223" s="39"/>
      <c r="AK223" s="39"/>
      <c r="AL223" s="51">
        <f>AD$222*AH223+SUM(AI223:AK223)</f>
        <v>5.5698125000000003</v>
      </c>
      <c r="AM223" s="3" t="s">
        <v>92</v>
      </c>
      <c r="AN223" s="3" t="s">
        <v>371</v>
      </c>
      <c r="AO223" s="3" t="s">
        <v>92</v>
      </c>
      <c r="AP223" s="3" t="s">
        <v>92</v>
      </c>
      <c r="AQ223" s="1414" t="s">
        <v>92</v>
      </c>
    </row>
    <row r="224" spans="1:44" ht="15.75" customHeight="1" x14ac:dyDescent="0.4">
      <c r="B224" s="36"/>
      <c r="C224" s="36"/>
      <c r="D224" s="155"/>
      <c r="E224" s="155"/>
      <c r="F224" s="155"/>
      <c r="G224" s="7"/>
      <c r="H224" s="20"/>
      <c r="P224" s="24"/>
      <c r="Q224" s="24"/>
      <c r="U224" s="20"/>
      <c r="V224" s="38" t="s">
        <v>369</v>
      </c>
      <c r="W224" s="3" t="s">
        <v>372</v>
      </c>
      <c r="X224" s="38" t="s">
        <v>369</v>
      </c>
      <c r="Y224" s="1563">
        <v>207955021</v>
      </c>
      <c r="Z224" s="1443"/>
      <c r="AA224" s="20"/>
      <c r="AE224" s="3"/>
      <c r="AH224" s="51">
        <v>0.70189999999999997</v>
      </c>
      <c r="AI224" s="39"/>
      <c r="AJ224" s="39"/>
      <c r="AK224" s="39"/>
      <c r="AL224" s="51">
        <f t="shared" ref="AL224:AL225" si="51">AD$222*AH224+SUM(AI224:AK224)</f>
        <v>5.9369041666666664</v>
      </c>
      <c r="AM224" s="3" t="s">
        <v>92</v>
      </c>
      <c r="AN224" s="3" t="s">
        <v>371</v>
      </c>
      <c r="AO224" s="3" t="s">
        <v>92</v>
      </c>
      <c r="AP224" s="3" t="s">
        <v>92</v>
      </c>
      <c r="AQ224" s="1414" t="s">
        <v>92</v>
      </c>
    </row>
    <row r="225" spans="1:44" ht="15.75" customHeight="1" x14ac:dyDescent="0.4">
      <c r="B225" s="36"/>
      <c r="C225" s="36"/>
      <c r="D225" s="155"/>
      <c r="E225" s="155"/>
      <c r="F225" s="155"/>
      <c r="G225" s="7"/>
      <c r="H225" s="20"/>
      <c r="P225" s="24"/>
      <c r="Q225" s="24"/>
      <c r="U225" s="20"/>
      <c r="V225" s="38" t="s">
        <v>369</v>
      </c>
      <c r="W225" s="3" t="s">
        <v>373</v>
      </c>
      <c r="X225" s="38" t="s">
        <v>369</v>
      </c>
      <c r="Y225" s="1443">
        <v>207955033</v>
      </c>
      <c r="Z225" s="1443"/>
      <c r="AA225" s="20"/>
      <c r="AE225" s="3"/>
      <c r="AH225" s="51">
        <v>0.75409999999999999</v>
      </c>
      <c r="AI225" s="39"/>
      <c r="AJ225" s="39"/>
      <c r="AK225" s="39"/>
      <c r="AL225" s="51">
        <f t="shared" si="51"/>
        <v>6.3784291666666668</v>
      </c>
      <c r="AM225" s="3" t="s">
        <v>92</v>
      </c>
      <c r="AN225" s="3" t="s">
        <v>371</v>
      </c>
      <c r="AO225" s="3" t="s">
        <v>92</v>
      </c>
      <c r="AP225" s="3" t="s">
        <v>92</v>
      </c>
      <c r="AQ225" s="1414" t="s">
        <v>92</v>
      </c>
    </row>
    <row r="226" spans="1:44" ht="15" customHeight="1" x14ac:dyDescent="0.4">
      <c r="B226" s="3"/>
      <c r="C226" s="36"/>
      <c r="D226" s="155"/>
      <c r="E226" s="155"/>
      <c r="F226" s="155"/>
      <c r="G226" s="7"/>
      <c r="H226" s="20"/>
      <c r="U226" s="20"/>
      <c r="V226" s="3" t="s">
        <v>2363</v>
      </c>
      <c r="W226" s="3" t="s">
        <v>370</v>
      </c>
      <c r="X226" s="38" t="s">
        <v>369</v>
      </c>
      <c r="Y226" s="1443">
        <v>207955127</v>
      </c>
      <c r="Z226" s="1443"/>
      <c r="AA226" s="20"/>
      <c r="AE226" s="3"/>
      <c r="AF226" s="930"/>
      <c r="AI226" s="39"/>
      <c r="AJ226" s="39"/>
      <c r="AK226" s="39"/>
      <c r="AM226" s="3" t="s">
        <v>92</v>
      </c>
      <c r="AN226" s="3" t="s">
        <v>371</v>
      </c>
      <c r="AO226" s="3" t="s">
        <v>92</v>
      </c>
      <c r="AP226" s="3" t="s">
        <v>92</v>
      </c>
      <c r="AQ226" s="1414" t="s">
        <v>92</v>
      </c>
    </row>
    <row r="227" spans="1:44" ht="15" customHeight="1" x14ac:dyDescent="0.4">
      <c r="B227" s="3"/>
      <c r="C227" s="36"/>
      <c r="D227" s="155"/>
      <c r="E227" s="155"/>
      <c r="F227" s="155"/>
      <c r="G227" s="7"/>
      <c r="H227" s="20"/>
      <c r="U227" s="20"/>
      <c r="V227" s="3" t="s">
        <v>2365</v>
      </c>
      <c r="W227" s="3" t="s">
        <v>370</v>
      </c>
      <c r="X227" s="38" t="s">
        <v>369</v>
      </c>
      <c r="Y227" s="1443">
        <v>207955180</v>
      </c>
      <c r="Z227" s="1443"/>
      <c r="AA227" s="20"/>
      <c r="AE227" s="3"/>
      <c r="AF227" s="930"/>
      <c r="AI227" s="39"/>
      <c r="AJ227" s="39"/>
      <c r="AK227" s="39"/>
      <c r="AM227" s="3" t="s">
        <v>92</v>
      </c>
      <c r="AN227" s="3" t="s">
        <v>371</v>
      </c>
      <c r="AO227" s="3" t="s">
        <v>92</v>
      </c>
      <c r="AP227" s="3" t="s">
        <v>92</v>
      </c>
      <c r="AQ227" s="1414" t="s">
        <v>92</v>
      </c>
    </row>
    <row r="228" spans="1:44" ht="15.75" customHeight="1" thickBot="1" x14ac:dyDescent="0.45">
      <c r="B228" s="36"/>
      <c r="C228" s="36"/>
      <c r="D228" s="155"/>
      <c r="E228" s="925"/>
      <c r="F228" s="155"/>
      <c r="G228" s="7"/>
      <c r="H228" s="20"/>
      <c r="P228" s="24"/>
      <c r="Q228" s="24"/>
      <c r="U228" s="20"/>
      <c r="V228" s="38"/>
      <c r="X228" s="38"/>
      <c r="Y228" s="1443"/>
      <c r="Z228" s="1443"/>
      <c r="AA228" s="20"/>
      <c r="AE228" s="3"/>
      <c r="AI228" s="39"/>
      <c r="AJ228" s="39"/>
      <c r="AK228" s="39"/>
      <c r="AM228" s="889"/>
      <c r="AN228" s="889"/>
      <c r="AO228" s="889"/>
      <c r="AP228" s="889"/>
      <c r="AQ228" s="1590"/>
      <c r="AR228" s="889"/>
    </row>
    <row r="229" spans="1:44" ht="15" customHeight="1" x14ac:dyDescent="0.4">
      <c r="A229" s="3" t="s">
        <v>1142</v>
      </c>
      <c r="B229" s="173"/>
      <c r="C229" s="173" t="s">
        <v>1145</v>
      </c>
      <c r="D229" s="116"/>
      <c r="F229" s="174" t="s">
        <v>391</v>
      </c>
      <c r="G229" s="173"/>
      <c r="H229" s="175"/>
      <c r="I229" s="116" t="s">
        <v>365</v>
      </c>
      <c r="J229" s="116"/>
      <c r="K229" s="116"/>
      <c r="L229" s="116" t="s">
        <v>348</v>
      </c>
      <c r="M229" s="177">
        <v>3</v>
      </c>
      <c r="N229" s="177" t="s">
        <v>348</v>
      </c>
      <c r="O229" s="177">
        <f>0.25</f>
        <v>0.25</v>
      </c>
      <c r="P229" s="177"/>
      <c r="Q229" s="177"/>
      <c r="R229" s="116" t="s">
        <v>352</v>
      </c>
      <c r="S229" s="177">
        <f>FWHeight+M229+O229</f>
        <v>50.75</v>
      </c>
      <c r="T229" s="116" t="s">
        <v>366</v>
      </c>
      <c r="U229" s="175"/>
      <c r="V229" s="173"/>
      <c r="W229" s="173"/>
      <c r="X229" s="173"/>
      <c r="Y229" s="1449"/>
      <c r="Z229" s="1449"/>
      <c r="AA229" s="175"/>
      <c r="AB229" s="116">
        <v>42</v>
      </c>
      <c r="AC229" s="116">
        <v>2</v>
      </c>
      <c r="AD229" s="177">
        <f>AC229*S229/12</f>
        <v>8.4583333333333339</v>
      </c>
      <c r="AE229" s="116" t="s">
        <v>367</v>
      </c>
      <c r="AF229" s="627">
        <v>1.36</v>
      </c>
      <c r="AG229" s="177">
        <f>AF229*AtolbperftFixed</f>
        <v>0.8633280000000001</v>
      </c>
      <c r="AH229" s="935">
        <f>AG229*FWTwinCost</f>
        <v>0.8633280000000001</v>
      </c>
      <c r="AI229" s="185"/>
      <c r="AJ229" s="185"/>
      <c r="AK229" s="185"/>
      <c r="AL229" s="185"/>
      <c r="AM229" s="3" t="s">
        <v>92</v>
      </c>
      <c r="AN229" s="3" t="s">
        <v>371</v>
      </c>
      <c r="AO229" s="3" t="s">
        <v>92</v>
      </c>
      <c r="AP229" s="3" t="s">
        <v>92</v>
      </c>
      <c r="AQ229" s="1414" t="s">
        <v>92</v>
      </c>
    </row>
    <row r="230" spans="1:44" ht="15" customHeight="1" x14ac:dyDescent="0.4">
      <c r="B230" s="36"/>
      <c r="C230" s="36"/>
      <c r="D230" s="155"/>
      <c r="E230" s="47"/>
      <c r="F230" s="47" t="s">
        <v>1138</v>
      </c>
      <c r="G230" s="7"/>
      <c r="H230" s="20"/>
      <c r="I230" s="3" t="s">
        <v>365</v>
      </c>
      <c r="L230" s="3" t="s">
        <v>348</v>
      </c>
      <c r="M230" s="5">
        <v>0</v>
      </c>
      <c r="N230" s="5" t="s">
        <v>348</v>
      </c>
      <c r="O230" s="5">
        <f>0.25</f>
        <v>0.25</v>
      </c>
      <c r="R230" s="3" t="s">
        <v>352</v>
      </c>
      <c r="S230" s="5">
        <f>FWHeight+M230+O230</f>
        <v>47.75</v>
      </c>
      <c r="T230" s="3" t="s">
        <v>366</v>
      </c>
      <c r="U230" s="20"/>
      <c r="V230" s="38" t="s">
        <v>369</v>
      </c>
      <c r="W230" s="3" t="s">
        <v>370</v>
      </c>
      <c r="X230" s="38" t="s">
        <v>369</v>
      </c>
      <c r="Y230" s="1443">
        <v>200148003</v>
      </c>
      <c r="Z230" s="1443"/>
      <c r="AA230" s="20"/>
      <c r="AE230" s="3"/>
      <c r="AF230" s="930"/>
      <c r="AI230" s="39"/>
      <c r="AJ230" s="39"/>
      <c r="AK230" s="39"/>
      <c r="AL230" s="51">
        <f>AD$229*AH230+SUM(AI230:AK230)</f>
        <v>0</v>
      </c>
      <c r="AM230" s="3" t="s">
        <v>92</v>
      </c>
      <c r="AN230" s="3" t="s">
        <v>371</v>
      </c>
      <c r="AO230" s="3" t="s">
        <v>92</v>
      </c>
      <c r="AP230" s="3" t="s">
        <v>92</v>
      </c>
      <c r="AQ230" s="1414" t="s">
        <v>92</v>
      </c>
    </row>
    <row r="231" spans="1:44" ht="15" customHeight="1" x14ac:dyDescent="0.4">
      <c r="B231" s="36"/>
      <c r="C231" s="36"/>
      <c r="D231" s="155"/>
      <c r="E231" s="155"/>
      <c r="F231" s="155"/>
      <c r="G231" s="7"/>
      <c r="H231" s="20"/>
      <c r="P231" s="24"/>
      <c r="Q231" s="24"/>
      <c r="U231" s="20"/>
      <c r="V231" s="38" t="s">
        <v>369</v>
      </c>
      <c r="W231" s="3" t="s">
        <v>372</v>
      </c>
      <c r="X231" s="38" t="s">
        <v>369</v>
      </c>
      <c r="Y231" s="1563">
        <v>200148021</v>
      </c>
      <c r="Z231" s="1443"/>
      <c r="AA231" s="20"/>
      <c r="AE231" s="3"/>
      <c r="AI231" s="39"/>
      <c r="AJ231" s="39"/>
      <c r="AK231" s="39"/>
      <c r="AL231" s="51">
        <f t="shared" ref="AL231:AL232" si="52">AD$229*AH231+SUM(AI231:AK231)</f>
        <v>0</v>
      </c>
      <c r="AM231" s="3" t="s">
        <v>92</v>
      </c>
      <c r="AN231" s="3" t="s">
        <v>371</v>
      </c>
      <c r="AO231" s="3" t="s">
        <v>92</v>
      </c>
      <c r="AP231" s="3" t="s">
        <v>92</v>
      </c>
      <c r="AQ231" s="1414" t="s">
        <v>92</v>
      </c>
    </row>
    <row r="232" spans="1:44" ht="15.75" customHeight="1" x14ac:dyDescent="0.4">
      <c r="B232" s="3"/>
      <c r="C232" s="36"/>
      <c r="D232" s="155"/>
      <c r="E232" s="155"/>
      <c r="F232" s="155"/>
      <c r="G232" s="7"/>
      <c r="H232" s="20"/>
      <c r="P232" s="24"/>
      <c r="Q232" s="24"/>
      <c r="U232" s="20"/>
      <c r="V232" s="38" t="s">
        <v>369</v>
      </c>
      <c r="W232" s="3" t="s">
        <v>373</v>
      </c>
      <c r="X232" s="38" t="s">
        <v>369</v>
      </c>
      <c r="Y232" s="1443">
        <v>200148033</v>
      </c>
      <c r="Z232" s="1443"/>
      <c r="AA232" s="20"/>
      <c r="AE232" s="3"/>
      <c r="AI232" s="39"/>
      <c r="AJ232" s="39"/>
      <c r="AK232" s="39"/>
      <c r="AL232" s="51">
        <f t="shared" si="52"/>
        <v>0</v>
      </c>
      <c r="AM232" s="3" t="s">
        <v>92</v>
      </c>
      <c r="AN232" s="3" t="s">
        <v>371</v>
      </c>
      <c r="AO232" s="3" t="s">
        <v>92</v>
      </c>
      <c r="AP232" s="3" t="s">
        <v>92</v>
      </c>
      <c r="AQ232" s="1414" t="s">
        <v>92</v>
      </c>
    </row>
    <row r="233" spans="1:44" ht="15.75" customHeight="1" x14ac:dyDescent="0.4">
      <c r="B233" s="3"/>
      <c r="C233" s="36"/>
      <c r="D233" s="155"/>
      <c r="E233" s="155"/>
      <c r="F233" s="155"/>
      <c r="G233" s="7"/>
      <c r="H233" s="20"/>
      <c r="P233" s="24"/>
      <c r="Q233" s="24"/>
      <c r="U233" s="20"/>
      <c r="V233" s="38" t="s">
        <v>2363</v>
      </c>
      <c r="W233" s="3" t="s">
        <v>370</v>
      </c>
      <c r="X233" s="38" t="s">
        <v>369</v>
      </c>
      <c r="Y233" s="1443">
        <v>200148127</v>
      </c>
      <c r="Z233" s="1443"/>
      <c r="AA233" s="20"/>
      <c r="AE233" s="3"/>
      <c r="AI233" s="39"/>
      <c r="AJ233" s="39"/>
      <c r="AK233" s="39"/>
      <c r="AM233" s="3" t="s">
        <v>92</v>
      </c>
      <c r="AN233" s="3" t="s">
        <v>371</v>
      </c>
      <c r="AO233" s="3" t="s">
        <v>92</v>
      </c>
      <c r="AP233" s="3" t="s">
        <v>92</v>
      </c>
      <c r="AQ233" s="1414" t="s">
        <v>92</v>
      </c>
    </row>
    <row r="234" spans="1:44" ht="15.75" customHeight="1" thickBot="1" x14ac:dyDescent="0.45">
      <c r="B234" s="3"/>
      <c r="C234" s="36"/>
      <c r="D234" s="155"/>
      <c r="E234" s="155"/>
      <c r="F234" s="155"/>
      <c r="G234" s="7"/>
      <c r="H234" s="20"/>
      <c r="P234" s="24"/>
      <c r="Q234" s="24"/>
      <c r="U234" s="20"/>
      <c r="V234" s="38" t="s">
        <v>2365</v>
      </c>
      <c r="W234" s="3" t="s">
        <v>370</v>
      </c>
      <c r="X234" s="38" t="s">
        <v>369</v>
      </c>
      <c r="Y234" s="1443">
        <v>200148180</v>
      </c>
      <c r="Z234" s="1443"/>
      <c r="AA234" s="20"/>
      <c r="AE234" s="3"/>
      <c r="AI234" s="39"/>
      <c r="AJ234" s="39"/>
      <c r="AK234" s="39"/>
      <c r="AM234" s="889" t="s">
        <v>92</v>
      </c>
      <c r="AN234" s="889" t="s">
        <v>371</v>
      </c>
      <c r="AO234" s="889" t="s">
        <v>92</v>
      </c>
      <c r="AP234" s="889" t="s">
        <v>92</v>
      </c>
      <c r="AQ234" s="1590" t="s">
        <v>92</v>
      </c>
      <c r="AR234" s="889"/>
    </row>
    <row r="235" spans="1:44" ht="15.75" customHeight="1" thickBot="1" x14ac:dyDescent="0.45">
      <c r="B235" s="3"/>
      <c r="C235" s="943"/>
      <c r="D235" s="1037" t="s">
        <v>2353</v>
      </c>
      <c r="E235" s="1038"/>
      <c r="F235" s="1038"/>
      <c r="G235" s="1039"/>
      <c r="H235" s="1040"/>
      <c r="I235" s="710" t="s">
        <v>365</v>
      </c>
      <c r="J235" s="710"/>
      <c r="K235" s="710"/>
      <c r="L235" s="710"/>
      <c r="M235" s="1041"/>
      <c r="N235" s="1041"/>
      <c r="O235" s="1041"/>
      <c r="P235" s="1042"/>
      <c r="Q235" s="1042"/>
      <c r="R235" s="710" t="s">
        <v>352</v>
      </c>
      <c r="S235" s="1041">
        <f>FWHeight</f>
        <v>47.5</v>
      </c>
      <c r="T235" s="710" t="s">
        <v>366</v>
      </c>
      <c r="U235" s="1040"/>
      <c r="V235" s="1043" t="s">
        <v>369</v>
      </c>
      <c r="W235" s="710" t="s">
        <v>370</v>
      </c>
      <c r="X235" s="1043" t="s">
        <v>369</v>
      </c>
      <c r="Y235" s="1846">
        <v>120074014938</v>
      </c>
      <c r="Z235" s="1608"/>
      <c r="AA235" s="1040"/>
      <c r="AB235" s="710"/>
      <c r="AC235" s="710">
        <v>2</v>
      </c>
      <c r="AD235" s="1041">
        <f>AC235*S235/12</f>
        <v>7.916666666666667</v>
      </c>
      <c r="AE235" s="710" t="s">
        <v>367</v>
      </c>
      <c r="AF235" s="1041"/>
      <c r="AG235" s="1041"/>
      <c r="AH235" s="1611">
        <v>8.77E-3</v>
      </c>
      <c r="AI235" s="1044"/>
      <c r="AJ235" s="1044"/>
      <c r="AK235" s="1044"/>
      <c r="AL235" s="1611">
        <f>AD$235*AH235+SUM(AI235:AK235)</f>
        <v>6.9429166666666667E-2</v>
      </c>
      <c r="AM235" s="710" t="s">
        <v>92</v>
      </c>
      <c r="AN235" s="710" t="s">
        <v>92</v>
      </c>
      <c r="AO235" s="710" t="s">
        <v>92</v>
      </c>
      <c r="AP235" s="710" t="s">
        <v>92</v>
      </c>
      <c r="AQ235" s="1880" t="s">
        <v>92</v>
      </c>
      <c r="AR235" s="710"/>
    </row>
    <row r="236" spans="1:44" ht="15" customHeight="1" x14ac:dyDescent="0.4">
      <c r="A236" s="3" t="s">
        <v>1142</v>
      </c>
      <c r="B236" s="7"/>
      <c r="C236" s="173" t="s">
        <v>1146</v>
      </c>
      <c r="D236" s="116"/>
      <c r="E236" s="138"/>
      <c r="F236" s="174" t="s">
        <v>391</v>
      </c>
      <c r="G236" s="173"/>
      <c r="H236" s="175"/>
      <c r="I236" s="116" t="s">
        <v>365</v>
      </c>
      <c r="J236" s="116"/>
      <c r="K236" s="116"/>
      <c r="L236" s="116" t="s">
        <v>348</v>
      </c>
      <c r="M236" s="177">
        <v>3</v>
      </c>
      <c r="N236" s="177" t="s">
        <v>348</v>
      </c>
      <c r="O236" s="177">
        <f>0.25</f>
        <v>0.25</v>
      </c>
      <c r="P236" s="177"/>
      <c r="Q236" s="177"/>
      <c r="R236" s="116" t="s">
        <v>352</v>
      </c>
      <c r="S236" s="177">
        <f>FWHeight+M236+O236</f>
        <v>50.75</v>
      </c>
      <c r="T236" s="116" t="s">
        <v>366</v>
      </c>
      <c r="U236" s="175"/>
      <c r="V236" s="173"/>
      <c r="W236" s="173"/>
      <c r="X236" s="173"/>
      <c r="Y236" s="1449"/>
      <c r="Z236" s="1449"/>
      <c r="AA236" s="175"/>
      <c r="AB236" s="116">
        <v>42</v>
      </c>
      <c r="AC236" s="116">
        <v>2</v>
      </c>
      <c r="AD236" s="177">
        <f>AC236*S236/12</f>
        <v>8.4583333333333339</v>
      </c>
      <c r="AE236" s="116" t="s">
        <v>367</v>
      </c>
      <c r="AF236" s="627">
        <f>AF229</f>
        <v>1.36</v>
      </c>
      <c r="AG236" s="177">
        <f>AF236*AtolbperftFixed</f>
        <v>0.8633280000000001</v>
      </c>
      <c r="AH236" s="935">
        <f>AG236*FWTwinCost</f>
        <v>0.8633280000000001</v>
      </c>
      <c r="AI236" s="185"/>
      <c r="AJ236" s="185"/>
      <c r="AK236" s="185"/>
      <c r="AL236" s="185"/>
      <c r="AM236" s="3" t="s">
        <v>92</v>
      </c>
      <c r="AN236" s="3" t="s">
        <v>371</v>
      </c>
      <c r="AO236" s="3" t="s">
        <v>92</v>
      </c>
      <c r="AP236" s="3" t="s">
        <v>92</v>
      </c>
      <c r="AQ236" s="1414" t="s">
        <v>92</v>
      </c>
    </row>
    <row r="237" spans="1:44" ht="15" customHeight="1" x14ac:dyDescent="0.4">
      <c r="B237" s="36"/>
      <c r="C237" s="36"/>
      <c r="D237" s="155"/>
      <c r="E237" s="47"/>
      <c r="F237" s="47" t="s">
        <v>1138</v>
      </c>
      <c r="G237" s="7"/>
      <c r="H237" s="20"/>
      <c r="I237" s="3" t="s">
        <v>365</v>
      </c>
      <c r="L237" s="3" t="s">
        <v>348</v>
      </c>
      <c r="M237" s="5">
        <v>0</v>
      </c>
      <c r="N237" s="5" t="s">
        <v>348</v>
      </c>
      <c r="O237" s="5">
        <f>0.25</f>
        <v>0.25</v>
      </c>
      <c r="R237" s="3" t="s">
        <v>352</v>
      </c>
      <c r="S237" s="5">
        <f>FWHeight+M237+O237</f>
        <v>47.75</v>
      </c>
      <c r="T237" s="3" t="s">
        <v>366</v>
      </c>
      <c r="U237" s="20"/>
      <c r="V237" s="38" t="s">
        <v>369</v>
      </c>
      <c r="W237" s="3" t="s">
        <v>370</v>
      </c>
      <c r="X237" s="38" t="s">
        <v>369</v>
      </c>
      <c r="Y237" s="1443">
        <v>200147003</v>
      </c>
      <c r="Z237" s="1443"/>
      <c r="AA237" s="20"/>
      <c r="AE237" s="3"/>
      <c r="AF237" s="930"/>
      <c r="AI237" s="39"/>
      <c r="AJ237" s="39"/>
      <c r="AK237" s="39"/>
      <c r="AL237" s="51">
        <f>AD$236*AH237+SUM(AI237:AK237)</f>
        <v>0</v>
      </c>
      <c r="AM237" s="3" t="s">
        <v>92</v>
      </c>
      <c r="AN237" s="3" t="s">
        <v>371</v>
      </c>
      <c r="AO237" s="3" t="s">
        <v>92</v>
      </c>
      <c r="AP237" s="3" t="s">
        <v>92</v>
      </c>
      <c r="AQ237" s="1414" t="s">
        <v>92</v>
      </c>
    </row>
    <row r="238" spans="1:44" ht="15" customHeight="1" x14ac:dyDescent="0.4">
      <c r="B238" s="36"/>
      <c r="C238" s="36"/>
      <c r="D238" s="155"/>
      <c r="E238" s="155"/>
      <c r="F238" s="155"/>
      <c r="G238" s="7"/>
      <c r="H238" s="20"/>
      <c r="P238" s="24"/>
      <c r="Q238" s="24"/>
      <c r="U238" s="20"/>
      <c r="V238" s="38" t="s">
        <v>369</v>
      </c>
      <c r="W238" s="3" t="s">
        <v>372</v>
      </c>
      <c r="X238" s="38" t="s">
        <v>369</v>
      </c>
      <c r="Y238" s="1563">
        <v>200147021</v>
      </c>
      <c r="Z238" s="1443"/>
      <c r="AA238" s="20"/>
      <c r="AE238" s="3"/>
      <c r="AI238" s="39"/>
      <c r="AJ238" s="39"/>
      <c r="AK238" s="39"/>
      <c r="AL238" s="51">
        <f t="shared" ref="AL238:AL239" si="53">AD$236*AH238+SUM(AI238:AK238)</f>
        <v>0</v>
      </c>
      <c r="AM238" s="3" t="s">
        <v>92</v>
      </c>
      <c r="AN238" s="3" t="s">
        <v>371</v>
      </c>
      <c r="AO238" s="3" t="s">
        <v>92</v>
      </c>
      <c r="AP238" s="3" t="s">
        <v>92</v>
      </c>
      <c r="AQ238" s="1414" t="s">
        <v>92</v>
      </c>
    </row>
    <row r="239" spans="1:44" ht="15.75" customHeight="1" x14ac:dyDescent="0.4">
      <c r="B239" s="3"/>
      <c r="C239" s="36"/>
      <c r="D239" s="155"/>
      <c r="E239" s="155"/>
      <c r="F239" s="155"/>
      <c r="G239" s="7"/>
      <c r="H239" s="20"/>
      <c r="P239" s="24"/>
      <c r="Q239" s="24"/>
      <c r="U239" s="20"/>
      <c r="V239" s="38" t="s">
        <v>369</v>
      </c>
      <c r="W239" s="3" t="s">
        <v>373</v>
      </c>
      <c r="X239" s="38" t="s">
        <v>369</v>
      </c>
      <c r="Y239" s="1443">
        <v>200147033</v>
      </c>
      <c r="Z239" s="1443"/>
      <c r="AA239" s="20"/>
      <c r="AE239" s="3"/>
      <c r="AI239" s="39"/>
      <c r="AJ239" s="39"/>
      <c r="AK239" s="39"/>
      <c r="AL239" s="51">
        <f t="shared" si="53"/>
        <v>0</v>
      </c>
      <c r="AM239" s="3" t="s">
        <v>92</v>
      </c>
      <c r="AN239" s="3" t="s">
        <v>371</v>
      </c>
      <c r="AO239" s="3" t="s">
        <v>92</v>
      </c>
      <c r="AP239" s="3" t="s">
        <v>92</v>
      </c>
      <c r="AQ239" s="1414" t="s">
        <v>92</v>
      </c>
    </row>
    <row r="240" spans="1:44" ht="15.75" customHeight="1" x14ac:dyDescent="0.4">
      <c r="B240" s="3"/>
      <c r="C240" s="36"/>
      <c r="D240" s="155"/>
      <c r="E240" s="155"/>
      <c r="F240" s="155"/>
      <c r="G240" s="7"/>
      <c r="H240" s="20"/>
      <c r="P240" s="24"/>
      <c r="Q240" s="24"/>
      <c r="U240" s="20"/>
      <c r="V240" s="38" t="s">
        <v>2363</v>
      </c>
      <c r="W240" s="3" t="s">
        <v>370</v>
      </c>
      <c r="X240" s="38" t="s">
        <v>369</v>
      </c>
      <c r="Y240" s="1443">
        <v>200147127</v>
      </c>
      <c r="Z240" s="1443"/>
      <c r="AA240" s="20"/>
      <c r="AE240" s="3"/>
      <c r="AI240" s="39"/>
      <c r="AJ240" s="39"/>
      <c r="AK240" s="39"/>
      <c r="AM240" s="3" t="s">
        <v>92</v>
      </c>
      <c r="AN240" s="3" t="s">
        <v>371</v>
      </c>
      <c r="AO240" s="3" t="s">
        <v>92</v>
      </c>
      <c r="AP240" s="3" t="s">
        <v>92</v>
      </c>
      <c r="AQ240" s="1414" t="s">
        <v>92</v>
      </c>
    </row>
    <row r="241" spans="1:55" ht="15.75" customHeight="1" x14ac:dyDescent="0.4">
      <c r="B241" s="3"/>
      <c r="C241" s="36"/>
      <c r="D241" s="155"/>
      <c r="E241" s="155"/>
      <c r="F241" s="155"/>
      <c r="G241" s="7"/>
      <c r="H241" s="20"/>
      <c r="P241" s="24"/>
      <c r="Q241" s="24"/>
      <c r="U241" s="20"/>
      <c r="V241" s="38" t="s">
        <v>2365</v>
      </c>
      <c r="W241" s="3" t="s">
        <v>370</v>
      </c>
      <c r="X241" s="38" t="s">
        <v>369</v>
      </c>
      <c r="Y241" s="1443">
        <v>200147180</v>
      </c>
      <c r="Z241" s="1443"/>
      <c r="AA241" s="20"/>
      <c r="AE241" s="3"/>
      <c r="AI241" s="39"/>
      <c r="AJ241" s="39"/>
      <c r="AK241" s="39"/>
      <c r="AM241" s="3" t="s">
        <v>92</v>
      </c>
      <c r="AN241" s="3" t="s">
        <v>371</v>
      </c>
      <c r="AO241" s="3" t="s">
        <v>92</v>
      </c>
      <c r="AP241" s="3" t="s">
        <v>92</v>
      </c>
      <c r="AQ241" s="1414" t="s">
        <v>92</v>
      </c>
    </row>
    <row r="242" spans="1:55" ht="15.75" customHeight="1" thickBot="1" x14ac:dyDescent="0.45">
      <c r="B242" s="3"/>
      <c r="C242" s="943"/>
      <c r="D242" s="1037" t="s">
        <v>2353</v>
      </c>
      <c r="E242" s="1038"/>
      <c r="F242" s="1038"/>
      <c r="G242" s="1039"/>
      <c r="H242" s="1040"/>
      <c r="I242" s="710" t="s">
        <v>365</v>
      </c>
      <c r="J242" s="710"/>
      <c r="K242" s="710"/>
      <c r="L242" s="710"/>
      <c r="M242" s="1041"/>
      <c r="N242" s="1041"/>
      <c r="O242" s="1041"/>
      <c r="P242" s="1042"/>
      <c r="Q242" s="1042"/>
      <c r="R242" s="710" t="s">
        <v>352</v>
      </c>
      <c r="S242" s="1041">
        <f>FWHeight</f>
        <v>47.5</v>
      </c>
      <c r="T242" s="710" t="s">
        <v>366</v>
      </c>
      <c r="U242" s="1040"/>
      <c r="V242" s="1043" t="s">
        <v>369</v>
      </c>
      <c r="W242" s="710" t="s">
        <v>370</v>
      </c>
      <c r="X242" s="1043" t="s">
        <v>369</v>
      </c>
      <c r="Y242" s="1846">
        <v>120074014938</v>
      </c>
      <c r="Z242" s="1608"/>
      <c r="AA242" s="1040"/>
      <c r="AB242" s="710"/>
      <c r="AC242" s="710">
        <v>2</v>
      </c>
      <c r="AD242" s="1041">
        <f>AC242*S242/12</f>
        <v>7.916666666666667</v>
      </c>
      <c r="AE242" s="710" t="s">
        <v>367</v>
      </c>
      <c r="AF242" s="1041"/>
      <c r="AG242" s="1041"/>
      <c r="AH242" s="1611">
        <v>8.77E-3</v>
      </c>
      <c r="AI242" s="1044"/>
      <c r="AJ242" s="1044"/>
      <c r="AK242" s="1044"/>
      <c r="AL242" s="1611">
        <f>AD$242*AH242+SUM(AI242:AK242)</f>
        <v>6.9429166666666667E-2</v>
      </c>
      <c r="AM242" s="710" t="s">
        <v>92</v>
      </c>
      <c r="AN242" s="710" t="s">
        <v>92</v>
      </c>
      <c r="AO242" s="710" t="s">
        <v>92</v>
      </c>
      <c r="AP242" s="710" t="s">
        <v>92</v>
      </c>
      <c r="AQ242" s="1880" t="s">
        <v>92</v>
      </c>
      <c r="AR242" s="710"/>
    </row>
    <row r="243" spans="1:55" ht="15" customHeight="1" x14ac:dyDescent="0.4">
      <c r="C243" s="7" t="s">
        <v>382</v>
      </c>
      <c r="D243" s="155"/>
      <c r="F243" s="155"/>
      <c r="G243" s="434" t="s">
        <v>383</v>
      </c>
      <c r="H243" s="20"/>
      <c r="I243" s="3" t="s">
        <v>365</v>
      </c>
      <c r="L243" s="3" t="s">
        <v>348</v>
      </c>
      <c r="M243" s="5">
        <v>3</v>
      </c>
      <c r="N243" s="5" t="s">
        <v>348</v>
      </c>
      <c r="O243" s="5">
        <f>0.25</f>
        <v>0.25</v>
      </c>
      <c r="P243" s="24"/>
      <c r="Q243" s="24"/>
      <c r="R243" s="3" t="s">
        <v>352</v>
      </c>
      <c r="S243" s="5">
        <f>FWHeight+M243+O243</f>
        <v>50.75</v>
      </c>
      <c r="T243" s="3" t="s">
        <v>366</v>
      </c>
      <c r="U243" s="20"/>
      <c r="V243" s="38"/>
      <c r="X243" s="38"/>
      <c r="Y243" s="1443"/>
      <c r="Z243" s="1443"/>
      <c r="AA243" s="20"/>
      <c r="AB243" s="3">
        <v>42</v>
      </c>
      <c r="AC243" s="3">
        <v>2</v>
      </c>
      <c r="AD243" s="5">
        <f>AC243*S243/12</f>
        <v>8.4583333333333339</v>
      </c>
      <c r="AE243" s="3" t="s">
        <v>367</v>
      </c>
      <c r="AF243" s="5">
        <v>0.08</v>
      </c>
      <c r="AG243" s="5">
        <f>AF243*AtolbperftFixed</f>
        <v>5.0784000000000003E-2</v>
      </c>
      <c r="AH243" s="955">
        <f>AG243*FWSingleCost</f>
        <v>7.6176000000000008E-2</v>
      </c>
      <c r="AM243" s="3" t="s">
        <v>92</v>
      </c>
      <c r="AN243" s="3" t="s">
        <v>371</v>
      </c>
      <c r="AO243" s="3" t="s">
        <v>92</v>
      </c>
      <c r="AP243" s="3" t="s">
        <v>92</v>
      </c>
      <c r="AQ243" s="1414" t="s">
        <v>92</v>
      </c>
    </row>
    <row r="244" spans="1:55" ht="15" customHeight="1" x14ac:dyDescent="0.4">
      <c r="B244" s="36"/>
      <c r="C244" s="36"/>
      <c r="D244" s="155"/>
      <c r="E244" s="155"/>
      <c r="F244" s="155"/>
      <c r="G244" s="7"/>
      <c r="H244" s="20"/>
      <c r="P244" s="24"/>
      <c r="Q244" s="24"/>
      <c r="U244" s="20"/>
      <c r="V244" s="38" t="s">
        <v>369</v>
      </c>
      <c r="W244" s="3" t="s">
        <v>370</v>
      </c>
      <c r="X244" s="38" t="s">
        <v>369</v>
      </c>
      <c r="Y244" s="1443">
        <v>200114003</v>
      </c>
      <c r="Z244" s="1443"/>
      <c r="AA244" s="20"/>
      <c r="AE244" s="3"/>
      <c r="AF244" s="930"/>
      <c r="AH244" s="51">
        <v>9.4100000000000003E-2</v>
      </c>
      <c r="AI244" s="39"/>
      <c r="AJ244" s="39"/>
      <c r="AK244" s="39"/>
      <c r="AL244" s="51">
        <f>AD$243*AH244+SUM(AI244:AK244)</f>
        <v>0.7959291666666668</v>
      </c>
      <c r="AM244" s="3" t="s">
        <v>92</v>
      </c>
      <c r="AN244" s="3" t="s">
        <v>371</v>
      </c>
      <c r="AO244" s="3" t="s">
        <v>92</v>
      </c>
      <c r="AP244" s="3" t="s">
        <v>92</v>
      </c>
      <c r="AQ244" s="1414" t="s">
        <v>92</v>
      </c>
    </row>
    <row r="245" spans="1:55" ht="15" customHeight="1" x14ac:dyDescent="0.4">
      <c r="B245" s="36"/>
      <c r="C245" s="36"/>
      <c r="D245" s="155"/>
      <c r="E245" s="155"/>
      <c r="F245" s="155"/>
      <c r="G245" s="7"/>
      <c r="H245" s="20"/>
      <c r="P245" s="24"/>
      <c r="Q245" s="24"/>
      <c r="U245" s="20"/>
      <c r="V245" s="38" t="s">
        <v>369</v>
      </c>
      <c r="W245" s="3" t="s">
        <v>372</v>
      </c>
      <c r="X245" s="38" t="s">
        <v>369</v>
      </c>
      <c r="Y245" s="1563">
        <v>200114021</v>
      </c>
      <c r="Z245" s="1443"/>
      <c r="AA245" s="20"/>
      <c r="AE245" s="3"/>
      <c r="AH245" s="51">
        <v>0.10440000000000001</v>
      </c>
      <c r="AI245" s="39"/>
      <c r="AJ245" s="39"/>
      <c r="AK245" s="39"/>
      <c r="AL245" s="51">
        <f t="shared" ref="AL245:AL248" si="54">AD$243*AH245+SUM(AI245:AK245)</f>
        <v>0.88305000000000011</v>
      </c>
      <c r="AM245" s="3" t="s">
        <v>92</v>
      </c>
      <c r="AN245" s="3" t="s">
        <v>371</v>
      </c>
      <c r="AO245" s="3" t="s">
        <v>92</v>
      </c>
      <c r="AP245" s="3" t="s">
        <v>92</v>
      </c>
      <c r="AQ245" s="1414" t="s">
        <v>92</v>
      </c>
    </row>
    <row r="246" spans="1:55" ht="15" customHeight="1" x14ac:dyDescent="0.4">
      <c r="B246" s="36"/>
      <c r="C246" s="36"/>
      <c r="D246" s="155"/>
      <c r="E246" s="155"/>
      <c r="F246" s="155"/>
      <c r="G246" s="7"/>
      <c r="H246" s="20"/>
      <c r="P246" s="24"/>
      <c r="Q246" s="24"/>
      <c r="U246" s="20"/>
      <c r="V246" s="38" t="s">
        <v>369</v>
      </c>
      <c r="W246" s="3" t="s">
        <v>373</v>
      </c>
      <c r="X246" s="38" t="s">
        <v>369</v>
      </c>
      <c r="Y246" s="1443">
        <v>200114033</v>
      </c>
      <c r="Z246" s="1443"/>
      <c r="AA246" s="20"/>
      <c r="AE246" s="3"/>
      <c r="AH246" s="51">
        <v>0.1123</v>
      </c>
      <c r="AI246" s="39"/>
      <c r="AJ246" s="39"/>
      <c r="AK246" s="39"/>
      <c r="AL246" s="51">
        <f t="shared" si="54"/>
        <v>0.94987083333333333</v>
      </c>
      <c r="AM246" s="3" t="s">
        <v>92</v>
      </c>
      <c r="AN246" s="3" t="s">
        <v>371</v>
      </c>
      <c r="AO246" s="3" t="s">
        <v>92</v>
      </c>
      <c r="AP246" s="3" t="s">
        <v>92</v>
      </c>
      <c r="AQ246" s="1414" t="s">
        <v>92</v>
      </c>
    </row>
    <row r="247" spans="1:55" ht="15" customHeight="1" x14ac:dyDescent="0.4">
      <c r="B247" s="36"/>
      <c r="C247" s="36"/>
      <c r="D247" s="155"/>
      <c r="E247" s="155"/>
      <c r="F247" s="155"/>
      <c r="G247" s="7"/>
      <c r="H247" s="20"/>
      <c r="P247" s="24"/>
      <c r="Q247" s="24"/>
      <c r="U247" s="20"/>
      <c r="V247" s="38" t="s">
        <v>369</v>
      </c>
      <c r="W247" s="3" t="s">
        <v>374</v>
      </c>
      <c r="X247" s="38" t="s">
        <v>369</v>
      </c>
      <c r="Y247" s="1443">
        <v>200114090</v>
      </c>
      <c r="Z247" s="1443"/>
      <c r="AA247" s="20"/>
      <c r="AE247" s="3"/>
      <c r="AH247" s="51">
        <v>0.26579999999999998</v>
      </c>
      <c r="AI247" s="39"/>
      <c r="AJ247" s="39"/>
      <c r="AK247" s="39"/>
      <c r="AL247" s="51">
        <f t="shared" si="54"/>
        <v>2.2482250000000001</v>
      </c>
      <c r="AM247" s="3" t="s">
        <v>92</v>
      </c>
      <c r="AN247" s="3" t="s">
        <v>371</v>
      </c>
      <c r="AO247" s="3" t="s">
        <v>92</v>
      </c>
      <c r="AP247" s="3" t="s">
        <v>92</v>
      </c>
      <c r="AQ247" s="1414" t="s">
        <v>92</v>
      </c>
    </row>
    <row r="248" spans="1:55" ht="15" customHeight="1" thickBot="1" x14ac:dyDescent="0.45">
      <c r="B248" s="36"/>
      <c r="C248" s="36"/>
      <c r="D248" s="155"/>
      <c r="E248" s="155"/>
      <c r="F248" s="155"/>
      <c r="G248" s="7"/>
      <c r="H248" s="20"/>
      <c r="P248" s="24"/>
      <c r="Q248" s="24"/>
      <c r="U248" s="20"/>
      <c r="V248" s="38" t="s">
        <v>369</v>
      </c>
      <c r="W248" s="3" t="s">
        <v>375</v>
      </c>
      <c r="X248" s="38" t="s">
        <v>369</v>
      </c>
      <c r="Y248" s="1443">
        <v>200114133</v>
      </c>
      <c r="Z248" s="1443"/>
      <c r="AA248" s="20"/>
      <c r="AE248" s="3"/>
      <c r="AH248" s="937">
        <v>0.28470000000000001</v>
      </c>
      <c r="AI248" s="39"/>
      <c r="AJ248" s="39"/>
      <c r="AK248" s="39"/>
      <c r="AL248" s="51">
        <f t="shared" si="54"/>
        <v>2.4080875000000002</v>
      </c>
      <c r="AM248" s="889" t="s">
        <v>92</v>
      </c>
      <c r="AN248" s="889" t="s">
        <v>371</v>
      </c>
      <c r="AO248" s="889" t="s">
        <v>92</v>
      </c>
      <c r="AP248" s="889" t="s">
        <v>92</v>
      </c>
      <c r="AQ248" s="1590" t="s">
        <v>92</v>
      </c>
      <c r="AR248" s="889"/>
    </row>
    <row r="249" spans="1:55" ht="15" customHeight="1" x14ac:dyDescent="0.4">
      <c r="B249" s="3"/>
      <c r="C249" s="173" t="s">
        <v>435</v>
      </c>
      <c r="D249" s="181"/>
      <c r="E249" s="182"/>
      <c r="F249" s="182"/>
      <c r="G249" s="173"/>
      <c r="H249" s="175"/>
      <c r="I249" s="116"/>
      <c r="J249" s="116"/>
      <c r="K249" s="116"/>
      <c r="L249" s="116"/>
      <c r="M249" s="177"/>
      <c r="N249" s="177"/>
      <c r="O249" s="177"/>
      <c r="P249" s="178"/>
      <c r="Q249" s="178"/>
      <c r="R249" s="116"/>
      <c r="S249" s="198">
        <v>1</v>
      </c>
      <c r="T249" s="116" t="s">
        <v>385</v>
      </c>
      <c r="U249" s="175"/>
      <c r="V249" s="179"/>
      <c r="W249" s="116"/>
      <c r="X249" s="179"/>
      <c r="Y249" s="1449"/>
      <c r="Z249" s="1449"/>
      <c r="AA249" s="175"/>
      <c r="AB249" s="116">
        <v>42</v>
      </c>
      <c r="AC249" s="116">
        <v>2</v>
      </c>
      <c r="AD249" s="198">
        <f>AC249*S249</f>
        <v>2</v>
      </c>
      <c r="AE249" s="116" t="s">
        <v>385</v>
      </c>
      <c r="AF249" s="177">
        <v>0.126</v>
      </c>
      <c r="AG249" s="177">
        <f>AF249*AtolbperftFixed</f>
        <v>7.9984800000000009E-2</v>
      </c>
      <c r="AH249" s="935">
        <f>AG249*FWSingleCost</f>
        <v>0.11997720000000001</v>
      </c>
      <c r="AI249" s="185"/>
      <c r="AJ249" s="185"/>
      <c r="AK249" s="185"/>
      <c r="AL249" s="185"/>
      <c r="AM249" s="3" t="s">
        <v>92</v>
      </c>
      <c r="AN249" s="3" t="s">
        <v>81</v>
      </c>
      <c r="AO249" s="3" t="s">
        <v>92</v>
      </c>
      <c r="AP249" s="3" t="s">
        <v>92</v>
      </c>
      <c r="AQ249" s="1414" t="s">
        <v>92</v>
      </c>
      <c r="AY249" s="139"/>
      <c r="AZ249" s="139"/>
      <c r="BA249" s="139"/>
      <c r="BB249" s="139"/>
      <c r="BC249" s="139"/>
    </row>
    <row r="250" spans="1:55" ht="15" customHeight="1" x14ac:dyDescent="0.4">
      <c r="B250" s="36"/>
      <c r="C250" s="36"/>
      <c r="D250" s="155"/>
      <c r="E250" s="155"/>
      <c r="F250" s="155"/>
      <c r="G250" s="7"/>
      <c r="H250" s="20"/>
      <c r="P250" s="24"/>
      <c r="Q250" s="24"/>
      <c r="U250" s="20"/>
      <c r="V250" s="38" t="s">
        <v>369</v>
      </c>
      <c r="W250" s="3" t="s">
        <v>386</v>
      </c>
      <c r="X250" s="38" t="s">
        <v>369</v>
      </c>
      <c r="Y250" s="1443">
        <v>200161008</v>
      </c>
      <c r="Z250" s="1443"/>
      <c r="AA250" s="20"/>
      <c r="AE250" s="3"/>
      <c r="AF250" s="930"/>
      <c r="AH250" s="51">
        <v>5.8299999999999998E-2</v>
      </c>
      <c r="AI250" s="39"/>
      <c r="AJ250" s="39"/>
      <c r="AK250" s="39"/>
      <c r="AL250" s="51">
        <f>AD$249*AH250+SUM(AI250:AK250)</f>
        <v>0.1166</v>
      </c>
      <c r="AM250" s="3" t="s">
        <v>92</v>
      </c>
      <c r="AN250" s="3" t="s">
        <v>81</v>
      </c>
      <c r="AO250" s="3" t="s">
        <v>92</v>
      </c>
      <c r="AP250" s="3" t="s">
        <v>92</v>
      </c>
      <c r="AQ250" s="1414" t="s">
        <v>92</v>
      </c>
      <c r="AY250" s="139"/>
      <c r="AZ250" s="139"/>
      <c r="BA250" s="139"/>
      <c r="BB250" s="139"/>
      <c r="BC250" s="139"/>
    </row>
    <row r="251" spans="1:55" ht="15" customHeight="1" x14ac:dyDescent="0.4">
      <c r="B251" s="36"/>
      <c r="C251" s="36"/>
      <c r="D251" s="155"/>
      <c r="E251" s="155"/>
      <c r="F251" s="155"/>
      <c r="G251" s="7"/>
      <c r="H251" s="20"/>
      <c r="P251" s="24"/>
      <c r="Q251" s="24"/>
      <c r="U251" s="20"/>
      <c r="V251" s="571"/>
      <c r="W251" s="572"/>
      <c r="X251" s="571"/>
      <c r="Y251" s="1447"/>
      <c r="Z251" s="1447"/>
      <c r="AA251" s="20"/>
      <c r="AE251" s="3"/>
      <c r="AI251" s="39"/>
      <c r="AJ251" s="39"/>
      <c r="AK251" s="39"/>
      <c r="AM251" s="3" t="s">
        <v>92</v>
      </c>
      <c r="AN251" s="3" t="s">
        <v>371</v>
      </c>
      <c r="AO251" s="3" t="s">
        <v>92</v>
      </c>
      <c r="AP251" s="3" t="s">
        <v>92</v>
      </c>
      <c r="AQ251" s="1414" t="s">
        <v>92</v>
      </c>
      <c r="AY251" s="139"/>
      <c r="AZ251" s="139"/>
      <c r="BA251" s="139"/>
      <c r="BB251" s="139"/>
      <c r="BC251" s="139"/>
    </row>
    <row r="252" spans="1:55" ht="15" customHeight="1" thickBot="1" x14ac:dyDescent="0.45">
      <c r="B252" s="943"/>
      <c r="C252" s="943"/>
      <c r="D252" s="925"/>
      <c r="E252" s="925"/>
      <c r="F252" s="925"/>
      <c r="G252" s="924"/>
      <c r="H252" s="887"/>
      <c r="I252" s="889"/>
      <c r="J252" s="889"/>
      <c r="K252" s="889"/>
      <c r="L252" s="889"/>
      <c r="M252" s="945"/>
      <c r="N252" s="945"/>
      <c r="O252" s="945"/>
      <c r="P252" s="1020"/>
      <c r="Q252" s="1020"/>
      <c r="R252" s="889"/>
      <c r="S252" s="945"/>
      <c r="T252" s="889"/>
      <c r="U252" s="887"/>
      <c r="V252" s="1188"/>
      <c r="W252" s="1189"/>
      <c r="X252" s="1188"/>
      <c r="Y252" s="1448"/>
      <c r="Z252" s="1448"/>
      <c r="AA252" s="887"/>
      <c r="AB252" s="889"/>
      <c r="AC252" s="889"/>
      <c r="AD252" s="945"/>
      <c r="AE252" s="889"/>
      <c r="AF252" s="945"/>
      <c r="AG252" s="945"/>
      <c r="AH252" s="937"/>
      <c r="AI252" s="947"/>
      <c r="AJ252" s="947"/>
      <c r="AK252" s="947"/>
      <c r="AL252" s="937"/>
      <c r="AM252" s="889" t="s">
        <v>92</v>
      </c>
      <c r="AN252" s="889" t="s">
        <v>371</v>
      </c>
      <c r="AO252" s="889" t="s">
        <v>92</v>
      </c>
      <c r="AP252" s="889" t="s">
        <v>92</v>
      </c>
      <c r="AQ252" s="1590" t="s">
        <v>92</v>
      </c>
      <c r="AR252" s="889"/>
      <c r="AY252" s="139"/>
      <c r="AZ252" s="139"/>
      <c r="BA252" s="139"/>
      <c r="BB252" s="139"/>
      <c r="BC252" s="139"/>
    </row>
    <row r="253" spans="1:55" ht="15" customHeight="1" thickBot="1" x14ac:dyDescent="0.45">
      <c r="B253" s="173" t="s">
        <v>436</v>
      </c>
      <c r="C253" s="173"/>
      <c r="D253" s="116"/>
      <c r="E253" s="136"/>
      <c r="F253" s="174"/>
      <c r="G253" s="173"/>
      <c r="H253" s="175"/>
      <c r="I253" s="116"/>
      <c r="J253" s="116"/>
      <c r="K253" s="116"/>
      <c r="L253" s="116"/>
      <c r="M253" s="116"/>
      <c r="N253" s="177"/>
      <c r="O253" s="177"/>
      <c r="P253" s="177"/>
      <c r="Q253" s="177"/>
      <c r="R253" s="116"/>
      <c r="S253" s="177"/>
      <c r="T253" s="116"/>
      <c r="U253" s="175"/>
      <c r="V253" s="173"/>
      <c r="W253" s="173"/>
      <c r="X253" s="173"/>
      <c r="Y253" s="1449"/>
      <c r="Z253" s="1449"/>
      <c r="AA253" s="175"/>
      <c r="AB253" s="116"/>
      <c r="AC253" s="116"/>
      <c r="AD253" s="177"/>
      <c r="AE253" s="116"/>
      <c r="AF253" s="627"/>
      <c r="AG253" s="177"/>
      <c r="AH253" s="185"/>
      <c r="AI253" s="185"/>
      <c r="AJ253" s="185"/>
      <c r="AK253" s="185"/>
      <c r="AL253" s="185"/>
      <c r="AM253" s="889" t="s">
        <v>92</v>
      </c>
      <c r="AN253" s="889" t="s">
        <v>81</v>
      </c>
      <c r="AO253" s="889" t="s">
        <v>92</v>
      </c>
      <c r="AP253" s="889" t="s">
        <v>92</v>
      </c>
      <c r="AQ253" s="1590" t="s">
        <v>92</v>
      </c>
      <c r="AR253" s="889"/>
    </row>
    <row r="254" spans="1:55" ht="15" customHeight="1" x14ac:dyDescent="0.4">
      <c r="A254" s="3" t="s">
        <v>389</v>
      </c>
      <c r="B254" s="7"/>
      <c r="C254" s="173" t="s">
        <v>1147</v>
      </c>
      <c r="D254" s="116"/>
      <c r="E254" s="182"/>
      <c r="F254" s="174" t="s">
        <v>1143</v>
      </c>
      <c r="G254" s="173"/>
      <c r="H254" s="175"/>
      <c r="I254" s="116" t="s">
        <v>392</v>
      </c>
      <c r="J254" s="116"/>
      <c r="K254" s="116"/>
      <c r="L254" s="116" t="s">
        <v>348</v>
      </c>
      <c r="M254" s="177">
        <v>3</v>
      </c>
      <c r="N254" s="177" t="s">
        <v>348</v>
      </c>
      <c r="O254" s="177">
        <f>0.25</f>
        <v>0.25</v>
      </c>
      <c r="P254" s="177"/>
      <c r="Q254" s="177"/>
      <c r="R254" s="116" t="s">
        <v>352</v>
      </c>
      <c r="S254" s="177">
        <f>FWWidth+M254+O254</f>
        <v>50.75</v>
      </c>
      <c r="T254" s="116" t="s">
        <v>366</v>
      </c>
      <c r="U254" s="175"/>
      <c r="V254" s="179"/>
      <c r="W254" s="116"/>
      <c r="X254" s="179"/>
      <c r="Y254" s="1449"/>
      <c r="Z254" s="1449"/>
      <c r="AA254" s="175"/>
      <c r="AB254" s="116">
        <v>42</v>
      </c>
      <c r="AC254" s="116">
        <v>1</v>
      </c>
      <c r="AD254" s="177">
        <f>AC254*S254/12</f>
        <v>4.229166666666667</v>
      </c>
      <c r="AE254" s="116" t="s">
        <v>367</v>
      </c>
      <c r="AF254" s="627">
        <v>1.034</v>
      </c>
      <c r="AG254" s="177">
        <f>AF254*AtolbperftFixed</f>
        <v>0.65638320000000006</v>
      </c>
      <c r="AH254" s="935">
        <f>AG254*FWTwinCost</f>
        <v>0.65638320000000006</v>
      </c>
      <c r="AI254" s="185"/>
      <c r="AJ254" s="185"/>
      <c r="AK254" s="185"/>
      <c r="AL254" s="185"/>
      <c r="AM254" s="3" t="s">
        <v>92</v>
      </c>
      <c r="AN254" s="3" t="s">
        <v>81</v>
      </c>
      <c r="AO254" s="3" t="s">
        <v>92</v>
      </c>
      <c r="AP254" s="3" t="s">
        <v>92</v>
      </c>
      <c r="AQ254" s="1414" t="s">
        <v>92</v>
      </c>
    </row>
    <row r="255" spans="1:55" ht="15" customHeight="1" x14ac:dyDescent="0.4">
      <c r="B255" s="36"/>
      <c r="C255" s="155"/>
      <c r="D255" s="155"/>
      <c r="E255" s="155"/>
      <c r="F255" s="47" t="s">
        <v>1138</v>
      </c>
      <c r="G255" s="7"/>
      <c r="H255" s="20"/>
      <c r="I255" s="3" t="s">
        <v>392</v>
      </c>
      <c r="L255" s="3" t="s">
        <v>348</v>
      </c>
      <c r="M255" s="5">
        <v>0</v>
      </c>
      <c r="N255" s="5" t="s">
        <v>348</v>
      </c>
      <c r="O255" s="5">
        <f>0.25</f>
        <v>0.25</v>
      </c>
      <c r="P255" s="24"/>
      <c r="Q255" s="24"/>
      <c r="R255" s="3" t="s">
        <v>352</v>
      </c>
      <c r="S255" s="5">
        <f>FWWidth+M255+O255</f>
        <v>47.75</v>
      </c>
      <c r="T255" s="3" t="s">
        <v>366</v>
      </c>
      <c r="U255" s="20"/>
      <c r="V255" s="38" t="s">
        <v>369</v>
      </c>
      <c r="W255" s="3" t="s">
        <v>370</v>
      </c>
      <c r="X255" s="38" t="s">
        <v>369</v>
      </c>
      <c r="Y255" s="1443">
        <v>200446003</v>
      </c>
      <c r="Z255" s="1443"/>
      <c r="AA255" s="20"/>
      <c r="AE255" s="3"/>
      <c r="AF255" s="930"/>
      <c r="AH255" s="51">
        <v>0.65849999999999997</v>
      </c>
      <c r="AI255" s="39"/>
      <c r="AJ255" s="39"/>
      <c r="AK255" s="39"/>
      <c r="AL255" s="51">
        <f>AD$254*AH255+SUM(AI255:AK255)</f>
        <v>2.7849062500000001</v>
      </c>
      <c r="AM255" s="3" t="s">
        <v>92</v>
      </c>
      <c r="AN255" s="3" t="s">
        <v>81</v>
      </c>
      <c r="AO255" s="3" t="s">
        <v>92</v>
      </c>
      <c r="AP255" s="3" t="s">
        <v>92</v>
      </c>
      <c r="AQ255" s="1414" t="s">
        <v>92</v>
      </c>
    </row>
    <row r="256" spans="1:55" ht="15" customHeight="1" x14ac:dyDescent="0.4">
      <c r="B256" s="36"/>
      <c r="C256" s="155"/>
      <c r="D256" s="155"/>
      <c r="E256" s="155"/>
      <c r="F256" s="155"/>
      <c r="G256" s="7"/>
      <c r="H256" s="20"/>
      <c r="U256" s="20"/>
      <c r="V256" s="38" t="s">
        <v>369</v>
      </c>
      <c r="W256" s="3" t="s">
        <v>372</v>
      </c>
      <c r="X256" s="38" t="s">
        <v>369</v>
      </c>
      <c r="Y256" s="1563">
        <v>200446021</v>
      </c>
      <c r="Z256" s="1443"/>
      <c r="AA256" s="20"/>
      <c r="AE256" s="3"/>
      <c r="AF256" s="930"/>
      <c r="AH256" s="51">
        <v>0.70189999999999997</v>
      </c>
      <c r="AI256" s="39"/>
      <c r="AJ256" s="39"/>
      <c r="AK256" s="39"/>
      <c r="AL256" s="51">
        <f t="shared" ref="AL256:AL257" si="55">AD$254*AH256+SUM(AI256:AK256)</f>
        <v>2.9684520833333332</v>
      </c>
      <c r="AM256" s="3" t="s">
        <v>92</v>
      </c>
      <c r="AN256" s="3" t="s">
        <v>371</v>
      </c>
      <c r="AO256" s="3" t="s">
        <v>92</v>
      </c>
      <c r="AP256" s="3" t="s">
        <v>92</v>
      </c>
      <c r="AQ256" s="1414" t="s">
        <v>92</v>
      </c>
    </row>
    <row r="257" spans="1:44" ht="15" customHeight="1" x14ac:dyDescent="0.4">
      <c r="B257" s="3"/>
      <c r="C257" s="36"/>
      <c r="D257" s="155"/>
      <c r="E257" s="155"/>
      <c r="F257" s="155"/>
      <c r="G257" s="7"/>
      <c r="H257" s="20"/>
      <c r="U257" s="20"/>
      <c r="V257" s="38" t="s">
        <v>369</v>
      </c>
      <c r="W257" s="3" t="s">
        <v>373</v>
      </c>
      <c r="X257" s="38" t="s">
        <v>369</v>
      </c>
      <c r="Y257" s="1443">
        <v>200446033</v>
      </c>
      <c r="Z257" s="1443"/>
      <c r="AA257" s="20"/>
      <c r="AE257" s="3"/>
      <c r="AF257" s="930"/>
      <c r="AH257" s="51">
        <v>0.75409999999999999</v>
      </c>
      <c r="AI257" s="39"/>
      <c r="AJ257" s="39"/>
      <c r="AK257" s="39"/>
      <c r="AL257" s="51">
        <f t="shared" si="55"/>
        <v>3.1892145833333334</v>
      </c>
      <c r="AM257" s="3" t="s">
        <v>92</v>
      </c>
      <c r="AN257" s="3" t="s">
        <v>371</v>
      </c>
      <c r="AO257" s="3" t="s">
        <v>92</v>
      </c>
      <c r="AP257" s="3" t="s">
        <v>92</v>
      </c>
      <c r="AQ257" s="1414" t="s">
        <v>92</v>
      </c>
    </row>
    <row r="258" spans="1:44" ht="15" customHeight="1" x14ac:dyDescent="0.4">
      <c r="B258" s="3"/>
      <c r="C258" s="36"/>
      <c r="D258" s="155"/>
      <c r="E258" s="155"/>
      <c r="F258" s="155"/>
      <c r="G258" s="7"/>
      <c r="H258" s="20"/>
      <c r="U258" s="20"/>
      <c r="V258" s="3" t="s">
        <v>2363</v>
      </c>
      <c r="W258" s="3" t="s">
        <v>370</v>
      </c>
      <c r="X258" s="38" t="s">
        <v>369</v>
      </c>
      <c r="Y258" s="1443">
        <v>200446127</v>
      </c>
      <c r="Z258" s="1443"/>
      <c r="AA258" s="20"/>
      <c r="AE258" s="3"/>
      <c r="AF258" s="930"/>
      <c r="AI258" s="39"/>
      <c r="AJ258" s="39"/>
      <c r="AK258" s="39"/>
      <c r="AM258" s="3" t="s">
        <v>92</v>
      </c>
      <c r="AN258" s="3" t="s">
        <v>371</v>
      </c>
      <c r="AO258" s="3" t="s">
        <v>92</v>
      </c>
      <c r="AP258" s="3" t="s">
        <v>92</v>
      </c>
      <c r="AQ258" s="1414" t="s">
        <v>92</v>
      </c>
    </row>
    <row r="259" spans="1:44" ht="15" customHeight="1" x14ac:dyDescent="0.4">
      <c r="B259" s="3"/>
      <c r="C259" s="36"/>
      <c r="D259" s="155"/>
      <c r="E259" s="155"/>
      <c r="F259" s="155"/>
      <c r="G259" s="7"/>
      <c r="H259" s="20"/>
      <c r="U259" s="20"/>
      <c r="V259" s="3" t="s">
        <v>2365</v>
      </c>
      <c r="W259" s="3" t="s">
        <v>370</v>
      </c>
      <c r="X259" s="38" t="s">
        <v>369</v>
      </c>
      <c r="Y259" s="1443">
        <v>200446180</v>
      </c>
      <c r="Z259" s="1443"/>
      <c r="AA259" s="20"/>
      <c r="AE259" s="3"/>
      <c r="AF259" s="930"/>
      <c r="AI259" s="39"/>
      <c r="AJ259" s="39"/>
      <c r="AK259" s="39"/>
      <c r="AM259" s="3" t="s">
        <v>92</v>
      </c>
      <c r="AN259" s="3" t="s">
        <v>371</v>
      </c>
      <c r="AO259" s="3" t="s">
        <v>92</v>
      </c>
      <c r="AP259" s="3" t="s">
        <v>92</v>
      </c>
      <c r="AQ259" s="1414" t="s">
        <v>92</v>
      </c>
    </row>
    <row r="260" spans="1:44" ht="15" customHeight="1" x14ac:dyDescent="0.4">
      <c r="B260" s="3"/>
      <c r="C260" s="36"/>
      <c r="D260" s="155"/>
      <c r="E260" s="155"/>
      <c r="F260" s="155"/>
      <c r="G260" s="7"/>
      <c r="H260" s="20"/>
      <c r="U260" s="20"/>
      <c r="V260" s="38"/>
      <c r="X260" s="38"/>
      <c r="Y260" s="1443"/>
      <c r="Z260" s="1443"/>
      <c r="AA260" s="20"/>
      <c r="AE260" s="3"/>
      <c r="AF260" s="930"/>
      <c r="AI260" s="39"/>
      <c r="AJ260" s="39"/>
      <c r="AK260" s="39"/>
      <c r="AQ260" s="1414"/>
    </row>
    <row r="261" spans="1:44" ht="15.75" customHeight="1" thickBot="1" x14ac:dyDescent="0.45">
      <c r="B261" s="3"/>
      <c r="C261" s="943"/>
      <c r="D261" s="1037" t="s">
        <v>2353</v>
      </c>
      <c r="E261" s="1038"/>
      <c r="F261" s="1038"/>
      <c r="G261" s="1039"/>
      <c r="H261" s="1040"/>
      <c r="I261" s="710" t="s">
        <v>392</v>
      </c>
      <c r="J261" s="710"/>
      <c r="K261" s="710"/>
      <c r="L261" s="710"/>
      <c r="M261" s="1041"/>
      <c r="N261" s="1041"/>
      <c r="O261" s="1041"/>
      <c r="P261" s="1042"/>
      <c r="Q261" s="1042"/>
      <c r="R261" s="710" t="s">
        <v>352</v>
      </c>
      <c r="S261" s="1041">
        <f>FWWidth</f>
        <v>47.5</v>
      </c>
      <c r="T261" s="710" t="s">
        <v>366</v>
      </c>
      <c r="U261" s="1040"/>
      <c r="V261" s="1043" t="s">
        <v>369</v>
      </c>
      <c r="W261" s="710" t="s">
        <v>370</v>
      </c>
      <c r="X261" s="1043" t="s">
        <v>369</v>
      </c>
      <c r="Y261" s="1846">
        <v>120074014938</v>
      </c>
      <c r="Z261" s="1608"/>
      <c r="AA261" s="1040"/>
      <c r="AB261" s="710"/>
      <c r="AC261" s="710">
        <v>1</v>
      </c>
      <c r="AD261" s="1041">
        <f>AC261*S261/12</f>
        <v>3.9583333333333335</v>
      </c>
      <c r="AE261" s="710" t="s">
        <v>367</v>
      </c>
      <c r="AF261" s="1041"/>
      <c r="AG261" s="1041"/>
      <c r="AH261" s="1611">
        <v>8.77E-3</v>
      </c>
      <c r="AI261" s="1044"/>
      <c r="AJ261" s="1044"/>
      <c r="AK261" s="1044"/>
      <c r="AL261" s="1611">
        <f>AD$261*AH261+SUM(AI261:AK261)</f>
        <v>3.4714583333333333E-2</v>
      </c>
      <c r="AM261" s="710" t="s">
        <v>92</v>
      </c>
      <c r="AN261" s="710" t="s">
        <v>92</v>
      </c>
      <c r="AO261" s="710" t="s">
        <v>92</v>
      </c>
      <c r="AP261" s="710" t="s">
        <v>92</v>
      </c>
      <c r="AQ261" s="1880" t="s">
        <v>92</v>
      </c>
      <c r="AR261" s="710"/>
    </row>
    <row r="262" spans="1:44" ht="15" customHeight="1" x14ac:dyDescent="0.4">
      <c r="A262" s="3" t="s">
        <v>389</v>
      </c>
      <c r="B262" s="3"/>
      <c r="C262" s="173" t="s">
        <v>1148</v>
      </c>
      <c r="D262" s="182"/>
      <c r="E262" s="182"/>
      <c r="F262" s="174" t="s">
        <v>1143</v>
      </c>
      <c r="G262" s="173"/>
      <c r="H262" s="175"/>
      <c r="I262" s="116" t="s">
        <v>392</v>
      </c>
      <c r="J262" s="116"/>
      <c r="K262" s="116"/>
      <c r="L262" s="116" t="s">
        <v>348</v>
      </c>
      <c r="M262" s="177">
        <v>3</v>
      </c>
      <c r="N262" s="177" t="s">
        <v>348</v>
      </c>
      <c r="O262" s="177">
        <f>0.25</f>
        <v>0.25</v>
      </c>
      <c r="P262" s="177"/>
      <c r="Q262" s="177"/>
      <c r="R262" s="116" t="s">
        <v>352</v>
      </c>
      <c r="S262" s="177">
        <f>FWWidth+M262+O262</f>
        <v>50.75</v>
      </c>
      <c r="T262" s="116" t="s">
        <v>366</v>
      </c>
      <c r="U262" s="175"/>
      <c r="V262" s="179"/>
      <c r="W262" s="116"/>
      <c r="X262" s="179"/>
      <c r="Y262" s="1449"/>
      <c r="Z262" s="1449"/>
      <c r="AA262" s="175"/>
      <c r="AB262" s="116">
        <v>42</v>
      </c>
      <c r="AC262" s="116">
        <v>1</v>
      </c>
      <c r="AD262" s="177">
        <f>AC262*S262/12</f>
        <v>4.229166666666667</v>
      </c>
      <c r="AE262" s="116" t="s">
        <v>367</v>
      </c>
      <c r="AF262" s="627">
        <f>AF254</f>
        <v>1.034</v>
      </c>
      <c r="AG262" s="177">
        <f>AF262*AtolbperftFixed</f>
        <v>0.65638320000000006</v>
      </c>
      <c r="AH262" s="935">
        <f>AG262*FWTwinCost</f>
        <v>0.65638320000000006</v>
      </c>
      <c r="AI262" s="185"/>
      <c r="AJ262" s="185"/>
      <c r="AK262" s="185"/>
      <c r="AL262" s="185"/>
      <c r="AM262" s="3" t="s">
        <v>92</v>
      </c>
      <c r="AN262" s="3" t="s">
        <v>371</v>
      </c>
      <c r="AO262" s="3" t="s">
        <v>92</v>
      </c>
      <c r="AP262" s="3" t="s">
        <v>92</v>
      </c>
      <c r="AQ262" s="1414" t="s">
        <v>92</v>
      </c>
    </row>
    <row r="263" spans="1:44" ht="15" customHeight="1" x14ac:dyDescent="0.4">
      <c r="B263" s="3"/>
      <c r="C263" s="36"/>
      <c r="D263" s="155"/>
      <c r="E263" s="155"/>
      <c r="F263" s="47" t="s">
        <v>1138</v>
      </c>
      <c r="G263" s="7"/>
      <c r="H263" s="20"/>
      <c r="I263" s="3" t="s">
        <v>392</v>
      </c>
      <c r="L263" s="3" t="s">
        <v>348</v>
      </c>
      <c r="M263" s="5">
        <v>0</v>
      </c>
      <c r="N263" s="5" t="s">
        <v>348</v>
      </c>
      <c r="O263" s="5">
        <f>0.25</f>
        <v>0.25</v>
      </c>
      <c r="P263" s="24"/>
      <c r="Q263" s="24"/>
      <c r="R263" s="3" t="s">
        <v>352</v>
      </c>
      <c r="S263" s="5">
        <f>FWWidth+M263+O263</f>
        <v>47.75</v>
      </c>
      <c r="T263" s="3" t="s">
        <v>366</v>
      </c>
      <c r="U263" s="20"/>
      <c r="V263" s="38" t="s">
        <v>369</v>
      </c>
      <c r="W263" s="3" t="s">
        <v>370</v>
      </c>
      <c r="X263" s="38" t="s">
        <v>369</v>
      </c>
      <c r="Y263" s="1443">
        <v>200447003</v>
      </c>
      <c r="Z263" s="1443"/>
      <c r="AA263" s="20"/>
      <c r="AE263" s="3"/>
      <c r="AF263" s="930"/>
      <c r="AH263" s="51">
        <f>AH255</f>
        <v>0.65849999999999997</v>
      </c>
      <c r="AI263" s="39"/>
      <c r="AJ263" s="39"/>
      <c r="AK263" s="39"/>
      <c r="AL263" s="51">
        <f>AD$262*AH263+SUM(AI263:AK263)</f>
        <v>2.7849062500000001</v>
      </c>
      <c r="AM263" s="3" t="s">
        <v>92</v>
      </c>
      <c r="AN263" s="3" t="s">
        <v>371</v>
      </c>
      <c r="AO263" s="3" t="s">
        <v>92</v>
      </c>
      <c r="AP263" s="3" t="s">
        <v>92</v>
      </c>
      <c r="AQ263" s="1414" t="s">
        <v>92</v>
      </c>
    </row>
    <row r="264" spans="1:44" ht="15" customHeight="1" x14ac:dyDescent="0.4">
      <c r="B264" s="3"/>
      <c r="C264" s="36"/>
      <c r="D264" s="155"/>
      <c r="E264" s="155"/>
      <c r="F264" s="155"/>
      <c r="G264" s="7"/>
      <c r="H264" s="20"/>
      <c r="U264" s="20"/>
      <c r="V264" s="38" t="s">
        <v>369</v>
      </c>
      <c r="W264" s="3" t="s">
        <v>372</v>
      </c>
      <c r="X264" s="38" t="s">
        <v>369</v>
      </c>
      <c r="Y264" s="1563">
        <v>200447021</v>
      </c>
      <c r="Z264" s="1443"/>
      <c r="AA264" s="20"/>
      <c r="AE264" s="3"/>
      <c r="AF264" s="930"/>
      <c r="AH264" s="51">
        <f>AH256</f>
        <v>0.70189999999999997</v>
      </c>
      <c r="AI264" s="39"/>
      <c r="AJ264" s="39"/>
      <c r="AK264" s="39"/>
      <c r="AL264" s="51">
        <f t="shared" ref="AL264:AL265" si="56">AD$262*AH264+SUM(AI264:AK264)</f>
        <v>2.9684520833333332</v>
      </c>
      <c r="AM264" s="3" t="s">
        <v>92</v>
      </c>
      <c r="AN264" s="3" t="s">
        <v>371</v>
      </c>
      <c r="AO264" s="3" t="s">
        <v>92</v>
      </c>
      <c r="AP264" s="3" t="s">
        <v>92</v>
      </c>
      <c r="AQ264" s="1414" t="s">
        <v>92</v>
      </c>
    </row>
    <row r="265" spans="1:44" ht="15" customHeight="1" x14ac:dyDescent="0.4">
      <c r="C265" s="155"/>
      <c r="D265" s="36"/>
      <c r="E265" s="155"/>
      <c r="F265" s="155"/>
      <c r="G265" s="7"/>
      <c r="H265" s="20"/>
      <c r="U265" s="20"/>
      <c r="V265" s="38" t="s">
        <v>369</v>
      </c>
      <c r="W265" s="3" t="s">
        <v>373</v>
      </c>
      <c r="X265" s="38" t="s">
        <v>369</v>
      </c>
      <c r="Y265" s="1443">
        <v>200447033</v>
      </c>
      <c r="Z265" s="1443"/>
      <c r="AA265" s="20"/>
      <c r="AE265" s="3"/>
      <c r="AF265" s="930"/>
      <c r="AH265" s="51">
        <f>AH257</f>
        <v>0.75409999999999999</v>
      </c>
      <c r="AI265" s="39"/>
      <c r="AJ265" s="39"/>
      <c r="AK265" s="39"/>
      <c r="AL265" s="51">
        <f t="shared" si="56"/>
        <v>3.1892145833333334</v>
      </c>
      <c r="AM265" s="3" t="s">
        <v>92</v>
      </c>
      <c r="AN265" s="3" t="s">
        <v>371</v>
      </c>
      <c r="AO265" s="3" t="s">
        <v>92</v>
      </c>
      <c r="AP265" s="3" t="s">
        <v>92</v>
      </c>
      <c r="AQ265" s="1414" t="s">
        <v>92</v>
      </c>
    </row>
    <row r="266" spans="1:44" ht="15" customHeight="1" x14ac:dyDescent="0.4">
      <c r="B266" s="3"/>
      <c r="C266" s="36"/>
      <c r="D266" s="155"/>
      <c r="E266" s="155"/>
      <c r="F266" s="155"/>
      <c r="G266" s="7"/>
      <c r="H266" s="20"/>
      <c r="U266" s="20"/>
      <c r="V266" s="3" t="s">
        <v>2363</v>
      </c>
      <c r="W266" s="3" t="s">
        <v>370</v>
      </c>
      <c r="X266" s="38" t="s">
        <v>369</v>
      </c>
      <c r="Y266" s="1443">
        <v>200447127</v>
      </c>
      <c r="Z266" s="1443"/>
      <c r="AA266" s="20"/>
      <c r="AE266" s="3"/>
      <c r="AF266" s="930"/>
      <c r="AI266" s="39"/>
      <c r="AJ266" s="39"/>
      <c r="AK266" s="39"/>
      <c r="AM266" s="3" t="s">
        <v>92</v>
      </c>
      <c r="AN266" s="3" t="s">
        <v>371</v>
      </c>
      <c r="AO266" s="3" t="s">
        <v>92</v>
      </c>
      <c r="AP266" s="3" t="s">
        <v>92</v>
      </c>
      <c r="AQ266" s="1414" t="s">
        <v>92</v>
      </c>
    </row>
    <row r="267" spans="1:44" ht="15" customHeight="1" x14ac:dyDescent="0.4">
      <c r="B267" s="3"/>
      <c r="C267" s="36"/>
      <c r="D267" s="155"/>
      <c r="E267" s="155"/>
      <c r="F267" s="155"/>
      <c r="G267" s="7"/>
      <c r="H267" s="20"/>
      <c r="U267" s="20"/>
      <c r="V267" s="3" t="s">
        <v>2365</v>
      </c>
      <c r="W267" s="3" t="s">
        <v>370</v>
      </c>
      <c r="X267" s="38" t="s">
        <v>369</v>
      </c>
      <c r="Y267" s="1443">
        <v>200447180</v>
      </c>
      <c r="Z267" s="1443"/>
      <c r="AA267" s="20"/>
      <c r="AE267" s="3"/>
      <c r="AF267" s="930"/>
      <c r="AI267" s="39"/>
      <c r="AJ267" s="39"/>
      <c r="AK267" s="39"/>
      <c r="AM267" s="3" t="s">
        <v>92</v>
      </c>
      <c r="AN267" s="3" t="s">
        <v>371</v>
      </c>
      <c r="AO267" s="3" t="s">
        <v>92</v>
      </c>
      <c r="AP267" s="3" t="s">
        <v>92</v>
      </c>
      <c r="AQ267" s="1414" t="s">
        <v>92</v>
      </c>
    </row>
    <row r="268" spans="1:44" ht="15.75" customHeight="1" thickBot="1" x14ac:dyDescent="0.45">
      <c r="B268" s="3"/>
      <c r="C268" s="943"/>
      <c r="D268" s="1037" t="s">
        <v>2353</v>
      </c>
      <c r="E268" s="1038"/>
      <c r="F268" s="1038"/>
      <c r="G268" s="1039"/>
      <c r="H268" s="1040"/>
      <c r="I268" s="710" t="s">
        <v>392</v>
      </c>
      <c r="J268" s="710"/>
      <c r="K268" s="710"/>
      <c r="L268" s="710"/>
      <c r="M268" s="1041"/>
      <c r="N268" s="1041"/>
      <c r="O268" s="1041"/>
      <c r="P268" s="1042"/>
      <c r="Q268" s="1042"/>
      <c r="R268" s="710" t="s">
        <v>352</v>
      </c>
      <c r="S268" s="1041">
        <f>FWWidth</f>
        <v>47.5</v>
      </c>
      <c r="T268" s="710" t="s">
        <v>366</v>
      </c>
      <c r="U268" s="1040"/>
      <c r="V268" s="1043" t="s">
        <v>369</v>
      </c>
      <c r="W268" s="710" t="s">
        <v>370</v>
      </c>
      <c r="X268" s="1043" t="s">
        <v>369</v>
      </c>
      <c r="Y268" s="1846">
        <v>120074014938</v>
      </c>
      <c r="Z268" s="1608"/>
      <c r="AA268" s="1040"/>
      <c r="AB268" s="710"/>
      <c r="AC268" s="710">
        <v>1</v>
      </c>
      <c r="AD268" s="1041">
        <f>AC268*S268/12</f>
        <v>3.9583333333333335</v>
      </c>
      <c r="AE268" s="710" t="s">
        <v>367</v>
      </c>
      <c r="AF268" s="1041"/>
      <c r="AG268" s="1041"/>
      <c r="AH268" s="1611">
        <v>8.77E-3</v>
      </c>
      <c r="AI268" s="1044"/>
      <c r="AJ268" s="1044"/>
      <c r="AK268" s="1044"/>
      <c r="AL268" s="1611">
        <f>AD$268*AH268+SUM(AI268:AK268)</f>
        <v>3.4714583333333333E-2</v>
      </c>
      <c r="AM268" s="710" t="s">
        <v>92</v>
      </c>
      <c r="AN268" s="710" t="s">
        <v>92</v>
      </c>
      <c r="AO268" s="710" t="s">
        <v>92</v>
      </c>
      <c r="AP268" s="710" t="s">
        <v>92</v>
      </c>
      <c r="AQ268" s="1880" t="s">
        <v>92</v>
      </c>
      <c r="AR268" s="710"/>
    </row>
    <row r="269" spans="1:44" ht="15.75" customHeight="1" x14ac:dyDescent="0.4">
      <c r="B269" s="36"/>
      <c r="C269" s="36" t="s">
        <v>441</v>
      </c>
      <c r="D269" s="155"/>
      <c r="E269" s="155"/>
      <c r="F269" s="47" t="s">
        <v>1143</v>
      </c>
      <c r="G269" s="7"/>
      <c r="H269" s="20"/>
      <c r="I269" s="3" t="s">
        <v>392</v>
      </c>
      <c r="L269" s="3" t="s">
        <v>348</v>
      </c>
      <c r="M269" s="5">
        <v>3</v>
      </c>
      <c r="N269" s="5" t="s">
        <v>348</v>
      </c>
      <c r="O269" s="5">
        <f>0.25</f>
        <v>0.25</v>
      </c>
      <c r="R269" s="3" t="s">
        <v>352</v>
      </c>
      <c r="S269" s="5">
        <f>FWWidth+M269+O269</f>
        <v>50.75</v>
      </c>
      <c r="T269" s="3" t="s">
        <v>366</v>
      </c>
      <c r="U269" s="20"/>
      <c r="V269" s="7"/>
      <c r="W269" s="7"/>
      <c r="X269" s="7"/>
      <c r="Y269" s="1443"/>
      <c r="Z269" s="1443"/>
      <c r="AA269" s="20"/>
      <c r="AB269" s="3">
        <v>42</v>
      </c>
      <c r="AC269" s="3">
        <v>1</v>
      </c>
      <c r="AD269" s="5">
        <f>AC269*S269/12</f>
        <v>4.229166666666667</v>
      </c>
      <c r="AE269" s="3" t="s">
        <v>367</v>
      </c>
      <c r="AF269" s="930">
        <f>AF254</f>
        <v>1.034</v>
      </c>
      <c r="AG269" s="5">
        <f>AF269*AtolbperftFixed</f>
        <v>0.65638320000000006</v>
      </c>
      <c r="AH269" s="955">
        <f>AG269*FWTwinCost</f>
        <v>0.65638320000000006</v>
      </c>
      <c r="AM269" s="3" t="s">
        <v>92</v>
      </c>
      <c r="AN269" s="3" t="s">
        <v>371</v>
      </c>
      <c r="AO269" s="3" t="s">
        <v>92</v>
      </c>
      <c r="AP269" s="3" t="s">
        <v>92</v>
      </c>
      <c r="AQ269" s="1414" t="s">
        <v>92</v>
      </c>
    </row>
    <row r="270" spans="1:44" ht="15.75" customHeight="1" x14ac:dyDescent="0.4">
      <c r="B270" s="36"/>
      <c r="C270" s="36"/>
      <c r="D270" s="155"/>
      <c r="E270" s="155"/>
      <c r="F270" s="47" t="s">
        <v>1138</v>
      </c>
      <c r="G270" s="7"/>
      <c r="H270" s="20"/>
      <c r="I270" s="3" t="s">
        <v>392</v>
      </c>
      <c r="L270" s="3" t="s">
        <v>348</v>
      </c>
      <c r="M270" s="5">
        <v>0</v>
      </c>
      <c r="N270" s="5" t="s">
        <v>348</v>
      </c>
      <c r="O270" s="5">
        <f>0.25</f>
        <v>0.25</v>
      </c>
      <c r="P270" s="24"/>
      <c r="Q270" s="24"/>
      <c r="R270" s="3" t="s">
        <v>352</v>
      </c>
      <c r="S270" s="5">
        <f>FWWidth+M270+O270</f>
        <v>47.75</v>
      </c>
      <c r="T270" s="3" t="s">
        <v>366</v>
      </c>
      <c r="U270" s="20"/>
      <c r="V270" s="38" t="s">
        <v>369</v>
      </c>
      <c r="W270" s="3" t="s">
        <v>370</v>
      </c>
      <c r="X270" s="38" t="s">
        <v>369</v>
      </c>
      <c r="Y270" s="1443">
        <v>207955003</v>
      </c>
      <c r="Z270" s="1443"/>
      <c r="AA270" s="20"/>
      <c r="AE270" s="3"/>
      <c r="AF270" s="930"/>
      <c r="AH270" s="51">
        <f>AH255</f>
        <v>0.65849999999999997</v>
      </c>
      <c r="AI270" s="39"/>
      <c r="AJ270" s="39"/>
      <c r="AK270" s="39"/>
      <c r="AL270" s="51">
        <f>AD$269*AH270+SUM(AI270:AK270)</f>
        <v>2.7849062500000001</v>
      </c>
      <c r="AM270" s="3" t="s">
        <v>92</v>
      </c>
      <c r="AN270" s="3" t="s">
        <v>371</v>
      </c>
      <c r="AO270" s="3" t="s">
        <v>92</v>
      </c>
      <c r="AP270" s="3" t="s">
        <v>92</v>
      </c>
      <c r="AQ270" s="1414" t="s">
        <v>92</v>
      </c>
    </row>
    <row r="271" spans="1:44" ht="15.75" customHeight="1" x14ac:dyDescent="0.4">
      <c r="B271" s="36"/>
      <c r="C271" s="36"/>
      <c r="D271" s="155"/>
      <c r="E271" s="155"/>
      <c r="F271" s="155"/>
      <c r="G271" s="7"/>
      <c r="H271" s="20"/>
      <c r="P271" s="24"/>
      <c r="Q271" s="24"/>
      <c r="U271" s="20"/>
      <c r="V271" s="38" t="s">
        <v>369</v>
      </c>
      <c r="W271" s="3" t="s">
        <v>372</v>
      </c>
      <c r="X271" s="38" t="s">
        <v>369</v>
      </c>
      <c r="Y271" s="1563">
        <v>207955021</v>
      </c>
      <c r="Z271" s="1443"/>
      <c r="AA271" s="20"/>
      <c r="AE271" s="3"/>
      <c r="AH271" s="51">
        <f>AH256</f>
        <v>0.70189999999999997</v>
      </c>
      <c r="AI271" s="39"/>
      <c r="AJ271" s="39"/>
      <c r="AK271" s="39"/>
      <c r="AL271" s="51">
        <f t="shared" ref="AL271:AL272" si="57">AD$269*AH271+SUM(AI271:AK271)</f>
        <v>2.9684520833333332</v>
      </c>
      <c r="AM271" s="3" t="s">
        <v>92</v>
      </c>
      <c r="AN271" s="3" t="s">
        <v>371</v>
      </c>
      <c r="AO271" s="3" t="s">
        <v>92</v>
      </c>
      <c r="AP271" s="3" t="s">
        <v>92</v>
      </c>
      <c r="AQ271" s="1414" t="s">
        <v>92</v>
      </c>
    </row>
    <row r="272" spans="1:44" ht="15.75" customHeight="1" x14ac:dyDescent="0.4">
      <c r="B272" s="36"/>
      <c r="C272" s="36"/>
      <c r="D272" s="155"/>
      <c r="E272" s="155"/>
      <c r="F272" s="155"/>
      <c r="G272" s="7"/>
      <c r="H272" s="20"/>
      <c r="P272" s="24"/>
      <c r="Q272" s="24"/>
      <c r="U272" s="20"/>
      <c r="V272" s="38" t="s">
        <v>369</v>
      </c>
      <c r="W272" s="3" t="s">
        <v>373</v>
      </c>
      <c r="X272" s="38" t="s">
        <v>369</v>
      </c>
      <c r="Y272" s="1443">
        <v>207955033</v>
      </c>
      <c r="Z272" s="1443"/>
      <c r="AA272" s="20"/>
      <c r="AE272" s="3"/>
      <c r="AH272" s="51">
        <f>AH257</f>
        <v>0.75409999999999999</v>
      </c>
      <c r="AI272" s="39"/>
      <c r="AJ272" s="39"/>
      <c r="AK272" s="39"/>
      <c r="AL272" s="51">
        <f t="shared" si="57"/>
        <v>3.1892145833333334</v>
      </c>
      <c r="AM272" s="3" t="s">
        <v>92</v>
      </c>
      <c r="AN272" s="3" t="s">
        <v>371</v>
      </c>
      <c r="AO272" s="3" t="s">
        <v>92</v>
      </c>
      <c r="AP272" s="3" t="s">
        <v>92</v>
      </c>
      <c r="AQ272" s="1414" t="s">
        <v>92</v>
      </c>
    </row>
    <row r="273" spans="1:44" ht="15" customHeight="1" x14ac:dyDescent="0.4">
      <c r="B273" s="3"/>
      <c r="C273" s="36"/>
      <c r="D273" s="155"/>
      <c r="E273" s="155"/>
      <c r="F273" s="155"/>
      <c r="G273" s="7"/>
      <c r="H273" s="20"/>
      <c r="U273" s="20"/>
      <c r="V273" s="3" t="s">
        <v>2363</v>
      </c>
      <c r="W273" s="3" t="s">
        <v>370</v>
      </c>
      <c r="X273" s="38" t="s">
        <v>369</v>
      </c>
      <c r="Y273" s="1443">
        <v>207955127</v>
      </c>
      <c r="Z273" s="1443"/>
      <c r="AA273" s="20"/>
      <c r="AE273" s="3"/>
      <c r="AF273" s="930"/>
      <c r="AI273" s="39"/>
      <c r="AJ273" s="39"/>
      <c r="AK273" s="39"/>
      <c r="AM273" s="3" t="s">
        <v>92</v>
      </c>
      <c r="AN273" s="3" t="s">
        <v>371</v>
      </c>
      <c r="AO273" s="3" t="s">
        <v>92</v>
      </c>
      <c r="AP273" s="3" t="s">
        <v>92</v>
      </c>
      <c r="AQ273" s="1414" t="s">
        <v>92</v>
      </c>
    </row>
    <row r="274" spans="1:44" ht="15" customHeight="1" thickBot="1" x14ac:dyDescent="0.45">
      <c r="B274" s="3"/>
      <c r="C274" s="36"/>
      <c r="D274" s="155"/>
      <c r="E274" s="155"/>
      <c r="F274" s="155"/>
      <c r="G274" s="7"/>
      <c r="H274" s="20"/>
      <c r="U274" s="20"/>
      <c r="V274" s="3" t="s">
        <v>2365</v>
      </c>
      <c r="W274" s="3" t="s">
        <v>370</v>
      </c>
      <c r="X274" s="38" t="s">
        <v>369</v>
      </c>
      <c r="Y274" s="1443">
        <v>207955180</v>
      </c>
      <c r="Z274" s="1443"/>
      <c r="AA274" s="20"/>
      <c r="AE274" s="3"/>
      <c r="AF274" s="930"/>
      <c r="AI274" s="39"/>
      <c r="AJ274" s="39"/>
      <c r="AK274" s="39"/>
      <c r="AM274" s="889" t="s">
        <v>92</v>
      </c>
      <c r="AN274" s="889" t="s">
        <v>371</v>
      </c>
      <c r="AO274" s="889" t="s">
        <v>92</v>
      </c>
      <c r="AP274" s="889" t="s">
        <v>92</v>
      </c>
      <c r="AQ274" s="1590" t="s">
        <v>92</v>
      </c>
      <c r="AR274" s="889"/>
    </row>
    <row r="275" spans="1:44" ht="15" customHeight="1" x14ac:dyDescent="0.4">
      <c r="A275" s="3" t="s">
        <v>389</v>
      </c>
      <c r="B275" s="173"/>
      <c r="C275" s="173" t="s">
        <v>1149</v>
      </c>
      <c r="D275" s="116"/>
      <c r="E275" s="138"/>
      <c r="F275" s="174"/>
      <c r="G275" s="173"/>
      <c r="H275" s="175"/>
      <c r="I275" s="114" t="s">
        <v>1139</v>
      </c>
      <c r="J275" s="116"/>
      <c r="K275" s="116"/>
      <c r="L275" s="116"/>
      <c r="M275" s="177"/>
      <c r="N275" s="177"/>
      <c r="O275" s="177"/>
      <c r="P275" s="177"/>
      <c r="Q275" s="177"/>
      <c r="R275" s="116"/>
      <c r="S275" s="177"/>
      <c r="T275" s="116"/>
      <c r="U275" s="175"/>
      <c r="V275" s="173"/>
      <c r="W275" s="173"/>
      <c r="X275" s="173"/>
      <c r="Y275" s="1449"/>
      <c r="Z275" s="1449"/>
      <c r="AA275" s="175"/>
      <c r="AB275" s="116">
        <v>42</v>
      </c>
      <c r="AC275" s="116">
        <v>1</v>
      </c>
      <c r="AD275" s="177">
        <f>AC275*S275/12</f>
        <v>0</v>
      </c>
      <c r="AE275" s="116" t="s">
        <v>367</v>
      </c>
      <c r="AF275" s="627">
        <f>AF229</f>
        <v>1.36</v>
      </c>
      <c r="AG275" s="177">
        <f>AF275*AtolbperftFixed</f>
        <v>0.8633280000000001</v>
      </c>
      <c r="AH275" s="935">
        <f>AG275*FWTwinCost</f>
        <v>0.8633280000000001</v>
      </c>
      <c r="AI275" s="185"/>
      <c r="AJ275" s="185"/>
      <c r="AK275" s="185"/>
      <c r="AL275" s="185"/>
      <c r="AM275" s="3" t="s">
        <v>92</v>
      </c>
      <c r="AN275" s="3" t="s">
        <v>371</v>
      </c>
      <c r="AO275" s="3" t="s">
        <v>92</v>
      </c>
      <c r="AP275" s="3" t="s">
        <v>92</v>
      </c>
      <c r="AQ275" s="1414" t="s">
        <v>92</v>
      </c>
    </row>
    <row r="276" spans="1:44" ht="15" customHeight="1" x14ac:dyDescent="0.4">
      <c r="B276" s="36"/>
      <c r="C276" s="36"/>
      <c r="D276" s="155"/>
      <c r="E276" s="47"/>
      <c r="F276" s="47"/>
      <c r="G276" s="7"/>
      <c r="H276" s="20"/>
      <c r="U276" s="20"/>
      <c r="V276" s="38" t="s">
        <v>369</v>
      </c>
      <c r="W276" s="3" t="s">
        <v>370</v>
      </c>
      <c r="X276" s="38" t="s">
        <v>369</v>
      </c>
      <c r="Y276" s="1443">
        <v>200148003</v>
      </c>
      <c r="Z276" s="1443"/>
      <c r="AA276" s="20"/>
      <c r="AE276" s="3"/>
      <c r="AF276" s="930"/>
      <c r="AH276" s="51">
        <f>AH230</f>
        <v>0</v>
      </c>
      <c r="AI276" s="39"/>
      <c r="AJ276" s="39"/>
      <c r="AK276" s="39"/>
      <c r="AL276" s="51">
        <f>AD$275*AH276+SUM(AI276:AK276)</f>
        <v>0</v>
      </c>
      <c r="AM276" s="3" t="s">
        <v>92</v>
      </c>
      <c r="AN276" s="3" t="s">
        <v>371</v>
      </c>
      <c r="AO276" s="3" t="s">
        <v>92</v>
      </c>
      <c r="AP276" s="3" t="s">
        <v>92</v>
      </c>
      <c r="AQ276" s="1414" t="s">
        <v>92</v>
      </c>
    </row>
    <row r="277" spans="1:44" ht="15" customHeight="1" x14ac:dyDescent="0.4">
      <c r="B277" s="36"/>
      <c r="C277" s="36"/>
      <c r="D277" s="155"/>
      <c r="E277" s="155"/>
      <c r="F277" s="155"/>
      <c r="G277" s="7"/>
      <c r="H277" s="20"/>
      <c r="P277" s="24"/>
      <c r="Q277" s="24"/>
      <c r="U277" s="20"/>
      <c r="V277" s="38" t="s">
        <v>369</v>
      </c>
      <c r="W277" s="3" t="s">
        <v>372</v>
      </c>
      <c r="X277" s="38" t="s">
        <v>369</v>
      </c>
      <c r="Y277" s="1563">
        <v>200148021</v>
      </c>
      <c r="Z277" s="1443"/>
      <c r="AA277" s="20"/>
      <c r="AE277" s="3"/>
      <c r="AH277" s="51">
        <f>AH231</f>
        <v>0</v>
      </c>
      <c r="AI277" s="39"/>
      <c r="AJ277" s="39"/>
      <c r="AK277" s="39"/>
      <c r="AL277" s="51">
        <f t="shared" ref="AL277:AL278" si="58">AD$275*AH277+SUM(AI277:AK277)</f>
        <v>0</v>
      </c>
      <c r="AM277" s="3" t="s">
        <v>92</v>
      </c>
      <c r="AN277" s="3" t="s">
        <v>371</v>
      </c>
      <c r="AO277" s="3" t="s">
        <v>92</v>
      </c>
      <c r="AP277" s="3" t="s">
        <v>92</v>
      </c>
      <c r="AQ277" s="1414" t="s">
        <v>92</v>
      </c>
    </row>
    <row r="278" spans="1:44" ht="15.75" customHeight="1" x14ac:dyDescent="0.4">
      <c r="B278" s="3"/>
      <c r="C278" s="36"/>
      <c r="D278" s="155"/>
      <c r="E278" s="155"/>
      <c r="F278" s="155"/>
      <c r="G278" s="7"/>
      <c r="H278" s="20"/>
      <c r="P278" s="24"/>
      <c r="Q278" s="24"/>
      <c r="U278" s="20"/>
      <c r="V278" s="38" t="s">
        <v>369</v>
      </c>
      <c r="W278" s="3" t="s">
        <v>373</v>
      </c>
      <c r="X278" s="38" t="s">
        <v>369</v>
      </c>
      <c r="Y278" s="1443">
        <v>200148033</v>
      </c>
      <c r="Z278" s="1443"/>
      <c r="AA278" s="20"/>
      <c r="AE278" s="3"/>
      <c r="AH278" s="51">
        <f>AH232</f>
        <v>0</v>
      </c>
      <c r="AI278" s="39"/>
      <c r="AJ278" s="39"/>
      <c r="AK278" s="39"/>
      <c r="AL278" s="51">
        <f t="shared" si="58"/>
        <v>0</v>
      </c>
      <c r="AM278" s="3" t="s">
        <v>92</v>
      </c>
      <c r="AN278" s="3" t="s">
        <v>371</v>
      </c>
      <c r="AO278" s="3" t="s">
        <v>92</v>
      </c>
      <c r="AP278" s="3" t="s">
        <v>92</v>
      </c>
      <c r="AQ278" s="1414" t="s">
        <v>92</v>
      </c>
    </row>
    <row r="279" spans="1:44" ht="15.75" customHeight="1" x14ac:dyDescent="0.4">
      <c r="B279" s="3"/>
      <c r="C279" s="36"/>
      <c r="D279" s="155"/>
      <c r="E279" s="155"/>
      <c r="F279" s="155"/>
      <c r="G279" s="7"/>
      <c r="H279" s="20"/>
      <c r="P279" s="24"/>
      <c r="Q279" s="24"/>
      <c r="U279" s="20"/>
      <c r="V279" s="38" t="s">
        <v>2363</v>
      </c>
      <c r="W279" s="3" t="s">
        <v>370</v>
      </c>
      <c r="X279" s="38" t="s">
        <v>369</v>
      </c>
      <c r="Y279" s="1443">
        <v>200148127</v>
      </c>
      <c r="Z279" s="1443"/>
      <c r="AA279" s="20"/>
      <c r="AE279" s="3"/>
      <c r="AI279" s="39"/>
      <c r="AJ279" s="39"/>
      <c r="AK279" s="39"/>
      <c r="AM279" s="3" t="s">
        <v>92</v>
      </c>
      <c r="AN279" s="3" t="s">
        <v>371</v>
      </c>
      <c r="AO279" s="3" t="s">
        <v>92</v>
      </c>
      <c r="AP279" s="3" t="s">
        <v>92</v>
      </c>
      <c r="AQ279" s="1414" t="s">
        <v>92</v>
      </c>
    </row>
    <row r="280" spans="1:44" ht="15.75" customHeight="1" x14ac:dyDescent="0.4">
      <c r="B280" s="3"/>
      <c r="C280" s="36"/>
      <c r="D280" s="155"/>
      <c r="E280" s="155"/>
      <c r="F280" s="155"/>
      <c r="G280" s="7"/>
      <c r="H280" s="20"/>
      <c r="P280" s="24"/>
      <c r="Q280" s="24"/>
      <c r="U280" s="20"/>
      <c r="V280" s="38" t="s">
        <v>2365</v>
      </c>
      <c r="W280" s="3" t="s">
        <v>370</v>
      </c>
      <c r="X280" s="38" t="s">
        <v>369</v>
      </c>
      <c r="Y280" s="1443">
        <v>200148180</v>
      </c>
      <c r="Z280" s="1443"/>
      <c r="AA280" s="20"/>
      <c r="AE280" s="3"/>
      <c r="AI280" s="39"/>
      <c r="AJ280" s="39"/>
      <c r="AK280" s="39"/>
      <c r="AM280" s="3" t="s">
        <v>92</v>
      </c>
      <c r="AN280" s="3" t="s">
        <v>371</v>
      </c>
      <c r="AO280" s="3" t="s">
        <v>92</v>
      </c>
      <c r="AP280" s="3" t="s">
        <v>92</v>
      </c>
      <c r="AQ280" s="1414" t="s">
        <v>92</v>
      </c>
    </row>
    <row r="281" spans="1:44" ht="15.75" customHeight="1" thickBot="1" x14ac:dyDescent="0.45">
      <c r="B281" s="3"/>
      <c r="C281" s="943"/>
      <c r="D281" s="1037" t="s">
        <v>2353</v>
      </c>
      <c r="E281" s="1038"/>
      <c r="F281" s="1038"/>
      <c r="G281" s="1039"/>
      <c r="H281" s="1040"/>
      <c r="I281" s="710" t="s">
        <v>392</v>
      </c>
      <c r="J281" s="710"/>
      <c r="K281" s="710"/>
      <c r="L281" s="710"/>
      <c r="M281" s="1041"/>
      <c r="N281" s="1041"/>
      <c r="O281" s="1041"/>
      <c r="P281" s="1042"/>
      <c r="Q281" s="1042"/>
      <c r="R281" s="710" t="s">
        <v>352</v>
      </c>
      <c r="S281" s="1041">
        <f>FWWidth</f>
        <v>47.5</v>
      </c>
      <c r="T281" s="710" t="s">
        <v>366</v>
      </c>
      <c r="U281" s="1040"/>
      <c r="V281" s="1043" t="s">
        <v>369</v>
      </c>
      <c r="W281" s="710" t="s">
        <v>370</v>
      </c>
      <c r="X281" s="1043" t="s">
        <v>369</v>
      </c>
      <c r="Y281" s="1846">
        <v>120074014938</v>
      </c>
      <c r="Z281" s="1608"/>
      <c r="AA281" s="1040"/>
      <c r="AB281" s="710"/>
      <c r="AC281" s="710">
        <v>1</v>
      </c>
      <c r="AD281" s="1041">
        <f>AC281*S281/12</f>
        <v>3.9583333333333335</v>
      </c>
      <c r="AE281" s="710" t="s">
        <v>367</v>
      </c>
      <c r="AF281" s="1041"/>
      <c r="AG281" s="1041"/>
      <c r="AH281" s="1611">
        <v>8.77E-3</v>
      </c>
      <c r="AI281" s="1044"/>
      <c r="AJ281" s="1044"/>
      <c r="AK281" s="1044"/>
      <c r="AL281" s="1611">
        <f>AD$281*AH281+SUM(AI281:AK281)</f>
        <v>3.4714583333333333E-2</v>
      </c>
      <c r="AM281" s="710" t="s">
        <v>92</v>
      </c>
      <c r="AN281" s="710" t="s">
        <v>92</v>
      </c>
      <c r="AO281" s="710" t="s">
        <v>92</v>
      </c>
      <c r="AP281" s="710" t="s">
        <v>92</v>
      </c>
      <c r="AQ281" s="1880" t="s">
        <v>92</v>
      </c>
      <c r="AR281" s="710"/>
    </row>
    <row r="282" spans="1:44" ht="15" customHeight="1" x14ac:dyDescent="0.4">
      <c r="A282" s="3" t="s">
        <v>389</v>
      </c>
      <c r="B282" s="7"/>
      <c r="C282" s="7" t="s">
        <v>1150</v>
      </c>
      <c r="D282" s="3"/>
      <c r="F282" s="47"/>
      <c r="G282" s="7"/>
      <c r="H282" s="20"/>
      <c r="I282" s="8" t="s">
        <v>1139</v>
      </c>
      <c r="U282" s="20"/>
      <c r="V282" s="7"/>
      <c r="W282" s="7"/>
      <c r="X282" s="7"/>
      <c r="Y282" s="1443"/>
      <c r="Z282" s="1443"/>
      <c r="AA282" s="20"/>
      <c r="AB282" s="3">
        <v>42</v>
      </c>
      <c r="AC282" s="3">
        <v>1</v>
      </c>
      <c r="AD282" s="5">
        <f>AC282*S282/12</f>
        <v>0</v>
      </c>
      <c r="AE282" s="3" t="s">
        <v>367</v>
      </c>
      <c r="AF282" s="930">
        <f>AF275</f>
        <v>1.36</v>
      </c>
      <c r="AG282" s="5">
        <f>AF282*AtolbperftFixed</f>
        <v>0.8633280000000001</v>
      </c>
      <c r="AH282" s="955">
        <f>AG282*FWTwinCost</f>
        <v>0.8633280000000001</v>
      </c>
      <c r="AM282" s="3" t="s">
        <v>92</v>
      </c>
      <c r="AN282" s="3" t="s">
        <v>371</v>
      </c>
      <c r="AO282" s="3" t="s">
        <v>92</v>
      </c>
      <c r="AP282" s="3" t="s">
        <v>92</v>
      </c>
      <c r="AQ282" s="1414" t="s">
        <v>92</v>
      </c>
    </row>
    <row r="283" spans="1:44" ht="15" customHeight="1" x14ac:dyDescent="0.4">
      <c r="B283" s="36"/>
      <c r="C283" s="36"/>
      <c r="D283" s="155"/>
      <c r="E283" s="47"/>
      <c r="F283" s="47"/>
      <c r="G283" s="7"/>
      <c r="H283" s="20"/>
      <c r="U283" s="20"/>
      <c r="V283" s="38" t="s">
        <v>369</v>
      </c>
      <c r="W283" s="3" t="s">
        <v>370</v>
      </c>
      <c r="X283" s="38" t="s">
        <v>369</v>
      </c>
      <c r="Y283" s="1443">
        <v>200147003</v>
      </c>
      <c r="Z283" s="1443"/>
      <c r="AA283" s="20"/>
      <c r="AE283" s="3"/>
      <c r="AF283" s="930"/>
      <c r="AH283" s="51">
        <f>AH237</f>
        <v>0</v>
      </c>
      <c r="AI283" s="39"/>
      <c r="AJ283" s="39"/>
      <c r="AK283" s="39"/>
      <c r="AL283" s="51">
        <f>AD$282*AH283+SUM(AI283:AK283)</f>
        <v>0</v>
      </c>
      <c r="AM283" s="3" t="s">
        <v>92</v>
      </c>
      <c r="AN283" s="3" t="s">
        <v>371</v>
      </c>
      <c r="AO283" s="3" t="s">
        <v>92</v>
      </c>
      <c r="AP283" s="3" t="s">
        <v>92</v>
      </c>
      <c r="AQ283" s="1414" t="s">
        <v>92</v>
      </c>
    </row>
    <row r="284" spans="1:44" ht="15" customHeight="1" x14ac:dyDescent="0.4">
      <c r="B284" s="36"/>
      <c r="C284" s="36"/>
      <c r="D284" s="155"/>
      <c r="E284" s="155"/>
      <c r="F284" s="155"/>
      <c r="G284" s="7"/>
      <c r="H284" s="20"/>
      <c r="P284" s="24"/>
      <c r="Q284" s="24"/>
      <c r="U284" s="20"/>
      <c r="V284" s="38" t="s">
        <v>369</v>
      </c>
      <c r="W284" s="3" t="s">
        <v>372</v>
      </c>
      <c r="X284" s="38" t="s">
        <v>369</v>
      </c>
      <c r="Y284" s="1563">
        <v>200147021</v>
      </c>
      <c r="Z284" s="1443"/>
      <c r="AA284" s="20"/>
      <c r="AE284" s="3"/>
      <c r="AH284" s="51">
        <f>AH238</f>
        <v>0</v>
      </c>
      <c r="AI284" s="39"/>
      <c r="AJ284" s="39"/>
      <c r="AK284" s="39"/>
      <c r="AL284" s="51">
        <f t="shared" ref="AL284:AL285" si="59">AD$282*AH284+SUM(AI284:AK284)</f>
        <v>0</v>
      </c>
      <c r="AM284" s="3" t="s">
        <v>92</v>
      </c>
      <c r="AN284" s="3" t="s">
        <v>371</v>
      </c>
      <c r="AO284" s="3" t="s">
        <v>92</v>
      </c>
      <c r="AP284" s="3" t="s">
        <v>92</v>
      </c>
      <c r="AQ284" s="1414" t="s">
        <v>92</v>
      </c>
    </row>
    <row r="285" spans="1:44" ht="15.75" customHeight="1" x14ac:dyDescent="0.4">
      <c r="B285" s="3"/>
      <c r="C285" s="36"/>
      <c r="D285" s="155"/>
      <c r="E285" s="155"/>
      <c r="F285" s="155"/>
      <c r="G285" s="7"/>
      <c r="H285" s="20"/>
      <c r="P285" s="24"/>
      <c r="Q285" s="24"/>
      <c r="U285" s="20"/>
      <c r="V285" s="38" t="s">
        <v>369</v>
      </c>
      <c r="W285" s="3" t="s">
        <v>373</v>
      </c>
      <c r="X285" s="38" t="s">
        <v>369</v>
      </c>
      <c r="Y285" s="1443">
        <v>200147033</v>
      </c>
      <c r="Z285" s="1443"/>
      <c r="AA285" s="20"/>
      <c r="AE285" s="3"/>
      <c r="AH285" s="51">
        <f>AH239</f>
        <v>0</v>
      </c>
      <c r="AI285" s="39"/>
      <c r="AJ285" s="39"/>
      <c r="AK285" s="39"/>
      <c r="AL285" s="51">
        <f t="shared" si="59"/>
        <v>0</v>
      </c>
      <c r="AM285" s="3" t="s">
        <v>92</v>
      </c>
      <c r="AN285" s="3" t="s">
        <v>371</v>
      </c>
      <c r="AO285" s="3" t="s">
        <v>92</v>
      </c>
      <c r="AP285" s="3" t="s">
        <v>92</v>
      </c>
      <c r="AQ285" s="1414" t="s">
        <v>92</v>
      </c>
    </row>
    <row r="286" spans="1:44" ht="15.75" customHeight="1" x14ac:dyDescent="0.4">
      <c r="B286" s="3"/>
      <c r="C286" s="36"/>
      <c r="D286" s="155"/>
      <c r="E286" s="155"/>
      <c r="F286" s="155"/>
      <c r="G286" s="7"/>
      <c r="H286" s="20"/>
      <c r="P286" s="24"/>
      <c r="Q286" s="24"/>
      <c r="U286" s="20"/>
      <c r="V286" s="38" t="s">
        <v>2363</v>
      </c>
      <c r="W286" s="3" t="s">
        <v>370</v>
      </c>
      <c r="X286" s="38" t="s">
        <v>369</v>
      </c>
      <c r="Y286" s="1443">
        <v>200147127</v>
      </c>
      <c r="Z286" s="1443"/>
      <c r="AA286" s="20"/>
      <c r="AE286" s="3"/>
      <c r="AI286" s="39"/>
      <c r="AJ286" s="39"/>
      <c r="AK286" s="39"/>
      <c r="AM286" s="3" t="s">
        <v>92</v>
      </c>
      <c r="AN286" s="3" t="s">
        <v>371</v>
      </c>
      <c r="AO286" s="3" t="s">
        <v>92</v>
      </c>
      <c r="AP286" s="3" t="s">
        <v>92</v>
      </c>
      <c r="AQ286" s="1414" t="s">
        <v>92</v>
      </c>
    </row>
    <row r="287" spans="1:44" ht="15.75" customHeight="1" x14ac:dyDescent="0.4">
      <c r="B287" s="3"/>
      <c r="C287" s="36"/>
      <c r="D287" s="155"/>
      <c r="E287" s="155"/>
      <c r="F287" s="155"/>
      <c r="G287" s="7"/>
      <c r="H287" s="20"/>
      <c r="P287" s="24"/>
      <c r="Q287" s="24"/>
      <c r="U287" s="20"/>
      <c r="V287" s="38" t="s">
        <v>2365</v>
      </c>
      <c r="W287" s="3" t="s">
        <v>370</v>
      </c>
      <c r="X287" s="38" t="s">
        <v>369</v>
      </c>
      <c r="Y287" s="1443">
        <v>200147180</v>
      </c>
      <c r="Z287" s="1443"/>
      <c r="AA287" s="20"/>
      <c r="AE287" s="3"/>
      <c r="AI287" s="39"/>
      <c r="AJ287" s="39"/>
      <c r="AK287" s="39"/>
      <c r="AM287" s="3" t="s">
        <v>92</v>
      </c>
      <c r="AN287" s="3" t="s">
        <v>371</v>
      </c>
      <c r="AO287" s="3" t="s">
        <v>92</v>
      </c>
      <c r="AP287" s="3" t="s">
        <v>92</v>
      </c>
      <c r="AQ287" s="1414" t="s">
        <v>92</v>
      </c>
    </row>
    <row r="288" spans="1:44" ht="15.75" customHeight="1" thickBot="1" x14ac:dyDescent="0.45">
      <c r="B288" s="3"/>
      <c r="C288" s="943"/>
      <c r="D288" s="1037" t="s">
        <v>2353</v>
      </c>
      <c r="E288" s="1038"/>
      <c r="F288" s="1038"/>
      <c r="G288" s="1039"/>
      <c r="H288" s="1040"/>
      <c r="I288" s="710" t="s">
        <v>392</v>
      </c>
      <c r="J288" s="710"/>
      <c r="K288" s="710"/>
      <c r="L288" s="710"/>
      <c r="M288" s="1041"/>
      <c r="N288" s="1041"/>
      <c r="O288" s="1041"/>
      <c r="P288" s="1042"/>
      <c r="Q288" s="1042"/>
      <c r="R288" s="710" t="s">
        <v>352</v>
      </c>
      <c r="S288" s="1041">
        <f>FWWidth</f>
        <v>47.5</v>
      </c>
      <c r="T288" s="710" t="s">
        <v>366</v>
      </c>
      <c r="U288" s="1040"/>
      <c r="V288" s="1043" t="s">
        <v>369</v>
      </c>
      <c r="W288" s="710" t="s">
        <v>370</v>
      </c>
      <c r="X288" s="1043" t="s">
        <v>369</v>
      </c>
      <c r="Y288" s="1846">
        <v>120074014938</v>
      </c>
      <c r="Z288" s="1608"/>
      <c r="AA288" s="1040"/>
      <c r="AB288" s="710"/>
      <c r="AC288" s="710">
        <v>1</v>
      </c>
      <c r="AD288" s="1041">
        <f>AC288*S288/12</f>
        <v>3.9583333333333335</v>
      </c>
      <c r="AE288" s="710" t="s">
        <v>367</v>
      </c>
      <c r="AF288" s="1041"/>
      <c r="AG288" s="1041"/>
      <c r="AH288" s="1611">
        <v>8.77E-3</v>
      </c>
      <c r="AI288" s="1044"/>
      <c r="AJ288" s="1044"/>
      <c r="AK288" s="1044"/>
      <c r="AL288" s="1611">
        <f>AD$288*AH288+SUM(AI288:AK288)</f>
        <v>3.4714583333333333E-2</v>
      </c>
      <c r="AM288" s="710" t="s">
        <v>92</v>
      </c>
      <c r="AN288" s="710" t="s">
        <v>92</v>
      </c>
      <c r="AO288" s="710" t="s">
        <v>92</v>
      </c>
      <c r="AP288" s="710" t="s">
        <v>92</v>
      </c>
      <c r="AQ288" s="1880" t="s">
        <v>92</v>
      </c>
      <c r="AR288" s="710"/>
    </row>
    <row r="289" spans="1:44" ht="15" customHeight="1" x14ac:dyDescent="0.4">
      <c r="A289" s="3" t="s">
        <v>389</v>
      </c>
      <c r="B289" s="7"/>
      <c r="C289" s="7" t="s">
        <v>1151</v>
      </c>
      <c r="D289" s="3"/>
      <c r="F289" s="47"/>
      <c r="G289" s="7"/>
      <c r="H289" s="20"/>
      <c r="I289" s="8" t="s">
        <v>1139</v>
      </c>
      <c r="U289" s="20"/>
      <c r="V289" s="7"/>
      <c r="W289" s="7"/>
      <c r="X289" s="7"/>
      <c r="Y289" s="1443"/>
      <c r="Z289" s="1443"/>
      <c r="AA289" s="20"/>
      <c r="AB289" s="3">
        <v>42</v>
      </c>
      <c r="AC289" s="3">
        <v>1</v>
      </c>
      <c r="AD289" s="5">
        <f>AC289*S289/12</f>
        <v>0</v>
      </c>
      <c r="AE289" s="3" t="s">
        <v>367</v>
      </c>
      <c r="AF289" s="930">
        <v>0</v>
      </c>
      <c r="AG289" s="5">
        <f>AF289*AtolbperftFixed</f>
        <v>0</v>
      </c>
      <c r="AM289" s="3" t="s">
        <v>92</v>
      </c>
      <c r="AN289" s="3" t="s">
        <v>371</v>
      </c>
      <c r="AO289" s="3" t="s">
        <v>92</v>
      </c>
      <c r="AP289" s="3" t="s">
        <v>92</v>
      </c>
      <c r="AQ289" s="1414" t="s">
        <v>92</v>
      </c>
    </row>
    <row r="290" spans="1:44" ht="15" customHeight="1" x14ac:dyDescent="0.4">
      <c r="B290" s="36"/>
      <c r="C290" s="36"/>
      <c r="D290" s="155"/>
      <c r="E290" s="47"/>
      <c r="F290" s="47"/>
      <c r="G290" s="7"/>
      <c r="H290" s="20"/>
      <c r="U290" s="20"/>
      <c r="V290" s="38" t="s">
        <v>369</v>
      </c>
      <c r="W290" s="3" t="s">
        <v>370</v>
      </c>
      <c r="X290" s="38" t="s">
        <v>369</v>
      </c>
      <c r="Y290" s="1443">
        <v>200245003</v>
      </c>
      <c r="Z290" s="1443"/>
      <c r="AA290" s="20"/>
      <c r="AE290" s="3"/>
      <c r="AF290" s="930"/>
      <c r="AH290" s="51">
        <v>0</v>
      </c>
      <c r="AI290" s="39"/>
      <c r="AJ290" s="39"/>
      <c r="AK290" s="39"/>
      <c r="AL290" s="51">
        <f>AD$289*AH290+SUM(AI290:AK290)</f>
        <v>0</v>
      </c>
      <c r="AM290" s="3" t="s">
        <v>92</v>
      </c>
      <c r="AN290" s="3" t="s">
        <v>371</v>
      </c>
      <c r="AO290" s="3" t="s">
        <v>92</v>
      </c>
      <c r="AP290" s="3" t="s">
        <v>92</v>
      </c>
      <c r="AQ290" s="1414" t="s">
        <v>92</v>
      </c>
    </row>
    <row r="291" spans="1:44" ht="15" customHeight="1" x14ac:dyDescent="0.4">
      <c r="B291" s="36"/>
      <c r="C291" s="36"/>
      <c r="D291" s="155"/>
      <c r="E291" s="155"/>
      <c r="F291" s="155"/>
      <c r="G291" s="7"/>
      <c r="H291" s="20"/>
      <c r="P291" s="24"/>
      <c r="Q291" s="24"/>
      <c r="U291" s="20"/>
      <c r="V291" s="38" t="s">
        <v>369</v>
      </c>
      <c r="W291" s="3" t="s">
        <v>372</v>
      </c>
      <c r="X291" s="38" t="s">
        <v>369</v>
      </c>
      <c r="Y291" s="1563">
        <v>200245021</v>
      </c>
      <c r="Z291" s="1443"/>
      <c r="AA291" s="20"/>
      <c r="AE291" s="3"/>
      <c r="AH291" s="51">
        <v>0</v>
      </c>
      <c r="AI291" s="39"/>
      <c r="AJ291" s="39"/>
      <c r="AK291" s="39"/>
      <c r="AL291" s="51">
        <f t="shared" ref="AL291:AL292" si="60">AD$289*AH291+SUM(AI291:AK291)</f>
        <v>0</v>
      </c>
      <c r="AM291" s="3" t="s">
        <v>92</v>
      </c>
      <c r="AN291" s="3" t="s">
        <v>371</v>
      </c>
      <c r="AO291" s="3" t="s">
        <v>92</v>
      </c>
      <c r="AP291" s="3" t="s">
        <v>92</v>
      </c>
      <c r="AQ291" s="1414" t="s">
        <v>92</v>
      </c>
    </row>
    <row r="292" spans="1:44" ht="15.75" customHeight="1" thickBot="1" x14ac:dyDescent="0.45">
      <c r="B292" s="3"/>
      <c r="C292" s="943"/>
      <c r="D292" s="925"/>
      <c r="E292" s="925"/>
      <c r="F292" s="925"/>
      <c r="G292" s="924"/>
      <c r="H292" s="887"/>
      <c r="I292" s="889"/>
      <c r="J292" s="889"/>
      <c r="K292" s="889"/>
      <c r="L292" s="889"/>
      <c r="M292" s="945"/>
      <c r="N292" s="945"/>
      <c r="O292" s="945"/>
      <c r="P292" s="1020"/>
      <c r="Q292" s="1020"/>
      <c r="R292" s="889"/>
      <c r="S292" s="945"/>
      <c r="T292" s="889"/>
      <c r="U292" s="887"/>
      <c r="V292" s="888" t="s">
        <v>369</v>
      </c>
      <c r="W292" s="889" t="s">
        <v>373</v>
      </c>
      <c r="X292" s="888" t="s">
        <v>369</v>
      </c>
      <c r="Y292" s="1444">
        <v>200245033</v>
      </c>
      <c r="Z292" s="1444"/>
      <c r="AA292" s="887"/>
      <c r="AB292" s="889"/>
      <c r="AC292" s="889"/>
      <c r="AD292" s="945"/>
      <c r="AE292" s="889"/>
      <c r="AF292" s="945"/>
      <c r="AG292" s="945"/>
      <c r="AH292" s="937">
        <v>0</v>
      </c>
      <c r="AI292" s="947"/>
      <c r="AJ292" s="947"/>
      <c r="AK292" s="947"/>
      <c r="AL292" s="51">
        <f t="shared" si="60"/>
        <v>0</v>
      </c>
      <c r="AM292" s="889" t="s">
        <v>92</v>
      </c>
      <c r="AN292" s="889" t="s">
        <v>371</v>
      </c>
      <c r="AO292" s="889" t="s">
        <v>92</v>
      </c>
      <c r="AP292" s="889" t="s">
        <v>92</v>
      </c>
      <c r="AQ292" s="1590" t="s">
        <v>92</v>
      </c>
      <c r="AR292" s="889"/>
    </row>
    <row r="293" spans="1:44" ht="15" customHeight="1" x14ac:dyDescent="0.4">
      <c r="A293" s="3" t="s">
        <v>389</v>
      </c>
      <c r="B293" s="7"/>
      <c r="C293" s="173" t="s">
        <v>1152</v>
      </c>
      <c r="D293" s="116"/>
      <c r="F293" s="174"/>
      <c r="G293" s="173"/>
      <c r="H293" s="175"/>
      <c r="I293" s="114" t="s">
        <v>1139</v>
      </c>
      <c r="J293" s="116"/>
      <c r="K293" s="116"/>
      <c r="L293" s="116"/>
      <c r="M293" s="177"/>
      <c r="N293" s="177"/>
      <c r="O293" s="177"/>
      <c r="P293" s="177"/>
      <c r="Q293" s="177"/>
      <c r="R293" s="116"/>
      <c r="S293" s="177"/>
      <c r="T293" s="116"/>
      <c r="U293" s="175"/>
      <c r="V293" s="173"/>
      <c r="W293" s="173"/>
      <c r="X293" s="173"/>
      <c r="Y293" s="1449"/>
      <c r="Z293" s="1449"/>
      <c r="AA293" s="175"/>
      <c r="AB293" s="116">
        <v>42</v>
      </c>
      <c r="AC293" s="116">
        <v>1</v>
      </c>
      <c r="AD293" s="177">
        <f>AC293*S293/12</f>
        <v>0</v>
      </c>
      <c r="AE293" s="116" t="s">
        <v>367</v>
      </c>
      <c r="AF293" s="627">
        <v>0</v>
      </c>
      <c r="AG293" s="177">
        <f>AF293*AtolbperftFixed</f>
        <v>0</v>
      </c>
      <c r="AH293" s="185"/>
      <c r="AI293" s="185"/>
      <c r="AJ293" s="185"/>
      <c r="AK293" s="185"/>
      <c r="AL293" s="185"/>
      <c r="AM293" s="3" t="s">
        <v>92</v>
      </c>
      <c r="AN293" s="3" t="s">
        <v>371</v>
      </c>
      <c r="AO293" s="3" t="s">
        <v>92</v>
      </c>
      <c r="AP293" s="3" t="s">
        <v>92</v>
      </c>
      <c r="AQ293" s="1414" t="s">
        <v>92</v>
      </c>
    </row>
    <row r="294" spans="1:44" ht="15" customHeight="1" x14ac:dyDescent="0.4">
      <c r="B294" s="36"/>
      <c r="C294" s="36"/>
      <c r="D294" s="155"/>
      <c r="E294" s="47"/>
      <c r="F294" s="47"/>
      <c r="G294" s="7"/>
      <c r="H294" s="20"/>
      <c r="U294" s="20"/>
      <c r="V294" s="38" t="s">
        <v>369</v>
      </c>
      <c r="W294" s="3" t="s">
        <v>370</v>
      </c>
      <c r="X294" s="38" t="s">
        <v>369</v>
      </c>
      <c r="Y294" s="1443">
        <v>200246003</v>
      </c>
      <c r="Z294" s="1443"/>
      <c r="AA294" s="20"/>
      <c r="AE294" s="3"/>
      <c r="AF294" s="930"/>
      <c r="AH294" s="51">
        <v>0</v>
      </c>
      <c r="AI294" s="39"/>
      <c r="AJ294" s="39"/>
      <c r="AK294" s="39"/>
      <c r="AL294" s="51">
        <f>AD$293*AH294+SUM(AI294:AK294)</f>
        <v>0</v>
      </c>
      <c r="AM294" s="3" t="s">
        <v>92</v>
      </c>
      <c r="AN294" s="3" t="s">
        <v>371</v>
      </c>
      <c r="AO294" s="3" t="s">
        <v>92</v>
      </c>
      <c r="AP294" s="3" t="s">
        <v>92</v>
      </c>
      <c r="AQ294" s="1414" t="s">
        <v>92</v>
      </c>
    </row>
    <row r="295" spans="1:44" ht="15" customHeight="1" x14ac:dyDescent="0.4">
      <c r="B295" s="36"/>
      <c r="C295" s="36"/>
      <c r="D295" s="155"/>
      <c r="E295" s="155"/>
      <c r="F295" s="155"/>
      <c r="G295" s="7"/>
      <c r="H295" s="20"/>
      <c r="P295" s="24"/>
      <c r="Q295" s="24"/>
      <c r="U295" s="20"/>
      <c r="V295" s="38" t="s">
        <v>369</v>
      </c>
      <c r="W295" s="3" t="s">
        <v>372</v>
      </c>
      <c r="X295" s="38" t="s">
        <v>369</v>
      </c>
      <c r="Y295" s="1563">
        <v>200246021</v>
      </c>
      <c r="Z295" s="1443"/>
      <c r="AA295" s="20"/>
      <c r="AE295" s="3"/>
      <c r="AH295" s="51">
        <v>0</v>
      </c>
      <c r="AI295" s="39"/>
      <c r="AJ295" s="39"/>
      <c r="AK295" s="39"/>
      <c r="AL295" s="51">
        <f t="shared" ref="AL295:AL296" si="61">AD$293*AH295+SUM(AI295:AK295)</f>
        <v>0</v>
      </c>
      <c r="AM295" s="3" t="s">
        <v>92</v>
      </c>
      <c r="AN295" s="3" t="s">
        <v>371</v>
      </c>
      <c r="AO295" s="3" t="s">
        <v>92</v>
      </c>
      <c r="AP295" s="3" t="s">
        <v>92</v>
      </c>
      <c r="AQ295" s="1414" t="s">
        <v>92</v>
      </c>
    </row>
    <row r="296" spans="1:44" ht="15.75" customHeight="1" thickBot="1" x14ac:dyDescent="0.45">
      <c r="B296" s="3"/>
      <c r="C296" s="943"/>
      <c r="D296" s="925"/>
      <c r="E296" s="925"/>
      <c r="F296" s="925"/>
      <c r="G296" s="924"/>
      <c r="H296" s="887"/>
      <c r="I296" s="889"/>
      <c r="J296" s="889"/>
      <c r="K296" s="889"/>
      <c r="L296" s="889"/>
      <c r="M296" s="945"/>
      <c r="N296" s="945"/>
      <c r="O296" s="945"/>
      <c r="P296" s="1020"/>
      <c r="Q296" s="1020"/>
      <c r="R296" s="889"/>
      <c r="S296" s="945"/>
      <c r="T296" s="889"/>
      <c r="U296" s="887"/>
      <c r="V296" s="888" t="s">
        <v>369</v>
      </c>
      <c r="W296" s="889" t="s">
        <v>373</v>
      </c>
      <c r="X296" s="888" t="s">
        <v>369</v>
      </c>
      <c r="Y296" s="1444">
        <v>200246033</v>
      </c>
      <c r="Z296" s="1444"/>
      <c r="AA296" s="887"/>
      <c r="AB296" s="889"/>
      <c r="AC296" s="889"/>
      <c r="AD296" s="945"/>
      <c r="AE296" s="889"/>
      <c r="AF296" s="945"/>
      <c r="AG296" s="945"/>
      <c r="AH296" s="937">
        <v>0</v>
      </c>
      <c r="AI296" s="947"/>
      <c r="AJ296" s="947"/>
      <c r="AK296" s="947"/>
      <c r="AL296" s="51">
        <f t="shared" si="61"/>
        <v>0</v>
      </c>
      <c r="AM296" s="889" t="s">
        <v>92</v>
      </c>
      <c r="AN296" s="889" t="s">
        <v>371</v>
      </c>
      <c r="AO296" s="889" t="s">
        <v>92</v>
      </c>
      <c r="AP296" s="889" t="s">
        <v>92</v>
      </c>
      <c r="AQ296" s="1590" t="s">
        <v>92</v>
      </c>
      <c r="AR296" s="889"/>
    </row>
    <row r="297" spans="1:44" ht="15" customHeight="1" x14ac:dyDescent="0.4">
      <c r="C297" s="173" t="s">
        <v>397</v>
      </c>
      <c r="D297" s="181"/>
      <c r="E297" s="182"/>
      <c r="F297" s="182"/>
      <c r="G297" s="430" t="s">
        <v>383</v>
      </c>
      <c r="H297" s="175"/>
      <c r="I297" s="116" t="s">
        <v>392</v>
      </c>
      <c r="J297" s="116"/>
      <c r="K297" s="116"/>
      <c r="L297" s="116" t="s">
        <v>348</v>
      </c>
      <c r="M297" s="177">
        <v>3</v>
      </c>
      <c r="N297" s="177" t="s">
        <v>348</v>
      </c>
      <c r="O297" s="177">
        <f>0.25</f>
        <v>0.25</v>
      </c>
      <c r="P297" s="178"/>
      <c r="Q297" s="178"/>
      <c r="R297" s="116" t="s">
        <v>352</v>
      </c>
      <c r="S297" s="177">
        <f>FWWidth+M297+O297</f>
        <v>50.75</v>
      </c>
      <c r="T297" s="116" t="s">
        <v>366</v>
      </c>
      <c r="U297" s="175"/>
      <c r="V297" s="179"/>
      <c r="W297" s="116"/>
      <c r="X297" s="179"/>
      <c r="Y297" s="1449"/>
      <c r="Z297" s="1449"/>
      <c r="AA297" s="175"/>
      <c r="AB297" s="116">
        <v>42</v>
      </c>
      <c r="AC297" s="116">
        <v>1</v>
      </c>
      <c r="AD297" s="177">
        <f>AC297*S297/12</f>
        <v>4.229166666666667</v>
      </c>
      <c r="AE297" s="116" t="s">
        <v>367</v>
      </c>
      <c r="AF297" s="177">
        <f>AF243</f>
        <v>0.08</v>
      </c>
      <c r="AG297" s="177">
        <f>AF297*AtolbperftFixed</f>
        <v>5.0784000000000003E-2</v>
      </c>
      <c r="AH297" s="935">
        <f>AG297*FWSingleCost</f>
        <v>7.6176000000000008E-2</v>
      </c>
      <c r="AI297" s="185"/>
      <c r="AJ297" s="185"/>
      <c r="AK297" s="185"/>
      <c r="AL297" s="185"/>
      <c r="AM297" s="3" t="s">
        <v>92</v>
      </c>
      <c r="AN297" s="3" t="s">
        <v>371</v>
      </c>
      <c r="AO297" s="3" t="s">
        <v>92</v>
      </c>
      <c r="AP297" s="3" t="s">
        <v>92</v>
      </c>
      <c r="AQ297" s="1414" t="s">
        <v>92</v>
      </c>
    </row>
    <row r="298" spans="1:44" ht="15" customHeight="1" x14ac:dyDescent="0.4">
      <c r="B298" s="36"/>
      <c r="C298" s="36"/>
      <c r="D298" s="155"/>
      <c r="E298" s="155"/>
      <c r="F298" s="155"/>
      <c r="G298" s="7"/>
      <c r="H298" s="20"/>
      <c r="P298" s="24"/>
      <c r="Q298" s="24"/>
      <c r="U298" s="20"/>
      <c r="V298" s="38" t="s">
        <v>369</v>
      </c>
      <c r="W298" s="3" t="s">
        <v>370</v>
      </c>
      <c r="X298" s="38" t="s">
        <v>369</v>
      </c>
      <c r="Y298" s="1443">
        <v>200114003</v>
      </c>
      <c r="Z298" s="1443"/>
      <c r="AA298" s="20"/>
      <c r="AE298" s="3"/>
      <c r="AF298" s="930"/>
      <c r="AH298" s="51">
        <f>AH244</f>
        <v>9.4100000000000003E-2</v>
      </c>
      <c r="AI298" s="39"/>
      <c r="AJ298" s="39"/>
      <c r="AK298" s="39"/>
      <c r="AL298" s="51">
        <f>AD$297*AH298+SUM(AI298:AK298)</f>
        <v>0.3979645833333334</v>
      </c>
      <c r="AM298" s="3" t="s">
        <v>92</v>
      </c>
      <c r="AN298" s="3" t="s">
        <v>371</v>
      </c>
      <c r="AO298" s="3" t="s">
        <v>92</v>
      </c>
      <c r="AP298" s="3" t="s">
        <v>92</v>
      </c>
      <c r="AQ298" s="1414" t="s">
        <v>92</v>
      </c>
    </row>
    <row r="299" spans="1:44" ht="15" customHeight="1" x14ac:dyDescent="0.4">
      <c r="B299" s="36"/>
      <c r="C299" s="36"/>
      <c r="D299" s="155"/>
      <c r="E299" s="155"/>
      <c r="F299" s="155"/>
      <c r="G299" s="7"/>
      <c r="H299" s="20"/>
      <c r="P299" s="24"/>
      <c r="Q299" s="24"/>
      <c r="U299" s="20"/>
      <c r="V299" s="38" t="s">
        <v>369</v>
      </c>
      <c r="W299" s="3" t="s">
        <v>372</v>
      </c>
      <c r="X299" s="38" t="s">
        <v>369</v>
      </c>
      <c r="Y299" s="1563">
        <v>200114021</v>
      </c>
      <c r="Z299" s="1443"/>
      <c r="AA299" s="20"/>
      <c r="AE299" s="3"/>
      <c r="AH299" s="51">
        <f>AH245</f>
        <v>0.10440000000000001</v>
      </c>
      <c r="AI299" s="39"/>
      <c r="AJ299" s="39"/>
      <c r="AK299" s="39"/>
      <c r="AL299" s="51">
        <f t="shared" ref="AL299" si="62">AD$297*AH299+SUM(AI299:AK299)</f>
        <v>0.44152500000000006</v>
      </c>
      <c r="AM299" s="3" t="s">
        <v>92</v>
      </c>
      <c r="AN299" s="3" t="s">
        <v>371</v>
      </c>
      <c r="AO299" s="3" t="s">
        <v>92</v>
      </c>
      <c r="AP299" s="3" t="s">
        <v>92</v>
      </c>
      <c r="AQ299" s="1414" t="s">
        <v>92</v>
      </c>
    </row>
    <row r="300" spans="1:44" ht="15" customHeight="1" x14ac:dyDescent="0.4">
      <c r="B300" s="36"/>
      <c r="C300" s="36"/>
      <c r="D300" s="155"/>
      <c r="E300" s="155"/>
      <c r="F300" s="155"/>
      <c r="G300" s="7"/>
      <c r="H300" s="20"/>
      <c r="P300" s="24"/>
      <c r="Q300" s="24"/>
      <c r="U300" s="20"/>
      <c r="V300" s="38" t="s">
        <v>369</v>
      </c>
      <c r="W300" s="3" t="s">
        <v>373</v>
      </c>
      <c r="X300" s="38" t="s">
        <v>369</v>
      </c>
      <c r="Y300" s="1443">
        <v>200114033</v>
      </c>
      <c r="Z300" s="1443"/>
      <c r="AA300" s="20"/>
      <c r="AE300" s="3"/>
      <c r="AH300" s="51">
        <f>AH246</f>
        <v>0.1123</v>
      </c>
      <c r="AI300" s="39"/>
      <c r="AJ300" s="39"/>
      <c r="AK300" s="39"/>
      <c r="AL300" s="51">
        <f>AD$297*AH300+SUM(AI300:AK300)</f>
        <v>0.47493541666666667</v>
      </c>
      <c r="AM300" s="3" t="s">
        <v>92</v>
      </c>
      <c r="AN300" s="3" t="s">
        <v>371</v>
      </c>
      <c r="AO300" s="3" t="s">
        <v>92</v>
      </c>
      <c r="AP300" s="3" t="s">
        <v>92</v>
      </c>
      <c r="AQ300" s="1414" t="s">
        <v>92</v>
      </c>
    </row>
    <row r="301" spans="1:44" ht="15" customHeight="1" x14ac:dyDescent="0.4">
      <c r="B301" s="36"/>
      <c r="C301" s="36"/>
      <c r="D301" s="155"/>
      <c r="E301" s="155"/>
      <c r="F301" s="155"/>
      <c r="G301" s="7"/>
      <c r="H301" s="20"/>
      <c r="P301" s="24"/>
      <c r="Q301" s="24"/>
      <c r="U301" s="20"/>
      <c r="V301" s="38" t="s">
        <v>369</v>
      </c>
      <c r="W301" s="3" t="s">
        <v>374</v>
      </c>
      <c r="X301" s="38" t="s">
        <v>369</v>
      </c>
      <c r="Y301" s="1443">
        <v>200114090</v>
      </c>
      <c r="Z301" s="1443"/>
      <c r="AA301" s="20"/>
      <c r="AE301" s="3"/>
      <c r="AH301" s="51">
        <v>0.26579999999999998</v>
      </c>
      <c r="AI301" s="39"/>
      <c r="AJ301" s="39"/>
      <c r="AK301" s="39"/>
      <c r="AL301" s="51">
        <f t="shared" ref="AL301:AL302" si="63">AD$297*AH301+SUM(AI301:AK301)</f>
        <v>1.1241125000000001</v>
      </c>
      <c r="AM301" s="3" t="s">
        <v>92</v>
      </c>
      <c r="AN301" s="3" t="s">
        <v>371</v>
      </c>
      <c r="AO301" s="3" t="s">
        <v>92</v>
      </c>
      <c r="AP301" s="3" t="s">
        <v>92</v>
      </c>
      <c r="AQ301" s="1414" t="s">
        <v>92</v>
      </c>
    </row>
    <row r="302" spans="1:44" ht="15" customHeight="1" thickBot="1" x14ac:dyDescent="0.45">
      <c r="B302" s="36"/>
      <c r="C302" s="36"/>
      <c r="D302" s="155"/>
      <c r="E302" s="155"/>
      <c r="F302" s="155"/>
      <c r="G302" s="7"/>
      <c r="H302" s="20"/>
      <c r="P302" s="24"/>
      <c r="Q302" s="24"/>
      <c r="U302" s="20"/>
      <c r="V302" s="38" t="s">
        <v>369</v>
      </c>
      <c r="W302" s="3" t="s">
        <v>375</v>
      </c>
      <c r="X302" s="38" t="s">
        <v>369</v>
      </c>
      <c r="Y302" s="1443">
        <v>200114133</v>
      </c>
      <c r="Z302" s="1443"/>
      <c r="AA302" s="20"/>
      <c r="AE302" s="3"/>
      <c r="AH302" s="937">
        <v>0.28470000000000001</v>
      </c>
      <c r="AI302" s="39"/>
      <c r="AJ302" s="39"/>
      <c r="AK302" s="39"/>
      <c r="AL302" s="51">
        <f t="shared" si="63"/>
        <v>1.2040437500000001</v>
      </c>
      <c r="AM302" s="889" t="s">
        <v>92</v>
      </c>
      <c r="AN302" s="889" t="s">
        <v>371</v>
      </c>
      <c r="AO302" s="889" t="s">
        <v>92</v>
      </c>
      <c r="AP302" s="889" t="s">
        <v>92</v>
      </c>
      <c r="AQ302" s="1590" t="s">
        <v>92</v>
      </c>
      <c r="AR302" s="889"/>
    </row>
    <row r="303" spans="1:44" ht="15" customHeight="1" thickBot="1" x14ac:dyDescent="0.45">
      <c r="B303" s="7" t="s">
        <v>442</v>
      </c>
      <c r="C303" s="173"/>
      <c r="D303" s="116"/>
      <c r="E303" s="136"/>
      <c r="F303" s="174"/>
      <c r="G303" s="173"/>
      <c r="H303" s="175"/>
      <c r="I303" s="116"/>
      <c r="J303" s="116"/>
      <c r="K303" s="116"/>
      <c r="L303" s="116"/>
      <c r="M303" s="116"/>
      <c r="N303" s="177"/>
      <c r="O303" s="177"/>
      <c r="P303" s="177"/>
      <c r="Q303" s="177"/>
      <c r="R303" s="116"/>
      <c r="S303" s="177"/>
      <c r="T303" s="116"/>
      <c r="U303" s="175"/>
      <c r="V303" s="173"/>
      <c r="W303" s="173"/>
      <c r="X303" s="173"/>
      <c r="Y303" s="1449"/>
      <c r="Z303" s="1449"/>
      <c r="AA303" s="175"/>
      <c r="AB303" s="116"/>
      <c r="AC303" s="116"/>
      <c r="AD303" s="177"/>
      <c r="AE303" s="116"/>
      <c r="AF303" s="627"/>
      <c r="AG303" s="177"/>
      <c r="AH303" s="185"/>
      <c r="AI303" s="185"/>
      <c r="AJ303" s="185"/>
      <c r="AK303" s="185"/>
      <c r="AL303" s="185"/>
      <c r="AM303" s="889" t="s">
        <v>92</v>
      </c>
      <c r="AN303" s="889" t="s">
        <v>81</v>
      </c>
      <c r="AO303" s="889" t="s">
        <v>92</v>
      </c>
      <c r="AP303" s="889" t="s">
        <v>92</v>
      </c>
      <c r="AQ303" s="1590" t="s">
        <v>92</v>
      </c>
      <c r="AR303" s="889"/>
    </row>
    <row r="304" spans="1:44" ht="15" customHeight="1" x14ac:dyDescent="0.4">
      <c r="A304" s="3" t="s">
        <v>402</v>
      </c>
      <c r="B304" s="7"/>
      <c r="C304" s="173" t="s">
        <v>1870</v>
      </c>
      <c r="D304" s="116"/>
      <c r="E304" s="182"/>
      <c r="F304" s="174" t="s">
        <v>1143</v>
      </c>
      <c r="G304" s="173"/>
      <c r="H304" s="175"/>
      <c r="I304" s="116" t="s">
        <v>392</v>
      </c>
      <c r="J304" s="116"/>
      <c r="K304" s="116"/>
      <c r="L304" s="116" t="s">
        <v>348</v>
      </c>
      <c r="M304" s="177">
        <v>3</v>
      </c>
      <c r="N304" s="177" t="s">
        <v>348</v>
      </c>
      <c r="O304" s="177">
        <f>0.25</f>
        <v>0.25</v>
      </c>
      <c r="P304" s="177"/>
      <c r="Q304" s="177"/>
      <c r="R304" s="116" t="s">
        <v>352</v>
      </c>
      <c r="S304" s="177">
        <f>FWWidth+M304+O304</f>
        <v>50.75</v>
      </c>
      <c r="T304" s="116" t="s">
        <v>366</v>
      </c>
      <c r="U304" s="175"/>
      <c r="V304" s="179"/>
      <c r="W304" s="116"/>
      <c r="X304" s="179"/>
      <c r="Y304" s="1449"/>
      <c r="Z304" s="1449"/>
      <c r="AA304" s="175"/>
      <c r="AB304" s="116">
        <v>42</v>
      </c>
      <c r="AC304" s="116">
        <v>1</v>
      </c>
      <c r="AD304" s="177">
        <f>AC304*S304/12</f>
        <v>4.229166666666667</v>
      </c>
      <c r="AE304" s="116" t="s">
        <v>367</v>
      </c>
      <c r="AF304" s="627">
        <v>1.034</v>
      </c>
      <c r="AG304" s="177">
        <f>AF304*AtolbperftFixed</f>
        <v>0.65638320000000006</v>
      </c>
      <c r="AH304" s="935">
        <f>AG304*FWTwinCost</f>
        <v>0.65638320000000006</v>
      </c>
      <c r="AI304" s="185"/>
      <c r="AJ304" s="185"/>
      <c r="AK304" s="185"/>
      <c r="AL304" s="185"/>
      <c r="AM304" s="3" t="s">
        <v>92</v>
      </c>
      <c r="AN304" s="3" t="s">
        <v>81</v>
      </c>
      <c r="AO304" s="3" t="s">
        <v>92</v>
      </c>
      <c r="AP304" s="3" t="s">
        <v>92</v>
      </c>
      <c r="AQ304" s="1414" t="s">
        <v>92</v>
      </c>
    </row>
    <row r="305" spans="1:44" ht="15" customHeight="1" x14ac:dyDescent="0.4">
      <c r="B305" s="36"/>
      <c r="C305" s="155"/>
      <c r="D305" s="155"/>
      <c r="E305" s="155"/>
      <c r="F305" s="47" t="s">
        <v>1138</v>
      </c>
      <c r="G305" s="7"/>
      <c r="H305" s="20"/>
      <c r="I305" s="3" t="s">
        <v>392</v>
      </c>
      <c r="L305" s="3" t="s">
        <v>348</v>
      </c>
      <c r="M305" s="5">
        <v>0</v>
      </c>
      <c r="N305" s="5" t="s">
        <v>348</v>
      </c>
      <c r="O305" s="5">
        <f>0.25</f>
        <v>0.25</v>
      </c>
      <c r="P305" s="24"/>
      <c r="Q305" s="24"/>
      <c r="R305" s="3" t="s">
        <v>352</v>
      </c>
      <c r="S305" s="5">
        <f>FWWidth+M305+O305</f>
        <v>47.75</v>
      </c>
      <c r="T305" s="3" t="s">
        <v>366</v>
      </c>
      <c r="U305" s="20"/>
      <c r="V305" s="38" t="s">
        <v>369</v>
      </c>
      <c r="W305" s="3" t="s">
        <v>370</v>
      </c>
      <c r="X305" s="38" t="s">
        <v>369</v>
      </c>
      <c r="Y305" s="1443">
        <v>200446003</v>
      </c>
      <c r="Z305" s="1443"/>
      <c r="AA305" s="20"/>
      <c r="AE305" s="3"/>
      <c r="AF305" s="930"/>
      <c r="AH305" s="51">
        <v>0.65849999999999997</v>
      </c>
      <c r="AI305" s="39"/>
      <c r="AJ305" s="39"/>
      <c r="AK305" s="39"/>
      <c r="AL305" s="51">
        <f>AD$254*AH305+SUM(AI305:AK305)</f>
        <v>2.7849062500000001</v>
      </c>
      <c r="AM305" s="3" t="s">
        <v>92</v>
      </c>
      <c r="AN305" s="3" t="s">
        <v>81</v>
      </c>
      <c r="AO305" s="3" t="s">
        <v>92</v>
      </c>
      <c r="AP305" s="3" t="s">
        <v>92</v>
      </c>
      <c r="AQ305" s="1414" t="s">
        <v>92</v>
      </c>
    </row>
    <row r="306" spans="1:44" ht="15" customHeight="1" x14ac:dyDescent="0.4">
      <c r="B306" s="36"/>
      <c r="C306" s="155"/>
      <c r="D306" s="155"/>
      <c r="E306" s="155"/>
      <c r="F306" s="155"/>
      <c r="G306" s="7"/>
      <c r="H306" s="20"/>
      <c r="U306" s="20"/>
      <c r="V306" s="38" t="s">
        <v>369</v>
      </c>
      <c r="W306" s="3" t="s">
        <v>372</v>
      </c>
      <c r="X306" s="38" t="s">
        <v>369</v>
      </c>
      <c r="Y306" s="1563">
        <v>200446021</v>
      </c>
      <c r="Z306" s="1443"/>
      <c r="AA306" s="20"/>
      <c r="AE306" s="3"/>
      <c r="AF306" s="930"/>
      <c r="AH306" s="51">
        <v>0.70189999999999997</v>
      </c>
      <c r="AI306" s="39"/>
      <c r="AJ306" s="39"/>
      <c r="AK306" s="39"/>
      <c r="AL306" s="51">
        <f t="shared" ref="AL306:AL307" si="64">AD$254*AH306+SUM(AI306:AK306)</f>
        <v>2.9684520833333332</v>
      </c>
      <c r="AM306" s="3" t="s">
        <v>92</v>
      </c>
      <c r="AN306" s="3" t="s">
        <v>371</v>
      </c>
      <c r="AO306" s="3" t="s">
        <v>92</v>
      </c>
      <c r="AP306" s="3" t="s">
        <v>92</v>
      </c>
      <c r="AQ306" s="1414" t="s">
        <v>92</v>
      </c>
    </row>
    <row r="307" spans="1:44" ht="15" customHeight="1" x14ac:dyDescent="0.4">
      <c r="B307" s="3"/>
      <c r="C307" s="36"/>
      <c r="D307" s="155"/>
      <c r="E307" s="155"/>
      <c r="F307" s="155"/>
      <c r="G307" s="7"/>
      <c r="H307" s="20"/>
      <c r="U307" s="20"/>
      <c r="V307" s="38" t="s">
        <v>369</v>
      </c>
      <c r="W307" s="3" t="s">
        <v>373</v>
      </c>
      <c r="X307" s="38" t="s">
        <v>369</v>
      </c>
      <c r="Y307" s="1443">
        <v>200446033</v>
      </c>
      <c r="Z307" s="1443"/>
      <c r="AA307" s="20"/>
      <c r="AE307" s="3"/>
      <c r="AF307" s="930"/>
      <c r="AH307" s="51">
        <v>0.75409999999999999</v>
      </c>
      <c r="AI307" s="39"/>
      <c r="AJ307" s="39"/>
      <c r="AK307" s="39"/>
      <c r="AL307" s="51">
        <f t="shared" si="64"/>
        <v>3.1892145833333334</v>
      </c>
      <c r="AM307" s="3" t="s">
        <v>92</v>
      </c>
      <c r="AN307" s="3" t="s">
        <v>371</v>
      </c>
      <c r="AO307" s="3" t="s">
        <v>92</v>
      </c>
      <c r="AP307" s="3" t="s">
        <v>92</v>
      </c>
      <c r="AQ307" s="1414" t="s">
        <v>92</v>
      </c>
    </row>
    <row r="308" spans="1:44" ht="15" customHeight="1" x14ac:dyDescent="0.4">
      <c r="B308" s="3"/>
      <c r="C308" s="36"/>
      <c r="D308" s="155"/>
      <c r="E308" s="155"/>
      <c r="F308" s="155"/>
      <c r="G308" s="7"/>
      <c r="H308" s="20"/>
      <c r="U308" s="20"/>
      <c r="V308" s="3" t="s">
        <v>2363</v>
      </c>
      <c r="W308" s="3" t="s">
        <v>370</v>
      </c>
      <c r="X308" s="38" t="s">
        <v>369</v>
      </c>
      <c r="Y308" s="1443">
        <v>200446127</v>
      </c>
      <c r="Z308" s="1443"/>
      <c r="AA308" s="20"/>
      <c r="AE308" s="3"/>
      <c r="AF308" s="930"/>
      <c r="AI308" s="39"/>
      <c r="AJ308" s="39"/>
      <c r="AK308" s="39"/>
      <c r="AM308" s="3" t="s">
        <v>92</v>
      </c>
      <c r="AN308" s="3" t="s">
        <v>371</v>
      </c>
      <c r="AO308" s="3" t="s">
        <v>92</v>
      </c>
      <c r="AP308" s="3" t="s">
        <v>92</v>
      </c>
      <c r="AQ308" s="1414" t="s">
        <v>92</v>
      </c>
    </row>
    <row r="309" spans="1:44" ht="15" customHeight="1" x14ac:dyDescent="0.4">
      <c r="B309" s="3"/>
      <c r="C309" s="36"/>
      <c r="D309" s="155"/>
      <c r="E309" s="155"/>
      <c r="F309" s="155"/>
      <c r="G309" s="7"/>
      <c r="H309" s="20"/>
      <c r="U309" s="20"/>
      <c r="V309" s="3" t="s">
        <v>2365</v>
      </c>
      <c r="W309" s="3" t="s">
        <v>370</v>
      </c>
      <c r="X309" s="38" t="s">
        <v>369</v>
      </c>
      <c r="Y309" s="1443">
        <v>200446180</v>
      </c>
      <c r="Z309" s="1443"/>
      <c r="AA309" s="20"/>
      <c r="AE309" s="3"/>
      <c r="AF309" s="930"/>
      <c r="AI309" s="39"/>
      <c r="AJ309" s="39"/>
      <c r="AK309" s="39"/>
      <c r="AM309" s="3" t="s">
        <v>92</v>
      </c>
      <c r="AN309" s="3" t="s">
        <v>371</v>
      </c>
      <c r="AO309" s="3" t="s">
        <v>92</v>
      </c>
      <c r="AP309" s="3" t="s">
        <v>92</v>
      </c>
      <c r="AQ309" s="1414" t="s">
        <v>92</v>
      </c>
    </row>
    <row r="310" spans="1:44" ht="15.75" customHeight="1" thickBot="1" x14ac:dyDescent="0.45">
      <c r="B310" s="3"/>
      <c r="C310" s="943"/>
      <c r="D310" s="1037" t="s">
        <v>2353</v>
      </c>
      <c r="E310" s="1038"/>
      <c r="F310" s="1038"/>
      <c r="G310" s="1039"/>
      <c r="H310" s="1040"/>
      <c r="I310" s="710" t="s">
        <v>392</v>
      </c>
      <c r="J310" s="710"/>
      <c r="K310" s="710"/>
      <c r="L310" s="710"/>
      <c r="M310" s="1041"/>
      <c r="N310" s="1041"/>
      <c r="O310" s="1041"/>
      <c r="P310" s="1042"/>
      <c r="Q310" s="1042"/>
      <c r="R310" s="710" t="s">
        <v>352</v>
      </c>
      <c r="S310" s="1041">
        <f>FWWidth</f>
        <v>47.5</v>
      </c>
      <c r="T310" s="710" t="s">
        <v>366</v>
      </c>
      <c r="U310" s="1040"/>
      <c r="V310" s="1043" t="s">
        <v>369</v>
      </c>
      <c r="W310" s="710" t="s">
        <v>370</v>
      </c>
      <c r="X310" s="1043" t="s">
        <v>369</v>
      </c>
      <c r="Y310" s="1846">
        <v>120074014938</v>
      </c>
      <c r="Z310" s="1608"/>
      <c r="AA310" s="1040"/>
      <c r="AB310" s="710"/>
      <c r="AC310" s="710">
        <v>1</v>
      </c>
      <c r="AD310" s="1041">
        <f>AC310*S310/12</f>
        <v>3.9583333333333335</v>
      </c>
      <c r="AE310" s="710" t="s">
        <v>367</v>
      </c>
      <c r="AF310" s="1041"/>
      <c r="AG310" s="1041"/>
      <c r="AH310" s="1611">
        <v>8.77E-3</v>
      </c>
      <c r="AI310" s="1044"/>
      <c r="AJ310" s="1044"/>
      <c r="AK310" s="1044"/>
      <c r="AL310" s="1611">
        <f>AD$310*AH310+SUM(AI310:AK310)</f>
        <v>3.4714583333333333E-2</v>
      </c>
      <c r="AM310" s="1848" t="s">
        <v>92</v>
      </c>
      <c r="AN310" s="1848" t="s">
        <v>92</v>
      </c>
      <c r="AO310" s="1848" t="s">
        <v>92</v>
      </c>
      <c r="AP310" s="1848" t="s">
        <v>92</v>
      </c>
      <c r="AQ310" s="1935" t="s">
        <v>92</v>
      </c>
      <c r="AR310" s="1848"/>
    </row>
    <row r="311" spans="1:44" ht="15" customHeight="1" x14ac:dyDescent="0.4">
      <c r="A311" s="3" t="s">
        <v>402</v>
      </c>
      <c r="B311" s="3"/>
      <c r="C311" s="7" t="s">
        <v>1868</v>
      </c>
      <c r="D311" s="155"/>
      <c r="E311" s="155"/>
      <c r="F311" s="47" t="s">
        <v>1143</v>
      </c>
      <c r="G311" s="7"/>
      <c r="H311" s="20"/>
      <c r="I311" s="3" t="s">
        <v>392</v>
      </c>
      <c r="L311" s="3" t="s">
        <v>348</v>
      </c>
      <c r="M311" s="5">
        <v>3</v>
      </c>
      <c r="N311" s="5" t="s">
        <v>348</v>
      </c>
      <c r="O311" s="5">
        <f>0.25</f>
        <v>0.25</v>
      </c>
      <c r="R311" s="3" t="s">
        <v>352</v>
      </c>
      <c r="S311" s="5">
        <f>FWWidth+M311+O311</f>
        <v>50.75</v>
      </c>
      <c r="T311" s="3" t="s">
        <v>366</v>
      </c>
      <c r="U311" s="20"/>
      <c r="V311" s="38"/>
      <c r="X311" s="38"/>
      <c r="Y311" s="1443"/>
      <c r="Z311" s="1443"/>
      <c r="AA311" s="20"/>
      <c r="AB311" s="3">
        <v>42</v>
      </c>
      <c r="AC311" s="3">
        <v>1</v>
      </c>
      <c r="AD311" s="5">
        <f>AC311*S311/12</f>
        <v>4.229166666666667</v>
      </c>
      <c r="AE311" s="3" t="s">
        <v>367</v>
      </c>
      <c r="AF311" s="930">
        <f>AF304</f>
        <v>1.034</v>
      </c>
      <c r="AG311" s="5">
        <f>AF311*AtolbperftFixed</f>
        <v>0.65638320000000006</v>
      </c>
      <c r="AH311" s="955">
        <f>AG311*FWTwinCost</f>
        <v>0.65638320000000006</v>
      </c>
      <c r="AM311" s="3" t="s">
        <v>92</v>
      </c>
      <c r="AN311" s="3" t="s">
        <v>371</v>
      </c>
      <c r="AO311" s="3" t="s">
        <v>92</v>
      </c>
      <c r="AP311" s="3" t="s">
        <v>92</v>
      </c>
      <c r="AQ311" s="1414" t="s">
        <v>92</v>
      </c>
    </row>
    <row r="312" spans="1:44" ht="15" customHeight="1" x14ac:dyDescent="0.4">
      <c r="B312" s="3"/>
      <c r="C312" s="36"/>
      <c r="D312" s="155"/>
      <c r="E312" s="155"/>
      <c r="F312" s="47" t="s">
        <v>1138</v>
      </c>
      <c r="G312" s="7"/>
      <c r="H312" s="20"/>
      <c r="I312" s="3" t="s">
        <v>392</v>
      </c>
      <c r="L312" s="3" t="s">
        <v>348</v>
      </c>
      <c r="M312" s="5">
        <v>0</v>
      </c>
      <c r="N312" s="5" t="s">
        <v>348</v>
      </c>
      <c r="O312" s="5">
        <f>0.25</f>
        <v>0.25</v>
      </c>
      <c r="P312" s="24"/>
      <c r="Q312" s="24"/>
      <c r="R312" s="3" t="s">
        <v>352</v>
      </c>
      <c r="S312" s="5">
        <f>FWWidth+M312+O312</f>
        <v>47.75</v>
      </c>
      <c r="T312" s="3" t="s">
        <v>366</v>
      </c>
      <c r="U312" s="20"/>
      <c r="V312" s="38" t="s">
        <v>369</v>
      </c>
      <c r="W312" s="3" t="s">
        <v>370</v>
      </c>
      <c r="X312" s="38" t="s">
        <v>369</v>
      </c>
      <c r="Y312" s="1443">
        <v>200447003</v>
      </c>
      <c r="Z312" s="1443"/>
      <c r="AA312" s="20"/>
      <c r="AE312" s="3"/>
      <c r="AF312" s="930"/>
      <c r="AH312" s="51">
        <f>AH305</f>
        <v>0.65849999999999997</v>
      </c>
      <c r="AI312" s="39"/>
      <c r="AJ312" s="39"/>
      <c r="AK312" s="39"/>
      <c r="AL312" s="51">
        <f>AD$262*AH312+SUM(AI312:AK312)</f>
        <v>2.7849062500000001</v>
      </c>
      <c r="AM312" s="3" t="s">
        <v>92</v>
      </c>
      <c r="AN312" s="3" t="s">
        <v>371</v>
      </c>
      <c r="AO312" s="3" t="s">
        <v>92</v>
      </c>
      <c r="AP312" s="3" t="s">
        <v>92</v>
      </c>
      <c r="AQ312" s="1414" t="s">
        <v>92</v>
      </c>
    </row>
    <row r="313" spans="1:44" ht="15" customHeight="1" x14ac:dyDescent="0.4">
      <c r="C313" s="36"/>
      <c r="D313" s="155"/>
      <c r="E313" s="155"/>
      <c r="F313" s="155"/>
      <c r="G313" s="7"/>
      <c r="H313" s="20"/>
      <c r="U313" s="20"/>
      <c r="V313" s="38" t="s">
        <v>369</v>
      </c>
      <c r="W313" s="3" t="s">
        <v>372</v>
      </c>
      <c r="X313" s="38" t="s">
        <v>369</v>
      </c>
      <c r="Y313" s="1563">
        <v>200447021</v>
      </c>
      <c r="Z313" s="1443"/>
      <c r="AA313" s="20"/>
      <c r="AE313" s="3"/>
      <c r="AF313" s="930"/>
      <c r="AH313" s="51">
        <f>AH306</f>
        <v>0.70189999999999997</v>
      </c>
      <c r="AI313" s="39"/>
      <c r="AJ313" s="39"/>
      <c r="AK313" s="39"/>
      <c r="AL313" s="51">
        <f t="shared" ref="AL313:AL314" si="65">AD$262*AH313+SUM(AI313:AK313)</f>
        <v>2.9684520833333332</v>
      </c>
      <c r="AM313" s="3" t="s">
        <v>92</v>
      </c>
      <c r="AN313" s="3" t="s">
        <v>371</v>
      </c>
      <c r="AO313" s="3" t="s">
        <v>92</v>
      </c>
      <c r="AP313" s="3" t="s">
        <v>92</v>
      </c>
      <c r="AQ313" s="1414" t="s">
        <v>92</v>
      </c>
    </row>
    <row r="314" spans="1:44" ht="15" customHeight="1" x14ac:dyDescent="0.4">
      <c r="B314" s="3"/>
      <c r="C314" s="155"/>
      <c r="D314" s="36"/>
      <c r="E314" s="155"/>
      <c r="F314" s="155"/>
      <c r="G314" s="7"/>
      <c r="H314" s="20"/>
      <c r="U314" s="20"/>
      <c r="V314" s="38" t="s">
        <v>369</v>
      </c>
      <c r="W314" s="3" t="s">
        <v>373</v>
      </c>
      <c r="X314" s="38" t="s">
        <v>369</v>
      </c>
      <c r="Y314" s="1443">
        <v>200447033</v>
      </c>
      <c r="Z314" s="1443"/>
      <c r="AA314" s="20"/>
      <c r="AE314" s="3"/>
      <c r="AF314" s="930"/>
      <c r="AH314" s="51">
        <f>AH307</f>
        <v>0.75409999999999999</v>
      </c>
      <c r="AI314" s="39"/>
      <c r="AJ314" s="39"/>
      <c r="AK314" s="39"/>
      <c r="AL314" s="51">
        <f t="shared" si="65"/>
        <v>3.1892145833333334</v>
      </c>
      <c r="AM314" s="3" t="s">
        <v>92</v>
      </c>
      <c r="AN314" s="3" t="s">
        <v>371</v>
      </c>
      <c r="AO314" s="3" t="s">
        <v>92</v>
      </c>
      <c r="AP314" s="3" t="s">
        <v>92</v>
      </c>
      <c r="AQ314" s="1414" t="s">
        <v>92</v>
      </c>
    </row>
    <row r="315" spans="1:44" ht="15" customHeight="1" x14ac:dyDescent="0.4">
      <c r="B315" s="3"/>
      <c r="C315" s="36"/>
      <c r="D315" s="155"/>
      <c r="E315" s="155"/>
      <c r="F315" s="155"/>
      <c r="G315" s="7"/>
      <c r="H315" s="20"/>
      <c r="U315" s="20"/>
      <c r="V315" s="3" t="s">
        <v>2363</v>
      </c>
      <c r="W315" s="3" t="s">
        <v>370</v>
      </c>
      <c r="X315" s="38" t="s">
        <v>369</v>
      </c>
      <c r="Y315" s="1443">
        <v>200447127</v>
      </c>
      <c r="Z315" s="1443"/>
      <c r="AA315" s="20"/>
      <c r="AE315" s="3"/>
      <c r="AF315" s="930"/>
      <c r="AI315" s="39"/>
      <c r="AJ315" s="39"/>
      <c r="AK315" s="39"/>
      <c r="AM315" s="3" t="s">
        <v>92</v>
      </c>
      <c r="AN315" s="3" t="s">
        <v>371</v>
      </c>
      <c r="AO315" s="3" t="s">
        <v>92</v>
      </c>
      <c r="AP315" s="3" t="s">
        <v>92</v>
      </c>
      <c r="AQ315" s="1414" t="s">
        <v>92</v>
      </c>
    </row>
    <row r="316" spans="1:44" ht="15" customHeight="1" x14ac:dyDescent="0.4">
      <c r="B316" s="3"/>
      <c r="C316" s="36"/>
      <c r="D316" s="155"/>
      <c r="E316" s="155"/>
      <c r="F316" s="155"/>
      <c r="G316" s="7"/>
      <c r="H316" s="20"/>
      <c r="U316" s="20"/>
      <c r="V316" s="3" t="s">
        <v>2365</v>
      </c>
      <c r="W316" s="3" t="s">
        <v>370</v>
      </c>
      <c r="X316" s="38" t="s">
        <v>369</v>
      </c>
      <c r="Y316" s="1443">
        <v>200447180</v>
      </c>
      <c r="Z316" s="1443"/>
      <c r="AA316" s="20"/>
      <c r="AE316" s="3"/>
      <c r="AF316" s="930"/>
      <c r="AI316" s="39"/>
      <c r="AJ316" s="39"/>
      <c r="AK316" s="39"/>
      <c r="AM316" s="3" t="s">
        <v>92</v>
      </c>
      <c r="AN316" s="3" t="s">
        <v>371</v>
      </c>
      <c r="AO316" s="3" t="s">
        <v>92</v>
      </c>
      <c r="AP316" s="3" t="s">
        <v>92</v>
      </c>
      <c r="AQ316" s="1414" t="s">
        <v>92</v>
      </c>
    </row>
    <row r="317" spans="1:44" ht="15.75" customHeight="1" thickBot="1" x14ac:dyDescent="0.45">
      <c r="B317" s="3"/>
      <c r="C317" s="943"/>
      <c r="D317" s="1037" t="s">
        <v>2353</v>
      </c>
      <c r="E317" s="1038"/>
      <c r="F317" s="1038"/>
      <c r="G317" s="1039"/>
      <c r="H317" s="1040"/>
      <c r="I317" s="710" t="s">
        <v>392</v>
      </c>
      <c r="J317" s="710"/>
      <c r="K317" s="710"/>
      <c r="L317" s="710"/>
      <c r="M317" s="1041"/>
      <c r="N317" s="1041"/>
      <c r="O317" s="1041"/>
      <c r="P317" s="1042"/>
      <c r="Q317" s="1042"/>
      <c r="R317" s="710" t="s">
        <v>352</v>
      </c>
      <c r="S317" s="1041">
        <f>FWWidth</f>
        <v>47.5</v>
      </c>
      <c r="T317" s="710" t="s">
        <v>366</v>
      </c>
      <c r="U317" s="1040"/>
      <c r="V317" s="1043" t="s">
        <v>369</v>
      </c>
      <c r="W317" s="710" t="s">
        <v>370</v>
      </c>
      <c r="X317" s="1043" t="s">
        <v>369</v>
      </c>
      <c r="Y317" s="1846">
        <v>120074014938</v>
      </c>
      <c r="Z317" s="1608"/>
      <c r="AA317" s="1040"/>
      <c r="AB317" s="710"/>
      <c r="AC317" s="710">
        <v>1</v>
      </c>
      <c r="AD317" s="1041">
        <f>AC317*S317/12</f>
        <v>3.9583333333333335</v>
      </c>
      <c r="AE317" s="710" t="s">
        <v>367</v>
      </c>
      <c r="AF317" s="1041"/>
      <c r="AG317" s="1041"/>
      <c r="AH317" s="1611">
        <v>8.77E-3</v>
      </c>
      <c r="AI317" s="1044"/>
      <c r="AJ317" s="1044"/>
      <c r="AK317" s="1044"/>
      <c r="AL317" s="1611">
        <f>AD$317*AH317+SUM(AI317:AK317)</f>
        <v>3.4714583333333333E-2</v>
      </c>
      <c r="AM317" s="1848" t="s">
        <v>92</v>
      </c>
      <c r="AN317" s="1848" t="s">
        <v>92</v>
      </c>
      <c r="AO317" s="1848" t="s">
        <v>92</v>
      </c>
      <c r="AP317" s="1848" t="s">
        <v>92</v>
      </c>
      <c r="AQ317" s="1935" t="s">
        <v>92</v>
      </c>
      <c r="AR317" s="1848"/>
    </row>
    <row r="318" spans="1:44" ht="15.75" customHeight="1" x14ac:dyDescent="0.4">
      <c r="B318" s="36"/>
      <c r="C318" s="36" t="s">
        <v>1869</v>
      </c>
      <c r="D318" s="155"/>
      <c r="E318" s="155"/>
      <c r="F318" s="47" t="s">
        <v>1143</v>
      </c>
      <c r="G318" s="7"/>
      <c r="H318" s="20"/>
      <c r="I318" s="3" t="s">
        <v>392</v>
      </c>
      <c r="L318" s="3" t="s">
        <v>348</v>
      </c>
      <c r="M318" s="5">
        <v>3</v>
      </c>
      <c r="N318" s="5" t="s">
        <v>348</v>
      </c>
      <c r="O318" s="5">
        <f>0.25</f>
        <v>0.25</v>
      </c>
      <c r="R318" s="3" t="s">
        <v>352</v>
      </c>
      <c r="S318" s="5">
        <f>FWWidth+M318+O318</f>
        <v>50.75</v>
      </c>
      <c r="T318" s="3" t="s">
        <v>366</v>
      </c>
      <c r="U318" s="20"/>
      <c r="V318" s="7"/>
      <c r="W318" s="7"/>
      <c r="X318" s="7"/>
      <c r="Y318" s="1443"/>
      <c r="Z318" s="1443"/>
      <c r="AA318" s="20"/>
      <c r="AB318" s="3">
        <v>42</v>
      </c>
      <c r="AC318" s="3">
        <v>1</v>
      </c>
      <c r="AD318" s="5">
        <f>AC318*S318/12</f>
        <v>4.229166666666667</v>
      </c>
      <c r="AE318" s="3" t="s">
        <v>367</v>
      </c>
      <c r="AF318" s="930">
        <f>AF304</f>
        <v>1.034</v>
      </c>
      <c r="AG318" s="5">
        <f>AF318*AtolbperftFixed</f>
        <v>0.65638320000000006</v>
      </c>
      <c r="AH318" s="955">
        <f>AG318*FWTwinCost</f>
        <v>0.65638320000000006</v>
      </c>
      <c r="AM318" s="3" t="s">
        <v>92</v>
      </c>
      <c r="AN318" s="3" t="s">
        <v>371</v>
      </c>
      <c r="AO318" s="3" t="s">
        <v>92</v>
      </c>
      <c r="AP318" s="3" t="s">
        <v>92</v>
      </c>
      <c r="AQ318" s="1414" t="s">
        <v>92</v>
      </c>
    </row>
    <row r="319" spans="1:44" ht="15.75" customHeight="1" x14ac:dyDescent="0.4">
      <c r="B319" s="36"/>
      <c r="C319" s="36"/>
      <c r="D319" s="155"/>
      <c r="E319" s="155"/>
      <c r="F319" s="47" t="s">
        <v>1138</v>
      </c>
      <c r="G319" s="7"/>
      <c r="H319" s="20"/>
      <c r="I319" s="3" t="s">
        <v>392</v>
      </c>
      <c r="L319" s="3" t="s">
        <v>348</v>
      </c>
      <c r="M319" s="5">
        <v>0</v>
      </c>
      <c r="N319" s="5" t="s">
        <v>348</v>
      </c>
      <c r="O319" s="5">
        <f>0.25</f>
        <v>0.25</v>
      </c>
      <c r="P319" s="24"/>
      <c r="Q319" s="24"/>
      <c r="R319" s="3" t="s">
        <v>352</v>
      </c>
      <c r="S319" s="5">
        <f>FWWidth+M319+O319</f>
        <v>47.75</v>
      </c>
      <c r="T319" s="3" t="s">
        <v>366</v>
      </c>
      <c r="U319" s="20"/>
      <c r="V319" s="38" t="s">
        <v>369</v>
      </c>
      <c r="W319" s="3" t="s">
        <v>370</v>
      </c>
      <c r="X319" s="38" t="s">
        <v>369</v>
      </c>
      <c r="Y319" s="1443">
        <v>207955003</v>
      </c>
      <c r="Z319" s="1443"/>
      <c r="AA319" s="20"/>
      <c r="AE319" s="3"/>
      <c r="AF319" s="930"/>
      <c r="AH319" s="51">
        <f>AH305</f>
        <v>0.65849999999999997</v>
      </c>
      <c r="AI319" s="39"/>
      <c r="AJ319" s="39"/>
      <c r="AK319" s="39"/>
      <c r="AL319" s="51">
        <f>AD$269*AH319+SUM(AI319:AK319)</f>
        <v>2.7849062500000001</v>
      </c>
      <c r="AM319" s="3" t="s">
        <v>92</v>
      </c>
      <c r="AN319" s="3" t="s">
        <v>371</v>
      </c>
      <c r="AO319" s="3" t="s">
        <v>92</v>
      </c>
      <c r="AP319" s="3" t="s">
        <v>92</v>
      </c>
      <c r="AQ319" s="1414" t="s">
        <v>92</v>
      </c>
    </row>
    <row r="320" spans="1:44" ht="15.75" customHeight="1" x14ac:dyDescent="0.4">
      <c r="B320" s="36"/>
      <c r="C320" s="36"/>
      <c r="D320" s="155"/>
      <c r="E320" s="155"/>
      <c r="F320" s="155"/>
      <c r="G320" s="7"/>
      <c r="H320" s="20"/>
      <c r="P320" s="24"/>
      <c r="Q320" s="24"/>
      <c r="U320" s="20"/>
      <c r="V320" s="38" t="s">
        <v>369</v>
      </c>
      <c r="W320" s="3" t="s">
        <v>372</v>
      </c>
      <c r="X320" s="38" t="s">
        <v>369</v>
      </c>
      <c r="Y320" s="1563">
        <v>207955021</v>
      </c>
      <c r="Z320" s="1443"/>
      <c r="AA320" s="20"/>
      <c r="AE320" s="3"/>
      <c r="AH320" s="51">
        <f>AH306</f>
        <v>0.70189999999999997</v>
      </c>
      <c r="AI320" s="39"/>
      <c r="AJ320" s="39"/>
      <c r="AK320" s="39"/>
      <c r="AL320" s="51">
        <f t="shared" ref="AL320:AL321" si="66">AD$269*AH320+SUM(AI320:AK320)</f>
        <v>2.9684520833333332</v>
      </c>
      <c r="AM320" s="3" t="s">
        <v>92</v>
      </c>
      <c r="AN320" s="3" t="s">
        <v>371</v>
      </c>
      <c r="AO320" s="3" t="s">
        <v>92</v>
      </c>
      <c r="AP320" s="3" t="s">
        <v>92</v>
      </c>
      <c r="AQ320" s="1414" t="s">
        <v>92</v>
      </c>
    </row>
    <row r="321" spans="1:44" ht="15.75" customHeight="1" x14ac:dyDescent="0.4">
      <c r="B321" s="36"/>
      <c r="C321" s="36"/>
      <c r="D321" s="155"/>
      <c r="E321" s="155"/>
      <c r="F321" s="155"/>
      <c r="G321" s="7"/>
      <c r="H321" s="20"/>
      <c r="P321" s="24"/>
      <c r="Q321" s="24"/>
      <c r="U321" s="20"/>
      <c r="V321" s="38" t="s">
        <v>369</v>
      </c>
      <c r="W321" s="3" t="s">
        <v>373</v>
      </c>
      <c r="X321" s="38" t="s">
        <v>369</v>
      </c>
      <c r="Y321" s="1443">
        <v>207955033</v>
      </c>
      <c r="Z321" s="1443"/>
      <c r="AA321" s="20"/>
      <c r="AE321" s="3"/>
      <c r="AH321" s="51">
        <f>AH307</f>
        <v>0.75409999999999999</v>
      </c>
      <c r="AI321" s="39"/>
      <c r="AJ321" s="39"/>
      <c r="AK321" s="39"/>
      <c r="AL321" s="51">
        <f t="shared" si="66"/>
        <v>3.1892145833333334</v>
      </c>
      <c r="AM321" s="3" t="s">
        <v>92</v>
      </c>
      <c r="AN321" s="3" t="s">
        <v>371</v>
      </c>
      <c r="AO321" s="3" t="s">
        <v>92</v>
      </c>
      <c r="AP321" s="3" t="s">
        <v>92</v>
      </c>
      <c r="AQ321" s="1414" t="s">
        <v>92</v>
      </c>
    </row>
    <row r="322" spans="1:44" ht="15" customHeight="1" x14ac:dyDescent="0.4">
      <c r="B322" s="3"/>
      <c r="C322" s="36"/>
      <c r="D322" s="155"/>
      <c r="E322" s="155"/>
      <c r="F322" s="155"/>
      <c r="G322" s="7"/>
      <c r="H322" s="20"/>
      <c r="U322" s="20"/>
      <c r="V322" s="3" t="s">
        <v>2363</v>
      </c>
      <c r="W322" s="3" t="s">
        <v>370</v>
      </c>
      <c r="X322" s="38" t="s">
        <v>369</v>
      </c>
      <c r="Y322" s="1443">
        <v>207955127</v>
      </c>
      <c r="Z322" s="1443"/>
      <c r="AA322" s="20"/>
      <c r="AE322" s="3"/>
      <c r="AF322" s="930"/>
      <c r="AI322" s="39"/>
      <c r="AJ322" s="39"/>
      <c r="AK322" s="39"/>
      <c r="AM322" s="3" t="s">
        <v>92</v>
      </c>
      <c r="AN322" s="3" t="s">
        <v>371</v>
      </c>
      <c r="AO322" s="3" t="s">
        <v>92</v>
      </c>
      <c r="AP322" s="3" t="s">
        <v>92</v>
      </c>
      <c r="AQ322" s="1414" t="s">
        <v>92</v>
      </c>
    </row>
    <row r="323" spans="1:44" ht="15" customHeight="1" thickBot="1" x14ac:dyDescent="0.45">
      <c r="B323" s="3"/>
      <c r="C323" s="36"/>
      <c r="D323" s="155"/>
      <c r="E323" s="155"/>
      <c r="F323" s="155"/>
      <c r="G323" s="7"/>
      <c r="H323" s="20"/>
      <c r="U323" s="20"/>
      <c r="V323" s="3" t="s">
        <v>2365</v>
      </c>
      <c r="W323" s="3" t="s">
        <v>370</v>
      </c>
      <c r="X323" s="38" t="s">
        <v>369</v>
      </c>
      <c r="Y323" s="1443">
        <v>207955180</v>
      </c>
      <c r="Z323" s="1443"/>
      <c r="AA323" s="20"/>
      <c r="AE323" s="3"/>
      <c r="AF323" s="930"/>
      <c r="AI323" s="39"/>
      <c r="AJ323" s="39"/>
      <c r="AK323" s="39"/>
      <c r="AM323" s="889" t="s">
        <v>92</v>
      </c>
      <c r="AN323" s="889" t="s">
        <v>371</v>
      </c>
      <c r="AO323" s="889" t="s">
        <v>92</v>
      </c>
      <c r="AP323" s="889" t="s">
        <v>92</v>
      </c>
      <c r="AQ323" s="1590" t="s">
        <v>92</v>
      </c>
      <c r="AR323" s="889"/>
    </row>
    <row r="324" spans="1:44" ht="15" customHeight="1" x14ac:dyDescent="0.4">
      <c r="A324" s="3" t="s">
        <v>402</v>
      </c>
      <c r="B324" s="173"/>
      <c r="C324" s="173" t="s">
        <v>1153</v>
      </c>
      <c r="D324" s="116"/>
      <c r="E324" s="138"/>
      <c r="F324" s="174" t="s">
        <v>391</v>
      </c>
      <c r="G324" s="173"/>
      <c r="H324" s="175"/>
      <c r="I324" s="116" t="s">
        <v>392</v>
      </c>
      <c r="J324" s="116"/>
      <c r="K324" s="116"/>
      <c r="L324" s="116" t="s">
        <v>348</v>
      </c>
      <c r="M324" s="177">
        <v>3</v>
      </c>
      <c r="N324" s="177" t="s">
        <v>348</v>
      </c>
      <c r="O324" s="177">
        <f>0.25</f>
        <v>0.25</v>
      </c>
      <c r="P324" s="177"/>
      <c r="Q324" s="177"/>
      <c r="R324" s="116" t="s">
        <v>352</v>
      </c>
      <c r="S324" s="177">
        <f>FWWidth+M324+O324</f>
        <v>50.75</v>
      </c>
      <c r="T324" s="116" t="s">
        <v>366</v>
      </c>
      <c r="U324" s="175"/>
      <c r="V324" s="173"/>
      <c r="W324" s="173"/>
      <c r="X324" s="173"/>
      <c r="Y324" s="1449"/>
      <c r="Z324" s="1449"/>
      <c r="AA324" s="175"/>
      <c r="AB324" s="116">
        <v>42</v>
      </c>
      <c r="AC324" s="116">
        <v>1</v>
      </c>
      <c r="AD324" s="177">
        <f>AC324*S324/12</f>
        <v>4.229166666666667</v>
      </c>
      <c r="AE324" s="116" t="s">
        <v>367</v>
      </c>
      <c r="AF324" s="627">
        <f>AF275</f>
        <v>1.36</v>
      </c>
      <c r="AG324" s="177">
        <f>AF324*AtolbperftFixed</f>
        <v>0.8633280000000001</v>
      </c>
      <c r="AH324" s="935">
        <f>AG324*FWTwinCost</f>
        <v>0.8633280000000001</v>
      </c>
      <c r="AI324" s="185"/>
      <c r="AJ324" s="185"/>
      <c r="AK324" s="185"/>
      <c r="AL324" s="185"/>
      <c r="AM324" s="3" t="s">
        <v>92</v>
      </c>
      <c r="AN324" s="3" t="s">
        <v>371</v>
      </c>
      <c r="AO324" s="3" t="s">
        <v>92</v>
      </c>
      <c r="AP324" s="3" t="s">
        <v>92</v>
      </c>
      <c r="AQ324" s="1414" t="s">
        <v>92</v>
      </c>
    </row>
    <row r="325" spans="1:44" ht="15" customHeight="1" x14ac:dyDescent="0.4">
      <c r="B325" s="36"/>
      <c r="C325" s="36"/>
      <c r="D325" s="155"/>
      <c r="E325" s="47"/>
      <c r="F325" s="47" t="s">
        <v>1138</v>
      </c>
      <c r="G325" s="7"/>
      <c r="H325" s="20"/>
      <c r="I325" s="3" t="s">
        <v>392</v>
      </c>
      <c r="L325" s="3" t="s">
        <v>348</v>
      </c>
      <c r="M325" s="5">
        <v>0</v>
      </c>
      <c r="N325" s="5" t="s">
        <v>348</v>
      </c>
      <c r="O325" s="5">
        <f>0.25</f>
        <v>0.25</v>
      </c>
      <c r="R325" s="3" t="s">
        <v>352</v>
      </c>
      <c r="S325" s="5">
        <f>FWWidth+M325+O325</f>
        <v>47.75</v>
      </c>
      <c r="T325" s="3" t="s">
        <v>366</v>
      </c>
      <c r="U325" s="20"/>
      <c r="V325" s="38" t="s">
        <v>369</v>
      </c>
      <c r="W325" s="3" t="s">
        <v>370</v>
      </c>
      <c r="X325" s="38" t="s">
        <v>369</v>
      </c>
      <c r="Y325" s="1443">
        <v>200148003</v>
      </c>
      <c r="Z325" s="1443"/>
      <c r="AA325" s="20"/>
      <c r="AE325" s="3"/>
      <c r="AF325" s="930"/>
      <c r="AH325" s="51">
        <f>AH276</f>
        <v>0</v>
      </c>
      <c r="AI325" s="39"/>
      <c r="AJ325" s="39"/>
      <c r="AK325" s="39"/>
      <c r="AL325" s="51">
        <f>AD$324*AH325+SUM(AI325:AK325)</f>
        <v>0</v>
      </c>
      <c r="AM325" s="3" t="s">
        <v>92</v>
      </c>
      <c r="AN325" s="3" t="s">
        <v>371</v>
      </c>
      <c r="AO325" s="3" t="s">
        <v>92</v>
      </c>
      <c r="AP325" s="3" t="s">
        <v>92</v>
      </c>
      <c r="AQ325" s="1414" t="s">
        <v>92</v>
      </c>
    </row>
    <row r="326" spans="1:44" ht="15" customHeight="1" x14ac:dyDescent="0.4">
      <c r="B326" s="36"/>
      <c r="C326" s="36"/>
      <c r="D326" s="155"/>
      <c r="E326" s="155"/>
      <c r="F326" s="155"/>
      <c r="G326" s="7"/>
      <c r="H326" s="20"/>
      <c r="P326" s="24"/>
      <c r="Q326" s="24"/>
      <c r="U326" s="20"/>
      <c r="V326" s="38" t="s">
        <v>369</v>
      </c>
      <c r="W326" s="3" t="s">
        <v>372</v>
      </c>
      <c r="X326" s="38" t="s">
        <v>369</v>
      </c>
      <c r="Y326" s="1563">
        <v>200148021</v>
      </c>
      <c r="Z326" s="1443"/>
      <c r="AA326" s="20"/>
      <c r="AE326" s="3"/>
      <c r="AH326" s="51">
        <f>AH277</f>
        <v>0</v>
      </c>
      <c r="AI326" s="39"/>
      <c r="AJ326" s="39"/>
      <c r="AK326" s="39"/>
      <c r="AL326" s="51">
        <f t="shared" ref="AL326:AL327" si="67">AD$324*AH326+SUM(AI326:AK326)</f>
        <v>0</v>
      </c>
      <c r="AM326" s="3" t="s">
        <v>92</v>
      </c>
      <c r="AN326" s="3" t="s">
        <v>371</v>
      </c>
      <c r="AO326" s="3" t="s">
        <v>92</v>
      </c>
      <c r="AP326" s="3" t="s">
        <v>92</v>
      </c>
      <c r="AQ326" s="1414" t="s">
        <v>92</v>
      </c>
    </row>
    <row r="327" spans="1:44" ht="15.75" customHeight="1" x14ac:dyDescent="0.4">
      <c r="B327" s="3"/>
      <c r="C327" s="36"/>
      <c r="D327" s="155"/>
      <c r="E327" s="155"/>
      <c r="F327" s="155"/>
      <c r="G327" s="7"/>
      <c r="H327" s="20"/>
      <c r="P327" s="24"/>
      <c r="Q327" s="24"/>
      <c r="U327" s="20"/>
      <c r="V327" s="38" t="s">
        <v>369</v>
      </c>
      <c r="W327" s="3" t="s">
        <v>373</v>
      </c>
      <c r="X327" s="38" t="s">
        <v>369</v>
      </c>
      <c r="Y327" s="1443">
        <v>200148033</v>
      </c>
      <c r="Z327" s="1443"/>
      <c r="AA327" s="20"/>
      <c r="AE327" s="3"/>
      <c r="AH327" s="51">
        <f>AH278</f>
        <v>0</v>
      </c>
      <c r="AI327" s="39"/>
      <c r="AJ327" s="39"/>
      <c r="AK327" s="39"/>
      <c r="AL327" s="51">
        <f t="shared" si="67"/>
        <v>0</v>
      </c>
      <c r="AM327" s="3" t="s">
        <v>92</v>
      </c>
      <c r="AN327" s="3" t="s">
        <v>371</v>
      </c>
      <c r="AO327" s="3" t="s">
        <v>92</v>
      </c>
      <c r="AP327" s="3" t="s">
        <v>92</v>
      </c>
      <c r="AQ327" s="1414" t="s">
        <v>92</v>
      </c>
    </row>
    <row r="328" spans="1:44" ht="15.75" customHeight="1" x14ac:dyDescent="0.4">
      <c r="B328" s="3"/>
      <c r="C328" s="36"/>
      <c r="D328" s="155"/>
      <c r="E328" s="155"/>
      <c r="F328" s="155"/>
      <c r="G328" s="7"/>
      <c r="H328" s="20"/>
      <c r="P328" s="24"/>
      <c r="Q328" s="24"/>
      <c r="U328" s="20"/>
      <c r="V328" s="3" t="s">
        <v>2363</v>
      </c>
      <c r="W328" s="3" t="s">
        <v>370</v>
      </c>
      <c r="X328" s="38" t="s">
        <v>369</v>
      </c>
      <c r="Y328" s="1443">
        <v>200148127</v>
      </c>
      <c r="Z328" s="1443"/>
      <c r="AA328" s="20"/>
      <c r="AE328" s="3"/>
      <c r="AI328" s="39"/>
      <c r="AJ328" s="39"/>
      <c r="AK328" s="39"/>
      <c r="AM328" s="3" t="s">
        <v>92</v>
      </c>
      <c r="AN328" s="3" t="s">
        <v>371</v>
      </c>
      <c r="AO328" s="3" t="s">
        <v>92</v>
      </c>
      <c r="AP328" s="3" t="s">
        <v>92</v>
      </c>
      <c r="AQ328" s="1414" t="s">
        <v>92</v>
      </c>
    </row>
    <row r="329" spans="1:44" ht="15.75" customHeight="1" x14ac:dyDescent="0.4">
      <c r="B329" s="3"/>
      <c r="C329" s="36"/>
      <c r="D329" s="155"/>
      <c r="E329" s="155"/>
      <c r="F329" s="155"/>
      <c r="G329" s="7"/>
      <c r="H329" s="20"/>
      <c r="P329" s="24"/>
      <c r="Q329" s="24"/>
      <c r="U329" s="20"/>
      <c r="V329" s="3" t="s">
        <v>2365</v>
      </c>
      <c r="W329" s="3" t="s">
        <v>370</v>
      </c>
      <c r="X329" s="38" t="s">
        <v>369</v>
      </c>
      <c r="Y329" s="1443">
        <v>200148180</v>
      </c>
      <c r="Z329" s="1443"/>
      <c r="AA329" s="20"/>
      <c r="AE329" s="3"/>
      <c r="AI329" s="39"/>
      <c r="AJ329" s="39"/>
      <c r="AK329" s="39"/>
      <c r="AM329" s="3" t="s">
        <v>92</v>
      </c>
      <c r="AN329" s="3" t="s">
        <v>371</v>
      </c>
      <c r="AO329" s="3" t="s">
        <v>92</v>
      </c>
      <c r="AP329" s="3" t="s">
        <v>92</v>
      </c>
      <c r="AQ329" s="1414" t="s">
        <v>92</v>
      </c>
    </row>
    <row r="330" spans="1:44" ht="15.75" customHeight="1" thickBot="1" x14ac:dyDescent="0.45">
      <c r="B330" s="3"/>
      <c r="C330" s="943"/>
      <c r="D330" s="1037" t="s">
        <v>2353</v>
      </c>
      <c r="E330" s="1038"/>
      <c r="F330" s="1038"/>
      <c r="G330" s="1039"/>
      <c r="H330" s="1040"/>
      <c r="I330" s="710" t="s">
        <v>392</v>
      </c>
      <c r="J330" s="710"/>
      <c r="K330" s="710"/>
      <c r="L330" s="710"/>
      <c r="M330" s="1041"/>
      <c r="N330" s="1041"/>
      <c r="O330" s="1041"/>
      <c r="P330" s="1042"/>
      <c r="Q330" s="1042"/>
      <c r="R330" s="710" t="s">
        <v>352</v>
      </c>
      <c r="S330" s="1041">
        <f>FWWidth</f>
        <v>47.5</v>
      </c>
      <c r="T330" s="710" t="s">
        <v>366</v>
      </c>
      <c r="U330" s="1040"/>
      <c r="V330" s="1043" t="s">
        <v>369</v>
      </c>
      <c r="W330" s="710" t="s">
        <v>370</v>
      </c>
      <c r="X330" s="1043" t="s">
        <v>369</v>
      </c>
      <c r="Y330" s="1846">
        <v>120074014938</v>
      </c>
      <c r="Z330" s="1608"/>
      <c r="AA330" s="1040"/>
      <c r="AB330" s="710"/>
      <c r="AC330" s="710">
        <v>1</v>
      </c>
      <c r="AD330" s="1041">
        <f>AC330*S330/12</f>
        <v>3.9583333333333335</v>
      </c>
      <c r="AE330" s="710" t="s">
        <v>367</v>
      </c>
      <c r="AF330" s="1041"/>
      <c r="AG330" s="1041"/>
      <c r="AH330" s="1611">
        <v>8.77E-3</v>
      </c>
      <c r="AI330" s="1044"/>
      <c r="AJ330" s="1044"/>
      <c r="AK330" s="1044"/>
      <c r="AL330" s="1611">
        <f>AD$330*AH330+SUM(AI330:AK330)</f>
        <v>3.4714583333333333E-2</v>
      </c>
      <c r="AM330" s="1848" t="s">
        <v>92</v>
      </c>
      <c r="AN330" s="1848" t="s">
        <v>92</v>
      </c>
      <c r="AO330" s="1848" t="s">
        <v>92</v>
      </c>
      <c r="AP330" s="1848" t="s">
        <v>92</v>
      </c>
      <c r="AQ330" s="1935" t="s">
        <v>92</v>
      </c>
      <c r="AR330" s="1848"/>
    </row>
    <row r="331" spans="1:44" ht="15" customHeight="1" x14ac:dyDescent="0.4">
      <c r="A331" s="3" t="s">
        <v>402</v>
      </c>
      <c r="B331" s="7"/>
      <c r="C331" s="7" t="s">
        <v>1154</v>
      </c>
      <c r="D331" s="3"/>
      <c r="F331" s="47" t="s">
        <v>391</v>
      </c>
      <c r="G331" s="7"/>
      <c r="H331" s="20"/>
      <c r="I331" s="3" t="s">
        <v>392</v>
      </c>
      <c r="L331" s="3" t="s">
        <v>348</v>
      </c>
      <c r="M331" s="5">
        <v>3</v>
      </c>
      <c r="N331" s="5" t="s">
        <v>348</v>
      </c>
      <c r="O331" s="5">
        <f>0.25</f>
        <v>0.25</v>
      </c>
      <c r="R331" s="3" t="s">
        <v>352</v>
      </c>
      <c r="S331" s="5">
        <f>FWWidth+M331+O331</f>
        <v>50.75</v>
      </c>
      <c r="T331" s="3" t="s">
        <v>366</v>
      </c>
      <c r="U331" s="20"/>
      <c r="V331" s="7"/>
      <c r="W331" s="7"/>
      <c r="X331" s="7"/>
      <c r="Y331" s="1443"/>
      <c r="Z331" s="1443"/>
      <c r="AA331" s="20"/>
      <c r="AB331" s="3">
        <v>42</v>
      </c>
      <c r="AC331" s="3">
        <v>1</v>
      </c>
      <c r="AD331" s="5">
        <f>AC331*S331/12</f>
        <v>4.229166666666667</v>
      </c>
      <c r="AE331" s="3" t="s">
        <v>367</v>
      </c>
      <c r="AF331" s="930">
        <f>AF324</f>
        <v>1.36</v>
      </c>
      <c r="AG331" s="5">
        <f>AF331*AtolbperftFixed</f>
        <v>0.8633280000000001</v>
      </c>
      <c r="AH331" s="955">
        <f>AG331*FWTwinCost</f>
        <v>0.8633280000000001</v>
      </c>
      <c r="AM331" s="3" t="s">
        <v>92</v>
      </c>
      <c r="AN331" s="3" t="s">
        <v>371</v>
      </c>
      <c r="AO331" s="3" t="s">
        <v>92</v>
      </c>
      <c r="AP331" s="3" t="s">
        <v>92</v>
      </c>
      <c r="AQ331" s="1414" t="s">
        <v>92</v>
      </c>
    </row>
    <row r="332" spans="1:44" ht="15" customHeight="1" x14ac:dyDescent="0.4">
      <c r="B332" s="36"/>
      <c r="C332" s="36"/>
      <c r="D332" s="155"/>
      <c r="E332" s="47"/>
      <c r="F332" s="47" t="s">
        <v>1138</v>
      </c>
      <c r="G332" s="7"/>
      <c r="H332" s="20"/>
      <c r="I332" s="3" t="s">
        <v>392</v>
      </c>
      <c r="L332" s="3" t="s">
        <v>348</v>
      </c>
      <c r="M332" s="5">
        <v>0</v>
      </c>
      <c r="N332" s="5" t="s">
        <v>348</v>
      </c>
      <c r="O332" s="5">
        <f>0.25</f>
        <v>0.25</v>
      </c>
      <c r="R332" s="3" t="s">
        <v>352</v>
      </c>
      <c r="S332" s="5">
        <f>FWWidth+M332+O332</f>
        <v>47.75</v>
      </c>
      <c r="T332" s="3" t="s">
        <v>366</v>
      </c>
      <c r="U332" s="20"/>
      <c r="V332" s="38" t="s">
        <v>369</v>
      </c>
      <c r="W332" s="3" t="s">
        <v>370</v>
      </c>
      <c r="X332" s="38" t="s">
        <v>369</v>
      </c>
      <c r="Y332" s="1443">
        <v>200147003</v>
      </c>
      <c r="Z332" s="1443"/>
      <c r="AA332" s="20"/>
      <c r="AE332" s="3"/>
      <c r="AF332" s="930"/>
      <c r="AH332" s="51">
        <f>AH325</f>
        <v>0</v>
      </c>
      <c r="AI332" s="39"/>
      <c r="AJ332" s="39"/>
      <c r="AK332" s="39"/>
      <c r="AL332" s="51">
        <f>AD$331*AH332+SUM(AI332:AK332)</f>
        <v>0</v>
      </c>
      <c r="AM332" s="3" t="s">
        <v>92</v>
      </c>
      <c r="AN332" s="3" t="s">
        <v>371</v>
      </c>
      <c r="AO332" s="3" t="s">
        <v>92</v>
      </c>
      <c r="AP332" s="3" t="s">
        <v>92</v>
      </c>
      <c r="AQ332" s="1414" t="s">
        <v>92</v>
      </c>
    </row>
    <row r="333" spans="1:44" ht="15" customHeight="1" x14ac:dyDescent="0.4">
      <c r="B333" s="36"/>
      <c r="C333" s="36"/>
      <c r="D333" s="155"/>
      <c r="E333" s="155"/>
      <c r="F333" s="155"/>
      <c r="G333" s="7"/>
      <c r="H333" s="20"/>
      <c r="P333" s="24"/>
      <c r="Q333" s="24"/>
      <c r="U333" s="20"/>
      <c r="V333" s="38" t="s">
        <v>369</v>
      </c>
      <c r="W333" s="3" t="s">
        <v>372</v>
      </c>
      <c r="X333" s="38" t="s">
        <v>369</v>
      </c>
      <c r="Y333" s="1563">
        <v>200147021</v>
      </c>
      <c r="Z333" s="1443"/>
      <c r="AA333" s="20"/>
      <c r="AE333" s="3"/>
      <c r="AH333" s="51">
        <f>AH326</f>
        <v>0</v>
      </c>
      <c r="AI333" s="39"/>
      <c r="AJ333" s="39"/>
      <c r="AK333" s="39"/>
      <c r="AL333" s="51">
        <f t="shared" ref="AL333:AL334" si="68">AD$331*AH333+SUM(AI333:AK333)</f>
        <v>0</v>
      </c>
      <c r="AM333" s="3" t="s">
        <v>92</v>
      </c>
      <c r="AN333" s="3" t="s">
        <v>371</v>
      </c>
      <c r="AO333" s="3" t="s">
        <v>92</v>
      </c>
      <c r="AP333" s="3" t="s">
        <v>92</v>
      </c>
      <c r="AQ333" s="1414" t="s">
        <v>92</v>
      </c>
    </row>
    <row r="334" spans="1:44" ht="15.75" customHeight="1" x14ac:dyDescent="0.4">
      <c r="B334" s="3"/>
      <c r="C334" s="36"/>
      <c r="D334" s="155"/>
      <c r="E334" s="155"/>
      <c r="F334" s="155"/>
      <c r="G334" s="7"/>
      <c r="H334" s="20"/>
      <c r="P334" s="24"/>
      <c r="Q334" s="24"/>
      <c r="U334" s="20"/>
      <c r="V334" s="38" t="s">
        <v>369</v>
      </c>
      <c r="W334" s="3" t="s">
        <v>373</v>
      </c>
      <c r="X334" s="38" t="s">
        <v>369</v>
      </c>
      <c r="Y334" s="1443">
        <v>200147033</v>
      </c>
      <c r="Z334" s="1443"/>
      <c r="AA334" s="20"/>
      <c r="AE334" s="3"/>
      <c r="AH334" s="51">
        <f>AH327</f>
        <v>0</v>
      </c>
      <c r="AI334" s="39"/>
      <c r="AJ334" s="39"/>
      <c r="AK334" s="39"/>
      <c r="AL334" s="51">
        <f t="shared" si="68"/>
        <v>0</v>
      </c>
      <c r="AM334" s="3" t="s">
        <v>92</v>
      </c>
      <c r="AN334" s="3" t="s">
        <v>371</v>
      </c>
      <c r="AO334" s="3" t="s">
        <v>92</v>
      </c>
      <c r="AP334" s="3" t="s">
        <v>92</v>
      </c>
      <c r="AQ334" s="1414" t="s">
        <v>92</v>
      </c>
    </row>
    <row r="335" spans="1:44" ht="15.75" customHeight="1" x14ac:dyDescent="0.4">
      <c r="B335" s="3"/>
      <c r="C335" s="36"/>
      <c r="D335" s="155"/>
      <c r="E335" s="155"/>
      <c r="F335" s="155"/>
      <c r="G335" s="7"/>
      <c r="H335" s="20"/>
      <c r="P335" s="24"/>
      <c r="Q335" s="24"/>
      <c r="U335" s="20"/>
      <c r="V335" s="3" t="s">
        <v>2363</v>
      </c>
      <c r="W335" s="3" t="s">
        <v>370</v>
      </c>
      <c r="X335" s="38" t="s">
        <v>369</v>
      </c>
      <c r="Y335" s="1443">
        <v>200147127</v>
      </c>
      <c r="Z335" s="1443"/>
      <c r="AA335" s="20"/>
      <c r="AE335" s="3"/>
      <c r="AI335" s="39"/>
      <c r="AJ335" s="39"/>
      <c r="AK335" s="39"/>
      <c r="AM335" s="3" t="s">
        <v>92</v>
      </c>
      <c r="AN335" s="3" t="s">
        <v>371</v>
      </c>
      <c r="AO335" s="3" t="s">
        <v>92</v>
      </c>
      <c r="AP335" s="3" t="s">
        <v>92</v>
      </c>
      <c r="AQ335" s="1414" t="s">
        <v>92</v>
      </c>
    </row>
    <row r="336" spans="1:44" ht="15.75" customHeight="1" x14ac:dyDescent="0.4">
      <c r="B336" s="3"/>
      <c r="C336" s="36"/>
      <c r="D336" s="155"/>
      <c r="E336" s="155"/>
      <c r="F336" s="155"/>
      <c r="G336" s="7"/>
      <c r="H336" s="20"/>
      <c r="P336" s="24"/>
      <c r="Q336" s="24"/>
      <c r="U336" s="20"/>
      <c r="V336" s="3" t="s">
        <v>2365</v>
      </c>
      <c r="W336" s="3" t="s">
        <v>370</v>
      </c>
      <c r="X336" s="38" t="s">
        <v>369</v>
      </c>
      <c r="Y336" s="1443">
        <v>200147180</v>
      </c>
      <c r="Z336" s="1443"/>
      <c r="AA336" s="20"/>
      <c r="AE336" s="3"/>
      <c r="AI336" s="39"/>
      <c r="AJ336" s="39"/>
      <c r="AK336" s="39"/>
      <c r="AM336" s="3" t="s">
        <v>92</v>
      </c>
      <c r="AN336" s="3" t="s">
        <v>371</v>
      </c>
      <c r="AO336" s="3" t="s">
        <v>92</v>
      </c>
      <c r="AP336" s="3" t="s">
        <v>92</v>
      </c>
      <c r="AQ336" s="1414" t="s">
        <v>92</v>
      </c>
    </row>
    <row r="337" spans="2:51" ht="15.75" customHeight="1" thickBot="1" x14ac:dyDescent="0.45">
      <c r="B337" s="3"/>
      <c r="C337" s="943"/>
      <c r="D337" s="1037" t="s">
        <v>2353</v>
      </c>
      <c r="E337" s="1038"/>
      <c r="F337" s="1038"/>
      <c r="G337" s="1039"/>
      <c r="H337" s="1040"/>
      <c r="I337" s="710" t="s">
        <v>392</v>
      </c>
      <c r="J337" s="710"/>
      <c r="K337" s="710"/>
      <c r="L337" s="710"/>
      <c r="M337" s="1041"/>
      <c r="N337" s="1041"/>
      <c r="O337" s="1041"/>
      <c r="P337" s="1042"/>
      <c r="Q337" s="1042"/>
      <c r="R337" s="710" t="s">
        <v>352</v>
      </c>
      <c r="S337" s="1041">
        <f>FWWidth</f>
        <v>47.5</v>
      </c>
      <c r="T337" s="710" t="s">
        <v>366</v>
      </c>
      <c r="U337" s="1040"/>
      <c r="V337" s="1043" t="s">
        <v>369</v>
      </c>
      <c r="W337" s="710" t="s">
        <v>370</v>
      </c>
      <c r="X337" s="1043" t="s">
        <v>369</v>
      </c>
      <c r="Y337" s="1846">
        <v>120074014938</v>
      </c>
      <c r="Z337" s="1608"/>
      <c r="AA337" s="1040"/>
      <c r="AB337" s="710"/>
      <c r="AC337" s="710">
        <v>1</v>
      </c>
      <c r="AD337" s="1041">
        <f>AC337*S337/12</f>
        <v>3.9583333333333335</v>
      </c>
      <c r="AE337" s="710" t="s">
        <v>367</v>
      </c>
      <c r="AF337" s="1041"/>
      <c r="AG337" s="1041"/>
      <c r="AH337" s="1611">
        <v>8.77E-3</v>
      </c>
      <c r="AI337" s="1044"/>
      <c r="AJ337" s="1044"/>
      <c r="AK337" s="1044"/>
      <c r="AL337" s="1611">
        <f>AD$337*AH337+SUM(AI337:AK337)</f>
        <v>3.4714583333333333E-2</v>
      </c>
      <c r="AM337" s="1848" t="s">
        <v>92</v>
      </c>
      <c r="AN337" s="1848" t="s">
        <v>92</v>
      </c>
      <c r="AO337" s="1848" t="s">
        <v>92</v>
      </c>
      <c r="AP337" s="1848" t="s">
        <v>92</v>
      </c>
      <c r="AQ337" s="1935" t="s">
        <v>92</v>
      </c>
      <c r="AR337" s="1848"/>
    </row>
    <row r="338" spans="2:51" ht="15" customHeight="1" x14ac:dyDescent="0.4">
      <c r="C338" s="7" t="s">
        <v>407</v>
      </c>
      <c r="D338" s="36"/>
      <c r="E338" s="155"/>
      <c r="F338" s="155"/>
      <c r="G338" s="434" t="s">
        <v>383</v>
      </c>
      <c r="H338" s="20"/>
      <c r="I338" s="3" t="s">
        <v>392</v>
      </c>
      <c r="L338" s="3" t="s">
        <v>348</v>
      </c>
      <c r="M338" s="5">
        <v>3</v>
      </c>
      <c r="N338" s="5" t="s">
        <v>348</v>
      </c>
      <c r="O338" s="5">
        <f>0.25</f>
        <v>0.25</v>
      </c>
      <c r="P338" s="24"/>
      <c r="Q338" s="24"/>
      <c r="R338" s="3" t="s">
        <v>352</v>
      </c>
      <c r="S338" s="5">
        <f>FWWidth+M338+O338</f>
        <v>50.75</v>
      </c>
      <c r="T338" s="3" t="s">
        <v>366</v>
      </c>
      <c r="U338" s="20"/>
      <c r="V338" s="38"/>
      <c r="X338" s="38"/>
      <c r="Y338" s="1443"/>
      <c r="Z338" s="1443"/>
      <c r="AA338" s="20"/>
      <c r="AB338" s="3">
        <v>42</v>
      </c>
      <c r="AC338" s="3">
        <v>1</v>
      </c>
      <c r="AD338" s="5">
        <f>AC338*S338/12</f>
        <v>4.229166666666667</v>
      </c>
      <c r="AE338" s="3" t="s">
        <v>367</v>
      </c>
      <c r="AF338" s="5">
        <f>AF297</f>
        <v>0.08</v>
      </c>
      <c r="AG338" s="5">
        <f>AF338*AtolbperftFixed</f>
        <v>5.0784000000000003E-2</v>
      </c>
      <c r="AH338" s="955">
        <f>AG338*FWSingleCost</f>
        <v>7.6176000000000008E-2</v>
      </c>
      <c r="AM338" s="3" t="s">
        <v>92</v>
      </c>
      <c r="AN338" s="3" t="s">
        <v>371</v>
      </c>
      <c r="AO338" s="3" t="s">
        <v>92</v>
      </c>
      <c r="AP338" s="3" t="s">
        <v>92</v>
      </c>
      <c r="AQ338" s="1414" t="s">
        <v>92</v>
      </c>
    </row>
    <row r="339" spans="2:51" ht="15" customHeight="1" x14ac:dyDescent="0.4">
      <c r="B339" s="36"/>
      <c r="C339" s="36"/>
      <c r="D339" s="155"/>
      <c r="E339" s="155"/>
      <c r="F339" s="155"/>
      <c r="G339" s="7"/>
      <c r="H339" s="20"/>
      <c r="P339" s="24"/>
      <c r="Q339" s="24"/>
      <c r="U339" s="20"/>
      <c r="V339" s="38" t="s">
        <v>369</v>
      </c>
      <c r="W339" s="3" t="s">
        <v>370</v>
      </c>
      <c r="X339" s="38" t="s">
        <v>369</v>
      </c>
      <c r="Y339" s="1443">
        <v>200114003</v>
      </c>
      <c r="Z339" s="1443"/>
      <c r="AA339" s="20"/>
      <c r="AE339" s="3"/>
      <c r="AF339" s="930"/>
      <c r="AH339" s="51">
        <f>AH298</f>
        <v>9.4100000000000003E-2</v>
      </c>
      <c r="AI339" s="39"/>
      <c r="AJ339" s="39"/>
      <c r="AK339" s="39"/>
      <c r="AL339" s="51">
        <f>AD$338*AH339+SUM(AI339:AK339)</f>
        <v>0.3979645833333334</v>
      </c>
      <c r="AM339" s="3" t="s">
        <v>92</v>
      </c>
      <c r="AN339" s="3" t="s">
        <v>371</v>
      </c>
      <c r="AO339" s="3" t="s">
        <v>92</v>
      </c>
      <c r="AP339" s="3" t="s">
        <v>92</v>
      </c>
      <c r="AQ339" s="1414" t="s">
        <v>92</v>
      </c>
    </row>
    <row r="340" spans="2:51" ht="15" customHeight="1" x14ac:dyDescent="0.4">
      <c r="B340" s="36"/>
      <c r="C340" s="36"/>
      <c r="D340" s="155"/>
      <c r="E340" s="155"/>
      <c r="F340" s="155"/>
      <c r="G340" s="7"/>
      <c r="H340" s="20"/>
      <c r="P340" s="24"/>
      <c r="Q340" s="24"/>
      <c r="U340" s="20"/>
      <c r="V340" s="38" t="s">
        <v>369</v>
      </c>
      <c r="W340" s="3" t="s">
        <v>372</v>
      </c>
      <c r="X340" s="38" t="s">
        <v>369</v>
      </c>
      <c r="Y340" s="1563">
        <v>200114021</v>
      </c>
      <c r="Z340" s="1443"/>
      <c r="AA340" s="20"/>
      <c r="AE340" s="3"/>
      <c r="AH340" s="51">
        <f>AH299</f>
        <v>0.10440000000000001</v>
      </c>
      <c r="AI340" s="39"/>
      <c r="AJ340" s="39"/>
      <c r="AK340" s="39"/>
      <c r="AL340" s="51">
        <f t="shared" ref="AL340:AL343" si="69">AD$338*AH340+SUM(AI340:AK340)</f>
        <v>0.44152500000000006</v>
      </c>
      <c r="AM340" s="3" t="s">
        <v>92</v>
      </c>
      <c r="AN340" s="3" t="s">
        <v>371</v>
      </c>
      <c r="AO340" s="3" t="s">
        <v>92</v>
      </c>
      <c r="AP340" s="3" t="s">
        <v>92</v>
      </c>
      <c r="AQ340" s="1414" t="s">
        <v>92</v>
      </c>
    </row>
    <row r="341" spans="2:51" ht="15" customHeight="1" x14ac:dyDescent="0.4">
      <c r="B341" s="36"/>
      <c r="C341" s="36"/>
      <c r="D341" s="155"/>
      <c r="E341" s="155"/>
      <c r="F341" s="155"/>
      <c r="G341" s="7"/>
      <c r="H341" s="20"/>
      <c r="P341" s="24"/>
      <c r="Q341" s="24"/>
      <c r="U341" s="20"/>
      <c r="V341" s="38" t="s">
        <v>369</v>
      </c>
      <c r="W341" s="3" t="s">
        <v>373</v>
      </c>
      <c r="X341" s="38" t="s">
        <v>369</v>
      </c>
      <c r="Y341" s="1443">
        <v>200114033</v>
      </c>
      <c r="Z341" s="1443"/>
      <c r="AA341" s="20"/>
      <c r="AE341" s="3"/>
      <c r="AH341" s="51">
        <f>AH300</f>
        <v>0.1123</v>
      </c>
      <c r="AI341" s="39"/>
      <c r="AJ341" s="39"/>
      <c r="AK341" s="39"/>
      <c r="AL341" s="51">
        <f t="shared" si="69"/>
        <v>0.47493541666666667</v>
      </c>
      <c r="AM341" s="3" t="s">
        <v>92</v>
      </c>
      <c r="AN341" s="3" t="s">
        <v>371</v>
      </c>
      <c r="AO341" s="3" t="s">
        <v>92</v>
      </c>
      <c r="AP341" s="3" t="s">
        <v>92</v>
      </c>
      <c r="AQ341" s="1414" t="s">
        <v>92</v>
      </c>
    </row>
    <row r="342" spans="2:51" ht="15" customHeight="1" x14ac:dyDescent="0.4">
      <c r="B342" s="36"/>
      <c r="C342" s="36"/>
      <c r="D342" s="155"/>
      <c r="E342" s="155"/>
      <c r="F342" s="155"/>
      <c r="G342" s="7"/>
      <c r="H342" s="20"/>
      <c r="P342" s="24"/>
      <c r="Q342" s="24"/>
      <c r="U342" s="20"/>
      <c r="V342" s="38" t="s">
        <v>369</v>
      </c>
      <c r="W342" s="3" t="s">
        <v>374</v>
      </c>
      <c r="X342" s="38" t="s">
        <v>369</v>
      </c>
      <c r="Y342" s="1443">
        <v>200114090</v>
      </c>
      <c r="Z342" s="1443"/>
      <c r="AA342" s="20"/>
      <c r="AE342" s="3"/>
      <c r="AH342" s="51">
        <v>0.26579999999999998</v>
      </c>
      <c r="AI342" s="39"/>
      <c r="AJ342" s="39"/>
      <c r="AK342" s="39"/>
      <c r="AL342" s="51">
        <f t="shared" si="69"/>
        <v>1.1241125000000001</v>
      </c>
      <c r="AM342" s="3" t="s">
        <v>92</v>
      </c>
      <c r="AN342" s="3" t="s">
        <v>371</v>
      </c>
      <c r="AO342" s="3" t="s">
        <v>92</v>
      </c>
      <c r="AP342" s="3" t="s">
        <v>92</v>
      </c>
      <c r="AQ342" s="1414" t="s">
        <v>92</v>
      </c>
    </row>
    <row r="343" spans="2:51" ht="15" customHeight="1" thickBot="1" x14ac:dyDescent="0.45">
      <c r="B343" s="36"/>
      <c r="C343" s="36"/>
      <c r="D343" s="155"/>
      <c r="E343" s="155"/>
      <c r="F343" s="155"/>
      <c r="G343" s="7"/>
      <c r="H343" s="20"/>
      <c r="P343" s="24"/>
      <c r="Q343" s="24"/>
      <c r="U343" s="20"/>
      <c r="V343" s="38" t="s">
        <v>369</v>
      </c>
      <c r="W343" s="3" t="s">
        <v>375</v>
      </c>
      <c r="X343" s="38" t="s">
        <v>369</v>
      </c>
      <c r="Y343" s="1443">
        <v>200114133</v>
      </c>
      <c r="Z343" s="1443"/>
      <c r="AA343" s="20"/>
      <c r="AE343" s="3"/>
      <c r="AH343" s="937">
        <v>0.28470000000000001</v>
      </c>
      <c r="AI343" s="39"/>
      <c r="AJ343" s="39"/>
      <c r="AK343" s="39"/>
      <c r="AL343" s="51">
        <f t="shared" si="69"/>
        <v>1.2040437500000001</v>
      </c>
      <c r="AM343" s="889" t="s">
        <v>92</v>
      </c>
      <c r="AN343" s="889" t="s">
        <v>371</v>
      </c>
      <c r="AO343" s="889" t="s">
        <v>92</v>
      </c>
      <c r="AP343" s="889" t="s">
        <v>92</v>
      </c>
      <c r="AQ343" s="1590" t="s">
        <v>92</v>
      </c>
      <c r="AR343" s="889"/>
    </row>
    <row r="344" spans="2:51" ht="15" customHeight="1" x14ac:dyDescent="0.4">
      <c r="B344" s="173" t="s">
        <v>446</v>
      </c>
      <c r="C344" s="173"/>
      <c r="D344" s="181"/>
      <c r="E344" s="182"/>
      <c r="F344" s="430" t="s">
        <v>418</v>
      </c>
      <c r="G344" s="431">
        <v>3</v>
      </c>
      <c r="H344" s="175"/>
      <c r="I344" s="432" t="str">
        <f xml:space="preserve"> "Length = INT ( ( UW - " &amp;FIXED(G345,2)&amp;") / "&amp;FIXED(G344,2)&amp;" ) *"&amp;FIXED(G344,2)</f>
        <v>Length = INT ( ( UW - 1.00) / 3.00 ) *3.00</v>
      </c>
      <c r="J344" s="116"/>
      <c r="K344" s="116"/>
      <c r="L344" s="116"/>
      <c r="M344" s="177"/>
      <c r="N344" s="177"/>
      <c r="O344" s="177"/>
      <c r="P344" s="178"/>
      <c r="Q344" s="178"/>
      <c r="R344" s="116" t="s">
        <v>352</v>
      </c>
      <c r="S344" s="177">
        <f>INT((FWWidth-G345)/G344)*G344</f>
        <v>45</v>
      </c>
      <c r="T344" s="116" t="s">
        <v>366</v>
      </c>
      <c r="U344" s="175"/>
      <c r="V344" s="179"/>
      <c r="W344" s="116"/>
      <c r="X344" s="179"/>
      <c r="Y344" s="1449"/>
      <c r="Z344" s="1449"/>
      <c r="AA344" s="175"/>
      <c r="AB344" s="116">
        <v>42</v>
      </c>
      <c r="AC344" s="116">
        <v>1</v>
      </c>
      <c r="AD344" s="177">
        <f>AC344*S344/12</f>
        <v>3.75</v>
      </c>
      <c r="AE344" s="116" t="s">
        <v>367</v>
      </c>
      <c r="AF344" s="177">
        <v>0.17599999999999999</v>
      </c>
      <c r="AG344" s="177">
        <f>AF344*AtolbperftFixed</f>
        <v>0.1117248</v>
      </c>
      <c r="AH344" s="935">
        <f>AG344*FWSingleCost</f>
        <v>0.16758719999999999</v>
      </c>
      <c r="AI344" s="185"/>
      <c r="AJ344" s="185"/>
      <c r="AK344" s="185"/>
      <c r="AL344" s="185"/>
      <c r="AM344" s="3" t="s">
        <v>92</v>
      </c>
      <c r="AN344" s="3" t="s">
        <v>371</v>
      </c>
      <c r="AO344" s="3" t="s">
        <v>92</v>
      </c>
      <c r="AP344" s="3" t="s">
        <v>92</v>
      </c>
      <c r="AQ344" s="1414" t="s">
        <v>92</v>
      </c>
    </row>
    <row r="345" spans="2:51" ht="15" customHeight="1" x14ac:dyDescent="0.4">
      <c r="B345" s="36"/>
      <c r="C345" s="155"/>
      <c r="D345" s="155"/>
      <c r="E345" s="155"/>
      <c r="F345" s="434" t="s">
        <v>419</v>
      </c>
      <c r="G345" s="435">
        <v>1</v>
      </c>
      <c r="H345" s="20"/>
      <c r="P345" s="24"/>
      <c r="Q345" s="24"/>
      <c r="U345" s="20"/>
      <c r="V345" s="38" t="s">
        <v>369</v>
      </c>
      <c r="W345" s="3" t="s">
        <v>370</v>
      </c>
      <c r="X345" s="38" t="s">
        <v>369</v>
      </c>
      <c r="Y345" s="1443">
        <v>200142003</v>
      </c>
      <c r="Z345" s="1443"/>
      <c r="AA345" s="20"/>
      <c r="AE345" s="3"/>
      <c r="AF345" s="930"/>
      <c r="AH345" s="51">
        <v>0.1875</v>
      </c>
      <c r="AI345" s="39"/>
      <c r="AJ345" s="39"/>
      <c r="AK345" s="39"/>
      <c r="AL345" s="51">
        <f>AD$344*AH345+SUM(AI345:AK345)</f>
        <v>0.703125</v>
      </c>
      <c r="AM345" s="3" t="s">
        <v>92</v>
      </c>
      <c r="AN345" s="3" t="s">
        <v>371</v>
      </c>
      <c r="AO345" s="3" t="s">
        <v>92</v>
      </c>
      <c r="AP345" s="3" t="s">
        <v>92</v>
      </c>
      <c r="AQ345" s="1414" t="s">
        <v>92</v>
      </c>
    </row>
    <row r="346" spans="2:51" ht="15" customHeight="1" x14ac:dyDescent="0.4">
      <c r="B346" s="36"/>
      <c r="C346" s="155"/>
      <c r="D346" s="155"/>
      <c r="E346" s="155"/>
      <c r="F346" s="155"/>
      <c r="G346" s="7"/>
      <c r="H346" s="20"/>
      <c r="P346" s="24"/>
      <c r="Q346" s="24"/>
      <c r="U346" s="20"/>
      <c r="V346" s="38" t="s">
        <v>369</v>
      </c>
      <c r="W346" s="3" t="s">
        <v>372</v>
      </c>
      <c r="X346" s="38" t="s">
        <v>369</v>
      </c>
      <c r="Y346" s="1563">
        <v>200142021</v>
      </c>
      <c r="Z346" s="1443"/>
      <c r="AA346" s="20"/>
      <c r="AE346" s="3"/>
      <c r="AH346" s="51">
        <v>0.19359999999999999</v>
      </c>
      <c r="AI346" s="39"/>
      <c r="AJ346" s="39"/>
      <c r="AK346" s="39"/>
      <c r="AL346" s="51">
        <f t="shared" ref="AL346:AL347" si="70">AD$344*AH346+SUM(AI346:AK346)</f>
        <v>0.72599999999999998</v>
      </c>
      <c r="AM346" s="3" t="s">
        <v>92</v>
      </c>
      <c r="AN346" s="3" t="s">
        <v>371</v>
      </c>
      <c r="AO346" s="3" t="s">
        <v>92</v>
      </c>
      <c r="AP346" s="3" t="s">
        <v>92</v>
      </c>
      <c r="AQ346" s="1414" t="s">
        <v>92</v>
      </c>
    </row>
    <row r="347" spans="2:51" ht="15" customHeight="1" x14ac:dyDescent="0.4">
      <c r="B347" s="36"/>
      <c r="C347" s="155"/>
      <c r="D347" s="155"/>
      <c r="E347" s="155"/>
      <c r="F347" s="155"/>
      <c r="G347" s="7"/>
      <c r="H347" s="20"/>
      <c r="P347" s="24"/>
      <c r="Q347" s="24"/>
      <c r="U347" s="20"/>
      <c r="V347" s="38" t="s">
        <v>369</v>
      </c>
      <c r="W347" s="3" t="s">
        <v>373</v>
      </c>
      <c r="X347" s="38" t="s">
        <v>369</v>
      </c>
      <c r="Y347" s="1443">
        <v>200142033</v>
      </c>
      <c r="Z347" s="1443"/>
      <c r="AA347" s="20"/>
      <c r="AE347" s="3"/>
      <c r="AH347" s="51">
        <v>0.1971</v>
      </c>
      <c r="AI347" s="39"/>
      <c r="AJ347" s="39"/>
      <c r="AK347" s="39"/>
      <c r="AL347" s="51">
        <f t="shared" si="70"/>
        <v>0.73912500000000003</v>
      </c>
      <c r="AM347" s="3" t="s">
        <v>92</v>
      </c>
      <c r="AN347" s="3" t="s">
        <v>371</v>
      </c>
      <c r="AO347" s="3" t="s">
        <v>92</v>
      </c>
      <c r="AP347" s="3" t="s">
        <v>92</v>
      </c>
      <c r="AQ347" s="1414" t="s">
        <v>92</v>
      </c>
    </row>
    <row r="348" spans="2:51" ht="15" customHeight="1" x14ac:dyDescent="0.4">
      <c r="B348" s="36"/>
      <c r="C348" s="155"/>
      <c r="D348" s="155"/>
      <c r="E348" s="155"/>
      <c r="F348" s="155"/>
      <c r="G348" s="7"/>
      <c r="H348" s="20"/>
      <c r="P348" s="24"/>
      <c r="Q348" s="24"/>
      <c r="U348" s="20"/>
      <c r="V348" s="38" t="s">
        <v>369</v>
      </c>
      <c r="W348" s="3" t="s">
        <v>374</v>
      </c>
      <c r="X348" s="38" t="s">
        <v>369</v>
      </c>
      <c r="Y348" s="1443">
        <v>200142090</v>
      </c>
      <c r="Z348" s="1443"/>
      <c r="AA348" s="20"/>
      <c r="AE348" s="3"/>
      <c r="AI348" s="39"/>
      <c r="AJ348" s="39"/>
      <c r="AK348" s="39"/>
      <c r="AM348" s="3" t="s">
        <v>92</v>
      </c>
      <c r="AN348" s="3" t="s">
        <v>371</v>
      </c>
      <c r="AO348" s="3" t="s">
        <v>92</v>
      </c>
      <c r="AP348" s="3" t="s">
        <v>92</v>
      </c>
      <c r="AQ348" s="1414" t="s">
        <v>92</v>
      </c>
    </row>
    <row r="349" spans="2:51" ht="15" customHeight="1" thickBot="1" x14ac:dyDescent="0.45">
      <c r="B349" s="36"/>
      <c r="C349" s="155"/>
      <c r="D349" s="155"/>
      <c r="E349" s="155"/>
      <c r="F349" s="155"/>
      <c r="G349" s="7"/>
      <c r="H349" s="20"/>
      <c r="P349" s="24"/>
      <c r="Q349" s="24"/>
      <c r="U349" s="20"/>
      <c r="V349" s="38" t="s">
        <v>369</v>
      </c>
      <c r="W349" s="3" t="s">
        <v>375</v>
      </c>
      <c r="X349" s="38" t="s">
        <v>369</v>
      </c>
      <c r="Y349" s="1443">
        <v>200142133</v>
      </c>
      <c r="Z349" s="1443"/>
      <c r="AA349" s="20"/>
      <c r="AE349" s="3"/>
      <c r="AI349" s="39"/>
      <c r="AJ349" s="39"/>
      <c r="AK349" s="39"/>
      <c r="AM349" s="3" t="s">
        <v>92</v>
      </c>
      <c r="AN349" s="3" t="s">
        <v>371</v>
      </c>
      <c r="AO349" s="3" t="s">
        <v>92</v>
      </c>
      <c r="AP349" s="3" t="s">
        <v>92</v>
      </c>
      <c r="AQ349" s="1414" t="s">
        <v>92</v>
      </c>
    </row>
    <row r="350" spans="2:51" ht="15" customHeight="1" x14ac:dyDescent="0.4">
      <c r="B350" s="181" t="s">
        <v>1253</v>
      </c>
      <c r="C350" s="173"/>
      <c r="D350" s="173"/>
      <c r="E350" s="173"/>
      <c r="F350" s="173"/>
      <c r="G350" s="173"/>
      <c r="H350" s="193"/>
      <c r="I350" s="114"/>
      <c r="J350" s="116"/>
      <c r="K350" s="116"/>
      <c r="L350" s="116"/>
      <c r="M350" s="177"/>
      <c r="N350" s="177"/>
      <c r="O350" s="177"/>
      <c r="P350" s="177"/>
      <c r="Q350" s="177"/>
      <c r="R350" s="116"/>
      <c r="S350" s="198">
        <v>1</v>
      </c>
      <c r="T350" s="116" t="s">
        <v>385</v>
      </c>
      <c r="U350" s="193"/>
      <c r="V350" s="179"/>
      <c r="W350" s="116"/>
      <c r="X350" s="179"/>
      <c r="Y350" s="1449"/>
      <c r="Z350" s="1449"/>
      <c r="AA350" s="193"/>
      <c r="AB350" s="116">
        <v>45</v>
      </c>
      <c r="AC350" s="116">
        <v>2</v>
      </c>
      <c r="AD350" s="198">
        <f>S350*AC350</f>
        <v>2</v>
      </c>
      <c r="AE350" s="116" t="s">
        <v>385</v>
      </c>
      <c r="AF350" s="179"/>
      <c r="AG350" s="179"/>
      <c r="AH350" s="185"/>
      <c r="AI350" s="180"/>
      <c r="AJ350" s="180"/>
      <c r="AK350" s="180"/>
      <c r="AL350" s="180"/>
      <c r="AM350" s="116"/>
      <c r="AN350" s="116"/>
      <c r="AO350" s="116"/>
      <c r="AP350" s="116"/>
      <c r="AQ350" s="1884"/>
      <c r="AR350" s="116"/>
      <c r="AU350" s="139"/>
      <c r="AV350" s="139"/>
      <c r="AW350" s="139"/>
      <c r="AX350" s="139"/>
      <c r="AY350" s="139"/>
    </row>
    <row r="351" spans="2:51" ht="15" customHeight="1" x14ac:dyDescent="0.4">
      <c r="B351" s="36"/>
      <c r="C351" s="7"/>
      <c r="D351" s="7"/>
      <c r="E351" s="7"/>
      <c r="F351" s="7"/>
      <c r="G351" s="7"/>
      <c r="I351" s="8"/>
      <c r="S351" s="56"/>
      <c r="V351" s="38" t="s">
        <v>369</v>
      </c>
      <c r="W351" s="3" t="s">
        <v>370</v>
      </c>
      <c r="X351" s="38" t="s">
        <v>369</v>
      </c>
      <c r="Y351" s="1443">
        <v>420027003</v>
      </c>
      <c r="Z351" s="1443"/>
      <c r="AD351" s="56"/>
      <c r="AE351" s="3"/>
      <c r="AF351" s="38"/>
      <c r="AG351" s="38"/>
      <c r="AH351" s="492">
        <v>6.8000000000000005E-2</v>
      </c>
      <c r="AI351" s="477"/>
      <c r="AJ351" s="477"/>
      <c r="AK351" s="477"/>
      <c r="AL351" s="39">
        <f t="shared" ref="AL351:AL356" si="71">AD$414*AH351+SUM(AI351:AK351)</f>
        <v>0</v>
      </c>
      <c r="AM351" s="3" t="s">
        <v>81</v>
      </c>
      <c r="AN351" s="3" t="s">
        <v>81</v>
      </c>
      <c r="AO351" s="3" t="s">
        <v>81</v>
      </c>
      <c r="AP351" s="3" t="s">
        <v>81</v>
      </c>
      <c r="AQ351" s="1414" t="s">
        <v>92</v>
      </c>
      <c r="AU351" s="139"/>
      <c r="AV351" s="139"/>
      <c r="AW351" s="139"/>
      <c r="AX351" s="139"/>
      <c r="AY351" s="139"/>
    </row>
    <row r="352" spans="2:51" ht="15" customHeight="1" x14ac:dyDescent="0.4">
      <c r="B352" s="36"/>
      <c r="C352" s="7"/>
      <c r="D352" s="7"/>
      <c r="E352" s="7"/>
      <c r="F352" s="7"/>
      <c r="G352" s="7"/>
      <c r="I352" s="8"/>
      <c r="S352" s="56"/>
      <c r="V352" s="38" t="s">
        <v>369</v>
      </c>
      <c r="W352" s="3" t="s">
        <v>372</v>
      </c>
      <c r="X352" s="38" t="s">
        <v>369</v>
      </c>
      <c r="Y352" s="1563">
        <v>420027021</v>
      </c>
      <c r="Z352" s="1443"/>
      <c r="AD352" s="56"/>
      <c r="AE352" s="3"/>
      <c r="AF352" s="38"/>
      <c r="AG352" s="38"/>
      <c r="AH352" s="492">
        <v>6.8000000000000005E-2</v>
      </c>
      <c r="AI352" s="477"/>
      <c r="AJ352" s="477"/>
      <c r="AK352" s="477"/>
      <c r="AL352" s="39">
        <f t="shared" si="71"/>
        <v>0</v>
      </c>
      <c r="AM352" s="3" t="s">
        <v>371</v>
      </c>
      <c r="AN352" s="3" t="s">
        <v>371</v>
      </c>
      <c r="AO352" s="3" t="s">
        <v>371</v>
      </c>
      <c r="AP352" s="3" t="s">
        <v>371</v>
      </c>
      <c r="AQ352" s="1414" t="s">
        <v>92</v>
      </c>
      <c r="AU352" s="139"/>
      <c r="AV352" s="139"/>
      <c r="AW352" s="139"/>
      <c r="AX352" s="139"/>
      <c r="AY352" s="139"/>
    </row>
    <row r="353" spans="1:51" ht="15" customHeight="1" x14ac:dyDescent="0.4">
      <c r="B353" s="36"/>
      <c r="C353" s="7"/>
      <c r="D353" s="7"/>
      <c r="E353" s="7"/>
      <c r="F353" s="7"/>
      <c r="G353" s="7"/>
      <c r="I353" s="8"/>
      <c r="S353" s="56"/>
      <c r="V353" s="38" t="s">
        <v>369</v>
      </c>
      <c r="W353" s="3" t="s">
        <v>373</v>
      </c>
      <c r="X353" s="38" t="s">
        <v>369</v>
      </c>
      <c r="Y353" s="1443">
        <v>420027033</v>
      </c>
      <c r="Z353" s="1443"/>
      <c r="AD353" s="56"/>
      <c r="AE353" s="3"/>
      <c r="AF353" s="38"/>
      <c r="AG353" s="38"/>
      <c r="AH353" s="492">
        <v>6.8000000000000005E-2</v>
      </c>
      <c r="AI353" s="39"/>
      <c r="AJ353" s="39"/>
      <c r="AK353" s="39"/>
      <c r="AL353" s="39">
        <f t="shared" si="71"/>
        <v>0</v>
      </c>
      <c r="AM353" s="3" t="s">
        <v>371</v>
      </c>
      <c r="AN353" s="3" t="s">
        <v>371</v>
      </c>
      <c r="AO353" s="3" t="s">
        <v>371</v>
      </c>
      <c r="AP353" s="3" t="s">
        <v>371</v>
      </c>
      <c r="AQ353" s="1414" t="s">
        <v>92</v>
      </c>
      <c r="AU353" s="139"/>
      <c r="AV353" s="139"/>
      <c r="AW353" s="139"/>
      <c r="AX353" s="139"/>
      <c r="AY353" s="139"/>
    </row>
    <row r="354" spans="1:51" ht="15" customHeight="1" x14ac:dyDescent="0.4">
      <c r="B354" s="36"/>
      <c r="C354" s="7"/>
      <c r="D354" s="7"/>
      <c r="E354" s="7"/>
      <c r="F354" s="7"/>
      <c r="G354" s="7"/>
      <c r="I354" s="8"/>
      <c r="S354" s="56"/>
      <c r="V354" s="38" t="s">
        <v>369</v>
      </c>
      <c r="W354" s="3" t="s">
        <v>374</v>
      </c>
      <c r="X354" s="38" t="s">
        <v>369</v>
      </c>
      <c r="Y354" s="1443">
        <v>420027090</v>
      </c>
      <c r="Z354" s="1443"/>
      <c r="AD354" s="56"/>
      <c r="AE354" s="3"/>
      <c r="AF354" s="38"/>
      <c r="AG354" s="38"/>
      <c r="AH354" s="51">
        <v>6.8000000000000005E-2</v>
      </c>
      <c r="AI354" s="39"/>
      <c r="AJ354" s="39"/>
      <c r="AK354" s="39"/>
      <c r="AL354" s="39">
        <f t="shared" si="71"/>
        <v>0</v>
      </c>
      <c r="AM354" s="3" t="s">
        <v>371</v>
      </c>
      <c r="AN354" s="3" t="s">
        <v>371</v>
      </c>
      <c r="AO354" s="3" t="s">
        <v>371</v>
      </c>
      <c r="AP354" s="3" t="s">
        <v>371</v>
      </c>
      <c r="AQ354" s="1414" t="s">
        <v>92</v>
      </c>
      <c r="AU354" s="139"/>
      <c r="AV354" s="139"/>
      <c r="AW354" s="139"/>
      <c r="AX354" s="139"/>
      <c r="AY354" s="139"/>
    </row>
    <row r="355" spans="1:51" ht="15" customHeight="1" x14ac:dyDescent="0.4">
      <c r="B355" s="36"/>
      <c r="C355" s="7"/>
      <c r="D355" s="7"/>
      <c r="E355" s="7"/>
      <c r="F355" s="7"/>
      <c r="G355" s="7"/>
      <c r="I355" s="8"/>
      <c r="S355" s="56"/>
      <c r="V355" s="38" t="s">
        <v>369</v>
      </c>
      <c r="W355" s="3" t="s">
        <v>375</v>
      </c>
      <c r="X355" s="38" t="s">
        <v>369</v>
      </c>
      <c r="Y355" s="1443">
        <v>420027133</v>
      </c>
      <c r="Z355" s="1443"/>
      <c r="AD355" s="56"/>
      <c r="AE355" s="3"/>
      <c r="AF355" s="38"/>
      <c r="AG355" s="38"/>
      <c r="AH355" s="1030">
        <v>6.8000000000000005E-2</v>
      </c>
      <c r="AI355" s="39"/>
      <c r="AJ355" s="39"/>
      <c r="AK355" s="39"/>
      <c r="AL355" s="39">
        <f t="shared" si="71"/>
        <v>0</v>
      </c>
      <c r="AM355" s="3" t="s">
        <v>371</v>
      </c>
      <c r="AN355" s="3" t="s">
        <v>371</v>
      </c>
      <c r="AO355" s="3" t="s">
        <v>371</v>
      </c>
      <c r="AP355" s="3" t="s">
        <v>371</v>
      </c>
      <c r="AQ355" s="1414" t="s">
        <v>81</v>
      </c>
      <c r="AU355" s="139"/>
      <c r="AV355" s="139"/>
      <c r="AW355" s="139"/>
      <c r="AX355" s="139"/>
      <c r="AY355" s="139"/>
    </row>
    <row r="356" spans="1:51" ht="15" customHeight="1" thickBot="1" x14ac:dyDescent="0.45">
      <c r="B356" s="943"/>
      <c r="C356" s="924"/>
      <c r="D356" s="924"/>
      <c r="E356" s="924"/>
      <c r="F356" s="924"/>
      <c r="G356" s="924"/>
      <c r="H356" s="948"/>
      <c r="I356" s="949"/>
      <c r="J356" s="889"/>
      <c r="K356" s="889"/>
      <c r="L356" s="889"/>
      <c r="M356" s="945"/>
      <c r="N356" s="945"/>
      <c r="O356" s="945"/>
      <c r="P356" s="945"/>
      <c r="Q356" s="945"/>
      <c r="R356" s="889"/>
      <c r="S356" s="1156"/>
      <c r="T356" s="889"/>
      <c r="U356" s="948"/>
      <c r="V356" s="1876" t="s">
        <v>369</v>
      </c>
      <c r="W356" s="1877" t="s">
        <v>1849</v>
      </c>
      <c r="X356" s="1876" t="s">
        <v>369</v>
      </c>
      <c r="Y356" s="1878">
        <v>420027148</v>
      </c>
      <c r="Z356" s="1444"/>
      <c r="AA356" s="948"/>
      <c r="AB356" s="889"/>
      <c r="AC356" s="889"/>
      <c r="AD356" s="1156"/>
      <c r="AE356" s="889"/>
      <c r="AF356" s="888"/>
      <c r="AG356" s="888"/>
      <c r="AH356" s="937">
        <v>0</v>
      </c>
      <c r="AI356" s="947"/>
      <c r="AJ356" s="947"/>
      <c r="AK356" s="947"/>
      <c r="AL356" s="947">
        <f t="shared" si="71"/>
        <v>0</v>
      </c>
      <c r="AM356" s="889" t="s">
        <v>371</v>
      </c>
      <c r="AN356" s="889" t="s">
        <v>371</v>
      </c>
      <c r="AO356" s="889" t="s">
        <v>371</v>
      </c>
      <c r="AP356" s="889" t="s">
        <v>371</v>
      </c>
      <c r="AQ356" s="1590" t="s">
        <v>92</v>
      </c>
      <c r="AR356" s="889"/>
      <c r="AU356" s="139"/>
      <c r="AV356" s="139"/>
      <c r="AW356" s="139"/>
      <c r="AX356" s="139"/>
      <c r="AY356" s="139"/>
    </row>
    <row r="357" spans="1:51" s="112" customFormat="1" ht="15" customHeight="1" thickBot="1" x14ac:dyDescent="0.45">
      <c r="B357" s="911" t="s">
        <v>447</v>
      </c>
      <c r="C357" s="912"/>
      <c r="D357" s="913"/>
      <c r="E357" s="913"/>
      <c r="F357" s="913"/>
      <c r="G357" s="913"/>
      <c r="H357" s="914"/>
      <c r="I357" s="914"/>
      <c r="J357" s="914"/>
      <c r="K357" s="914"/>
      <c r="L357" s="914"/>
      <c r="M357" s="915"/>
      <c r="N357" s="915"/>
      <c r="O357" s="915"/>
      <c r="P357" s="915"/>
      <c r="Q357" s="915"/>
      <c r="R357" s="914"/>
      <c r="S357" s="915"/>
      <c r="T357" s="914"/>
      <c r="U357" s="914"/>
      <c r="V357" s="913"/>
      <c r="W357" s="913"/>
      <c r="X357" s="913"/>
      <c r="Y357" s="917"/>
      <c r="Z357" s="917"/>
      <c r="AA357" s="914"/>
      <c r="AB357" s="917"/>
      <c r="AC357" s="914"/>
      <c r="AD357" s="915"/>
      <c r="AE357" s="914"/>
      <c r="AF357" s="915"/>
      <c r="AG357" s="914"/>
      <c r="AH357" s="918"/>
      <c r="AI357" s="921"/>
      <c r="AJ357" s="921"/>
      <c r="AK357" s="919" t="s">
        <v>448</v>
      </c>
      <c r="AL357" s="1026">
        <f>SUM(AL359,AL375,AL424,AL473,AL478)</f>
        <v>18.850105650717481</v>
      </c>
      <c r="AM357" s="921"/>
      <c r="AN357" s="921"/>
      <c r="AO357" s="921"/>
      <c r="AP357" s="921"/>
      <c r="AQ357" s="921"/>
      <c r="AR357" s="921"/>
    </row>
    <row r="358" spans="1:51" ht="15" customHeight="1" x14ac:dyDescent="0.4">
      <c r="A358" s="826" t="s">
        <v>1155</v>
      </c>
      <c r="B358" s="905"/>
      <c r="C358" s="905" t="s">
        <v>1156</v>
      </c>
      <c r="D358" s="905"/>
      <c r="E358" s="905"/>
      <c r="F358" s="905"/>
      <c r="G358" s="905"/>
      <c r="H358" s="906"/>
      <c r="I358" s="907" t="s">
        <v>1157</v>
      </c>
      <c r="J358" s="906"/>
      <c r="K358" s="906"/>
      <c r="L358" s="906"/>
      <c r="M358" s="908"/>
      <c r="N358" s="908"/>
      <c r="O358" s="908"/>
      <c r="P358" s="908"/>
      <c r="Q358" s="908"/>
      <c r="R358" s="906"/>
      <c r="S358" s="908"/>
      <c r="T358" s="906"/>
      <c r="U358" s="906"/>
      <c r="V358" s="905"/>
      <c r="W358" s="905"/>
      <c r="X358" s="905"/>
      <c r="Y358" s="909"/>
      <c r="Z358" s="909"/>
      <c r="AA358" s="906"/>
      <c r="AB358" s="909"/>
      <c r="AC358" s="906"/>
      <c r="AD358" s="908"/>
      <c r="AE358" s="906"/>
      <c r="AF358" s="908"/>
      <c r="AG358" s="906"/>
      <c r="AH358" s="910"/>
      <c r="AI358" s="825"/>
      <c r="AJ358" s="825"/>
      <c r="AK358" s="825"/>
      <c r="AL358" s="910"/>
      <c r="AM358" s="825" t="s">
        <v>371</v>
      </c>
      <c r="AN358" s="825" t="s">
        <v>371</v>
      </c>
      <c r="AO358" s="825" t="s">
        <v>371</v>
      </c>
      <c r="AP358" s="825" t="s">
        <v>371</v>
      </c>
      <c r="AQ358" s="1936" t="s">
        <v>371</v>
      </c>
      <c r="AR358" s="825"/>
    </row>
    <row r="359" spans="1:51" s="112" customFormat="1" ht="15" customHeight="1" x14ac:dyDescent="0.4">
      <c r="B359" s="642" t="s">
        <v>1158</v>
      </c>
      <c r="C359" s="642"/>
      <c r="D359" s="642"/>
      <c r="E359" s="642"/>
      <c r="F359" s="642"/>
      <c r="G359" s="642"/>
      <c r="H359" s="643"/>
      <c r="I359" s="643"/>
      <c r="J359" s="643"/>
      <c r="K359" s="643"/>
      <c r="L359" s="643"/>
      <c r="M359" s="644"/>
      <c r="N359" s="644"/>
      <c r="O359" s="644"/>
      <c r="P359" s="644"/>
      <c r="Q359" s="644"/>
      <c r="R359" s="643"/>
      <c r="S359" s="644"/>
      <c r="T359" s="643"/>
      <c r="U359" s="643"/>
      <c r="V359" s="642"/>
      <c r="W359" s="642"/>
      <c r="X359" s="642"/>
      <c r="Y359" s="645"/>
      <c r="Z359" s="645"/>
      <c r="AA359" s="643"/>
      <c r="AB359" s="645"/>
      <c r="AC359" s="643"/>
      <c r="AD359" s="644"/>
      <c r="AE359" s="643"/>
      <c r="AF359" s="644"/>
      <c r="AG359" s="643"/>
      <c r="AH359" s="646"/>
      <c r="AI359" s="647"/>
      <c r="AJ359" s="647"/>
      <c r="AK359" s="648" t="s">
        <v>450</v>
      </c>
      <c r="AL359" s="963">
        <f>SUBTOTAL(109,AL360:AL373)</f>
        <v>3.5029750000000002</v>
      </c>
      <c r="AM359" s="647"/>
      <c r="AN359" s="647"/>
      <c r="AO359" s="647"/>
      <c r="AP359" s="647"/>
      <c r="AQ359" s="647"/>
      <c r="AR359" s="647"/>
    </row>
    <row r="360" spans="1:51" ht="15" customHeight="1" x14ac:dyDescent="0.4">
      <c r="B360" s="3"/>
      <c r="C360" s="7" t="s">
        <v>363</v>
      </c>
      <c r="D360" s="36"/>
      <c r="E360" s="155"/>
      <c r="F360" s="155" t="s">
        <v>1159</v>
      </c>
      <c r="G360" s="7"/>
      <c r="H360" s="20"/>
      <c r="I360" s="3" t="s">
        <v>365</v>
      </c>
      <c r="L360" s="3" t="s">
        <v>348</v>
      </c>
      <c r="M360" s="5">
        <v>-2.5</v>
      </c>
      <c r="N360" s="5" t="s">
        <v>348</v>
      </c>
      <c r="O360" s="5">
        <v>0</v>
      </c>
      <c r="P360" s="24"/>
      <c r="Q360" s="24"/>
      <c r="R360" s="3" t="s">
        <v>352</v>
      </c>
      <c r="S360" s="5">
        <f>FWHeight+M360+O360</f>
        <v>45</v>
      </c>
      <c r="T360" s="3" t="s">
        <v>366</v>
      </c>
      <c r="U360" s="20"/>
      <c r="V360" s="38"/>
      <c r="X360" s="38"/>
      <c r="Y360" s="41"/>
      <c r="Z360" s="41"/>
      <c r="AA360" s="20"/>
      <c r="AB360" s="3">
        <v>42</v>
      </c>
      <c r="AC360" s="3">
        <v>1</v>
      </c>
      <c r="AD360" s="5">
        <f>AC360*S360/12</f>
        <v>3.75</v>
      </c>
      <c r="AE360" s="3" t="s">
        <v>367</v>
      </c>
      <c r="AF360" s="5">
        <v>0.08</v>
      </c>
      <c r="AG360" s="5">
        <f>AF360*AtolbperftFixed</f>
        <v>5.0784000000000003E-2</v>
      </c>
      <c r="AH360" s="955">
        <f>AG360*FWSingleCost</f>
        <v>7.6176000000000008E-2</v>
      </c>
      <c r="AM360" s="3" t="s">
        <v>81</v>
      </c>
      <c r="AN360" s="3" t="s">
        <v>81</v>
      </c>
      <c r="AO360" s="3" t="s">
        <v>81</v>
      </c>
      <c r="AP360" s="3" t="s">
        <v>81</v>
      </c>
      <c r="AQ360" s="1414" t="s">
        <v>92</v>
      </c>
    </row>
    <row r="361" spans="1:51" ht="15" customHeight="1" x14ac:dyDescent="0.4">
      <c r="B361" s="36"/>
      <c r="C361" s="155"/>
      <c r="D361" s="155"/>
      <c r="E361" s="155"/>
      <c r="F361" s="451"/>
      <c r="G361" s="7"/>
      <c r="H361" s="20"/>
      <c r="P361" s="24"/>
      <c r="Q361" s="24"/>
      <c r="U361" s="20"/>
      <c r="V361" s="38" t="s">
        <v>369</v>
      </c>
      <c r="W361" s="3" t="s">
        <v>370</v>
      </c>
      <c r="X361" s="38" t="s">
        <v>369</v>
      </c>
      <c r="Y361" s="1443">
        <v>200183003</v>
      </c>
      <c r="Z361" s="1443"/>
      <c r="AA361" s="20"/>
      <c r="AE361" s="3"/>
      <c r="AF361" s="930"/>
      <c r="AH361" s="51">
        <v>9.4100000000000003E-2</v>
      </c>
      <c r="AI361" s="39"/>
      <c r="AJ361" s="39"/>
      <c r="AK361" s="39"/>
      <c r="AL361" s="51">
        <f>AD$360*AH361+SUM(AI361:AK361)</f>
        <v>0.35287499999999999</v>
      </c>
      <c r="AM361" s="3" t="s">
        <v>81</v>
      </c>
      <c r="AN361" s="3" t="s">
        <v>81</v>
      </c>
      <c r="AO361" s="3" t="s">
        <v>81</v>
      </c>
      <c r="AP361" s="3" t="s">
        <v>81</v>
      </c>
      <c r="AQ361" s="1414" t="s">
        <v>92</v>
      </c>
    </row>
    <row r="362" spans="1:51" ht="15" customHeight="1" x14ac:dyDescent="0.4">
      <c r="B362" s="36"/>
      <c r="C362" s="155"/>
      <c r="D362" s="155"/>
      <c r="E362" s="155"/>
      <c r="F362" s="155"/>
      <c r="G362" s="7"/>
      <c r="H362" s="20"/>
      <c r="P362" s="24"/>
      <c r="Q362" s="24"/>
      <c r="U362" s="20"/>
      <c r="V362" s="38" t="s">
        <v>369</v>
      </c>
      <c r="W362" s="3" t="s">
        <v>372</v>
      </c>
      <c r="X362" s="38" t="s">
        <v>369</v>
      </c>
      <c r="Y362" s="1563">
        <v>200183021</v>
      </c>
      <c r="Z362" s="1443"/>
      <c r="AA362" s="20"/>
      <c r="AE362" s="3"/>
      <c r="AH362" s="51">
        <v>0.10440000000000001</v>
      </c>
      <c r="AI362" s="39"/>
      <c r="AJ362" s="39"/>
      <c r="AK362" s="39"/>
      <c r="AL362" s="51">
        <f t="shared" ref="AL362:AL363" si="72">AD$360*AH362+SUM(AI362:AK362)</f>
        <v>0.39150000000000001</v>
      </c>
      <c r="AM362" s="3" t="s">
        <v>371</v>
      </c>
      <c r="AN362" s="3" t="s">
        <v>371</v>
      </c>
      <c r="AO362" s="3" t="s">
        <v>371</v>
      </c>
      <c r="AP362" s="3" t="s">
        <v>371</v>
      </c>
      <c r="AQ362" s="1414" t="s">
        <v>92</v>
      </c>
    </row>
    <row r="363" spans="1:51" ht="15" customHeight="1" x14ac:dyDescent="0.4">
      <c r="B363" s="3"/>
      <c r="C363" s="36"/>
      <c r="D363" s="155"/>
      <c r="E363" s="155"/>
      <c r="F363" s="155"/>
      <c r="G363" s="7"/>
      <c r="H363" s="20"/>
      <c r="P363" s="24"/>
      <c r="Q363" s="24"/>
      <c r="U363" s="20"/>
      <c r="V363" s="38" t="s">
        <v>369</v>
      </c>
      <c r="W363" s="3" t="s">
        <v>373</v>
      </c>
      <c r="X363" s="38" t="s">
        <v>369</v>
      </c>
      <c r="Y363" s="1443">
        <v>200183033</v>
      </c>
      <c r="Z363" s="1443"/>
      <c r="AA363" s="20"/>
      <c r="AE363" s="3"/>
      <c r="AH363" s="51">
        <v>0.1123</v>
      </c>
      <c r="AI363" s="39"/>
      <c r="AJ363" s="39"/>
      <c r="AK363" s="39"/>
      <c r="AL363" s="51">
        <f t="shared" si="72"/>
        <v>0.42112499999999997</v>
      </c>
      <c r="AM363" s="3" t="s">
        <v>371</v>
      </c>
      <c r="AN363" s="3" t="s">
        <v>371</v>
      </c>
      <c r="AO363" s="3" t="s">
        <v>371</v>
      </c>
      <c r="AP363" s="3" t="s">
        <v>371</v>
      </c>
      <c r="AQ363" s="1414" t="s">
        <v>92</v>
      </c>
    </row>
    <row r="364" spans="1:51" ht="15" customHeight="1" thickBot="1" x14ac:dyDescent="0.45">
      <c r="B364" s="3"/>
      <c r="C364" s="943"/>
      <c r="D364" s="925"/>
      <c r="E364" s="925"/>
      <c r="F364" s="925"/>
      <c r="G364" s="924"/>
      <c r="H364" s="887"/>
      <c r="I364" s="889"/>
      <c r="J364" s="889"/>
      <c r="K364" s="889"/>
      <c r="L364" s="889"/>
      <c r="M364" s="945"/>
      <c r="N364" s="945"/>
      <c r="O364" s="945"/>
      <c r="P364" s="1020"/>
      <c r="Q364" s="1020"/>
      <c r="R364" s="889"/>
      <c r="S364" s="945"/>
      <c r="T364" s="889"/>
      <c r="U364" s="887"/>
      <c r="V364" s="888" t="s">
        <v>369</v>
      </c>
      <c r="W364" s="889" t="s">
        <v>375</v>
      </c>
      <c r="X364" s="888" t="s">
        <v>369</v>
      </c>
      <c r="Y364" s="1444">
        <v>200183133</v>
      </c>
      <c r="Z364" s="1444"/>
      <c r="AA364" s="887"/>
      <c r="AB364" s="889"/>
      <c r="AC364" s="889"/>
      <c r="AD364" s="945"/>
      <c r="AE364" s="889"/>
      <c r="AF364" s="945"/>
      <c r="AG364" s="945"/>
      <c r="AH364" s="937"/>
      <c r="AI364" s="947"/>
      <c r="AJ364" s="947"/>
      <c r="AK364" s="947"/>
      <c r="AL364" s="937"/>
      <c r="AM364" s="889" t="s">
        <v>92</v>
      </c>
      <c r="AN364" s="889" t="s">
        <v>92</v>
      </c>
      <c r="AO364" s="889" t="s">
        <v>92</v>
      </c>
      <c r="AP364" s="889" t="s">
        <v>92</v>
      </c>
      <c r="AQ364" s="1590" t="s">
        <v>81</v>
      </c>
      <c r="AR364" s="889"/>
    </row>
    <row r="365" spans="1:51" ht="15" customHeight="1" x14ac:dyDescent="0.4">
      <c r="B365" s="3"/>
      <c r="C365" s="7" t="s">
        <v>390</v>
      </c>
      <c r="D365" s="36"/>
      <c r="E365" s="155"/>
      <c r="F365" s="155" t="s">
        <v>1159</v>
      </c>
      <c r="G365" s="7"/>
      <c r="H365" s="20"/>
      <c r="I365" s="3" t="s">
        <v>392</v>
      </c>
      <c r="L365" s="3" t="s">
        <v>348</v>
      </c>
      <c r="M365" s="5">
        <v>-2.375</v>
      </c>
      <c r="N365" s="5" t="s">
        <v>348</v>
      </c>
      <c r="O365" s="5">
        <v>0</v>
      </c>
      <c r="P365" s="24"/>
      <c r="Q365" s="24"/>
      <c r="R365" s="3" t="s">
        <v>352</v>
      </c>
      <c r="S365" s="5">
        <f>FWWidth+M365+O365</f>
        <v>45.125</v>
      </c>
      <c r="T365" s="3" t="s">
        <v>366</v>
      </c>
      <c r="U365" s="20"/>
      <c r="V365" s="38"/>
      <c r="X365" s="38"/>
      <c r="Y365" s="1443"/>
      <c r="Z365" s="1443"/>
      <c r="AA365" s="20"/>
      <c r="AB365" s="3">
        <v>42</v>
      </c>
      <c r="AC365" s="3">
        <v>1</v>
      </c>
      <c r="AD365" s="5">
        <f>AC365*S365/12</f>
        <v>3.7604166666666665</v>
      </c>
      <c r="AE365" s="3" t="s">
        <v>367</v>
      </c>
      <c r="AF365" s="5">
        <f>AF360</f>
        <v>0.08</v>
      </c>
      <c r="AG365" s="5">
        <f>AF365*AtolbperftFixed</f>
        <v>5.0784000000000003E-2</v>
      </c>
      <c r="AH365" s="955">
        <f>AG365*FWSingleCost</f>
        <v>7.6176000000000008E-2</v>
      </c>
      <c r="AM365" s="3" t="s">
        <v>81</v>
      </c>
      <c r="AN365" s="3" t="s">
        <v>81</v>
      </c>
      <c r="AO365" s="3" t="s">
        <v>81</v>
      </c>
      <c r="AP365" s="3" t="s">
        <v>81</v>
      </c>
      <c r="AQ365" s="1414" t="s">
        <v>92</v>
      </c>
    </row>
    <row r="366" spans="1:51" ht="15" customHeight="1" x14ac:dyDescent="0.4">
      <c r="B366" s="36"/>
      <c r="C366" s="155"/>
      <c r="D366" s="155"/>
      <c r="E366" s="155"/>
      <c r="F366" s="451"/>
      <c r="G366" s="7"/>
      <c r="H366" s="20"/>
      <c r="P366" s="24"/>
      <c r="Q366" s="24"/>
      <c r="U366" s="20"/>
      <c r="V366" s="38" t="s">
        <v>369</v>
      </c>
      <c r="W366" s="3" t="s">
        <v>370</v>
      </c>
      <c r="X366" s="38" t="s">
        <v>369</v>
      </c>
      <c r="Y366" s="1443">
        <v>200183003</v>
      </c>
      <c r="Z366" s="1443"/>
      <c r="AA366" s="20"/>
      <c r="AE366" s="3"/>
      <c r="AF366" s="930"/>
      <c r="AH366" s="51">
        <f>AH361</f>
        <v>9.4100000000000003E-2</v>
      </c>
      <c r="AI366" s="39"/>
      <c r="AJ366" s="39"/>
      <c r="AK366" s="39"/>
      <c r="AL366" s="51">
        <f>AD$365*AH366+SUM(AI366:AK366)</f>
        <v>0.35385520833333334</v>
      </c>
      <c r="AM366" s="3" t="s">
        <v>81</v>
      </c>
      <c r="AN366" s="3" t="s">
        <v>81</v>
      </c>
      <c r="AO366" s="3" t="s">
        <v>81</v>
      </c>
      <c r="AP366" s="3" t="s">
        <v>81</v>
      </c>
      <c r="AQ366" s="1414" t="s">
        <v>92</v>
      </c>
    </row>
    <row r="367" spans="1:51" ht="15" customHeight="1" x14ac:dyDescent="0.4">
      <c r="B367" s="36"/>
      <c r="C367" s="155"/>
      <c r="D367" s="155"/>
      <c r="E367" s="155"/>
      <c r="F367" s="155"/>
      <c r="G367" s="7"/>
      <c r="H367" s="20"/>
      <c r="P367" s="24"/>
      <c r="Q367" s="24"/>
      <c r="U367" s="20"/>
      <c r="V367" s="38" t="s">
        <v>369</v>
      </c>
      <c r="W367" s="3" t="s">
        <v>372</v>
      </c>
      <c r="X367" s="38" t="s">
        <v>369</v>
      </c>
      <c r="Y367" s="1563">
        <v>200183021</v>
      </c>
      <c r="Z367" s="1443"/>
      <c r="AA367" s="20"/>
      <c r="AE367" s="3"/>
      <c r="AH367" s="51">
        <f>AH362</f>
        <v>0.10440000000000001</v>
      </c>
      <c r="AI367" s="39"/>
      <c r="AJ367" s="39"/>
      <c r="AK367" s="39"/>
      <c r="AL367" s="51">
        <f t="shared" ref="AL367:AL368" si="73">AD$365*AH367+SUM(AI367:AK367)</f>
        <v>0.39258750000000003</v>
      </c>
      <c r="AM367" s="3" t="s">
        <v>371</v>
      </c>
      <c r="AN367" s="3" t="s">
        <v>371</v>
      </c>
      <c r="AO367" s="3" t="s">
        <v>371</v>
      </c>
      <c r="AP367" s="3" t="s">
        <v>371</v>
      </c>
      <c r="AQ367" s="1414" t="s">
        <v>92</v>
      </c>
    </row>
    <row r="368" spans="1:51" ht="15" customHeight="1" x14ac:dyDescent="0.4">
      <c r="B368" s="3"/>
      <c r="C368" s="36"/>
      <c r="D368" s="155"/>
      <c r="E368" s="155"/>
      <c r="F368" s="155"/>
      <c r="G368" s="7"/>
      <c r="H368" s="20"/>
      <c r="P368" s="24"/>
      <c r="Q368" s="24"/>
      <c r="U368" s="20"/>
      <c r="V368" s="38" t="s">
        <v>369</v>
      </c>
      <c r="W368" s="3" t="s">
        <v>373</v>
      </c>
      <c r="X368" s="38" t="s">
        <v>369</v>
      </c>
      <c r="Y368" s="1443">
        <v>200183033</v>
      </c>
      <c r="Z368" s="1443"/>
      <c r="AA368" s="20"/>
      <c r="AE368" s="3"/>
      <c r="AH368" s="51">
        <f>AH363</f>
        <v>0.1123</v>
      </c>
      <c r="AI368" s="39"/>
      <c r="AJ368" s="39"/>
      <c r="AK368" s="39"/>
      <c r="AL368" s="51">
        <f t="shared" si="73"/>
        <v>0.42229479166666661</v>
      </c>
      <c r="AM368" s="3" t="s">
        <v>371</v>
      </c>
      <c r="AN368" s="3" t="s">
        <v>371</v>
      </c>
      <c r="AO368" s="3" t="s">
        <v>371</v>
      </c>
      <c r="AP368" s="3" t="s">
        <v>371</v>
      </c>
      <c r="AQ368" s="1414" t="s">
        <v>92</v>
      </c>
    </row>
    <row r="369" spans="1:44" ht="15" customHeight="1" thickBot="1" x14ac:dyDescent="0.45">
      <c r="B369" s="3"/>
      <c r="C369" s="943"/>
      <c r="D369" s="925"/>
      <c r="E369" s="925"/>
      <c r="F369" s="925"/>
      <c r="G369" s="924"/>
      <c r="H369" s="887"/>
      <c r="I369" s="889"/>
      <c r="J369" s="889"/>
      <c r="K369" s="889"/>
      <c r="L369" s="889"/>
      <c r="M369" s="945"/>
      <c r="N369" s="945"/>
      <c r="O369" s="945"/>
      <c r="P369" s="1020"/>
      <c r="Q369" s="1020"/>
      <c r="R369" s="889"/>
      <c r="S369" s="945"/>
      <c r="T369" s="889"/>
      <c r="U369" s="887"/>
      <c r="V369" s="888" t="s">
        <v>369</v>
      </c>
      <c r="W369" s="889" t="s">
        <v>375</v>
      </c>
      <c r="X369" s="888" t="s">
        <v>369</v>
      </c>
      <c r="Y369" s="1444">
        <v>200183133</v>
      </c>
      <c r="Z369" s="1444"/>
      <c r="AA369" s="887"/>
      <c r="AB369" s="889"/>
      <c r="AC369" s="889"/>
      <c r="AD369" s="945"/>
      <c r="AE369" s="889"/>
      <c r="AF369" s="945"/>
      <c r="AG369" s="945"/>
      <c r="AH369" s="937"/>
      <c r="AI369" s="947"/>
      <c r="AJ369" s="947"/>
      <c r="AK369" s="947"/>
      <c r="AL369" s="937"/>
      <c r="AM369" s="889" t="s">
        <v>92</v>
      </c>
      <c r="AN369" s="889" t="s">
        <v>92</v>
      </c>
      <c r="AO369" s="889" t="s">
        <v>92</v>
      </c>
      <c r="AP369" s="889" t="s">
        <v>92</v>
      </c>
      <c r="AQ369" s="1590" t="s">
        <v>371</v>
      </c>
      <c r="AR369" s="889"/>
    </row>
    <row r="370" spans="1:44" ht="15" customHeight="1" x14ac:dyDescent="0.4">
      <c r="B370" s="3"/>
      <c r="C370" s="7" t="s">
        <v>403</v>
      </c>
      <c r="D370" s="36"/>
      <c r="E370" s="155"/>
      <c r="F370" s="155" t="s">
        <v>1159</v>
      </c>
      <c r="G370" s="7"/>
      <c r="H370" s="20"/>
      <c r="I370" s="3" t="s">
        <v>392</v>
      </c>
      <c r="L370" s="3" t="s">
        <v>348</v>
      </c>
      <c r="M370" s="5">
        <v>-2.375</v>
      </c>
      <c r="N370" s="5" t="s">
        <v>348</v>
      </c>
      <c r="O370" s="5">
        <v>0</v>
      </c>
      <c r="P370" s="24"/>
      <c r="Q370" s="24"/>
      <c r="R370" s="3" t="s">
        <v>352</v>
      </c>
      <c r="S370" s="5">
        <f>FWWidth+M370+O370</f>
        <v>45.125</v>
      </c>
      <c r="T370" s="3" t="s">
        <v>366</v>
      </c>
      <c r="U370" s="20"/>
      <c r="V370" s="38"/>
      <c r="X370" s="38"/>
      <c r="Y370" s="1443"/>
      <c r="Z370" s="1443"/>
      <c r="AA370" s="20"/>
      <c r="AB370" s="3">
        <v>42</v>
      </c>
      <c r="AC370" s="3">
        <v>1</v>
      </c>
      <c r="AD370" s="5">
        <f>AC370*S370/12</f>
        <v>3.7604166666666665</v>
      </c>
      <c r="AE370" s="3" t="s">
        <v>367</v>
      </c>
      <c r="AF370" s="5">
        <f>AF360</f>
        <v>0.08</v>
      </c>
      <c r="AG370" s="5">
        <f>AF370*AtolbperftFixed</f>
        <v>5.0784000000000003E-2</v>
      </c>
      <c r="AH370" s="955">
        <f>AG370*FWSingleCost</f>
        <v>7.6176000000000008E-2</v>
      </c>
      <c r="AM370" s="3" t="s">
        <v>81</v>
      </c>
      <c r="AN370" s="3" t="s">
        <v>81</v>
      </c>
      <c r="AO370" s="3" t="s">
        <v>81</v>
      </c>
      <c r="AP370" s="3" t="s">
        <v>81</v>
      </c>
      <c r="AQ370" s="1414" t="s">
        <v>92</v>
      </c>
    </row>
    <row r="371" spans="1:44" ht="15" customHeight="1" x14ac:dyDescent="0.4">
      <c r="B371" s="36"/>
      <c r="C371" s="155"/>
      <c r="D371" s="155"/>
      <c r="E371" s="155"/>
      <c r="F371" s="451"/>
      <c r="G371" s="7"/>
      <c r="H371" s="20"/>
      <c r="P371" s="24"/>
      <c r="Q371" s="24"/>
      <c r="U371" s="20"/>
      <c r="V371" s="38" t="s">
        <v>369</v>
      </c>
      <c r="W371" s="3" t="s">
        <v>370</v>
      </c>
      <c r="X371" s="38" t="s">
        <v>369</v>
      </c>
      <c r="Y371" s="1443">
        <v>200183003</v>
      </c>
      <c r="Z371" s="1443"/>
      <c r="AA371" s="20"/>
      <c r="AE371" s="3"/>
      <c r="AF371" s="930"/>
      <c r="AH371" s="51">
        <f>AH361</f>
        <v>9.4100000000000003E-2</v>
      </c>
      <c r="AI371" s="39"/>
      <c r="AJ371" s="39"/>
      <c r="AK371" s="39"/>
      <c r="AL371" s="51">
        <f>AD$370*AH371+SUM(AI371:AK371)</f>
        <v>0.35385520833333334</v>
      </c>
      <c r="AM371" s="3" t="s">
        <v>81</v>
      </c>
      <c r="AN371" s="3" t="s">
        <v>81</v>
      </c>
      <c r="AO371" s="3" t="s">
        <v>81</v>
      </c>
      <c r="AP371" s="3" t="s">
        <v>81</v>
      </c>
      <c r="AQ371" s="1414" t="s">
        <v>92</v>
      </c>
    </row>
    <row r="372" spans="1:44" ht="15" customHeight="1" x14ac:dyDescent="0.4">
      <c r="B372" s="36"/>
      <c r="C372" s="155"/>
      <c r="D372" s="155"/>
      <c r="E372" s="155"/>
      <c r="F372" s="155"/>
      <c r="G372" s="7"/>
      <c r="H372" s="20"/>
      <c r="P372" s="24"/>
      <c r="Q372" s="24"/>
      <c r="U372" s="20"/>
      <c r="V372" s="38" t="s">
        <v>369</v>
      </c>
      <c r="W372" s="3" t="s">
        <v>372</v>
      </c>
      <c r="X372" s="38" t="s">
        <v>369</v>
      </c>
      <c r="Y372" s="1563">
        <v>200183021</v>
      </c>
      <c r="Z372" s="1443"/>
      <c r="AA372" s="20"/>
      <c r="AE372" s="3"/>
      <c r="AH372" s="51">
        <f>AH362</f>
        <v>0.10440000000000001</v>
      </c>
      <c r="AI372" s="39"/>
      <c r="AJ372" s="39"/>
      <c r="AK372" s="39"/>
      <c r="AL372" s="51">
        <f t="shared" ref="AL372:AL373" si="74">AD$370*AH372+SUM(AI372:AK372)</f>
        <v>0.39258750000000003</v>
      </c>
      <c r="AM372" s="3" t="s">
        <v>371</v>
      </c>
      <c r="AN372" s="3" t="s">
        <v>371</v>
      </c>
      <c r="AO372" s="3" t="s">
        <v>371</v>
      </c>
      <c r="AP372" s="3" t="s">
        <v>371</v>
      </c>
      <c r="AQ372" s="1414" t="s">
        <v>92</v>
      </c>
    </row>
    <row r="373" spans="1:44" ht="15" customHeight="1" x14ac:dyDescent="0.4">
      <c r="B373" s="36"/>
      <c r="C373" s="155"/>
      <c r="D373" s="155"/>
      <c r="E373" s="155"/>
      <c r="F373" s="155"/>
      <c r="G373" s="7"/>
      <c r="H373" s="20"/>
      <c r="P373" s="24"/>
      <c r="Q373" s="24"/>
      <c r="U373" s="20"/>
      <c r="V373" s="38" t="s">
        <v>369</v>
      </c>
      <c r="W373" s="3" t="s">
        <v>373</v>
      </c>
      <c r="X373" s="38" t="s">
        <v>369</v>
      </c>
      <c r="Y373" s="1443">
        <v>200183033</v>
      </c>
      <c r="Z373" s="1443"/>
      <c r="AA373" s="20"/>
      <c r="AE373" s="3"/>
      <c r="AH373" s="51">
        <f>AH363</f>
        <v>0.1123</v>
      </c>
      <c r="AI373" s="39"/>
      <c r="AJ373" s="39"/>
      <c r="AK373" s="39"/>
      <c r="AL373" s="51">
        <f t="shared" si="74"/>
        <v>0.42229479166666661</v>
      </c>
      <c r="AM373" s="3" t="s">
        <v>371</v>
      </c>
      <c r="AN373" s="3" t="s">
        <v>371</v>
      </c>
      <c r="AO373" s="3" t="s">
        <v>371</v>
      </c>
      <c r="AP373" s="3" t="s">
        <v>371</v>
      </c>
      <c r="AQ373" s="1414" t="s">
        <v>92</v>
      </c>
    </row>
    <row r="374" spans="1:44" ht="15" customHeight="1" thickBot="1" x14ac:dyDescent="0.45">
      <c r="B374" s="943"/>
      <c r="C374" s="925"/>
      <c r="D374" s="925"/>
      <c r="E374" s="925"/>
      <c r="F374" s="925"/>
      <c r="G374" s="924"/>
      <c r="H374" s="887"/>
      <c r="I374" s="889"/>
      <c r="J374" s="889"/>
      <c r="K374" s="889"/>
      <c r="L374" s="889"/>
      <c r="M374" s="945"/>
      <c r="N374" s="945"/>
      <c r="O374" s="945"/>
      <c r="P374" s="1020"/>
      <c r="Q374" s="1020"/>
      <c r="R374" s="889"/>
      <c r="S374" s="945"/>
      <c r="T374" s="889"/>
      <c r="U374" s="887"/>
      <c r="V374" s="888" t="s">
        <v>369</v>
      </c>
      <c r="W374" s="889" t="s">
        <v>375</v>
      </c>
      <c r="X374" s="888" t="s">
        <v>369</v>
      </c>
      <c r="Y374" s="1444">
        <v>200183133</v>
      </c>
      <c r="Z374" s="1444"/>
      <c r="AA374" s="887"/>
      <c r="AB374" s="889"/>
      <c r="AC374" s="889"/>
      <c r="AD374" s="945"/>
      <c r="AE374" s="889"/>
      <c r="AF374" s="945"/>
      <c r="AG374" s="945"/>
      <c r="AH374" s="937"/>
      <c r="AI374" s="947"/>
      <c r="AJ374" s="947"/>
      <c r="AK374" s="947"/>
      <c r="AL374" s="937"/>
      <c r="AM374" s="889" t="s">
        <v>92</v>
      </c>
      <c r="AN374" s="889" t="s">
        <v>92</v>
      </c>
      <c r="AO374" s="889" t="s">
        <v>92</v>
      </c>
      <c r="AP374" s="889" t="s">
        <v>92</v>
      </c>
      <c r="AQ374" s="1590" t="s">
        <v>81</v>
      </c>
      <c r="AR374" s="889"/>
    </row>
    <row r="375" spans="1:44" ht="15" customHeight="1" thickBot="1" x14ac:dyDescent="0.45">
      <c r="B375" s="642" t="s">
        <v>1160</v>
      </c>
      <c r="C375" s="642"/>
      <c r="D375" s="642"/>
      <c r="E375" s="642"/>
      <c r="F375" s="642"/>
      <c r="G375" s="642"/>
      <c r="H375" s="643"/>
      <c r="I375" s="643"/>
      <c r="J375" s="643"/>
      <c r="K375" s="643"/>
      <c r="L375" s="643"/>
      <c r="M375" s="644"/>
      <c r="N375" s="644"/>
      <c r="O375" s="644"/>
      <c r="P375" s="644"/>
      <c r="Q375" s="644"/>
      <c r="R375" s="643"/>
      <c r="S375" s="644"/>
      <c r="T375" s="643"/>
      <c r="U375" s="643"/>
      <c r="V375" s="642"/>
      <c r="W375" s="642"/>
      <c r="X375" s="642"/>
      <c r="Y375" s="1453"/>
      <c r="Z375" s="1453"/>
      <c r="AA375" s="643"/>
      <c r="AB375" s="645"/>
      <c r="AC375" s="643"/>
      <c r="AD375" s="644"/>
      <c r="AE375" s="643"/>
      <c r="AF375" s="644"/>
      <c r="AG375" s="643"/>
      <c r="AH375" s="646"/>
      <c r="AI375" s="647"/>
      <c r="AJ375" s="647"/>
      <c r="AK375" s="648" t="s">
        <v>1161</v>
      </c>
      <c r="AL375" s="963">
        <f>SUBTOTAL(109,AL406:AL422)</f>
        <v>3.1225333333333332</v>
      </c>
      <c r="AM375" s="904"/>
      <c r="AN375" s="904"/>
      <c r="AO375" s="904"/>
      <c r="AP375" s="904"/>
      <c r="AQ375" s="904"/>
      <c r="AR375" s="904"/>
    </row>
    <row r="376" spans="1:44" ht="15" customHeight="1" x14ac:dyDescent="0.4">
      <c r="A376" s="3" t="s">
        <v>503</v>
      </c>
      <c r="C376" s="173" t="s">
        <v>1236</v>
      </c>
      <c r="D376" s="182"/>
      <c r="E376" s="182"/>
      <c r="F376" s="182"/>
      <c r="G376" s="173"/>
      <c r="H376" s="193"/>
      <c r="I376" s="116" t="s">
        <v>392</v>
      </c>
      <c r="J376" s="116"/>
      <c r="K376" s="116"/>
      <c r="L376" s="116" t="s">
        <v>348</v>
      </c>
      <c r="M376" s="177">
        <f>-1.75*2</f>
        <v>-3.5</v>
      </c>
      <c r="N376" s="177"/>
      <c r="O376" s="177"/>
      <c r="P376" s="177"/>
      <c r="Q376" s="177"/>
      <c r="R376" s="116" t="s">
        <v>352</v>
      </c>
      <c r="S376" s="177">
        <f>FWWidth+M376</f>
        <v>44</v>
      </c>
      <c r="T376" s="116" t="s">
        <v>366</v>
      </c>
      <c r="U376" s="193"/>
      <c r="V376" s="138"/>
      <c r="W376" s="138"/>
      <c r="X376" s="138"/>
      <c r="Y376" s="1449"/>
      <c r="Z376" s="1449"/>
      <c r="AA376" s="193"/>
      <c r="AB376" s="116">
        <v>42</v>
      </c>
      <c r="AC376" s="116">
        <v>2</v>
      </c>
      <c r="AD376" s="177">
        <f>AC376*S376/12</f>
        <v>7.333333333333333</v>
      </c>
      <c r="AE376" s="116" t="s">
        <v>367</v>
      </c>
      <c r="AF376" s="627">
        <f>AF406</f>
        <v>2.8000000000000001E-2</v>
      </c>
      <c r="AG376" s="177">
        <f>AF376*AtolbperftFixed</f>
        <v>1.7774400000000003E-2</v>
      </c>
      <c r="AH376" s="935">
        <f>AG376*FWSingleCost</f>
        <v>2.6661600000000004E-2</v>
      </c>
      <c r="AI376" s="185"/>
      <c r="AJ376" s="185"/>
      <c r="AK376" s="185"/>
      <c r="AL376" s="185"/>
      <c r="AM376" s="3" t="s">
        <v>81</v>
      </c>
      <c r="AN376" s="3" t="s">
        <v>81</v>
      </c>
      <c r="AO376" s="3" t="s">
        <v>81</v>
      </c>
      <c r="AP376" s="3" t="s">
        <v>81</v>
      </c>
      <c r="AQ376" s="1414" t="s">
        <v>92</v>
      </c>
    </row>
    <row r="377" spans="1:44" ht="15" customHeight="1" x14ac:dyDescent="0.4">
      <c r="C377" s="36"/>
      <c r="D377" s="7"/>
      <c r="E377" s="7"/>
      <c r="F377" s="7"/>
      <c r="G377" s="7"/>
      <c r="V377" s="38" t="s">
        <v>369</v>
      </c>
      <c r="W377" s="3" t="s">
        <v>370</v>
      </c>
      <c r="X377" s="38" t="s">
        <v>369</v>
      </c>
      <c r="Y377" s="1443">
        <v>200170003</v>
      </c>
      <c r="Z377" s="1443"/>
      <c r="AE377" s="3"/>
      <c r="AF377" s="930"/>
      <c r="AH377" s="51">
        <f>AH407</f>
        <v>4.1099999999999998E-2</v>
      </c>
      <c r="AI377" s="39"/>
      <c r="AJ377" s="39"/>
      <c r="AK377" s="39"/>
      <c r="AL377" s="51">
        <f>AD$376*AH377+SUM(AI377:AK377)</f>
        <v>0.30139999999999995</v>
      </c>
      <c r="AM377" s="3" t="s">
        <v>81</v>
      </c>
      <c r="AN377" s="3" t="s">
        <v>81</v>
      </c>
      <c r="AO377" s="3" t="s">
        <v>81</v>
      </c>
      <c r="AP377" s="3" t="s">
        <v>81</v>
      </c>
      <c r="AQ377" s="1414" t="s">
        <v>92</v>
      </c>
    </row>
    <row r="378" spans="1:44" ht="15" customHeight="1" x14ac:dyDescent="0.4">
      <c r="B378" s="1947" t="s">
        <v>2393</v>
      </c>
      <c r="C378" s="36"/>
      <c r="D378" s="7"/>
      <c r="E378" s="7"/>
      <c r="F378" s="7"/>
      <c r="G378" s="7"/>
      <c r="V378" s="38" t="s">
        <v>369</v>
      </c>
      <c r="W378" s="3" t="s">
        <v>372</v>
      </c>
      <c r="X378" s="38" t="s">
        <v>369</v>
      </c>
      <c r="Y378" s="1563">
        <v>200170021</v>
      </c>
      <c r="Z378" s="1443"/>
      <c r="AE378" s="3"/>
      <c r="AF378" s="930"/>
      <c r="AH378" s="51">
        <f>AH408</f>
        <v>4.5199999999999997E-2</v>
      </c>
      <c r="AI378" s="39"/>
      <c r="AJ378" s="39"/>
      <c r="AK378" s="39"/>
      <c r="AL378" s="51">
        <f>AD$376*AH378+SUM(AI378:AK378)</f>
        <v>0.33146666666666663</v>
      </c>
      <c r="AM378" s="3" t="s">
        <v>371</v>
      </c>
      <c r="AN378" s="3" t="s">
        <v>371</v>
      </c>
      <c r="AO378" s="3" t="s">
        <v>371</v>
      </c>
      <c r="AP378" s="3" t="s">
        <v>371</v>
      </c>
      <c r="AQ378" s="1414" t="s">
        <v>92</v>
      </c>
    </row>
    <row r="379" spans="1:44" ht="15" customHeight="1" x14ac:dyDescent="0.4">
      <c r="C379" s="36"/>
      <c r="D379" s="7"/>
      <c r="E379" s="7"/>
      <c r="F379" s="7"/>
      <c r="G379" s="7"/>
      <c r="V379" s="38" t="s">
        <v>369</v>
      </c>
      <c r="W379" s="3" t="s">
        <v>373</v>
      </c>
      <c r="X379" s="38" t="s">
        <v>369</v>
      </c>
      <c r="Y379" s="1443">
        <v>200170033</v>
      </c>
      <c r="Z379" s="1443"/>
      <c r="AE379" s="3"/>
      <c r="AF379" s="930"/>
      <c r="AH379" s="51">
        <f>AH409</f>
        <v>4.8300000000000003E-2</v>
      </c>
      <c r="AI379" s="39"/>
      <c r="AJ379" s="39"/>
      <c r="AK379" s="39"/>
      <c r="AL379" s="51">
        <f>AD$376*AH379+SUM(AI379:AK379)</f>
        <v>0.35420000000000001</v>
      </c>
      <c r="AM379" s="3" t="s">
        <v>371</v>
      </c>
      <c r="AN379" s="3" t="s">
        <v>371</v>
      </c>
      <c r="AO379" s="3" t="s">
        <v>371</v>
      </c>
      <c r="AP379" s="3" t="s">
        <v>371</v>
      </c>
      <c r="AQ379" s="1414" t="s">
        <v>92</v>
      </c>
    </row>
    <row r="380" spans="1:44" ht="15" customHeight="1" x14ac:dyDescent="0.4">
      <c r="C380" s="36"/>
      <c r="D380" s="7"/>
      <c r="E380" s="7"/>
      <c r="F380" s="7"/>
      <c r="G380" s="7"/>
      <c r="V380" s="279" t="s">
        <v>369</v>
      </c>
      <c r="W380" s="112" t="s">
        <v>1849</v>
      </c>
      <c r="X380" s="279" t="s">
        <v>369</v>
      </c>
      <c r="Y380" s="1871">
        <v>200170148</v>
      </c>
      <c r="Z380" s="1443"/>
      <c r="AE380" s="3"/>
      <c r="AF380" s="930"/>
      <c r="AH380" s="51">
        <v>0</v>
      </c>
      <c r="AI380" s="39"/>
      <c r="AJ380" s="39"/>
      <c r="AK380" s="39"/>
      <c r="AL380" s="51">
        <f>AD$376*AH380+SUM(AI380:AK380)</f>
        <v>0</v>
      </c>
      <c r="AM380" s="3" t="s">
        <v>371</v>
      </c>
      <c r="AN380" s="3" t="s">
        <v>371</v>
      </c>
      <c r="AO380" s="3" t="s">
        <v>371</v>
      </c>
      <c r="AP380" s="3" t="s">
        <v>371</v>
      </c>
      <c r="AQ380" s="1414" t="s">
        <v>92</v>
      </c>
    </row>
    <row r="381" spans="1:44" ht="15" customHeight="1" thickBot="1" x14ac:dyDescent="0.45">
      <c r="C381" s="36"/>
      <c r="D381" s="7"/>
      <c r="E381" s="7"/>
      <c r="F381" s="7"/>
      <c r="G381" s="7"/>
      <c r="V381" s="1876" t="s">
        <v>369</v>
      </c>
      <c r="W381" s="1877" t="s">
        <v>375</v>
      </c>
      <c r="X381" s="1876" t="s">
        <v>369</v>
      </c>
      <c r="Y381" s="1878">
        <v>200170133</v>
      </c>
      <c r="Z381" s="1444"/>
      <c r="AA381" s="948"/>
      <c r="AB381" s="889"/>
      <c r="AC381" s="889"/>
      <c r="AD381" s="945"/>
      <c r="AE381" s="889"/>
      <c r="AF381" s="1234"/>
      <c r="AG381" s="945"/>
      <c r="AH381" s="937">
        <v>0</v>
      </c>
      <c r="AI381" s="947"/>
      <c r="AJ381" s="947"/>
      <c r="AK381" s="947"/>
      <c r="AL381" s="937">
        <f>AD$376*AH381+SUM(AI381:AK381)</f>
        <v>0</v>
      </c>
      <c r="AM381" s="889" t="s">
        <v>92</v>
      </c>
      <c r="AN381" s="889" t="s">
        <v>92</v>
      </c>
      <c r="AO381" s="889" t="s">
        <v>92</v>
      </c>
      <c r="AP381" s="889" t="s">
        <v>92</v>
      </c>
      <c r="AQ381" s="1590" t="s">
        <v>81</v>
      </c>
      <c r="AR381" s="889"/>
    </row>
    <row r="382" spans="1:44" ht="15" customHeight="1" x14ac:dyDescent="0.4">
      <c r="A382" s="3" t="s">
        <v>1166</v>
      </c>
      <c r="C382" s="173" t="s">
        <v>1167</v>
      </c>
      <c r="D382" s="182"/>
      <c r="E382" s="182"/>
      <c r="F382" s="182"/>
      <c r="G382" s="173"/>
      <c r="H382" s="193"/>
      <c r="I382" s="116" t="s">
        <v>365</v>
      </c>
      <c r="J382" s="116"/>
      <c r="K382" s="116"/>
      <c r="L382" s="116" t="s">
        <v>348</v>
      </c>
      <c r="M382" s="177">
        <v>-3.4380000000000002</v>
      </c>
      <c r="N382" s="177"/>
      <c r="O382" s="177"/>
      <c r="P382" s="177"/>
      <c r="Q382" s="177"/>
      <c r="R382" s="116" t="s">
        <v>352</v>
      </c>
      <c r="S382" s="177">
        <f>FWWidth+M382</f>
        <v>44.061999999999998</v>
      </c>
      <c r="T382" s="116" t="s">
        <v>366</v>
      </c>
      <c r="U382" s="193"/>
      <c r="V382" s="138"/>
      <c r="W382" s="138"/>
      <c r="X382" s="138"/>
      <c r="Y382" s="1449"/>
      <c r="Z382" s="1449"/>
      <c r="AA382" s="193"/>
      <c r="AB382" s="116">
        <v>42</v>
      </c>
      <c r="AC382" s="116">
        <v>1</v>
      </c>
      <c r="AD382" s="177">
        <f>AC382*S382/12</f>
        <v>3.6718333333333333</v>
      </c>
      <c r="AE382" s="116" t="s">
        <v>367</v>
      </c>
      <c r="AF382" s="627">
        <f>AF412</f>
        <v>4.3999999999999997E-2</v>
      </c>
      <c r="AG382" s="177">
        <f>AF382*AtolbperftFixed</f>
        <v>2.79312E-2</v>
      </c>
      <c r="AH382" s="935">
        <f>AG382*FWSingleCost</f>
        <v>4.1896799999999998E-2</v>
      </c>
      <c r="AI382" s="185"/>
      <c r="AJ382" s="185"/>
      <c r="AK382" s="185"/>
      <c r="AL382" s="185"/>
      <c r="AM382" s="3" t="s">
        <v>371</v>
      </c>
      <c r="AN382" s="3" t="s">
        <v>371</v>
      </c>
      <c r="AO382" s="3" t="s">
        <v>371</v>
      </c>
      <c r="AP382" s="3" t="s">
        <v>371</v>
      </c>
      <c r="AQ382" s="1414" t="s">
        <v>92</v>
      </c>
    </row>
    <row r="383" spans="1:44" ht="15" customHeight="1" x14ac:dyDescent="0.4">
      <c r="D383" s="7"/>
      <c r="E383" s="7"/>
      <c r="F383" s="7"/>
      <c r="G383" s="7"/>
      <c r="V383" s="38" t="s">
        <v>369</v>
      </c>
      <c r="W383" s="3" t="s">
        <v>370</v>
      </c>
      <c r="X383" s="38" t="s">
        <v>369</v>
      </c>
      <c r="Y383" s="1443">
        <v>200171003</v>
      </c>
      <c r="Z383" s="1443"/>
      <c r="AE383" s="3"/>
      <c r="AF383" s="930"/>
      <c r="AH383" s="51">
        <f>AH413</f>
        <v>5.7299999999999997E-2</v>
      </c>
      <c r="AI383" s="39"/>
      <c r="AJ383" s="39"/>
      <c r="AK383" s="39"/>
      <c r="AL383" s="51">
        <f>AD$382*AH383+SUM(AI383:AK383)</f>
        <v>0.21039604999999997</v>
      </c>
      <c r="AM383" s="3" t="s">
        <v>371</v>
      </c>
      <c r="AN383" s="3" t="s">
        <v>371</v>
      </c>
      <c r="AO383" s="3" t="s">
        <v>371</v>
      </c>
      <c r="AP383" s="3" t="s">
        <v>371</v>
      </c>
      <c r="AQ383" s="1414" t="s">
        <v>92</v>
      </c>
    </row>
    <row r="384" spans="1:44" ht="15" customHeight="1" x14ac:dyDescent="0.4">
      <c r="D384" s="7"/>
      <c r="E384" s="7"/>
      <c r="F384" s="7"/>
      <c r="G384" s="7"/>
      <c r="V384" s="38" t="s">
        <v>369</v>
      </c>
      <c r="W384" s="3" t="s">
        <v>372</v>
      </c>
      <c r="X384" s="38" t="s">
        <v>369</v>
      </c>
      <c r="Y384" s="1563">
        <v>200171021</v>
      </c>
      <c r="Z384" s="1443"/>
      <c r="AE384" s="3"/>
      <c r="AF384" s="930"/>
      <c r="AH384" s="51">
        <f>AH414</f>
        <v>6.3500000000000001E-2</v>
      </c>
      <c r="AI384" s="39"/>
      <c r="AJ384" s="39"/>
      <c r="AK384" s="39"/>
      <c r="AL384" s="51">
        <f>AD$382*AH384+SUM(AI384:AK384)</f>
        <v>0.23316141666666668</v>
      </c>
      <c r="AM384" s="3" t="s">
        <v>371</v>
      </c>
      <c r="AN384" s="3" t="s">
        <v>371</v>
      </c>
      <c r="AO384" s="3" t="s">
        <v>371</v>
      </c>
      <c r="AP384" s="3" t="s">
        <v>371</v>
      </c>
      <c r="AQ384" s="1414" t="s">
        <v>92</v>
      </c>
    </row>
    <row r="385" spans="1:44" ht="15" customHeight="1" x14ac:dyDescent="0.4">
      <c r="D385" s="7"/>
      <c r="E385" s="7"/>
      <c r="F385" s="7"/>
      <c r="G385" s="7"/>
      <c r="V385" s="38" t="s">
        <v>369</v>
      </c>
      <c r="W385" s="3" t="s">
        <v>373</v>
      </c>
      <c r="X385" s="38" t="s">
        <v>369</v>
      </c>
      <c r="Y385" s="1443">
        <v>200171033</v>
      </c>
      <c r="Z385" s="1443"/>
      <c r="AE385" s="3"/>
      <c r="AF385" s="930"/>
      <c r="AH385" s="51">
        <f>AH415</f>
        <v>6.8199999999999997E-2</v>
      </c>
      <c r="AI385" s="39"/>
      <c r="AJ385" s="39"/>
      <c r="AK385" s="39"/>
      <c r="AL385" s="51">
        <f>AD$382*AH385+SUM(AI385:AK385)</f>
        <v>0.25041903333333332</v>
      </c>
      <c r="AM385" s="3" t="s">
        <v>371</v>
      </c>
      <c r="AN385" s="3" t="s">
        <v>371</v>
      </c>
      <c r="AO385" s="3" t="s">
        <v>371</v>
      </c>
      <c r="AP385" s="3" t="s">
        <v>371</v>
      </c>
      <c r="AQ385" s="1414" t="s">
        <v>92</v>
      </c>
    </row>
    <row r="386" spans="1:44" ht="15" customHeight="1" x14ac:dyDescent="0.4">
      <c r="D386" s="7"/>
      <c r="E386" s="7"/>
      <c r="F386" s="7"/>
      <c r="G386" s="7"/>
      <c r="V386" s="279" t="s">
        <v>369</v>
      </c>
      <c r="W386" s="112" t="s">
        <v>1849</v>
      </c>
      <c r="X386" s="279" t="s">
        <v>369</v>
      </c>
      <c r="Y386" s="1871">
        <v>200171148</v>
      </c>
      <c r="Z386" s="1443"/>
      <c r="AE386" s="3"/>
      <c r="AF386" s="930"/>
      <c r="AH386" s="51">
        <v>0</v>
      </c>
      <c r="AI386" s="39"/>
      <c r="AJ386" s="39"/>
      <c r="AK386" s="39"/>
      <c r="AL386" s="51">
        <f>AD$382*AH386+SUM(AI386:AK386)</f>
        <v>0</v>
      </c>
      <c r="AM386" s="3" t="s">
        <v>371</v>
      </c>
      <c r="AN386" s="3" t="s">
        <v>371</v>
      </c>
      <c r="AO386" s="3" t="s">
        <v>371</v>
      </c>
      <c r="AP386" s="3" t="s">
        <v>371</v>
      </c>
      <c r="AQ386" s="1414" t="s">
        <v>92</v>
      </c>
    </row>
    <row r="387" spans="1:44" ht="15" customHeight="1" thickBot="1" x14ac:dyDescent="0.45">
      <c r="D387" s="7"/>
      <c r="E387" s="7"/>
      <c r="F387" s="7"/>
      <c r="G387" s="7"/>
      <c r="U387" s="948"/>
      <c r="V387" s="888" t="s">
        <v>369</v>
      </c>
      <c r="W387" s="889" t="s">
        <v>375</v>
      </c>
      <c r="X387" s="888" t="s">
        <v>369</v>
      </c>
      <c r="Y387" s="1444">
        <v>200171133</v>
      </c>
      <c r="Z387" s="1444"/>
      <c r="AA387" s="948"/>
      <c r="AB387" s="889"/>
      <c r="AC387" s="889"/>
      <c r="AD387" s="945"/>
      <c r="AE387" s="889"/>
      <c r="AF387" s="1234"/>
      <c r="AG387" s="945"/>
      <c r="AH387" s="1424">
        <v>0</v>
      </c>
      <c r="AI387" s="947"/>
      <c r="AJ387" s="947"/>
      <c r="AK387" s="947"/>
      <c r="AL387" s="937">
        <f>AD$382*AH387+SUM(AI387:AK387)</f>
        <v>0</v>
      </c>
      <c r="AM387" s="889" t="s">
        <v>371</v>
      </c>
      <c r="AN387" s="889" t="s">
        <v>371</v>
      </c>
      <c r="AO387" s="889" t="s">
        <v>371</v>
      </c>
      <c r="AP387" s="889" t="s">
        <v>371</v>
      </c>
      <c r="AQ387" s="1590" t="s">
        <v>371</v>
      </c>
      <c r="AR387" s="889"/>
    </row>
    <row r="388" spans="1:44" ht="15" customHeight="1" x14ac:dyDescent="0.4">
      <c r="C388" s="173" t="s">
        <v>1168</v>
      </c>
      <c r="D388" s="182"/>
      <c r="E388" s="182"/>
      <c r="F388" s="182"/>
      <c r="G388" s="173"/>
      <c r="H388" s="193"/>
      <c r="I388" s="116" t="s">
        <v>365</v>
      </c>
      <c r="J388" s="116"/>
      <c r="K388" s="116"/>
      <c r="L388" s="116" t="s">
        <v>348</v>
      </c>
      <c r="M388" s="177">
        <v>-3.4380000000000002</v>
      </c>
      <c r="N388" s="177"/>
      <c r="O388" s="177"/>
      <c r="P388" s="177"/>
      <c r="Q388" s="177"/>
      <c r="R388" s="116" t="s">
        <v>352</v>
      </c>
      <c r="S388" s="177">
        <f>FWWidth+M388</f>
        <v>44.061999999999998</v>
      </c>
      <c r="T388" s="116" t="s">
        <v>366</v>
      </c>
      <c r="V388" s="38"/>
      <c r="X388" s="38"/>
      <c r="Y388" s="1443"/>
      <c r="Z388" s="1443"/>
      <c r="AC388" s="3">
        <v>1</v>
      </c>
      <c r="AD388" s="5">
        <f>AC388*S388/12</f>
        <v>3.6718333333333333</v>
      </c>
      <c r="AE388" s="3" t="s">
        <v>367</v>
      </c>
      <c r="AF388" s="930">
        <f>AF418</f>
        <v>4.1000000000000002E-2</v>
      </c>
      <c r="AG388" s="5">
        <f>AF388*AtolbperftFixed</f>
        <v>2.6026800000000003E-2</v>
      </c>
      <c r="AH388" s="955">
        <f>AG388*FWSingleCost</f>
        <v>3.9040200000000004E-2</v>
      </c>
      <c r="AI388" s="39"/>
      <c r="AJ388" s="39"/>
      <c r="AK388" s="39"/>
      <c r="AM388" s="3" t="s">
        <v>371</v>
      </c>
      <c r="AN388" s="3" t="s">
        <v>371</v>
      </c>
      <c r="AO388" s="3" t="s">
        <v>371</v>
      </c>
      <c r="AP388" s="3" t="s">
        <v>371</v>
      </c>
      <c r="AQ388" s="1414" t="s">
        <v>92</v>
      </c>
    </row>
    <row r="389" spans="1:44" ht="15" customHeight="1" x14ac:dyDescent="0.4">
      <c r="D389" s="7"/>
      <c r="E389" s="7"/>
      <c r="F389" s="7"/>
      <c r="G389" s="7"/>
      <c r="V389" s="38" t="s">
        <v>369</v>
      </c>
      <c r="W389" s="3" t="s">
        <v>370</v>
      </c>
      <c r="X389" s="38" t="s">
        <v>369</v>
      </c>
      <c r="Y389" s="1443">
        <v>200190003</v>
      </c>
      <c r="Z389" s="1443"/>
      <c r="AE389" s="3"/>
      <c r="AF389" s="930"/>
      <c r="AH389" s="51">
        <f>AH419</f>
        <v>4.7199999999999999E-2</v>
      </c>
      <c r="AI389" s="39"/>
      <c r="AJ389" s="39"/>
      <c r="AK389" s="39"/>
      <c r="AL389" s="51">
        <f>AD$388*AH389+SUM(AI389:AK389)</f>
        <v>0.17331053333333332</v>
      </c>
      <c r="AM389" s="3" t="s">
        <v>371</v>
      </c>
      <c r="AN389" s="3" t="s">
        <v>371</v>
      </c>
      <c r="AO389" s="3" t="s">
        <v>371</v>
      </c>
      <c r="AP389" s="3" t="s">
        <v>371</v>
      </c>
      <c r="AQ389" s="1414" t="s">
        <v>92</v>
      </c>
    </row>
    <row r="390" spans="1:44" ht="15" customHeight="1" x14ac:dyDescent="0.4">
      <c r="D390" s="7"/>
      <c r="E390" s="7"/>
      <c r="F390" s="7"/>
      <c r="G390" s="7"/>
      <c r="V390" s="38" t="s">
        <v>369</v>
      </c>
      <c r="W390" s="3" t="s">
        <v>372</v>
      </c>
      <c r="X390" s="38" t="s">
        <v>369</v>
      </c>
      <c r="Y390" s="1563">
        <v>200190021</v>
      </c>
      <c r="Z390" s="1443"/>
      <c r="AE390" s="3"/>
      <c r="AF390" s="930"/>
      <c r="AH390" s="51">
        <f>AH420</f>
        <v>5.5E-2</v>
      </c>
      <c r="AI390" s="39"/>
      <c r="AJ390" s="39"/>
      <c r="AK390" s="39"/>
      <c r="AL390" s="51">
        <f>AD$388*AH390+SUM(AI390:AK390)</f>
        <v>0.20195083333333333</v>
      </c>
      <c r="AM390" s="3" t="s">
        <v>371</v>
      </c>
      <c r="AN390" s="3" t="s">
        <v>371</v>
      </c>
      <c r="AO390" s="3" t="s">
        <v>371</v>
      </c>
      <c r="AP390" s="3" t="s">
        <v>371</v>
      </c>
      <c r="AQ390" s="1414" t="s">
        <v>92</v>
      </c>
    </row>
    <row r="391" spans="1:44" ht="15" customHeight="1" x14ac:dyDescent="0.4">
      <c r="D391" s="7"/>
      <c r="E391" s="7"/>
      <c r="F391" s="7"/>
      <c r="G391" s="7"/>
      <c r="V391" s="38" t="s">
        <v>369</v>
      </c>
      <c r="W391" s="3" t="s">
        <v>373</v>
      </c>
      <c r="X391" s="38" t="s">
        <v>369</v>
      </c>
      <c r="Y391" s="1443">
        <v>200190033</v>
      </c>
      <c r="Z391" s="1443"/>
      <c r="AE391" s="3"/>
      <c r="AF391" s="930"/>
      <c r="AH391" s="51">
        <f>AH421</f>
        <v>0</v>
      </c>
      <c r="AI391" s="39"/>
      <c r="AJ391" s="39"/>
      <c r="AK391" s="39"/>
      <c r="AL391" s="51">
        <f>AD$388*AH391+SUM(AI391:AK391)</f>
        <v>0</v>
      </c>
      <c r="AM391" s="3" t="s">
        <v>371</v>
      </c>
      <c r="AN391" s="3" t="s">
        <v>371</v>
      </c>
      <c r="AO391" s="3" t="s">
        <v>371</v>
      </c>
      <c r="AP391" s="3" t="s">
        <v>371</v>
      </c>
      <c r="AQ391" s="1414" t="s">
        <v>92</v>
      </c>
    </row>
    <row r="392" spans="1:44" ht="15" customHeight="1" x14ac:dyDescent="0.4">
      <c r="D392" s="7"/>
      <c r="E392" s="7"/>
      <c r="F392" s="7"/>
      <c r="G392" s="7"/>
      <c r="V392" s="279" t="s">
        <v>369</v>
      </c>
      <c r="W392" s="112" t="s">
        <v>1849</v>
      </c>
      <c r="X392" s="279" t="s">
        <v>369</v>
      </c>
      <c r="Y392" s="1871">
        <v>200190148</v>
      </c>
      <c r="Z392" s="1443"/>
      <c r="AE392" s="3"/>
      <c r="AF392" s="930"/>
      <c r="AH392" s="51">
        <v>0</v>
      </c>
      <c r="AI392" s="39"/>
      <c r="AJ392" s="39"/>
      <c r="AK392" s="39"/>
      <c r="AL392" s="51">
        <f>AD$388*AH392+SUM(AI392:AK392)</f>
        <v>0</v>
      </c>
      <c r="AM392" s="3" t="s">
        <v>371</v>
      </c>
      <c r="AN392" s="3" t="s">
        <v>371</v>
      </c>
      <c r="AO392" s="3" t="s">
        <v>371</v>
      </c>
      <c r="AP392" s="3" t="s">
        <v>371</v>
      </c>
      <c r="AQ392" s="1414" t="s">
        <v>92</v>
      </c>
    </row>
    <row r="393" spans="1:44" ht="15" customHeight="1" thickBot="1" x14ac:dyDescent="0.45">
      <c r="D393" s="7"/>
      <c r="E393" s="7"/>
      <c r="F393" s="7"/>
      <c r="G393" s="7"/>
      <c r="U393" s="948"/>
      <c r="V393" s="888" t="s">
        <v>369</v>
      </c>
      <c r="W393" s="889" t="s">
        <v>375</v>
      </c>
      <c r="X393" s="888" t="s">
        <v>369</v>
      </c>
      <c r="Y393" s="1444">
        <v>200190133</v>
      </c>
      <c r="Z393" s="1444"/>
      <c r="AA393" s="948"/>
      <c r="AB393" s="889"/>
      <c r="AC393" s="889"/>
      <c r="AD393" s="945"/>
      <c r="AE393" s="889"/>
      <c r="AF393" s="1234"/>
      <c r="AG393" s="945"/>
      <c r="AH393" s="1424">
        <v>0</v>
      </c>
      <c r="AI393" s="947"/>
      <c r="AJ393" s="947"/>
      <c r="AK393" s="947"/>
      <c r="AL393" s="937">
        <f>AD$388*AH393+SUM(AI393:AK393)</f>
        <v>0</v>
      </c>
      <c r="AM393" s="889" t="s">
        <v>371</v>
      </c>
      <c r="AN393" s="889" t="s">
        <v>371</v>
      </c>
      <c r="AO393" s="889" t="s">
        <v>371</v>
      </c>
      <c r="AP393" s="889" t="s">
        <v>371</v>
      </c>
      <c r="AQ393" s="1590" t="s">
        <v>371</v>
      </c>
      <c r="AR393" s="889"/>
    </row>
    <row r="394" spans="1:44" ht="15" customHeight="1" x14ac:dyDescent="0.4">
      <c r="A394" s="3" t="s">
        <v>1169</v>
      </c>
      <c r="C394" s="173" t="s">
        <v>1170</v>
      </c>
      <c r="D394" s="182"/>
      <c r="E394" s="182"/>
      <c r="F394" s="182"/>
      <c r="G394" s="173"/>
      <c r="H394" s="193"/>
      <c r="I394" s="116" t="s">
        <v>365</v>
      </c>
      <c r="J394" s="116"/>
      <c r="K394" s="116"/>
      <c r="L394" s="116" t="s">
        <v>348</v>
      </c>
      <c r="M394" s="177">
        <f>-1.75*2</f>
        <v>-3.5</v>
      </c>
      <c r="N394" s="177"/>
      <c r="O394" s="177"/>
      <c r="P394" s="177"/>
      <c r="Q394" s="177"/>
      <c r="R394" s="116" t="s">
        <v>352</v>
      </c>
      <c r="S394" s="177">
        <f>FWWidth+M394</f>
        <v>44</v>
      </c>
      <c r="T394" s="116" t="s">
        <v>366</v>
      </c>
      <c r="U394" s="193"/>
      <c r="V394" s="138"/>
      <c r="W394" s="138"/>
      <c r="X394" s="138"/>
      <c r="Y394" s="1449"/>
      <c r="Z394" s="1449"/>
      <c r="AA394" s="193"/>
      <c r="AB394" s="116">
        <v>42</v>
      </c>
      <c r="AC394" s="116">
        <v>1</v>
      </c>
      <c r="AD394" s="177">
        <f>AC394*S394/12</f>
        <v>3.6666666666666665</v>
      </c>
      <c r="AE394" s="116" t="s">
        <v>367</v>
      </c>
      <c r="AF394" s="627">
        <f>AF412</f>
        <v>4.3999999999999997E-2</v>
      </c>
      <c r="AG394" s="177">
        <f>AF394*AtolbperftFixed</f>
        <v>2.79312E-2</v>
      </c>
      <c r="AH394" s="935">
        <f>AG394*FWSingleCost</f>
        <v>4.1896799999999998E-2</v>
      </c>
      <c r="AI394" s="185"/>
      <c r="AJ394" s="185"/>
      <c r="AK394" s="185"/>
      <c r="AL394" s="185"/>
      <c r="AM394" s="3" t="s">
        <v>371</v>
      </c>
      <c r="AN394" s="3" t="s">
        <v>371</v>
      </c>
      <c r="AO394" s="3" t="s">
        <v>371</v>
      </c>
      <c r="AP394" s="3" t="s">
        <v>371</v>
      </c>
      <c r="AQ394" s="1414" t="s">
        <v>92</v>
      </c>
    </row>
    <row r="395" spans="1:44" ht="15" customHeight="1" x14ac:dyDescent="0.4">
      <c r="B395" s="8"/>
      <c r="C395" s="36"/>
      <c r="D395" s="7"/>
      <c r="E395" s="7"/>
      <c r="F395" s="7"/>
      <c r="G395" s="7"/>
      <c r="V395" s="38" t="s">
        <v>369</v>
      </c>
      <c r="W395" s="3" t="s">
        <v>370</v>
      </c>
      <c r="X395" s="38" t="s">
        <v>369</v>
      </c>
      <c r="Y395" s="1443">
        <v>200171003</v>
      </c>
      <c r="Z395" s="1443"/>
      <c r="AE395" s="3"/>
      <c r="AF395" s="930"/>
      <c r="AH395" s="51">
        <f>AH383</f>
        <v>5.7299999999999997E-2</v>
      </c>
      <c r="AI395" s="39"/>
      <c r="AJ395" s="39"/>
      <c r="AK395" s="39"/>
      <c r="AL395" s="51">
        <f>AD$394*AH395+SUM(AI395:AK395)</f>
        <v>0.21009999999999998</v>
      </c>
      <c r="AM395" s="3" t="s">
        <v>371</v>
      </c>
      <c r="AN395" s="3" t="s">
        <v>371</v>
      </c>
      <c r="AO395" s="3" t="s">
        <v>371</v>
      </c>
      <c r="AP395" s="3" t="s">
        <v>371</v>
      </c>
      <c r="AQ395" s="1414" t="s">
        <v>92</v>
      </c>
    </row>
    <row r="396" spans="1:44" ht="15" customHeight="1" x14ac:dyDescent="0.4">
      <c r="B396" s="8"/>
      <c r="C396" s="36"/>
      <c r="D396" s="7"/>
      <c r="E396" s="7"/>
      <c r="F396" s="7"/>
      <c r="G396" s="7"/>
      <c r="V396" s="38" t="s">
        <v>369</v>
      </c>
      <c r="W396" s="3" t="s">
        <v>372</v>
      </c>
      <c r="X396" s="38" t="s">
        <v>369</v>
      </c>
      <c r="Y396" s="1563">
        <v>200171021</v>
      </c>
      <c r="Z396" s="1443"/>
      <c r="AE396" s="3"/>
      <c r="AF396" s="930"/>
      <c r="AH396" s="51">
        <f>AH384</f>
        <v>6.3500000000000001E-2</v>
      </c>
      <c r="AI396" s="39"/>
      <c r="AJ396" s="39"/>
      <c r="AK396" s="39"/>
      <c r="AL396" s="51">
        <f>AD$394*AH396+SUM(AI396:AK396)</f>
        <v>0.23283333333333334</v>
      </c>
      <c r="AM396" s="3" t="s">
        <v>371</v>
      </c>
      <c r="AN396" s="3" t="s">
        <v>371</v>
      </c>
      <c r="AO396" s="3" t="s">
        <v>371</v>
      </c>
      <c r="AP396" s="3" t="s">
        <v>371</v>
      </c>
      <c r="AQ396" s="1414" t="s">
        <v>92</v>
      </c>
    </row>
    <row r="397" spans="1:44" ht="15" customHeight="1" x14ac:dyDescent="0.4">
      <c r="B397" s="8"/>
      <c r="C397" s="36"/>
      <c r="D397" s="7"/>
      <c r="E397" s="7"/>
      <c r="F397" s="7"/>
      <c r="G397" s="7"/>
      <c r="V397" s="38" t="s">
        <v>369</v>
      </c>
      <c r="W397" s="3" t="s">
        <v>373</v>
      </c>
      <c r="X397" s="38" t="s">
        <v>369</v>
      </c>
      <c r="Y397" s="1443">
        <v>200171033</v>
      </c>
      <c r="Z397" s="1443"/>
      <c r="AE397" s="3"/>
      <c r="AF397" s="930"/>
      <c r="AH397" s="51">
        <f>AH385</f>
        <v>6.8199999999999997E-2</v>
      </c>
      <c r="AI397" s="39"/>
      <c r="AJ397" s="39"/>
      <c r="AK397" s="39"/>
      <c r="AL397" s="51">
        <f>AD$394*AH397+SUM(AI397:AK397)</f>
        <v>0.25006666666666666</v>
      </c>
      <c r="AM397" s="3" t="s">
        <v>371</v>
      </c>
      <c r="AN397" s="3" t="s">
        <v>371</v>
      </c>
      <c r="AO397" s="3" t="s">
        <v>371</v>
      </c>
      <c r="AP397" s="3" t="s">
        <v>371</v>
      </c>
      <c r="AQ397" s="1414" t="s">
        <v>92</v>
      </c>
    </row>
    <row r="398" spans="1:44" ht="15" customHeight="1" x14ac:dyDescent="0.4">
      <c r="B398" s="8"/>
      <c r="C398" s="36"/>
      <c r="D398" s="7"/>
      <c r="E398" s="7"/>
      <c r="F398" s="7"/>
      <c r="G398" s="7"/>
      <c r="V398" s="279" t="s">
        <v>369</v>
      </c>
      <c r="W398" s="112" t="s">
        <v>1849</v>
      </c>
      <c r="X398" s="279" t="s">
        <v>369</v>
      </c>
      <c r="Y398" s="1871">
        <v>200171148</v>
      </c>
      <c r="Z398" s="1443"/>
      <c r="AE398" s="3"/>
      <c r="AF398" s="930"/>
      <c r="AH398" s="51">
        <v>0</v>
      </c>
      <c r="AI398" s="39"/>
      <c r="AJ398" s="39"/>
      <c r="AK398" s="39"/>
      <c r="AL398" s="51">
        <f>AD$394*AH398+SUM(AI398:AK398)</f>
        <v>0</v>
      </c>
      <c r="AM398" s="3" t="s">
        <v>371</v>
      </c>
      <c r="AN398" s="3" t="s">
        <v>371</v>
      </c>
      <c r="AO398" s="3" t="s">
        <v>371</v>
      </c>
      <c r="AP398" s="3" t="s">
        <v>371</v>
      </c>
      <c r="AQ398" s="1414" t="s">
        <v>92</v>
      </c>
    </row>
    <row r="399" spans="1:44" ht="15" customHeight="1" thickBot="1" x14ac:dyDescent="0.45">
      <c r="B399" s="8"/>
      <c r="C399" s="36"/>
      <c r="D399" s="7"/>
      <c r="E399" s="7"/>
      <c r="F399" s="7"/>
      <c r="G399" s="7"/>
      <c r="T399" s="889"/>
      <c r="U399" s="948"/>
      <c r="V399" s="888" t="s">
        <v>369</v>
      </c>
      <c r="W399" s="889" t="s">
        <v>375</v>
      </c>
      <c r="X399" s="888" t="s">
        <v>369</v>
      </c>
      <c r="Y399" s="1444">
        <v>200171133</v>
      </c>
      <c r="Z399" s="1444"/>
      <c r="AA399" s="948"/>
      <c r="AB399" s="889"/>
      <c r="AC399" s="889"/>
      <c r="AD399" s="945"/>
      <c r="AE399" s="889"/>
      <c r="AF399" s="1234"/>
      <c r="AG399" s="945"/>
      <c r="AH399" s="1424">
        <v>0</v>
      </c>
      <c r="AI399" s="947"/>
      <c r="AJ399" s="947"/>
      <c r="AK399" s="947"/>
      <c r="AL399" s="937">
        <f>AD$394*AH399+SUM(AI399:AK399)</f>
        <v>0</v>
      </c>
      <c r="AM399" s="889" t="s">
        <v>371</v>
      </c>
      <c r="AN399" s="889" t="s">
        <v>371</v>
      </c>
      <c r="AO399" s="889" t="s">
        <v>371</v>
      </c>
      <c r="AP399" s="889" t="s">
        <v>371</v>
      </c>
      <c r="AQ399" s="1590" t="s">
        <v>371</v>
      </c>
      <c r="AR399" s="889"/>
    </row>
    <row r="400" spans="1:44" ht="15" customHeight="1" x14ac:dyDescent="0.4">
      <c r="B400" s="8"/>
      <c r="C400" s="173" t="s">
        <v>1171</v>
      </c>
      <c r="D400" s="182"/>
      <c r="E400" s="182"/>
      <c r="F400" s="182"/>
      <c r="G400" s="173"/>
      <c r="H400" s="193"/>
      <c r="I400" s="116" t="s">
        <v>365</v>
      </c>
      <c r="J400" s="116"/>
      <c r="K400" s="116"/>
      <c r="L400" s="116" t="s">
        <v>348</v>
      </c>
      <c r="M400" s="177">
        <f>-1.75*2</f>
        <v>-3.5</v>
      </c>
      <c r="N400" s="177"/>
      <c r="O400" s="177"/>
      <c r="P400" s="177"/>
      <c r="Q400" s="177"/>
      <c r="R400" s="116" t="s">
        <v>352</v>
      </c>
      <c r="S400" s="177">
        <f>FWWidth+M400</f>
        <v>44</v>
      </c>
      <c r="T400" s="3" t="s">
        <v>366</v>
      </c>
      <c r="V400" s="38"/>
      <c r="X400" s="38"/>
      <c r="Y400" s="1443"/>
      <c r="Z400" s="1443"/>
      <c r="AC400" s="3">
        <v>1</v>
      </c>
      <c r="AD400" s="5">
        <f>AC400*S400/12</f>
        <v>3.6666666666666665</v>
      </c>
      <c r="AE400" s="3" t="s">
        <v>367</v>
      </c>
      <c r="AF400" s="930">
        <f>AF418</f>
        <v>4.1000000000000002E-2</v>
      </c>
      <c r="AG400" s="5">
        <f>AF400*AtolbperftFixed</f>
        <v>2.6026800000000003E-2</v>
      </c>
      <c r="AH400" s="955">
        <f>AG400*FWSingleCost</f>
        <v>3.9040200000000004E-2</v>
      </c>
      <c r="AI400" s="39"/>
      <c r="AJ400" s="39"/>
      <c r="AK400" s="39"/>
      <c r="AM400" s="3" t="s">
        <v>371</v>
      </c>
      <c r="AN400" s="3" t="s">
        <v>371</v>
      </c>
      <c r="AO400" s="3" t="s">
        <v>371</v>
      </c>
      <c r="AP400" s="3" t="s">
        <v>371</v>
      </c>
      <c r="AQ400" s="1414" t="s">
        <v>92</v>
      </c>
    </row>
    <row r="401" spans="1:44" ht="15" customHeight="1" x14ac:dyDescent="0.4">
      <c r="B401" s="8"/>
      <c r="C401" s="36"/>
      <c r="D401" s="7"/>
      <c r="E401" s="7"/>
      <c r="F401" s="7"/>
      <c r="G401" s="7"/>
      <c r="V401" s="38" t="s">
        <v>369</v>
      </c>
      <c r="W401" s="3" t="s">
        <v>370</v>
      </c>
      <c r="X401" s="38" t="s">
        <v>369</v>
      </c>
      <c r="Y401" s="1443">
        <v>200190003</v>
      </c>
      <c r="Z401" s="1443"/>
      <c r="AE401" s="3"/>
      <c r="AF401" s="930"/>
      <c r="AH401" s="51">
        <f>AH389</f>
        <v>4.7199999999999999E-2</v>
      </c>
      <c r="AI401" s="39"/>
      <c r="AJ401" s="39"/>
      <c r="AK401" s="39"/>
      <c r="AL401" s="51">
        <f>AD$400*AH401+SUM(AI401:AK401)</f>
        <v>0.17306666666666665</v>
      </c>
      <c r="AM401" s="3" t="s">
        <v>371</v>
      </c>
      <c r="AN401" s="3" t="s">
        <v>371</v>
      </c>
      <c r="AO401" s="3" t="s">
        <v>371</v>
      </c>
      <c r="AP401" s="3" t="s">
        <v>371</v>
      </c>
      <c r="AQ401" s="1414" t="s">
        <v>92</v>
      </c>
    </row>
    <row r="402" spans="1:44" ht="15" customHeight="1" x14ac:dyDescent="0.4">
      <c r="B402" s="8"/>
      <c r="C402" s="36"/>
      <c r="D402" s="7"/>
      <c r="E402" s="7"/>
      <c r="F402" s="7"/>
      <c r="G402" s="7"/>
      <c r="V402" s="38" t="s">
        <v>369</v>
      </c>
      <c r="W402" s="3" t="s">
        <v>372</v>
      </c>
      <c r="X402" s="38" t="s">
        <v>369</v>
      </c>
      <c r="Y402" s="1563">
        <v>200190021</v>
      </c>
      <c r="Z402" s="1443"/>
      <c r="AE402" s="3"/>
      <c r="AF402" s="930"/>
      <c r="AH402" s="51">
        <f>AH390</f>
        <v>5.5E-2</v>
      </c>
      <c r="AI402" s="39"/>
      <c r="AJ402" s="39"/>
      <c r="AK402" s="39"/>
      <c r="AL402" s="51">
        <f>AD$400*AH402+SUM(AI402:AK402)</f>
        <v>0.20166666666666666</v>
      </c>
      <c r="AM402" s="3" t="s">
        <v>371</v>
      </c>
      <c r="AN402" s="3" t="s">
        <v>371</v>
      </c>
      <c r="AO402" s="3" t="s">
        <v>371</v>
      </c>
      <c r="AP402" s="3" t="s">
        <v>371</v>
      </c>
      <c r="AQ402" s="1414" t="s">
        <v>92</v>
      </c>
    </row>
    <row r="403" spans="1:44" ht="15" customHeight="1" x14ac:dyDescent="0.4">
      <c r="B403" s="8"/>
      <c r="C403" s="36"/>
      <c r="D403" s="7"/>
      <c r="E403" s="7"/>
      <c r="F403" s="7"/>
      <c r="G403" s="7"/>
      <c r="V403" s="38" t="s">
        <v>369</v>
      </c>
      <c r="W403" s="3" t="s">
        <v>373</v>
      </c>
      <c r="X403" s="38" t="s">
        <v>369</v>
      </c>
      <c r="Y403" s="1443">
        <v>200190033</v>
      </c>
      <c r="Z403" s="1443"/>
      <c r="AE403" s="3"/>
      <c r="AF403" s="930"/>
      <c r="AH403" s="51">
        <f>AH391</f>
        <v>0</v>
      </c>
      <c r="AI403" s="39"/>
      <c r="AJ403" s="39"/>
      <c r="AK403" s="39"/>
      <c r="AL403" s="51">
        <f>AD$400*AH403+SUM(AI403:AK403)</f>
        <v>0</v>
      </c>
      <c r="AM403" s="3" t="s">
        <v>371</v>
      </c>
      <c r="AN403" s="3" t="s">
        <v>371</v>
      </c>
      <c r="AO403" s="3" t="s">
        <v>371</v>
      </c>
      <c r="AP403" s="3" t="s">
        <v>371</v>
      </c>
      <c r="AQ403" s="1414" t="s">
        <v>92</v>
      </c>
    </row>
    <row r="404" spans="1:44" ht="15" customHeight="1" x14ac:dyDescent="0.4">
      <c r="B404" s="8"/>
      <c r="C404" s="36"/>
      <c r="D404" s="7"/>
      <c r="E404" s="7"/>
      <c r="F404" s="7"/>
      <c r="G404" s="7"/>
      <c r="V404" s="279" t="s">
        <v>369</v>
      </c>
      <c r="W404" s="112" t="s">
        <v>1849</v>
      </c>
      <c r="X404" s="279" t="s">
        <v>369</v>
      </c>
      <c r="Y404" s="1871">
        <v>200190148</v>
      </c>
      <c r="Z404" s="1443"/>
      <c r="AE404" s="3"/>
      <c r="AF404" s="930"/>
      <c r="AH404" s="51">
        <v>0</v>
      </c>
      <c r="AI404" s="39"/>
      <c r="AJ404" s="39"/>
      <c r="AK404" s="39"/>
      <c r="AL404" s="51">
        <f>AD$400*AH404+SUM(AI404:AK404)</f>
        <v>0</v>
      </c>
      <c r="AM404" s="3" t="s">
        <v>371</v>
      </c>
      <c r="AN404" s="3" t="s">
        <v>371</v>
      </c>
      <c r="AO404" s="3" t="s">
        <v>371</v>
      </c>
      <c r="AP404" s="3" t="s">
        <v>371</v>
      </c>
      <c r="AQ404" s="1414" t="s">
        <v>92</v>
      </c>
    </row>
    <row r="405" spans="1:44" ht="15" customHeight="1" thickBot="1" x14ac:dyDescent="0.45">
      <c r="C405" s="949"/>
      <c r="D405" s="924"/>
      <c r="E405" s="924"/>
      <c r="F405" s="924"/>
      <c r="G405" s="924"/>
      <c r="H405" s="948"/>
      <c r="I405" s="889"/>
      <c r="J405" s="889"/>
      <c r="K405" s="889"/>
      <c r="L405" s="889"/>
      <c r="M405" s="945"/>
      <c r="N405" s="945"/>
      <c r="O405" s="945"/>
      <c r="P405" s="945"/>
      <c r="Q405" s="945"/>
      <c r="R405" s="889"/>
      <c r="S405" s="945"/>
      <c r="T405" s="889"/>
      <c r="U405" s="948"/>
      <c r="V405" s="888" t="s">
        <v>369</v>
      </c>
      <c r="W405" s="889" t="s">
        <v>375</v>
      </c>
      <c r="X405" s="888" t="s">
        <v>369</v>
      </c>
      <c r="Y405" s="1444">
        <v>200190133</v>
      </c>
      <c r="Z405" s="1444"/>
      <c r="AA405" s="948"/>
      <c r="AB405" s="889"/>
      <c r="AC405" s="889"/>
      <c r="AD405" s="945"/>
      <c r="AE405" s="889"/>
      <c r="AF405" s="1234"/>
      <c r="AG405" s="945"/>
      <c r="AH405" s="1424">
        <v>0</v>
      </c>
      <c r="AI405" s="947"/>
      <c r="AJ405" s="947"/>
      <c r="AK405" s="947"/>
      <c r="AL405" s="937">
        <f>AD$400*AH405+SUM(AI405:AK405)</f>
        <v>0</v>
      </c>
      <c r="AM405" s="889" t="s">
        <v>371</v>
      </c>
      <c r="AN405" s="889" t="s">
        <v>371</v>
      </c>
      <c r="AO405" s="889" t="s">
        <v>371</v>
      </c>
      <c r="AP405" s="889" t="s">
        <v>371</v>
      </c>
      <c r="AQ405" s="1590" t="s">
        <v>371</v>
      </c>
      <c r="AR405" s="889"/>
    </row>
    <row r="406" spans="1:44" ht="15" customHeight="1" x14ac:dyDescent="0.4">
      <c r="A406" s="3" t="s">
        <v>496</v>
      </c>
      <c r="C406" s="173" t="s">
        <v>1162</v>
      </c>
      <c r="D406" s="182"/>
      <c r="E406" s="182"/>
      <c r="F406" s="182"/>
      <c r="G406" s="173"/>
      <c r="H406" s="193"/>
      <c r="I406" s="116" t="s">
        <v>365</v>
      </c>
      <c r="J406" s="116"/>
      <c r="K406" s="116"/>
      <c r="L406" s="116" t="s">
        <v>348</v>
      </c>
      <c r="M406" s="177">
        <f>-1.75*2</f>
        <v>-3.5</v>
      </c>
      <c r="N406" s="177"/>
      <c r="O406" s="177"/>
      <c r="P406" s="177"/>
      <c r="Q406" s="177"/>
      <c r="R406" s="116" t="s">
        <v>352</v>
      </c>
      <c r="S406" s="177">
        <f>FWHeight+M406</f>
        <v>44</v>
      </c>
      <c r="T406" s="116" t="s">
        <v>366</v>
      </c>
      <c r="U406" s="193"/>
      <c r="V406" s="138"/>
      <c r="W406" s="138"/>
      <c r="X406" s="138"/>
      <c r="Y406" s="1449"/>
      <c r="Z406" s="1449"/>
      <c r="AA406" s="193"/>
      <c r="AB406" s="116">
        <v>42</v>
      </c>
      <c r="AC406" s="116">
        <v>2</v>
      </c>
      <c r="AD406" s="177">
        <f>AC406*S406/12</f>
        <v>7.333333333333333</v>
      </c>
      <c r="AE406" s="116" t="s">
        <v>367</v>
      </c>
      <c r="AF406" s="627">
        <v>2.8000000000000001E-2</v>
      </c>
      <c r="AG406" s="177">
        <f>AF406*AtolbperftFixed</f>
        <v>1.7774400000000003E-2</v>
      </c>
      <c r="AH406" s="935">
        <f>AG406*FWSingleCost</f>
        <v>2.6661600000000004E-2</v>
      </c>
      <c r="AI406" s="185"/>
      <c r="AJ406" s="185"/>
      <c r="AK406" s="185"/>
      <c r="AL406" s="185"/>
      <c r="AM406" s="3" t="s">
        <v>81</v>
      </c>
      <c r="AN406" s="3" t="s">
        <v>81</v>
      </c>
      <c r="AO406" s="3" t="s">
        <v>81</v>
      </c>
      <c r="AP406" s="3" t="s">
        <v>81</v>
      </c>
      <c r="AQ406" s="1414" t="s">
        <v>92</v>
      </c>
    </row>
    <row r="407" spans="1:44" ht="15" customHeight="1" x14ac:dyDescent="0.4">
      <c r="C407" s="7"/>
      <c r="D407" s="7"/>
      <c r="E407" s="7"/>
      <c r="F407" s="7"/>
      <c r="G407" s="7"/>
      <c r="V407" s="38" t="s">
        <v>369</v>
      </c>
      <c r="W407" s="3" t="s">
        <v>370</v>
      </c>
      <c r="X407" s="38" t="s">
        <v>369</v>
      </c>
      <c r="Y407" s="1443">
        <v>200170003</v>
      </c>
      <c r="Z407" s="1443"/>
      <c r="AE407" s="3"/>
      <c r="AF407" s="930"/>
      <c r="AH407" s="51">
        <v>4.1099999999999998E-2</v>
      </c>
      <c r="AI407" s="39"/>
      <c r="AJ407" s="39"/>
      <c r="AK407" s="39"/>
      <c r="AL407" s="51">
        <f>AD$406*AH407+SUM(AI407:AK407)</f>
        <v>0.30139999999999995</v>
      </c>
      <c r="AM407" s="3" t="s">
        <v>81</v>
      </c>
      <c r="AN407" s="3" t="s">
        <v>81</v>
      </c>
      <c r="AO407" s="3" t="s">
        <v>81</v>
      </c>
      <c r="AP407" s="3" t="s">
        <v>81</v>
      </c>
      <c r="AQ407" s="1414" t="s">
        <v>92</v>
      </c>
    </row>
    <row r="408" spans="1:44" ht="15" customHeight="1" x14ac:dyDescent="0.4">
      <c r="B408" s="1947" t="s">
        <v>2393</v>
      </c>
      <c r="C408" s="7"/>
      <c r="D408" s="7"/>
      <c r="E408" s="7"/>
      <c r="F408" s="7"/>
      <c r="G408" s="7"/>
      <c r="V408" s="38" t="s">
        <v>369</v>
      </c>
      <c r="W408" s="3" t="s">
        <v>372</v>
      </c>
      <c r="X408" s="38" t="s">
        <v>369</v>
      </c>
      <c r="Y408" s="1563">
        <v>200170021</v>
      </c>
      <c r="Z408" s="1443"/>
      <c r="AE408" s="3"/>
      <c r="AF408" s="930"/>
      <c r="AH408" s="51">
        <v>4.5199999999999997E-2</v>
      </c>
      <c r="AI408" s="39"/>
      <c r="AJ408" s="39"/>
      <c r="AK408" s="39"/>
      <c r="AL408" s="51">
        <f t="shared" ref="AL408:AL411" si="75">AD$406*AH408+SUM(AI408:AK408)</f>
        <v>0.33146666666666663</v>
      </c>
      <c r="AM408" s="3" t="s">
        <v>371</v>
      </c>
      <c r="AN408" s="3" t="s">
        <v>371</v>
      </c>
      <c r="AO408" s="3" t="s">
        <v>371</v>
      </c>
      <c r="AP408" s="3" t="s">
        <v>371</v>
      </c>
      <c r="AQ408" s="1414" t="s">
        <v>92</v>
      </c>
    </row>
    <row r="409" spans="1:44" ht="15" customHeight="1" x14ac:dyDescent="0.4">
      <c r="C409" s="7"/>
      <c r="D409" s="7"/>
      <c r="E409" s="7"/>
      <c r="F409" s="7"/>
      <c r="G409" s="7"/>
      <c r="V409" s="38" t="s">
        <v>369</v>
      </c>
      <c r="W409" s="3" t="s">
        <v>373</v>
      </c>
      <c r="X409" s="38" t="s">
        <v>369</v>
      </c>
      <c r="Y409" s="1443">
        <v>200170033</v>
      </c>
      <c r="Z409" s="1443"/>
      <c r="AE409" s="3"/>
      <c r="AF409" s="930"/>
      <c r="AH409" s="51">
        <v>4.8300000000000003E-2</v>
      </c>
      <c r="AI409" s="39"/>
      <c r="AJ409" s="39"/>
      <c r="AK409" s="39"/>
      <c r="AL409" s="51">
        <f t="shared" si="75"/>
        <v>0.35420000000000001</v>
      </c>
      <c r="AM409" s="3" t="s">
        <v>371</v>
      </c>
      <c r="AN409" s="3" t="s">
        <v>371</v>
      </c>
      <c r="AO409" s="3" t="s">
        <v>371</v>
      </c>
      <c r="AP409" s="3" t="s">
        <v>371</v>
      </c>
      <c r="AQ409" s="1414" t="s">
        <v>92</v>
      </c>
    </row>
    <row r="410" spans="1:44" ht="15" customHeight="1" x14ac:dyDescent="0.4">
      <c r="C410" s="7"/>
      <c r="D410" s="7"/>
      <c r="E410" s="7"/>
      <c r="F410" s="7"/>
      <c r="G410" s="7"/>
      <c r="V410" s="279" t="s">
        <v>369</v>
      </c>
      <c r="W410" s="112" t="s">
        <v>1849</v>
      </c>
      <c r="X410" s="279" t="s">
        <v>369</v>
      </c>
      <c r="Y410" s="1871">
        <v>200170148</v>
      </c>
      <c r="Z410" s="1443"/>
      <c r="AE410" s="3"/>
      <c r="AF410" s="930"/>
      <c r="AH410" s="51">
        <v>0</v>
      </c>
      <c r="AI410" s="39"/>
      <c r="AJ410" s="39"/>
      <c r="AK410" s="39"/>
      <c r="AL410" s="51">
        <f t="shared" ref="AL410" si="76">AD$406*AH410+SUM(AI410:AK410)</f>
        <v>0</v>
      </c>
      <c r="AM410" s="3" t="s">
        <v>371</v>
      </c>
      <c r="AN410" s="3" t="s">
        <v>371</v>
      </c>
      <c r="AO410" s="3" t="s">
        <v>371</v>
      </c>
      <c r="AP410" s="3" t="s">
        <v>371</v>
      </c>
      <c r="AQ410" s="1414" t="s">
        <v>92</v>
      </c>
    </row>
    <row r="411" spans="1:44" ht="15" customHeight="1" thickBot="1" x14ac:dyDescent="0.45">
      <c r="C411" s="7"/>
      <c r="D411" s="7"/>
      <c r="E411" s="7"/>
      <c r="F411" s="7"/>
      <c r="G411" s="7"/>
      <c r="V411" s="1876" t="s">
        <v>369</v>
      </c>
      <c r="W411" s="1877" t="s">
        <v>375</v>
      </c>
      <c r="X411" s="1876" t="s">
        <v>369</v>
      </c>
      <c r="Y411" s="1878">
        <v>200170133</v>
      </c>
      <c r="Z411" s="1444"/>
      <c r="AA411" s="948"/>
      <c r="AB411" s="889"/>
      <c r="AC411" s="889"/>
      <c r="AD411" s="945"/>
      <c r="AE411" s="889"/>
      <c r="AF411" s="1234"/>
      <c r="AG411" s="945"/>
      <c r="AH411" s="937">
        <v>0</v>
      </c>
      <c r="AI411" s="947"/>
      <c r="AJ411" s="947"/>
      <c r="AK411" s="947"/>
      <c r="AL411" s="937">
        <f t="shared" si="75"/>
        <v>0</v>
      </c>
      <c r="AM411" s="889" t="s">
        <v>92</v>
      </c>
      <c r="AN411" s="889" t="s">
        <v>92</v>
      </c>
      <c r="AO411" s="889" t="s">
        <v>92</v>
      </c>
      <c r="AP411" s="889" t="s">
        <v>92</v>
      </c>
      <c r="AQ411" s="1590" t="s">
        <v>81</v>
      </c>
      <c r="AR411" s="889"/>
    </row>
    <row r="412" spans="1:44" ht="15" customHeight="1" x14ac:dyDescent="0.4">
      <c r="A412" s="3" t="s">
        <v>498</v>
      </c>
      <c r="C412" s="173" t="s">
        <v>1163</v>
      </c>
      <c r="D412" s="182"/>
      <c r="E412" s="182"/>
      <c r="F412" s="182"/>
      <c r="G412" s="173"/>
      <c r="H412" s="193"/>
      <c r="I412" s="116" t="s">
        <v>365</v>
      </c>
      <c r="J412" s="116"/>
      <c r="K412" s="116"/>
      <c r="L412" s="116" t="s">
        <v>348</v>
      </c>
      <c r="M412" s="177">
        <v>-3.5</v>
      </c>
      <c r="N412" s="177"/>
      <c r="O412" s="177"/>
      <c r="P412" s="177"/>
      <c r="Q412" s="177"/>
      <c r="R412" s="116" t="s">
        <v>352</v>
      </c>
      <c r="S412" s="177">
        <f>FWHeight+M412</f>
        <v>44</v>
      </c>
      <c r="T412" s="116" t="s">
        <v>366</v>
      </c>
      <c r="U412" s="193"/>
      <c r="V412" s="138"/>
      <c r="W412" s="138"/>
      <c r="X412" s="138"/>
      <c r="Y412" s="1449"/>
      <c r="Z412" s="1449"/>
      <c r="AA412" s="193"/>
      <c r="AB412" s="116">
        <v>42</v>
      </c>
      <c r="AC412" s="116">
        <v>2</v>
      </c>
      <c r="AD412" s="177">
        <f>AC412*S412/12</f>
        <v>7.333333333333333</v>
      </c>
      <c r="AE412" s="116" t="s">
        <v>367</v>
      </c>
      <c r="AF412" s="627">
        <v>4.3999999999999997E-2</v>
      </c>
      <c r="AG412" s="177">
        <f>AF412*AtolbperftFixed</f>
        <v>2.79312E-2</v>
      </c>
      <c r="AH412" s="935">
        <f>AG412*FWSingleCost</f>
        <v>4.1896799999999998E-2</v>
      </c>
      <c r="AI412" s="185"/>
      <c r="AJ412" s="185"/>
      <c r="AK412" s="185"/>
      <c r="AL412" s="185"/>
      <c r="AM412" s="3" t="s">
        <v>371</v>
      </c>
      <c r="AN412" s="3" t="s">
        <v>371</v>
      </c>
      <c r="AO412" s="3" t="s">
        <v>371</v>
      </c>
      <c r="AP412" s="3" t="s">
        <v>371</v>
      </c>
      <c r="AQ412" s="1414" t="s">
        <v>92</v>
      </c>
    </row>
    <row r="413" spans="1:44" ht="15" customHeight="1" x14ac:dyDescent="0.4">
      <c r="C413" s="7"/>
      <c r="D413" s="7"/>
      <c r="E413" s="7"/>
      <c r="F413" s="7"/>
      <c r="G413" s="7"/>
      <c r="V413" s="38" t="s">
        <v>369</v>
      </c>
      <c r="W413" s="3" t="s">
        <v>370</v>
      </c>
      <c r="X413" s="38" t="s">
        <v>369</v>
      </c>
      <c r="Y413" s="1443">
        <v>200171003</v>
      </c>
      <c r="Z413" s="1443"/>
      <c r="AE413" s="3"/>
      <c r="AF413" s="930"/>
      <c r="AH413" s="51">
        <v>5.7299999999999997E-2</v>
      </c>
      <c r="AI413" s="39"/>
      <c r="AJ413" s="39"/>
      <c r="AK413" s="39"/>
      <c r="AL413" s="51">
        <f>AD$412*AH413+SUM(AI413:AK413)</f>
        <v>0.42019999999999996</v>
      </c>
      <c r="AM413" s="3" t="s">
        <v>371</v>
      </c>
      <c r="AN413" s="3" t="s">
        <v>371</v>
      </c>
      <c r="AO413" s="3" t="s">
        <v>371</v>
      </c>
      <c r="AP413" s="3" t="s">
        <v>371</v>
      </c>
      <c r="AQ413" s="1414" t="s">
        <v>92</v>
      </c>
    </row>
    <row r="414" spans="1:44" ht="15" customHeight="1" x14ac:dyDescent="0.4">
      <c r="C414" s="7"/>
      <c r="D414" s="7"/>
      <c r="E414" s="7"/>
      <c r="F414" s="7"/>
      <c r="G414" s="7"/>
      <c r="V414" s="38" t="s">
        <v>369</v>
      </c>
      <c r="W414" s="3" t="s">
        <v>372</v>
      </c>
      <c r="X414" s="38" t="s">
        <v>369</v>
      </c>
      <c r="Y414" s="1563">
        <v>200171021</v>
      </c>
      <c r="Z414" s="1443"/>
      <c r="AE414" s="3"/>
      <c r="AF414" s="930"/>
      <c r="AH414" s="51">
        <v>6.3500000000000001E-2</v>
      </c>
      <c r="AI414" s="39"/>
      <c r="AJ414" s="39"/>
      <c r="AK414" s="39"/>
      <c r="AL414" s="51">
        <f t="shared" ref="AL414:AL415" si="77">AD$412*AH414+SUM(AI414:AK414)</f>
        <v>0.46566666666666667</v>
      </c>
      <c r="AM414" s="3" t="s">
        <v>371</v>
      </c>
      <c r="AN414" s="3" t="s">
        <v>371</v>
      </c>
      <c r="AO414" s="3" t="s">
        <v>371</v>
      </c>
      <c r="AP414" s="3" t="s">
        <v>371</v>
      </c>
      <c r="AQ414" s="1414" t="s">
        <v>92</v>
      </c>
    </row>
    <row r="415" spans="1:44" ht="15" customHeight="1" x14ac:dyDescent="0.4">
      <c r="C415" s="7"/>
      <c r="D415" s="7"/>
      <c r="E415" s="7"/>
      <c r="F415" s="7"/>
      <c r="G415" s="7"/>
      <c r="V415" s="38" t="s">
        <v>369</v>
      </c>
      <c r="W415" s="3" t="s">
        <v>373</v>
      </c>
      <c r="X415" s="38" t="s">
        <v>369</v>
      </c>
      <c r="Y415" s="1443">
        <v>200171033</v>
      </c>
      <c r="Z415" s="1443"/>
      <c r="AE415" s="3"/>
      <c r="AF415" s="930"/>
      <c r="AH415" s="51">
        <v>6.8199999999999997E-2</v>
      </c>
      <c r="AI415" s="39"/>
      <c r="AJ415" s="39"/>
      <c r="AK415" s="39"/>
      <c r="AL415" s="51">
        <f t="shared" si="77"/>
        <v>0.50013333333333332</v>
      </c>
      <c r="AM415" s="3" t="s">
        <v>371</v>
      </c>
      <c r="AN415" s="3" t="s">
        <v>371</v>
      </c>
      <c r="AO415" s="3" t="s">
        <v>371</v>
      </c>
      <c r="AP415" s="3" t="s">
        <v>371</v>
      </c>
      <c r="AQ415" s="1414" t="s">
        <v>92</v>
      </c>
    </row>
    <row r="416" spans="1:44" ht="15" customHeight="1" x14ac:dyDescent="0.4">
      <c r="C416" s="7"/>
      <c r="D416" s="7"/>
      <c r="E416" s="7"/>
      <c r="F416" s="7"/>
      <c r="G416" s="7"/>
      <c r="V416" s="279" t="s">
        <v>369</v>
      </c>
      <c r="W416" s="112" t="s">
        <v>1849</v>
      </c>
      <c r="X416" s="279" t="s">
        <v>369</v>
      </c>
      <c r="Y416" s="1871">
        <v>200171148</v>
      </c>
      <c r="Z416" s="1443"/>
      <c r="AE416" s="3"/>
      <c r="AF416" s="930"/>
      <c r="AH416" s="51">
        <v>0</v>
      </c>
      <c r="AI416" s="39"/>
      <c r="AJ416" s="39"/>
      <c r="AK416" s="39"/>
      <c r="AL416" s="51">
        <f t="shared" ref="AL416" si="78">AD$412*AH416+SUM(AI416:AK416)</f>
        <v>0</v>
      </c>
      <c r="AM416" s="3" t="s">
        <v>371</v>
      </c>
      <c r="AN416" s="3" t="s">
        <v>371</v>
      </c>
      <c r="AO416" s="3" t="s">
        <v>371</v>
      </c>
      <c r="AP416" s="3" t="s">
        <v>371</v>
      </c>
      <c r="AQ416" s="1414" t="s">
        <v>92</v>
      </c>
    </row>
    <row r="417" spans="1:44" ht="15" customHeight="1" thickBot="1" x14ac:dyDescent="0.45">
      <c r="C417" s="7"/>
      <c r="D417" s="7"/>
      <c r="E417" s="7"/>
      <c r="F417" s="7"/>
      <c r="G417" s="7"/>
      <c r="V417" s="888" t="s">
        <v>369</v>
      </c>
      <c r="W417" s="889" t="s">
        <v>375</v>
      </c>
      <c r="X417" s="888" t="s">
        <v>369</v>
      </c>
      <c r="Y417" s="1444">
        <v>200171133</v>
      </c>
      <c r="Z417" s="1444"/>
      <c r="AA417" s="948"/>
      <c r="AB417" s="889"/>
      <c r="AC417" s="889"/>
      <c r="AD417" s="945"/>
      <c r="AE417" s="889"/>
      <c r="AF417" s="1234"/>
      <c r="AG417" s="945"/>
      <c r="AH417" s="1424">
        <v>0</v>
      </c>
      <c r="AI417" s="947"/>
      <c r="AJ417" s="947"/>
      <c r="AK417" s="947"/>
      <c r="AL417" s="937">
        <f>AD$412*AH417+SUM(AI417:AK417)</f>
        <v>0</v>
      </c>
      <c r="AM417" s="889" t="s">
        <v>371</v>
      </c>
      <c r="AN417" s="889" t="s">
        <v>371</v>
      </c>
      <c r="AO417" s="889" t="s">
        <v>371</v>
      </c>
      <c r="AP417" s="889" t="s">
        <v>371</v>
      </c>
      <c r="AQ417" s="1590" t="s">
        <v>81</v>
      </c>
      <c r="AR417" s="889"/>
    </row>
    <row r="418" spans="1:44" ht="15" customHeight="1" x14ac:dyDescent="0.4">
      <c r="C418" s="173" t="s">
        <v>1164</v>
      </c>
      <c r="D418" s="182"/>
      <c r="E418" s="182"/>
      <c r="F418" s="182"/>
      <c r="G418" s="173"/>
      <c r="H418" s="193"/>
      <c r="I418" s="116" t="s">
        <v>365</v>
      </c>
      <c r="J418" s="116"/>
      <c r="K418" s="116"/>
      <c r="L418" s="116" t="s">
        <v>348</v>
      </c>
      <c r="M418" s="177">
        <v>-3.5</v>
      </c>
      <c r="N418" s="177"/>
      <c r="O418" s="177"/>
      <c r="P418" s="177"/>
      <c r="Q418" s="177"/>
      <c r="R418" s="116" t="s">
        <v>352</v>
      </c>
      <c r="S418" s="177">
        <f>FWHeight+M418</f>
        <v>44</v>
      </c>
      <c r="T418" s="116" t="s">
        <v>366</v>
      </c>
      <c r="V418" s="38"/>
      <c r="X418" s="38"/>
      <c r="Y418" s="1443"/>
      <c r="Z418" s="1443"/>
      <c r="AC418" s="3">
        <v>2</v>
      </c>
      <c r="AD418" s="5">
        <f>AC418*S418/12</f>
        <v>7.333333333333333</v>
      </c>
      <c r="AE418" s="3" t="s">
        <v>367</v>
      </c>
      <c r="AF418" s="930">
        <v>4.1000000000000002E-2</v>
      </c>
      <c r="AG418" s="5">
        <f>AF418*AtolbperftFixed</f>
        <v>2.6026800000000003E-2</v>
      </c>
      <c r="AH418" s="955">
        <f>AG418*FWSingleCost</f>
        <v>3.9040200000000004E-2</v>
      </c>
      <c r="AI418" s="39"/>
      <c r="AJ418" s="39"/>
      <c r="AK418" s="39"/>
      <c r="AM418" s="3" t="s">
        <v>371</v>
      </c>
      <c r="AN418" s="3" t="s">
        <v>371</v>
      </c>
      <c r="AO418" s="3" t="s">
        <v>371</v>
      </c>
      <c r="AP418" s="3" t="s">
        <v>371</v>
      </c>
      <c r="AQ418" s="1414" t="s">
        <v>92</v>
      </c>
    </row>
    <row r="419" spans="1:44" ht="15" customHeight="1" x14ac:dyDescent="0.4">
      <c r="C419" s="7"/>
      <c r="D419" s="7"/>
      <c r="E419" s="7"/>
      <c r="F419" s="7"/>
      <c r="G419" s="7"/>
      <c r="V419" s="38" t="s">
        <v>369</v>
      </c>
      <c r="W419" s="3" t="s">
        <v>370</v>
      </c>
      <c r="X419" s="38" t="s">
        <v>369</v>
      </c>
      <c r="Y419" s="1443">
        <v>200190003</v>
      </c>
      <c r="Z419" s="1443"/>
      <c r="AE419" s="3"/>
      <c r="AF419" s="930"/>
      <c r="AH419" s="51">
        <v>4.7199999999999999E-2</v>
      </c>
      <c r="AI419" s="39"/>
      <c r="AJ419" s="39"/>
      <c r="AK419" s="39"/>
      <c r="AL419" s="51">
        <f>AD$418*AH419+SUM(AI419:AK419)</f>
        <v>0.34613333333333329</v>
      </c>
      <c r="AM419" s="3" t="s">
        <v>371</v>
      </c>
      <c r="AN419" s="3" t="s">
        <v>371</v>
      </c>
      <c r="AO419" s="3" t="s">
        <v>371</v>
      </c>
      <c r="AP419" s="3" t="s">
        <v>371</v>
      </c>
      <c r="AQ419" s="1414" t="s">
        <v>92</v>
      </c>
    </row>
    <row r="420" spans="1:44" ht="15" customHeight="1" x14ac:dyDescent="0.4">
      <c r="C420" s="7"/>
      <c r="D420" s="7"/>
      <c r="E420" s="7"/>
      <c r="F420" s="7"/>
      <c r="G420" s="7"/>
      <c r="V420" s="38" t="s">
        <v>369</v>
      </c>
      <c r="W420" s="3" t="s">
        <v>372</v>
      </c>
      <c r="X420" s="38" t="s">
        <v>369</v>
      </c>
      <c r="Y420" s="1563">
        <v>200190021</v>
      </c>
      <c r="Z420" s="1443"/>
      <c r="AE420" s="3"/>
      <c r="AF420" s="930"/>
      <c r="AH420" s="51">
        <v>5.5E-2</v>
      </c>
      <c r="AI420" s="39"/>
      <c r="AJ420" s="39"/>
      <c r="AK420" s="39"/>
      <c r="AL420" s="51">
        <f t="shared" ref="AL420:AL421" si="79">AD$418*AH420+SUM(AI420:AK420)</f>
        <v>0.40333333333333332</v>
      </c>
      <c r="AM420" s="3" t="s">
        <v>371</v>
      </c>
      <c r="AN420" s="3" t="s">
        <v>371</v>
      </c>
      <c r="AO420" s="3" t="s">
        <v>371</v>
      </c>
      <c r="AP420" s="3" t="s">
        <v>371</v>
      </c>
      <c r="AQ420" s="1414" t="s">
        <v>92</v>
      </c>
    </row>
    <row r="421" spans="1:44" ht="15" customHeight="1" x14ac:dyDescent="0.4">
      <c r="C421" s="7"/>
      <c r="D421" s="7"/>
      <c r="E421" s="7"/>
      <c r="F421" s="7"/>
      <c r="G421" s="7"/>
      <c r="V421" s="38" t="s">
        <v>369</v>
      </c>
      <c r="W421" s="3" t="s">
        <v>373</v>
      </c>
      <c r="X421" s="38" t="s">
        <v>369</v>
      </c>
      <c r="Y421" s="1443">
        <v>200190033</v>
      </c>
      <c r="Z421" s="1443"/>
      <c r="AE421" s="3"/>
      <c r="AF421" s="930"/>
      <c r="AH421" s="844">
        <v>0</v>
      </c>
      <c r="AI421" s="39"/>
      <c r="AJ421" s="39"/>
      <c r="AK421" s="39"/>
      <c r="AL421" s="51">
        <f t="shared" si="79"/>
        <v>0</v>
      </c>
      <c r="AM421" s="3" t="s">
        <v>371</v>
      </c>
      <c r="AN421" s="3" t="s">
        <v>371</v>
      </c>
      <c r="AO421" s="3" t="s">
        <v>371</v>
      </c>
      <c r="AP421" s="3" t="s">
        <v>371</v>
      </c>
      <c r="AQ421" s="1414" t="s">
        <v>92</v>
      </c>
    </row>
    <row r="422" spans="1:44" ht="15" customHeight="1" x14ac:dyDescent="0.4">
      <c r="C422" s="7"/>
      <c r="D422" s="7"/>
      <c r="E422" s="7"/>
      <c r="F422" s="7"/>
      <c r="G422" s="7"/>
      <c r="V422" s="279" t="s">
        <v>369</v>
      </c>
      <c r="W422" s="112" t="s">
        <v>1849</v>
      </c>
      <c r="X422" s="279" t="s">
        <v>369</v>
      </c>
      <c r="Y422" s="1871">
        <v>200190148</v>
      </c>
      <c r="Z422" s="1443"/>
      <c r="AE422" s="3"/>
      <c r="AF422" s="930"/>
      <c r="AH422" s="844">
        <v>0</v>
      </c>
      <c r="AI422" s="39"/>
      <c r="AJ422" s="39"/>
      <c r="AK422" s="39"/>
      <c r="AL422" s="51">
        <f t="shared" ref="AL422" si="80">AD$418*AH422+SUM(AI422:AK422)</f>
        <v>0</v>
      </c>
      <c r="AM422" s="3" t="s">
        <v>371</v>
      </c>
      <c r="AN422" s="3" t="s">
        <v>371</v>
      </c>
      <c r="AO422" s="3" t="s">
        <v>371</v>
      </c>
      <c r="AP422" s="3" t="s">
        <v>371</v>
      </c>
      <c r="AQ422" s="1414" t="s">
        <v>92</v>
      </c>
    </row>
    <row r="423" spans="1:44" ht="15" customHeight="1" thickBot="1" x14ac:dyDescent="0.45">
      <c r="C423" s="949"/>
      <c r="D423" s="924"/>
      <c r="E423" s="924"/>
      <c r="F423" s="924"/>
      <c r="G423" s="924"/>
      <c r="H423" s="948"/>
      <c r="I423" s="889"/>
      <c r="J423" s="889"/>
      <c r="K423" s="889"/>
      <c r="L423" s="889"/>
      <c r="M423" s="945"/>
      <c r="N423" s="945"/>
      <c r="O423" s="945"/>
      <c r="P423" s="945"/>
      <c r="Q423" s="945"/>
      <c r="R423" s="889"/>
      <c r="S423" s="945"/>
      <c r="T423" s="889"/>
      <c r="U423" s="948"/>
      <c r="V423" s="888" t="s">
        <v>369</v>
      </c>
      <c r="W423" s="889" t="s">
        <v>375</v>
      </c>
      <c r="X423" s="888" t="s">
        <v>369</v>
      </c>
      <c r="Y423" s="1444">
        <v>200190133</v>
      </c>
      <c r="Z423" s="1444"/>
      <c r="AA423" s="948"/>
      <c r="AB423" s="889"/>
      <c r="AC423" s="889"/>
      <c r="AD423" s="945"/>
      <c r="AE423" s="889"/>
      <c r="AF423" s="1234"/>
      <c r="AG423" s="945"/>
      <c r="AH423" s="1424">
        <v>0</v>
      </c>
      <c r="AI423" s="947"/>
      <c r="AJ423" s="947"/>
      <c r="AK423" s="947"/>
      <c r="AL423" s="937">
        <f>AD$418*AH423+SUM(AI423:AK423)</f>
        <v>0</v>
      </c>
      <c r="AM423" s="889" t="s">
        <v>371</v>
      </c>
      <c r="AN423" s="889" t="s">
        <v>371</v>
      </c>
      <c r="AO423" s="889" t="s">
        <v>371</v>
      </c>
      <c r="AP423" s="889" t="s">
        <v>371</v>
      </c>
      <c r="AQ423" s="1590" t="s">
        <v>371</v>
      </c>
      <c r="AR423" s="889"/>
    </row>
    <row r="424" spans="1:44" ht="15" customHeight="1" thickBot="1" x14ac:dyDescent="0.45">
      <c r="B424" s="642" t="s">
        <v>1172</v>
      </c>
      <c r="C424" s="642"/>
      <c r="D424" s="642"/>
      <c r="E424" s="642"/>
      <c r="F424" s="642"/>
      <c r="G424" s="642"/>
      <c r="H424" s="643"/>
      <c r="I424" s="643"/>
      <c r="J424" s="643"/>
      <c r="K424" s="643"/>
      <c r="L424" s="643"/>
      <c r="M424" s="644"/>
      <c r="N424" s="644"/>
      <c r="O424" s="644"/>
      <c r="P424" s="644"/>
      <c r="Q424" s="644"/>
      <c r="R424" s="643"/>
      <c r="S424" s="644"/>
      <c r="T424" s="643"/>
      <c r="U424" s="643"/>
      <c r="V424" s="642"/>
      <c r="W424" s="642"/>
      <c r="X424" s="642"/>
      <c r="Y424" s="1453"/>
      <c r="Z424" s="1453"/>
      <c r="AA424" s="643"/>
      <c r="AB424" s="645"/>
      <c r="AC424" s="643"/>
      <c r="AD424" s="644"/>
      <c r="AE424" s="643"/>
      <c r="AF424" s="644"/>
      <c r="AG424" s="643"/>
      <c r="AH424" s="646"/>
      <c r="AI424" s="647"/>
      <c r="AJ424" s="647"/>
      <c r="AK424" s="648" t="s">
        <v>1173</v>
      </c>
      <c r="AL424" s="963">
        <f>SUBTOTAL(109,AL425:AL452)</f>
        <v>5.3207590666666666</v>
      </c>
      <c r="AM424" s="904"/>
      <c r="AN424" s="904"/>
      <c r="AO424" s="904"/>
      <c r="AP424" s="904"/>
      <c r="AQ424" s="904"/>
      <c r="AR424" s="904"/>
    </row>
    <row r="425" spans="1:44" ht="15" customHeight="1" x14ac:dyDescent="0.4">
      <c r="A425" s="3" t="s">
        <v>503</v>
      </c>
      <c r="B425" s="3"/>
      <c r="C425" s="173" t="s">
        <v>1236</v>
      </c>
      <c r="D425" s="182"/>
      <c r="E425" s="182"/>
      <c r="F425" s="182"/>
      <c r="G425" s="173"/>
      <c r="H425" s="193"/>
      <c r="I425" s="116" t="s">
        <v>392</v>
      </c>
      <c r="J425" s="116"/>
      <c r="K425" s="116"/>
      <c r="L425" s="116" t="s">
        <v>348</v>
      </c>
      <c r="M425" s="177">
        <v>-3</v>
      </c>
      <c r="N425" s="177"/>
      <c r="O425" s="177"/>
      <c r="P425" s="177"/>
      <c r="Q425" s="177"/>
      <c r="R425" s="116" t="s">
        <v>352</v>
      </c>
      <c r="S425" s="177">
        <f>FWWidth+M425</f>
        <v>44.5</v>
      </c>
      <c r="T425" s="116" t="s">
        <v>366</v>
      </c>
      <c r="U425" s="193"/>
      <c r="V425" s="138"/>
      <c r="W425" s="138"/>
      <c r="X425" s="138"/>
      <c r="Y425" s="1449"/>
      <c r="Z425" s="1449"/>
      <c r="AA425" s="193"/>
      <c r="AB425" s="116">
        <v>42</v>
      </c>
      <c r="AC425" s="116">
        <v>2</v>
      </c>
      <c r="AD425" s="177">
        <f>AC425*S425/12</f>
        <v>7.416666666666667</v>
      </c>
      <c r="AE425" s="116" t="s">
        <v>367</v>
      </c>
      <c r="AF425" s="627">
        <f>AF455</f>
        <v>2.8000000000000001E-2</v>
      </c>
      <c r="AG425" s="177">
        <f>AF425*AtolbperftFixed</f>
        <v>1.7774400000000003E-2</v>
      </c>
      <c r="AH425" s="935">
        <f>AG425*FWSingleCost</f>
        <v>2.6661600000000004E-2</v>
      </c>
      <c r="AI425" s="185"/>
      <c r="AJ425" s="185"/>
      <c r="AK425" s="185"/>
      <c r="AL425" s="185"/>
      <c r="AM425" s="3" t="s">
        <v>371</v>
      </c>
      <c r="AN425" s="3" t="s">
        <v>371</v>
      </c>
      <c r="AO425" s="3" t="s">
        <v>371</v>
      </c>
      <c r="AP425" s="3" t="s">
        <v>371</v>
      </c>
      <c r="AQ425" s="1414" t="s">
        <v>92</v>
      </c>
    </row>
    <row r="426" spans="1:44" ht="15" customHeight="1" x14ac:dyDescent="0.4">
      <c r="B426" s="3"/>
      <c r="C426" s="36"/>
      <c r="D426" s="7"/>
      <c r="E426" s="7"/>
      <c r="F426" s="7"/>
      <c r="G426" s="7"/>
      <c r="V426" s="38" t="s">
        <v>369</v>
      </c>
      <c r="W426" s="3" t="s">
        <v>370</v>
      </c>
      <c r="X426" s="38" t="s">
        <v>369</v>
      </c>
      <c r="Y426" s="1443">
        <v>200170003</v>
      </c>
      <c r="Z426" s="1443"/>
      <c r="AE426" s="3"/>
      <c r="AF426" s="930"/>
      <c r="AH426" s="51">
        <f>AH456</f>
        <v>4.1099999999999998E-2</v>
      </c>
      <c r="AI426" s="39"/>
      <c r="AJ426" s="39"/>
      <c r="AK426" s="39"/>
      <c r="AL426" s="51">
        <f>AD$425*AH426+SUM(AI426:AK426)</f>
        <v>0.30482500000000001</v>
      </c>
      <c r="AM426" s="3" t="s">
        <v>371</v>
      </c>
      <c r="AN426" s="3" t="s">
        <v>371</v>
      </c>
      <c r="AO426" s="3" t="s">
        <v>371</v>
      </c>
      <c r="AP426" s="3" t="s">
        <v>371</v>
      </c>
      <c r="AQ426" s="1414" t="s">
        <v>92</v>
      </c>
    </row>
    <row r="427" spans="1:44" ht="15" customHeight="1" x14ac:dyDescent="0.4">
      <c r="B427" s="1947" t="s">
        <v>2393</v>
      </c>
      <c r="C427" s="36"/>
      <c r="D427" s="7"/>
      <c r="E427" s="7"/>
      <c r="F427" s="7"/>
      <c r="G427" s="7"/>
      <c r="V427" s="38" t="s">
        <v>369</v>
      </c>
      <c r="W427" s="3" t="s">
        <v>372</v>
      </c>
      <c r="X427" s="38" t="s">
        <v>369</v>
      </c>
      <c r="Y427" s="1563">
        <v>200170021</v>
      </c>
      <c r="Z427" s="1443"/>
      <c r="AE427" s="3"/>
      <c r="AF427" s="930"/>
      <c r="AH427" s="51">
        <f>AH457</f>
        <v>4.5199999999999997E-2</v>
      </c>
      <c r="AI427" s="39"/>
      <c r="AJ427" s="39"/>
      <c r="AK427" s="39"/>
      <c r="AL427" s="51">
        <f t="shared" ref="AL427:AL429" si="81">AD$425*AH427+SUM(AI427:AK427)</f>
        <v>0.33523333333333333</v>
      </c>
      <c r="AM427" s="3" t="s">
        <v>371</v>
      </c>
      <c r="AN427" s="3" t="s">
        <v>371</v>
      </c>
      <c r="AO427" s="3" t="s">
        <v>371</v>
      </c>
      <c r="AP427" s="3" t="s">
        <v>371</v>
      </c>
      <c r="AQ427" s="1414" t="s">
        <v>92</v>
      </c>
    </row>
    <row r="428" spans="1:44" ht="15" customHeight="1" x14ac:dyDescent="0.4">
      <c r="B428" s="3"/>
      <c r="C428" s="36"/>
      <c r="D428" s="7"/>
      <c r="E428" s="7"/>
      <c r="F428" s="7"/>
      <c r="G428" s="7"/>
      <c r="V428" s="38" t="s">
        <v>369</v>
      </c>
      <c r="W428" s="3" t="s">
        <v>373</v>
      </c>
      <c r="X428" s="38" t="s">
        <v>369</v>
      </c>
      <c r="Y428" s="1443">
        <v>200170033</v>
      </c>
      <c r="Z428" s="1443"/>
      <c r="AE428" s="3"/>
      <c r="AF428" s="930"/>
      <c r="AH428" s="51">
        <f>AH458</f>
        <v>4.8300000000000003E-2</v>
      </c>
      <c r="AI428" s="39"/>
      <c r="AJ428" s="39"/>
      <c r="AK428" s="39"/>
      <c r="AL428" s="51">
        <f t="shared" si="81"/>
        <v>0.35822500000000002</v>
      </c>
      <c r="AM428" s="3" t="s">
        <v>371</v>
      </c>
      <c r="AN428" s="3" t="s">
        <v>371</v>
      </c>
      <c r="AO428" s="3" t="s">
        <v>371</v>
      </c>
      <c r="AP428" s="3" t="s">
        <v>371</v>
      </c>
      <c r="AQ428" s="1414" t="s">
        <v>92</v>
      </c>
    </row>
    <row r="429" spans="1:44" ht="15" customHeight="1" x14ac:dyDescent="0.4">
      <c r="B429" s="3"/>
      <c r="C429" s="36"/>
      <c r="D429" s="7"/>
      <c r="E429" s="7"/>
      <c r="F429" s="7"/>
      <c r="G429" s="7"/>
      <c r="V429" s="279" t="s">
        <v>369</v>
      </c>
      <c r="W429" s="112" t="s">
        <v>1849</v>
      </c>
      <c r="X429" s="279" t="s">
        <v>369</v>
      </c>
      <c r="Y429" s="1871">
        <v>200170148</v>
      </c>
      <c r="Z429" s="1443"/>
      <c r="AE429" s="3"/>
      <c r="AF429" s="930"/>
      <c r="AH429" s="51">
        <v>0</v>
      </c>
      <c r="AI429" s="39"/>
      <c r="AJ429" s="39"/>
      <c r="AK429" s="39"/>
      <c r="AL429" s="51">
        <f t="shared" si="81"/>
        <v>0</v>
      </c>
      <c r="AM429" s="3" t="s">
        <v>371</v>
      </c>
      <c r="AN429" s="3" t="s">
        <v>371</v>
      </c>
      <c r="AO429" s="3" t="s">
        <v>371</v>
      </c>
      <c r="AP429" s="3" t="s">
        <v>371</v>
      </c>
      <c r="AQ429" s="1414" t="s">
        <v>92</v>
      </c>
    </row>
    <row r="430" spans="1:44" ht="15" customHeight="1" thickBot="1" x14ac:dyDescent="0.45">
      <c r="B430" s="3"/>
      <c r="C430" s="36"/>
      <c r="D430" s="7"/>
      <c r="E430" s="7"/>
      <c r="F430" s="7"/>
      <c r="G430" s="7"/>
      <c r="V430" s="1876" t="s">
        <v>369</v>
      </c>
      <c r="W430" s="1877" t="s">
        <v>375</v>
      </c>
      <c r="X430" s="1876" t="s">
        <v>369</v>
      </c>
      <c r="Y430" s="1878">
        <v>200170133</v>
      </c>
      <c r="Z430" s="1444"/>
      <c r="AA430" s="948"/>
      <c r="AB430" s="889"/>
      <c r="AC430" s="889"/>
      <c r="AD430" s="945"/>
      <c r="AE430" s="889"/>
      <c r="AF430" s="1234"/>
      <c r="AG430" s="945"/>
      <c r="AH430" s="937">
        <v>0</v>
      </c>
      <c r="AI430" s="947"/>
      <c r="AJ430" s="947"/>
      <c r="AK430" s="947"/>
      <c r="AL430" s="937">
        <f t="shared" ref="AL430" si="82">AD$425*AH430+SUM(AI430:AK430)</f>
        <v>0</v>
      </c>
      <c r="AM430" s="889" t="s">
        <v>92</v>
      </c>
      <c r="AN430" s="889" t="s">
        <v>92</v>
      </c>
      <c r="AO430" s="889" t="s">
        <v>92</v>
      </c>
      <c r="AP430" s="889" t="s">
        <v>92</v>
      </c>
      <c r="AQ430" s="1590" t="s">
        <v>81</v>
      </c>
      <c r="AR430" s="889"/>
    </row>
    <row r="431" spans="1:44" ht="15" customHeight="1" x14ac:dyDescent="0.4">
      <c r="A431" s="3" t="s">
        <v>1166</v>
      </c>
      <c r="B431" s="3"/>
      <c r="C431" s="173" t="s">
        <v>1167</v>
      </c>
      <c r="D431" s="182"/>
      <c r="E431" s="182"/>
      <c r="F431" s="182"/>
      <c r="G431" s="173"/>
      <c r="H431" s="193"/>
      <c r="I431" s="116" t="s">
        <v>392</v>
      </c>
      <c r="J431" s="116"/>
      <c r="K431" s="116"/>
      <c r="L431" s="116" t="s">
        <v>348</v>
      </c>
      <c r="M431" s="177">
        <v>-2.9380000000000002</v>
      </c>
      <c r="N431" s="177"/>
      <c r="O431" s="177"/>
      <c r="P431" s="177"/>
      <c r="Q431" s="177"/>
      <c r="R431" s="116" t="s">
        <v>352</v>
      </c>
      <c r="S431" s="177">
        <f>FWWidth+M431</f>
        <v>44.561999999999998</v>
      </c>
      <c r="T431" s="116" t="s">
        <v>366</v>
      </c>
      <c r="U431" s="193"/>
      <c r="V431" s="138"/>
      <c r="W431" s="138"/>
      <c r="X431" s="138"/>
      <c r="Y431" s="1449"/>
      <c r="Z431" s="1449"/>
      <c r="AA431" s="193"/>
      <c r="AB431" s="116">
        <v>40</v>
      </c>
      <c r="AC431" s="116">
        <v>2</v>
      </c>
      <c r="AD431" s="177">
        <f>AC431*S431/12</f>
        <v>7.4269999999999996</v>
      </c>
      <c r="AE431" s="116" t="s">
        <v>367</v>
      </c>
      <c r="AF431" s="627">
        <f>AF461</f>
        <v>4.3999999999999997E-2</v>
      </c>
      <c r="AG431" s="177">
        <f>AF431*AtolbperftFixed</f>
        <v>2.79312E-2</v>
      </c>
      <c r="AH431" s="935">
        <f>AG431*FWSingleCost</f>
        <v>4.1896799999999998E-2</v>
      </c>
      <c r="AI431" s="185"/>
      <c r="AJ431" s="185"/>
      <c r="AK431" s="185"/>
      <c r="AL431" s="185"/>
      <c r="AM431" s="3" t="s">
        <v>371</v>
      </c>
      <c r="AN431" s="3" t="s">
        <v>371</v>
      </c>
      <c r="AO431" s="3" t="s">
        <v>371</v>
      </c>
      <c r="AP431" s="3" t="s">
        <v>371</v>
      </c>
      <c r="AQ431" s="1414" t="s">
        <v>92</v>
      </c>
    </row>
    <row r="432" spans="1:44" ht="15" customHeight="1" x14ac:dyDescent="0.4">
      <c r="B432" s="3"/>
      <c r="D432" s="7"/>
      <c r="E432" s="7"/>
      <c r="F432" s="7"/>
      <c r="G432" s="7"/>
      <c r="V432" s="38" t="s">
        <v>369</v>
      </c>
      <c r="W432" s="3" t="s">
        <v>370</v>
      </c>
      <c r="X432" s="38" t="s">
        <v>369</v>
      </c>
      <c r="Y432" s="1443">
        <v>200171003</v>
      </c>
      <c r="Z432" s="1443"/>
      <c r="AE432" s="3"/>
      <c r="AF432" s="930"/>
      <c r="AH432" s="51">
        <f>AH462</f>
        <v>5.7299999999999997E-2</v>
      </c>
      <c r="AI432" s="39"/>
      <c r="AJ432" s="39"/>
      <c r="AK432" s="39"/>
      <c r="AL432" s="51">
        <f>AD$431*AH432+SUM(AI432:AK432)</f>
        <v>0.42556709999999998</v>
      </c>
      <c r="AM432" s="3" t="s">
        <v>371</v>
      </c>
      <c r="AN432" s="3" t="s">
        <v>371</v>
      </c>
      <c r="AO432" s="3" t="s">
        <v>371</v>
      </c>
      <c r="AP432" s="3" t="s">
        <v>371</v>
      </c>
      <c r="AQ432" s="1414" t="s">
        <v>92</v>
      </c>
    </row>
    <row r="433" spans="1:44" ht="15" customHeight="1" x14ac:dyDescent="0.4">
      <c r="B433" s="3"/>
      <c r="D433" s="7"/>
      <c r="E433" s="7"/>
      <c r="F433" s="7"/>
      <c r="G433" s="7"/>
      <c r="V433" s="38" t="s">
        <v>369</v>
      </c>
      <c r="W433" s="3" t="s">
        <v>372</v>
      </c>
      <c r="X433" s="38" t="s">
        <v>369</v>
      </c>
      <c r="Y433" s="1563">
        <v>200171021</v>
      </c>
      <c r="Z433" s="1443"/>
      <c r="AE433" s="3"/>
      <c r="AF433" s="930"/>
      <c r="AH433" s="51">
        <f>AH463</f>
        <v>6.3500000000000001E-2</v>
      </c>
      <c r="AI433" s="39"/>
      <c r="AJ433" s="39"/>
      <c r="AK433" s="39"/>
      <c r="AL433" s="51">
        <f t="shared" ref="AL433:AL434" si="83">AD$431*AH433+SUM(AI433:AK433)</f>
        <v>0.47161449999999999</v>
      </c>
      <c r="AM433" s="3" t="s">
        <v>371</v>
      </c>
      <c r="AN433" s="3" t="s">
        <v>371</v>
      </c>
      <c r="AO433" s="3" t="s">
        <v>371</v>
      </c>
      <c r="AP433" s="3" t="s">
        <v>371</v>
      </c>
      <c r="AQ433" s="1414" t="s">
        <v>92</v>
      </c>
    </row>
    <row r="434" spans="1:44" ht="15" customHeight="1" x14ac:dyDescent="0.4">
      <c r="B434" s="3"/>
      <c r="D434" s="7"/>
      <c r="E434" s="7"/>
      <c r="F434" s="7"/>
      <c r="G434" s="7"/>
      <c r="V434" s="38" t="s">
        <v>369</v>
      </c>
      <c r="W434" s="3" t="s">
        <v>373</v>
      </c>
      <c r="X434" s="38" t="s">
        <v>369</v>
      </c>
      <c r="Y434" s="1443">
        <v>200171033</v>
      </c>
      <c r="Z434" s="1443"/>
      <c r="AE434" s="3"/>
      <c r="AF434" s="930"/>
      <c r="AH434" s="51">
        <f>AH464</f>
        <v>6.8199999999999997E-2</v>
      </c>
      <c r="AI434" s="39"/>
      <c r="AJ434" s="39"/>
      <c r="AK434" s="39"/>
      <c r="AL434" s="51">
        <f t="shared" si="83"/>
        <v>0.5065213999999999</v>
      </c>
      <c r="AM434" s="3" t="s">
        <v>371</v>
      </c>
      <c r="AN434" s="3" t="s">
        <v>371</v>
      </c>
      <c r="AO434" s="3" t="s">
        <v>371</v>
      </c>
      <c r="AP434" s="3" t="s">
        <v>371</v>
      </c>
      <c r="AQ434" s="1414" t="s">
        <v>92</v>
      </c>
    </row>
    <row r="435" spans="1:44" ht="15" customHeight="1" x14ac:dyDescent="0.4">
      <c r="B435" s="3"/>
      <c r="D435" s="7"/>
      <c r="E435" s="7"/>
      <c r="F435" s="7"/>
      <c r="G435" s="7"/>
      <c r="V435" s="279" t="s">
        <v>369</v>
      </c>
      <c r="W435" s="112" t="s">
        <v>1849</v>
      </c>
      <c r="X435" s="279" t="s">
        <v>369</v>
      </c>
      <c r="Y435" s="1871">
        <v>200171148</v>
      </c>
      <c r="Z435" s="1443"/>
      <c r="AE435" s="3"/>
      <c r="AF435" s="930"/>
      <c r="AH435" s="51">
        <v>0</v>
      </c>
      <c r="AI435" s="39"/>
      <c r="AJ435" s="39"/>
      <c r="AK435" s="39"/>
      <c r="AL435" s="51">
        <f t="shared" ref="AL435" si="84">AD$431*AH435+SUM(AI435:AK435)</f>
        <v>0</v>
      </c>
      <c r="AM435" s="3" t="s">
        <v>371</v>
      </c>
      <c r="AN435" s="3" t="s">
        <v>371</v>
      </c>
      <c r="AO435" s="3" t="s">
        <v>371</v>
      </c>
      <c r="AP435" s="3" t="s">
        <v>371</v>
      </c>
      <c r="AQ435" s="1414" t="s">
        <v>92</v>
      </c>
    </row>
    <row r="436" spans="1:44" ht="15" customHeight="1" thickBot="1" x14ac:dyDescent="0.45">
      <c r="B436" s="3"/>
      <c r="C436" s="949"/>
      <c r="D436" s="924"/>
      <c r="E436" s="924"/>
      <c r="F436" s="924"/>
      <c r="G436" s="924"/>
      <c r="H436" s="948"/>
      <c r="I436" s="889"/>
      <c r="J436" s="889"/>
      <c r="K436" s="889"/>
      <c r="L436" s="889"/>
      <c r="M436" s="945"/>
      <c r="N436" s="945"/>
      <c r="O436" s="945"/>
      <c r="P436" s="945"/>
      <c r="Q436" s="945"/>
      <c r="R436" s="889"/>
      <c r="S436" s="945"/>
      <c r="T436" s="889"/>
      <c r="U436" s="948"/>
      <c r="V436" s="888" t="s">
        <v>369</v>
      </c>
      <c r="W436" s="889" t="s">
        <v>375</v>
      </c>
      <c r="X436" s="888" t="s">
        <v>369</v>
      </c>
      <c r="Y436" s="1444">
        <v>200171133</v>
      </c>
      <c r="Z436" s="1444"/>
      <c r="AA436" s="948"/>
      <c r="AB436" s="889"/>
      <c r="AC436" s="889"/>
      <c r="AD436" s="945"/>
      <c r="AE436" s="889"/>
      <c r="AF436" s="1234"/>
      <c r="AG436" s="945"/>
      <c r="AH436" s="937"/>
      <c r="AI436" s="947"/>
      <c r="AJ436" s="947"/>
      <c r="AK436" s="947"/>
      <c r="AL436" s="937"/>
      <c r="AM436" s="889" t="s">
        <v>371</v>
      </c>
      <c r="AN436" s="889" t="s">
        <v>371</v>
      </c>
      <c r="AO436" s="889" t="s">
        <v>371</v>
      </c>
      <c r="AP436" s="889" t="s">
        <v>371</v>
      </c>
      <c r="AQ436" s="1590" t="s">
        <v>371</v>
      </c>
      <c r="AR436" s="889"/>
    </row>
    <row r="437" spans="1:44" ht="15" customHeight="1" x14ac:dyDescent="0.4">
      <c r="B437" s="3"/>
      <c r="C437" s="7" t="s">
        <v>1168</v>
      </c>
      <c r="D437" s="155"/>
      <c r="E437" s="155"/>
      <c r="F437" s="155"/>
      <c r="G437" s="7"/>
      <c r="I437" s="3" t="s">
        <v>392</v>
      </c>
      <c r="L437" s="3" t="s">
        <v>348</v>
      </c>
      <c r="M437" s="5">
        <v>-2.9380000000000002</v>
      </c>
      <c r="R437" s="3" t="s">
        <v>352</v>
      </c>
      <c r="S437" s="5">
        <f>FWWidth+M437</f>
        <v>44.561999999999998</v>
      </c>
      <c r="T437" s="3" t="s">
        <v>366</v>
      </c>
      <c r="V437" s="38"/>
      <c r="X437" s="38"/>
      <c r="Y437" s="1443"/>
      <c r="Z437" s="1443"/>
      <c r="AC437" s="3">
        <v>2</v>
      </c>
      <c r="AD437" s="5">
        <f>AC437*S437/12</f>
        <v>7.4269999999999996</v>
      </c>
      <c r="AE437" s="3" t="s">
        <v>367</v>
      </c>
      <c r="AF437" s="930">
        <f>AF467</f>
        <v>4.1000000000000002E-2</v>
      </c>
      <c r="AG437" s="5">
        <f>AF437*AtolbperftFixed</f>
        <v>2.6026800000000003E-2</v>
      </c>
      <c r="AH437" s="955">
        <f>AG437*FWSingleCost</f>
        <v>3.9040200000000004E-2</v>
      </c>
      <c r="AI437" s="39"/>
      <c r="AJ437" s="39"/>
      <c r="AK437" s="39"/>
      <c r="AM437" s="3" t="s">
        <v>371</v>
      </c>
      <c r="AN437" s="3" t="s">
        <v>371</v>
      </c>
      <c r="AO437" s="3" t="s">
        <v>371</v>
      </c>
      <c r="AP437" s="3" t="s">
        <v>371</v>
      </c>
      <c r="AQ437" s="1414" t="s">
        <v>92</v>
      </c>
    </row>
    <row r="438" spans="1:44" ht="15" customHeight="1" x14ac:dyDescent="0.4">
      <c r="B438" s="3"/>
      <c r="D438" s="7"/>
      <c r="E438" s="7"/>
      <c r="F438" s="7"/>
      <c r="G438" s="7"/>
      <c r="V438" s="38" t="s">
        <v>369</v>
      </c>
      <c r="W438" s="3" t="s">
        <v>370</v>
      </c>
      <c r="X438" s="38" t="s">
        <v>369</v>
      </c>
      <c r="Y438" s="1443">
        <v>200190003</v>
      </c>
      <c r="Z438" s="1443"/>
      <c r="AE438" s="3"/>
      <c r="AF438" s="930"/>
      <c r="AH438" s="51">
        <f>AH468</f>
        <v>4.7199999999999999E-2</v>
      </c>
      <c r="AI438" s="39"/>
      <c r="AJ438" s="39"/>
      <c r="AK438" s="39"/>
      <c r="AL438" s="51">
        <f>AD$437*AH438+SUM(AI438:AK438)</f>
        <v>0.35055439999999999</v>
      </c>
      <c r="AM438" s="3" t="s">
        <v>371</v>
      </c>
      <c r="AN438" s="3" t="s">
        <v>371</v>
      </c>
      <c r="AO438" s="3" t="s">
        <v>371</v>
      </c>
      <c r="AP438" s="3" t="s">
        <v>371</v>
      </c>
      <c r="AQ438" s="1414" t="s">
        <v>92</v>
      </c>
    </row>
    <row r="439" spans="1:44" ht="15" customHeight="1" x14ac:dyDescent="0.4">
      <c r="B439" s="3"/>
      <c r="D439" s="7"/>
      <c r="E439" s="7"/>
      <c r="F439" s="7"/>
      <c r="G439" s="7"/>
      <c r="V439" s="38" t="s">
        <v>369</v>
      </c>
      <c r="W439" s="3" t="s">
        <v>372</v>
      </c>
      <c r="X439" s="38" t="s">
        <v>369</v>
      </c>
      <c r="Y439" s="1563">
        <v>200190021</v>
      </c>
      <c r="Z439" s="1443"/>
      <c r="AE439" s="3"/>
      <c r="AF439" s="930"/>
      <c r="AH439" s="51">
        <f>AH469</f>
        <v>5.5E-2</v>
      </c>
      <c r="AI439" s="39"/>
      <c r="AJ439" s="39"/>
      <c r="AK439" s="39"/>
      <c r="AL439" s="51">
        <f t="shared" ref="AL439:AL440" si="85">AD$437*AH439+SUM(AI439:AK439)</f>
        <v>0.40848499999999999</v>
      </c>
      <c r="AM439" s="3" t="s">
        <v>371</v>
      </c>
      <c r="AN439" s="3" t="s">
        <v>371</v>
      </c>
      <c r="AO439" s="3" t="s">
        <v>371</v>
      </c>
      <c r="AP439" s="3" t="s">
        <v>371</v>
      </c>
      <c r="AQ439" s="1414" t="s">
        <v>92</v>
      </c>
    </row>
    <row r="440" spans="1:44" ht="15" customHeight="1" x14ac:dyDescent="0.4">
      <c r="B440" s="3"/>
      <c r="D440" s="7"/>
      <c r="E440" s="7"/>
      <c r="F440" s="7"/>
      <c r="G440" s="7"/>
      <c r="V440" s="38" t="s">
        <v>369</v>
      </c>
      <c r="W440" s="3" t="s">
        <v>373</v>
      </c>
      <c r="X440" s="38" t="s">
        <v>369</v>
      </c>
      <c r="Y440" s="1443">
        <v>200190033</v>
      </c>
      <c r="Z440" s="1443"/>
      <c r="AE440" s="3"/>
      <c r="AF440" s="930"/>
      <c r="AH440" s="51">
        <f>AH470</f>
        <v>0</v>
      </c>
      <c r="AI440" s="39"/>
      <c r="AJ440" s="39"/>
      <c r="AK440" s="39"/>
      <c r="AL440" s="51">
        <f t="shared" si="85"/>
        <v>0</v>
      </c>
      <c r="AM440" s="3" t="s">
        <v>371</v>
      </c>
      <c r="AN440" s="3" t="s">
        <v>371</v>
      </c>
      <c r="AO440" s="3" t="s">
        <v>371</v>
      </c>
      <c r="AP440" s="3" t="s">
        <v>371</v>
      </c>
      <c r="AQ440" s="1414" t="s">
        <v>92</v>
      </c>
    </row>
    <row r="441" spans="1:44" ht="15" customHeight="1" x14ac:dyDescent="0.4">
      <c r="B441" s="3"/>
      <c r="D441" s="7"/>
      <c r="E441" s="7"/>
      <c r="F441" s="7"/>
      <c r="G441" s="7"/>
      <c r="V441" s="279" t="s">
        <v>369</v>
      </c>
      <c r="W441" s="112" t="s">
        <v>1849</v>
      </c>
      <c r="X441" s="279" t="s">
        <v>369</v>
      </c>
      <c r="Y441" s="1871">
        <v>200190148</v>
      </c>
      <c r="Z441" s="1443"/>
      <c r="AE441" s="3"/>
      <c r="AF441" s="930"/>
      <c r="AH441" s="51">
        <v>0</v>
      </c>
      <c r="AI441" s="39"/>
      <c r="AJ441" s="39"/>
      <c r="AK441" s="39"/>
      <c r="AL441" s="51">
        <f t="shared" ref="AL441" si="86">AD$437*AH441+SUM(AI441:AK441)</f>
        <v>0</v>
      </c>
      <c r="AM441" s="3" t="s">
        <v>371</v>
      </c>
      <c r="AN441" s="3" t="s">
        <v>371</v>
      </c>
      <c r="AO441" s="3" t="s">
        <v>371</v>
      </c>
      <c r="AP441" s="3" t="s">
        <v>371</v>
      </c>
      <c r="AQ441" s="1414" t="s">
        <v>92</v>
      </c>
    </row>
    <row r="442" spans="1:44" ht="15" customHeight="1" thickBot="1" x14ac:dyDescent="0.45">
      <c r="C442" s="949"/>
      <c r="D442" s="924"/>
      <c r="E442" s="924"/>
      <c r="F442" s="924"/>
      <c r="G442" s="924"/>
      <c r="H442" s="948"/>
      <c r="I442" s="889"/>
      <c r="J442" s="889"/>
      <c r="K442" s="889"/>
      <c r="L442" s="889"/>
      <c r="M442" s="945"/>
      <c r="N442" s="945"/>
      <c r="O442" s="945"/>
      <c r="P442" s="945"/>
      <c r="Q442" s="945"/>
      <c r="R442" s="889"/>
      <c r="S442" s="945"/>
      <c r="T442" s="889"/>
      <c r="U442" s="948"/>
      <c r="V442" s="888" t="s">
        <v>369</v>
      </c>
      <c r="W442" s="889" t="s">
        <v>375</v>
      </c>
      <c r="X442" s="888" t="s">
        <v>369</v>
      </c>
      <c r="Y442" s="1444">
        <v>200190133</v>
      </c>
      <c r="Z442" s="1444"/>
      <c r="AA442" s="948"/>
      <c r="AB442" s="889"/>
      <c r="AC442" s="889"/>
      <c r="AD442" s="945"/>
      <c r="AE442" s="889"/>
      <c r="AF442" s="1234"/>
      <c r="AG442" s="945"/>
      <c r="AH442" s="1424">
        <v>0</v>
      </c>
      <c r="AI442" s="947"/>
      <c r="AJ442" s="947"/>
      <c r="AK442" s="947"/>
      <c r="AL442" s="937">
        <f>AD$437*AH442+SUM(AI442:AK442)</f>
        <v>0</v>
      </c>
      <c r="AM442" s="889" t="s">
        <v>371</v>
      </c>
      <c r="AN442" s="889" t="s">
        <v>371</v>
      </c>
      <c r="AO442" s="889" t="s">
        <v>371</v>
      </c>
      <c r="AP442" s="889" t="s">
        <v>371</v>
      </c>
      <c r="AQ442" s="1590" t="s">
        <v>371</v>
      </c>
      <c r="AR442" s="889"/>
    </row>
    <row r="443" spans="1:44" ht="15" customHeight="1" x14ac:dyDescent="0.4">
      <c r="A443" s="3" t="s">
        <v>1169</v>
      </c>
      <c r="B443" s="3"/>
      <c r="C443" s="173" t="s">
        <v>1174</v>
      </c>
      <c r="D443" s="182"/>
      <c r="E443" s="182"/>
      <c r="F443" s="182"/>
      <c r="G443" s="173"/>
      <c r="H443" s="193"/>
      <c r="I443" s="116" t="s">
        <v>392</v>
      </c>
      <c r="J443" s="116"/>
      <c r="K443" s="116"/>
      <c r="L443" s="116" t="s">
        <v>348</v>
      </c>
      <c r="M443" s="177">
        <v>-3</v>
      </c>
      <c r="N443" s="177"/>
      <c r="O443" s="177"/>
      <c r="P443" s="177"/>
      <c r="Q443" s="177"/>
      <c r="R443" s="116" t="s">
        <v>352</v>
      </c>
      <c r="S443" s="177">
        <f>FWWidth+M443</f>
        <v>44.5</v>
      </c>
      <c r="T443" s="116" t="s">
        <v>366</v>
      </c>
      <c r="U443" s="193"/>
      <c r="V443" s="138"/>
      <c r="W443" s="138"/>
      <c r="X443" s="138"/>
      <c r="Y443" s="1449"/>
      <c r="Z443" s="1449"/>
      <c r="AA443" s="193"/>
      <c r="AB443" s="116">
        <v>40</v>
      </c>
      <c r="AC443" s="116">
        <v>2</v>
      </c>
      <c r="AD443" s="177">
        <f>AC443*S443/12</f>
        <v>7.416666666666667</v>
      </c>
      <c r="AE443" s="116" t="s">
        <v>367</v>
      </c>
      <c r="AF443" s="627">
        <f>AF461</f>
        <v>4.3999999999999997E-2</v>
      </c>
      <c r="AG443" s="177">
        <f>AF443*AtolbperftFixed</f>
        <v>2.79312E-2</v>
      </c>
      <c r="AH443" s="935">
        <f>AG443*FWSingleCost</f>
        <v>4.1896799999999998E-2</v>
      </c>
      <c r="AI443" s="185"/>
      <c r="AJ443" s="185"/>
      <c r="AK443" s="185"/>
      <c r="AL443" s="185"/>
      <c r="AM443" s="3" t="s">
        <v>371</v>
      </c>
      <c r="AN443" s="3" t="s">
        <v>371</v>
      </c>
      <c r="AO443" s="3" t="s">
        <v>371</v>
      </c>
      <c r="AP443" s="3" t="s">
        <v>371</v>
      </c>
      <c r="AQ443" s="1414" t="s">
        <v>92</v>
      </c>
    </row>
    <row r="444" spans="1:44" ht="15" customHeight="1" x14ac:dyDescent="0.4">
      <c r="B444" s="8"/>
      <c r="C444" s="36"/>
      <c r="D444" s="7"/>
      <c r="E444" s="7"/>
      <c r="F444" s="7"/>
      <c r="G444" s="7"/>
      <c r="V444" s="38" t="s">
        <v>369</v>
      </c>
      <c r="W444" s="3" t="s">
        <v>370</v>
      </c>
      <c r="X444" s="38" t="s">
        <v>369</v>
      </c>
      <c r="Y444" s="1443">
        <v>200171003</v>
      </c>
      <c r="Z444" s="1443"/>
      <c r="AE444" s="3"/>
      <c r="AF444" s="930"/>
      <c r="AH444" s="51">
        <f>AH432</f>
        <v>5.7299999999999997E-2</v>
      </c>
      <c r="AI444" s="39"/>
      <c r="AJ444" s="39"/>
      <c r="AK444" s="39"/>
      <c r="AL444" s="51">
        <f>AD$443*AH444+SUM(AI444:AK444)</f>
        <v>0.42497499999999999</v>
      </c>
      <c r="AM444" s="3" t="s">
        <v>371</v>
      </c>
      <c r="AN444" s="3" t="s">
        <v>371</v>
      </c>
      <c r="AO444" s="3" t="s">
        <v>371</v>
      </c>
      <c r="AP444" s="3" t="s">
        <v>371</v>
      </c>
      <c r="AQ444" s="1414" t="s">
        <v>92</v>
      </c>
    </row>
    <row r="445" spans="1:44" ht="15" customHeight="1" x14ac:dyDescent="0.4">
      <c r="B445" s="8"/>
      <c r="C445" s="36"/>
      <c r="D445" s="7"/>
      <c r="E445" s="7"/>
      <c r="F445" s="7"/>
      <c r="G445" s="7"/>
      <c r="V445" s="38" t="s">
        <v>369</v>
      </c>
      <c r="W445" s="3" t="s">
        <v>372</v>
      </c>
      <c r="X445" s="38" t="s">
        <v>369</v>
      </c>
      <c r="Y445" s="1563">
        <v>200171021</v>
      </c>
      <c r="Z445" s="1443"/>
      <c r="AE445" s="3"/>
      <c r="AF445" s="930"/>
      <c r="AH445" s="51">
        <f>AH433</f>
        <v>6.3500000000000001E-2</v>
      </c>
      <c r="AI445" s="39"/>
      <c r="AJ445" s="39"/>
      <c r="AK445" s="39"/>
      <c r="AL445" s="51">
        <f t="shared" ref="AL445:AL446" si="87">AD$443*AH445+SUM(AI445:AK445)</f>
        <v>0.47095833333333337</v>
      </c>
      <c r="AM445" s="3" t="s">
        <v>371</v>
      </c>
      <c r="AN445" s="3" t="s">
        <v>371</v>
      </c>
      <c r="AO445" s="3" t="s">
        <v>371</v>
      </c>
      <c r="AP445" s="3" t="s">
        <v>371</v>
      </c>
      <c r="AQ445" s="1414" t="s">
        <v>92</v>
      </c>
    </row>
    <row r="446" spans="1:44" ht="15" customHeight="1" x14ac:dyDescent="0.4">
      <c r="B446" s="8"/>
      <c r="C446" s="36"/>
      <c r="D446" s="7"/>
      <c r="E446" s="7"/>
      <c r="F446" s="7"/>
      <c r="G446" s="7"/>
      <c r="V446" s="38" t="s">
        <v>369</v>
      </c>
      <c r="W446" s="3" t="s">
        <v>373</v>
      </c>
      <c r="X446" s="38" t="s">
        <v>369</v>
      </c>
      <c r="Y446" s="1443">
        <v>200171033</v>
      </c>
      <c r="Z446" s="1443"/>
      <c r="AE446" s="3"/>
      <c r="AF446" s="930"/>
      <c r="AH446" s="51">
        <f>AH434</f>
        <v>6.8199999999999997E-2</v>
      </c>
      <c r="AI446" s="39"/>
      <c r="AJ446" s="39"/>
      <c r="AK446" s="39"/>
      <c r="AL446" s="51">
        <f t="shared" si="87"/>
        <v>0.50581666666666669</v>
      </c>
      <c r="AM446" s="3" t="s">
        <v>371</v>
      </c>
      <c r="AN446" s="3" t="s">
        <v>371</v>
      </c>
      <c r="AO446" s="3" t="s">
        <v>371</v>
      </c>
      <c r="AP446" s="3" t="s">
        <v>371</v>
      </c>
      <c r="AQ446" s="1414" t="s">
        <v>92</v>
      </c>
    </row>
    <row r="447" spans="1:44" ht="15" customHeight="1" x14ac:dyDescent="0.4">
      <c r="B447" s="8"/>
      <c r="C447" s="36"/>
      <c r="D447" s="7"/>
      <c r="E447" s="7"/>
      <c r="F447" s="7"/>
      <c r="G447" s="7"/>
      <c r="V447" s="279" t="s">
        <v>369</v>
      </c>
      <c r="W447" s="112" t="s">
        <v>1849</v>
      </c>
      <c r="X447" s="279" t="s">
        <v>369</v>
      </c>
      <c r="Y447" s="1871">
        <v>200171148</v>
      </c>
      <c r="Z447" s="1443"/>
      <c r="AE447" s="3"/>
      <c r="AF447" s="930"/>
      <c r="AH447" s="51">
        <v>0</v>
      </c>
      <c r="AI447" s="39"/>
      <c r="AJ447" s="39"/>
      <c r="AK447" s="39"/>
      <c r="AL447" s="51">
        <f t="shared" ref="AL447" si="88">AD$443*AH447+SUM(AI447:AK447)</f>
        <v>0</v>
      </c>
      <c r="AM447" s="3" t="s">
        <v>371</v>
      </c>
      <c r="AN447" s="3" t="s">
        <v>371</v>
      </c>
      <c r="AO447" s="3" t="s">
        <v>371</v>
      </c>
      <c r="AP447" s="3" t="s">
        <v>371</v>
      </c>
      <c r="AQ447" s="1414" t="s">
        <v>92</v>
      </c>
    </row>
    <row r="448" spans="1:44" ht="15" customHeight="1" thickBot="1" x14ac:dyDescent="0.45">
      <c r="B448" s="8"/>
      <c r="C448" s="943"/>
      <c r="D448" s="924"/>
      <c r="E448" s="924"/>
      <c r="F448" s="924"/>
      <c r="G448" s="924"/>
      <c r="H448" s="948"/>
      <c r="I448" s="889"/>
      <c r="J448" s="889"/>
      <c r="K448" s="889"/>
      <c r="L448" s="889"/>
      <c r="M448" s="945"/>
      <c r="N448" s="945"/>
      <c r="O448" s="945"/>
      <c r="P448" s="945"/>
      <c r="Q448" s="945"/>
      <c r="R448" s="889"/>
      <c r="S448" s="945"/>
      <c r="T448" s="889"/>
      <c r="U448" s="948"/>
      <c r="V448" s="888" t="s">
        <v>369</v>
      </c>
      <c r="W448" s="889" t="s">
        <v>375</v>
      </c>
      <c r="X448" s="888" t="s">
        <v>369</v>
      </c>
      <c r="Y448" s="1444">
        <v>200171133</v>
      </c>
      <c r="Z448" s="1444"/>
      <c r="AA448" s="948"/>
      <c r="AB448" s="889"/>
      <c r="AC448" s="889"/>
      <c r="AD448" s="945"/>
      <c r="AE448" s="889"/>
      <c r="AF448" s="1234"/>
      <c r="AG448" s="945"/>
      <c r="AH448" s="937"/>
      <c r="AI448" s="947"/>
      <c r="AJ448" s="947"/>
      <c r="AK448" s="947"/>
      <c r="AL448" s="937"/>
      <c r="AM448" s="889" t="s">
        <v>371</v>
      </c>
      <c r="AN448" s="889" t="s">
        <v>371</v>
      </c>
      <c r="AO448" s="889" t="s">
        <v>371</v>
      </c>
      <c r="AP448" s="889" t="s">
        <v>371</v>
      </c>
      <c r="AQ448" s="1590" t="s">
        <v>81</v>
      </c>
      <c r="AR448" s="889"/>
    </row>
    <row r="449" spans="1:44" ht="15" customHeight="1" x14ac:dyDescent="0.4">
      <c r="B449" s="8"/>
      <c r="C449" s="7" t="s">
        <v>1175</v>
      </c>
      <c r="D449" s="155"/>
      <c r="E449" s="155"/>
      <c r="F449" s="155"/>
      <c r="G449" s="7"/>
      <c r="I449" s="3" t="s">
        <v>392</v>
      </c>
      <c r="L449" s="3" t="s">
        <v>348</v>
      </c>
      <c r="M449" s="5">
        <v>-3</v>
      </c>
      <c r="R449" s="3" t="s">
        <v>352</v>
      </c>
      <c r="S449" s="5">
        <f>FWWidth+M449</f>
        <v>44.5</v>
      </c>
      <c r="T449" s="3" t="s">
        <v>366</v>
      </c>
      <c r="V449" s="38"/>
      <c r="X449" s="38"/>
      <c r="Y449" s="1443"/>
      <c r="Z449" s="1443"/>
      <c r="AC449" s="3">
        <v>2</v>
      </c>
      <c r="AD449" s="5">
        <f>AC449*S449/12</f>
        <v>7.416666666666667</v>
      </c>
      <c r="AE449" s="3" t="s">
        <v>367</v>
      </c>
      <c r="AF449" s="930">
        <f>AF467</f>
        <v>4.1000000000000002E-2</v>
      </c>
      <c r="AG449" s="5">
        <f>AF449*AtolbperftFixed</f>
        <v>2.6026800000000003E-2</v>
      </c>
      <c r="AH449" s="955">
        <f>AG449*FWSingleCost</f>
        <v>3.9040200000000004E-2</v>
      </c>
      <c r="AI449" s="39"/>
      <c r="AJ449" s="39"/>
      <c r="AK449" s="39"/>
      <c r="AM449" s="3" t="s">
        <v>371</v>
      </c>
      <c r="AN449" s="3" t="s">
        <v>371</v>
      </c>
      <c r="AO449" s="3" t="s">
        <v>371</v>
      </c>
      <c r="AP449" s="3" t="s">
        <v>371</v>
      </c>
      <c r="AQ449" s="1414" t="s">
        <v>92</v>
      </c>
    </row>
    <row r="450" spans="1:44" ht="15" customHeight="1" x14ac:dyDescent="0.4">
      <c r="B450" s="8"/>
      <c r="C450" s="36"/>
      <c r="D450" s="7"/>
      <c r="E450" s="7"/>
      <c r="F450" s="7"/>
      <c r="G450" s="7"/>
      <c r="V450" s="38" t="s">
        <v>369</v>
      </c>
      <c r="W450" s="3" t="s">
        <v>370</v>
      </c>
      <c r="X450" s="38" t="s">
        <v>369</v>
      </c>
      <c r="Y450" s="1443">
        <v>200190003</v>
      </c>
      <c r="Z450" s="1443"/>
      <c r="AE450" s="3"/>
      <c r="AF450" s="930"/>
      <c r="AH450" s="51">
        <f>AH438</f>
        <v>4.7199999999999999E-2</v>
      </c>
      <c r="AI450" s="39"/>
      <c r="AJ450" s="39"/>
      <c r="AK450" s="39"/>
      <c r="AL450" s="51">
        <f>AD$449*AH450+SUM(AI450:AK450)</f>
        <v>0.35006666666666669</v>
      </c>
      <c r="AM450" s="3" t="s">
        <v>371</v>
      </c>
      <c r="AN450" s="3" t="s">
        <v>371</v>
      </c>
      <c r="AO450" s="3" t="s">
        <v>371</v>
      </c>
      <c r="AP450" s="3" t="s">
        <v>371</v>
      </c>
      <c r="AQ450" s="1414" t="s">
        <v>92</v>
      </c>
    </row>
    <row r="451" spans="1:44" ht="15" customHeight="1" x14ac:dyDescent="0.4">
      <c r="B451" s="8"/>
      <c r="C451" s="36"/>
      <c r="D451" s="7"/>
      <c r="E451" s="7"/>
      <c r="F451" s="7"/>
      <c r="G451" s="7"/>
      <c r="V451" s="38" t="s">
        <v>369</v>
      </c>
      <c r="W451" s="3" t="s">
        <v>372</v>
      </c>
      <c r="X451" s="38" t="s">
        <v>369</v>
      </c>
      <c r="Y451" s="1563">
        <v>200190021</v>
      </c>
      <c r="Z451" s="1443"/>
      <c r="AE451" s="3"/>
      <c r="AF451" s="930"/>
      <c r="AH451" s="51">
        <f>AH439</f>
        <v>5.5E-2</v>
      </c>
      <c r="AI451" s="39"/>
      <c r="AJ451" s="39"/>
      <c r="AK451" s="39"/>
      <c r="AL451" s="51">
        <f t="shared" ref="AL451:AL452" si="89">AD$449*AH451+SUM(AI451:AK451)</f>
        <v>0.40791666666666671</v>
      </c>
      <c r="AM451" s="3" t="s">
        <v>371</v>
      </c>
      <c r="AN451" s="3" t="s">
        <v>371</v>
      </c>
      <c r="AO451" s="3" t="s">
        <v>371</v>
      </c>
      <c r="AP451" s="3" t="s">
        <v>371</v>
      </c>
      <c r="AQ451" s="1414" t="s">
        <v>92</v>
      </c>
    </row>
    <row r="452" spans="1:44" ht="15" customHeight="1" x14ac:dyDescent="0.4">
      <c r="B452" s="8"/>
      <c r="C452" s="36"/>
      <c r="D452" s="7"/>
      <c r="E452" s="7"/>
      <c r="F452" s="7"/>
      <c r="G452" s="7"/>
      <c r="V452" s="38" t="s">
        <v>369</v>
      </c>
      <c r="W452" s="3" t="s">
        <v>373</v>
      </c>
      <c r="X452" s="38" t="s">
        <v>369</v>
      </c>
      <c r="Y452" s="1443">
        <v>200190033</v>
      </c>
      <c r="Z452" s="1443"/>
      <c r="AE452" s="3"/>
      <c r="AF452" s="930"/>
      <c r="AH452" s="51">
        <f>AH440</f>
        <v>0</v>
      </c>
      <c r="AI452" s="39"/>
      <c r="AJ452" s="39"/>
      <c r="AK452" s="39"/>
      <c r="AL452" s="51">
        <f t="shared" si="89"/>
        <v>0</v>
      </c>
      <c r="AM452" s="3" t="s">
        <v>371</v>
      </c>
      <c r="AN452" s="3" t="s">
        <v>371</v>
      </c>
      <c r="AO452" s="3" t="s">
        <v>371</v>
      </c>
      <c r="AP452" s="3" t="s">
        <v>371</v>
      </c>
      <c r="AQ452" s="1414" t="s">
        <v>92</v>
      </c>
    </row>
    <row r="453" spans="1:44" ht="15" customHeight="1" x14ac:dyDescent="0.4">
      <c r="B453" s="8"/>
      <c r="C453" s="36"/>
      <c r="D453" s="7"/>
      <c r="E453" s="7"/>
      <c r="F453" s="7"/>
      <c r="G453" s="7"/>
      <c r="V453" s="279" t="s">
        <v>369</v>
      </c>
      <c r="W453" s="112" t="s">
        <v>1849</v>
      </c>
      <c r="X453" s="279" t="s">
        <v>369</v>
      </c>
      <c r="Y453" s="1871">
        <v>200190148</v>
      </c>
      <c r="Z453" s="1443"/>
      <c r="AE453" s="3"/>
      <c r="AF453" s="930"/>
      <c r="AH453" s="51">
        <v>0</v>
      </c>
      <c r="AI453" s="39"/>
      <c r="AJ453" s="39"/>
      <c r="AK453" s="39"/>
      <c r="AL453" s="51">
        <f t="shared" ref="AL453" si="90">AD$449*AH453+SUM(AI453:AK453)</f>
        <v>0</v>
      </c>
      <c r="AM453" s="3" t="s">
        <v>371</v>
      </c>
      <c r="AN453" s="3" t="s">
        <v>371</v>
      </c>
      <c r="AO453" s="3" t="s">
        <v>371</v>
      </c>
      <c r="AP453" s="3" t="s">
        <v>371</v>
      </c>
      <c r="AQ453" s="1414" t="s">
        <v>92</v>
      </c>
    </row>
    <row r="454" spans="1:44" ht="15" customHeight="1" thickBot="1" x14ac:dyDescent="0.45">
      <c r="C454" s="949"/>
      <c r="D454" s="924"/>
      <c r="E454" s="924"/>
      <c r="F454" s="924"/>
      <c r="G454" s="924"/>
      <c r="H454" s="948"/>
      <c r="I454" s="889"/>
      <c r="J454" s="889"/>
      <c r="K454" s="889"/>
      <c r="L454" s="889"/>
      <c r="M454" s="945"/>
      <c r="N454" s="945"/>
      <c r="O454" s="945"/>
      <c r="P454" s="945"/>
      <c r="Q454" s="945"/>
      <c r="R454" s="889"/>
      <c r="S454" s="945"/>
      <c r="T454" s="889"/>
      <c r="U454" s="948"/>
      <c r="V454" s="888" t="s">
        <v>369</v>
      </c>
      <c r="W454" s="889" t="s">
        <v>375</v>
      </c>
      <c r="X454" s="888" t="s">
        <v>369</v>
      </c>
      <c r="Y454" s="1444">
        <v>200190133</v>
      </c>
      <c r="Z454" s="1444"/>
      <c r="AA454" s="948"/>
      <c r="AB454" s="889"/>
      <c r="AC454" s="889"/>
      <c r="AD454" s="945"/>
      <c r="AE454" s="889"/>
      <c r="AF454" s="1234"/>
      <c r="AG454" s="945"/>
      <c r="AH454" s="1424">
        <v>0</v>
      </c>
      <c r="AI454" s="947"/>
      <c r="AJ454" s="947"/>
      <c r="AK454" s="947"/>
      <c r="AL454" s="937">
        <f>AD$449*AH454+SUM(AI454:AK454)</f>
        <v>0</v>
      </c>
      <c r="AM454" s="889" t="s">
        <v>371</v>
      </c>
      <c r="AN454" s="889" t="s">
        <v>371</v>
      </c>
      <c r="AO454" s="889" t="s">
        <v>371</v>
      </c>
      <c r="AP454" s="889" t="s">
        <v>371</v>
      </c>
      <c r="AQ454" s="1590" t="s">
        <v>371</v>
      </c>
      <c r="AR454" s="889"/>
    </row>
    <row r="455" spans="1:44" ht="15" customHeight="1" x14ac:dyDescent="0.4">
      <c r="A455" s="3" t="s">
        <v>496</v>
      </c>
      <c r="B455" s="3"/>
      <c r="C455" s="173" t="s">
        <v>1162</v>
      </c>
      <c r="D455" s="182"/>
      <c r="E455" s="182"/>
      <c r="F455" s="182"/>
      <c r="G455" s="173"/>
      <c r="H455" s="193"/>
      <c r="I455" s="116" t="s">
        <v>365</v>
      </c>
      <c r="J455" s="116"/>
      <c r="K455" s="116"/>
      <c r="L455" s="116" t="s">
        <v>348</v>
      </c>
      <c r="M455" s="177">
        <v>-3</v>
      </c>
      <c r="N455" s="177"/>
      <c r="O455" s="177"/>
      <c r="P455" s="177"/>
      <c r="Q455" s="177"/>
      <c r="R455" s="116" t="s">
        <v>352</v>
      </c>
      <c r="S455" s="177">
        <f>FWHeight+M455</f>
        <v>44.5</v>
      </c>
      <c r="T455" s="116" t="s">
        <v>366</v>
      </c>
      <c r="U455" s="193"/>
      <c r="V455" s="138"/>
      <c r="W455" s="138"/>
      <c r="X455" s="138"/>
      <c r="Y455" s="1449"/>
      <c r="Z455" s="1449"/>
      <c r="AA455" s="193"/>
      <c r="AB455" s="116">
        <v>42</v>
      </c>
      <c r="AC455" s="116">
        <v>2</v>
      </c>
      <c r="AD455" s="177">
        <f>AC455*S455/12</f>
        <v>7.416666666666667</v>
      </c>
      <c r="AE455" s="116" t="s">
        <v>367</v>
      </c>
      <c r="AF455" s="627">
        <v>2.8000000000000001E-2</v>
      </c>
      <c r="AG455" s="177">
        <f>AF455*AtolbperftFixed</f>
        <v>1.7774400000000003E-2</v>
      </c>
      <c r="AH455" s="935">
        <f>AG455*FWSingleCost</f>
        <v>2.6661600000000004E-2</v>
      </c>
      <c r="AI455" s="185"/>
      <c r="AJ455" s="185"/>
      <c r="AK455" s="185"/>
      <c r="AL455" s="185"/>
      <c r="AM455" s="3" t="s">
        <v>371</v>
      </c>
      <c r="AN455" s="3" t="s">
        <v>371</v>
      </c>
      <c r="AO455" s="3" t="s">
        <v>371</v>
      </c>
      <c r="AP455" s="3" t="s">
        <v>371</v>
      </c>
      <c r="AQ455" s="1414" t="s">
        <v>92</v>
      </c>
    </row>
    <row r="456" spans="1:44" ht="15" customHeight="1" x14ac:dyDescent="0.4">
      <c r="B456" s="3"/>
      <c r="C456" s="7"/>
      <c r="D456" s="7"/>
      <c r="E456" s="7"/>
      <c r="F456" s="7"/>
      <c r="G456" s="7"/>
      <c r="V456" s="38" t="s">
        <v>369</v>
      </c>
      <c r="W456" s="3" t="s">
        <v>370</v>
      </c>
      <c r="X456" s="38" t="s">
        <v>369</v>
      </c>
      <c r="Y456" s="1443">
        <v>200170003</v>
      </c>
      <c r="Z456" s="1443"/>
      <c r="AE456" s="3"/>
      <c r="AF456" s="930"/>
      <c r="AH456" s="51">
        <f>AH407</f>
        <v>4.1099999999999998E-2</v>
      </c>
      <c r="AI456" s="39"/>
      <c r="AJ456" s="39"/>
      <c r="AK456" s="39"/>
      <c r="AL456" s="51">
        <f>AD$455*AH456+SUM(AI456:AK456)</f>
        <v>0.30482500000000001</v>
      </c>
      <c r="AM456" s="3" t="s">
        <v>371</v>
      </c>
      <c r="AN456" s="3" t="s">
        <v>371</v>
      </c>
      <c r="AO456" s="3" t="s">
        <v>371</v>
      </c>
      <c r="AP456" s="3" t="s">
        <v>371</v>
      </c>
      <c r="AQ456" s="1414" t="s">
        <v>92</v>
      </c>
    </row>
    <row r="457" spans="1:44" ht="15" customHeight="1" x14ac:dyDescent="0.4">
      <c r="B457" s="1947" t="s">
        <v>2393</v>
      </c>
      <c r="C457" s="7"/>
      <c r="D457" s="7"/>
      <c r="E457" s="7"/>
      <c r="F457" s="7"/>
      <c r="G457" s="7"/>
      <c r="V457" s="38" t="s">
        <v>369</v>
      </c>
      <c r="W457" s="3" t="s">
        <v>372</v>
      </c>
      <c r="X457" s="38" t="s">
        <v>369</v>
      </c>
      <c r="Y457" s="1563">
        <v>200170021</v>
      </c>
      <c r="Z457" s="1443"/>
      <c r="AE457" s="3"/>
      <c r="AF457" s="930"/>
      <c r="AH457" s="51">
        <f>AH408</f>
        <v>4.5199999999999997E-2</v>
      </c>
      <c r="AI457" s="39"/>
      <c r="AJ457" s="39"/>
      <c r="AK457" s="39"/>
      <c r="AL457" s="51">
        <f>AD$455*AH457+SUM(AI457:AK457)</f>
        <v>0.33523333333333333</v>
      </c>
      <c r="AM457" s="3" t="s">
        <v>371</v>
      </c>
      <c r="AN457" s="3" t="s">
        <v>371</v>
      </c>
      <c r="AO457" s="3" t="s">
        <v>371</v>
      </c>
      <c r="AP457" s="3" t="s">
        <v>371</v>
      </c>
      <c r="AQ457" s="1414" t="s">
        <v>92</v>
      </c>
    </row>
    <row r="458" spans="1:44" ht="15" customHeight="1" x14ac:dyDescent="0.4">
      <c r="B458" s="3"/>
      <c r="C458" s="7"/>
      <c r="D458" s="7"/>
      <c r="E458" s="7"/>
      <c r="F458" s="7"/>
      <c r="G458" s="7"/>
      <c r="V458" s="38" t="s">
        <v>369</v>
      </c>
      <c r="W458" s="3" t="s">
        <v>373</v>
      </c>
      <c r="X458" s="38" t="s">
        <v>369</v>
      </c>
      <c r="Y458" s="1443">
        <v>200170033</v>
      </c>
      <c r="Z458" s="1443"/>
      <c r="AE458" s="3"/>
      <c r="AF458" s="930"/>
      <c r="AH458" s="51">
        <f>AH409</f>
        <v>4.8300000000000003E-2</v>
      </c>
      <c r="AI458" s="39"/>
      <c r="AJ458" s="39"/>
      <c r="AK458" s="39"/>
      <c r="AL458" s="51">
        <f>AD$455*AH458+SUM(AI458:AK458)</f>
        <v>0.35822500000000002</v>
      </c>
      <c r="AM458" s="3" t="s">
        <v>371</v>
      </c>
      <c r="AN458" s="3" t="s">
        <v>371</v>
      </c>
      <c r="AO458" s="3" t="s">
        <v>371</v>
      </c>
      <c r="AP458" s="3" t="s">
        <v>371</v>
      </c>
      <c r="AQ458" s="1414" t="s">
        <v>92</v>
      </c>
    </row>
    <row r="459" spans="1:44" ht="15" customHeight="1" x14ac:dyDescent="0.4">
      <c r="B459" s="3"/>
      <c r="C459" s="7"/>
      <c r="D459" s="7"/>
      <c r="E459" s="7"/>
      <c r="F459" s="7"/>
      <c r="G459" s="7"/>
      <c r="V459" s="279" t="s">
        <v>369</v>
      </c>
      <c r="W459" s="112" t="s">
        <v>1849</v>
      </c>
      <c r="X459" s="279" t="s">
        <v>369</v>
      </c>
      <c r="Y459" s="1871">
        <v>200170148</v>
      </c>
      <c r="Z459" s="1443"/>
      <c r="AE459" s="3"/>
      <c r="AF459" s="930"/>
      <c r="AH459" s="51">
        <v>0</v>
      </c>
      <c r="AI459" s="39"/>
      <c r="AJ459" s="39"/>
      <c r="AK459" s="39"/>
      <c r="AL459" s="51">
        <f>AD$455*AH459+SUM(AI459:AK459)</f>
        <v>0</v>
      </c>
      <c r="AM459" s="3" t="s">
        <v>371</v>
      </c>
      <c r="AN459" s="3" t="s">
        <v>371</v>
      </c>
      <c r="AO459" s="3" t="s">
        <v>371</v>
      </c>
      <c r="AP459" s="3" t="s">
        <v>371</v>
      </c>
      <c r="AQ459" s="1414" t="s">
        <v>92</v>
      </c>
    </row>
    <row r="460" spans="1:44" ht="15" customHeight="1" thickBot="1" x14ac:dyDescent="0.45">
      <c r="B460" s="3"/>
      <c r="C460" s="7"/>
      <c r="D460" s="7"/>
      <c r="E460" s="7"/>
      <c r="F460" s="7"/>
      <c r="G460" s="7"/>
      <c r="V460" s="1876" t="s">
        <v>369</v>
      </c>
      <c r="W460" s="1877" t="s">
        <v>375</v>
      </c>
      <c r="X460" s="1876" t="s">
        <v>369</v>
      </c>
      <c r="Y460" s="1878">
        <v>200170133</v>
      </c>
      <c r="Z460" s="1444"/>
      <c r="AA460" s="948"/>
      <c r="AB460" s="889"/>
      <c r="AC460" s="889"/>
      <c r="AD460" s="945"/>
      <c r="AE460" s="889"/>
      <c r="AF460" s="1234"/>
      <c r="AG460" s="945"/>
      <c r="AH460" s="937">
        <v>0</v>
      </c>
      <c r="AI460" s="947"/>
      <c r="AJ460" s="947"/>
      <c r="AK460" s="947"/>
      <c r="AL460" s="937">
        <f>AD$455*AH460+SUM(AI460:AK460)</f>
        <v>0</v>
      </c>
      <c r="AM460" s="889" t="s">
        <v>92</v>
      </c>
      <c r="AN460" s="889" t="s">
        <v>92</v>
      </c>
      <c r="AO460" s="889" t="s">
        <v>92</v>
      </c>
      <c r="AP460" s="889" t="s">
        <v>92</v>
      </c>
      <c r="AQ460" s="1590" t="s">
        <v>81</v>
      </c>
      <c r="AR460" s="889"/>
    </row>
    <row r="461" spans="1:44" ht="15" customHeight="1" x14ac:dyDescent="0.4">
      <c r="A461" s="3" t="s">
        <v>498</v>
      </c>
      <c r="B461" s="3"/>
      <c r="C461" s="173" t="s">
        <v>1163</v>
      </c>
      <c r="D461" s="182"/>
      <c r="E461" s="182"/>
      <c r="F461" s="182"/>
      <c r="G461" s="173"/>
      <c r="H461" s="193"/>
      <c r="I461" s="116" t="s">
        <v>365</v>
      </c>
      <c r="J461" s="116"/>
      <c r="K461" s="116"/>
      <c r="L461" s="116" t="s">
        <v>348</v>
      </c>
      <c r="M461" s="177">
        <v>-3</v>
      </c>
      <c r="N461" s="177"/>
      <c r="O461" s="177"/>
      <c r="P461" s="177"/>
      <c r="Q461" s="177"/>
      <c r="R461" s="116" t="s">
        <v>352</v>
      </c>
      <c r="S461" s="177">
        <f>FWHeight+M461</f>
        <v>44.5</v>
      </c>
      <c r="T461" s="116" t="s">
        <v>366</v>
      </c>
      <c r="U461" s="193"/>
      <c r="V461" s="138"/>
      <c r="W461" s="138"/>
      <c r="X461" s="138"/>
      <c r="Y461" s="1449"/>
      <c r="Z461" s="1449"/>
      <c r="AA461" s="193"/>
      <c r="AB461" s="116">
        <v>40</v>
      </c>
      <c r="AC461" s="116">
        <v>2</v>
      </c>
      <c r="AD461" s="177">
        <f>AC461*S461/12</f>
        <v>7.416666666666667</v>
      </c>
      <c r="AE461" s="116" t="s">
        <v>367</v>
      </c>
      <c r="AF461" s="627">
        <v>4.3999999999999997E-2</v>
      </c>
      <c r="AG461" s="177">
        <f>AF461*AtolbperftFixed</f>
        <v>2.79312E-2</v>
      </c>
      <c r="AH461" s="935">
        <f>AG461*FWSingleCost</f>
        <v>4.1896799999999998E-2</v>
      </c>
      <c r="AI461" s="185"/>
      <c r="AJ461" s="185"/>
      <c r="AK461" s="185"/>
      <c r="AL461" s="185"/>
      <c r="AM461" s="3" t="s">
        <v>371</v>
      </c>
      <c r="AN461" s="3" t="s">
        <v>371</v>
      </c>
      <c r="AO461" s="3" t="s">
        <v>371</v>
      </c>
      <c r="AP461" s="3" t="s">
        <v>371</v>
      </c>
      <c r="AQ461" s="1414" t="s">
        <v>92</v>
      </c>
    </row>
    <row r="462" spans="1:44" ht="15" customHeight="1" x14ac:dyDescent="0.4">
      <c r="B462" s="3"/>
      <c r="C462" s="7"/>
      <c r="D462" s="7"/>
      <c r="E462" s="7"/>
      <c r="F462" s="7"/>
      <c r="G462" s="7"/>
      <c r="V462" s="38" t="s">
        <v>369</v>
      </c>
      <c r="W462" s="3" t="s">
        <v>370</v>
      </c>
      <c r="X462" s="38" t="s">
        <v>369</v>
      </c>
      <c r="Y462" s="1443">
        <v>200171003</v>
      </c>
      <c r="Z462" s="1443"/>
      <c r="AE462" s="3"/>
      <c r="AF462" s="930"/>
      <c r="AH462" s="51">
        <f>AH413</f>
        <v>5.7299999999999997E-2</v>
      </c>
      <c r="AI462" s="39"/>
      <c r="AJ462" s="39"/>
      <c r="AK462" s="39"/>
      <c r="AL462" s="51">
        <f>AD$461*AH462+SUM(AI462:AK462)</f>
        <v>0.42497499999999999</v>
      </c>
      <c r="AM462" s="3" t="s">
        <v>371</v>
      </c>
      <c r="AN462" s="3" t="s">
        <v>371</v>
      </c>
      <c r="AO462" s="3" t="s">
        <v>371</v>
      </c>
      <c r="AP462" s="3" t="s">
        <v>371</v>
      </c>
      <c r="AQ462" s="1414" t="s">
        <v>92</v>
      </c>
    </row>
    <row r="463" spans="1:44" ht="15" customHeight="1" x14ac:dyDescent="0.4">
      <c r="B463" s="3"/>
      <c r="C463" s="7"/>
      <c r="D463" s="7"/>
      <c r="E463" s="7"/>
      <c r="F463" s="7"/>
      <c r="G463" s="7"/>
      <c r="V463" s="38" t="s">
        <v>369</v>
      </c>
      <c r="W463" s="3" t="s">
        <v>372</v>
      </c>
      <c r="X463" s="38" t="s">
        <v>369</v>
      </c>
      <c r="Y463" s="1563">
        <v>200171021</v>
      </c>
      <c r="Z463" s="1443"/>
      <c r="AE463" s="3"/>
      <c r="AF463" s="930"/>
      <c r="AH463" s="51">
        <f>AH414</f>
        <v>6.3500000000000001E-2</v>
      </c>
      <c r="AI463" s="39"/>
      <c r="AJ463" s="39"/>
      <c r="AK463" s="39"/>
      <c r="AL463" s="51">
        <f>AD$461*AH463+SUM(AI463:AK463)</f>
        <v>0.47095833333333337</v>
      </c>
      <c r="AM463" s="3" t="s">
        <v>371</v>
      </c>
      <c r="AN463" s="3" t="s">
        <v>371</v>
      </c>
      <c r="AO463" s="3" t="s">
        <v>371</v>
      </c>
      <c r="AP463" s="3" t="s">
        <v>371</v>
      </c>
      <c r="AQ463" s="1414" t="s">
        <v>92</v>
      </c>
    </row>
    <row r="464" spans="1:44" ht="15" customHeight="1" x14ac:dyDescent="0.4">
      <c r="B464" s="3"/>
      <c r="C464" s="7"/>
      <c r="D464" s="7"/>
      <c r="E464" s="7"/>
      <c r="F464" s="7"/>
      <c r="G464" s="7"/>
      <c r="V464" s="38" t="s">
        <v>369</v>
      </c>
      <c r="W464" s="3" t="s">
        <v>373</v>
      </c>
      <c r="X464" s="38" t="s">
        <v>369</v>
      </c>
      <c r="Y464" s="1443">
        <v>200171033</v>
      </c>
      <c r="Z464" s="1443"/>
      <c r="AE464" s="3"/>
      <c r="AF464" s="930"/>
      <c r="AH464" s="51">
        <f>AH415</f>
        <v>6.8199999999999997E-2</v>
      </c>
      <c r="AI464" s="39"/>
      <c r="AJ464" s="39"/>
      <c r="AK464" s="39"/>
      <c r="AL464" s="51">
        <f>AD$461*AH464+SUM(AI464:AK464)</f>
        <v>0.50581666666666669</v>
      </c>
      <c r="AM464" s="3" t="s">
        <v>371</v>
      </c>
      <c r="AN464" s="3" t="s">
        <v>371</v>
      </c>
      <c r="AO464" s="3" t="s">
        <v>371</v>
      </c>
      <c r="AP464" s="3" t="s">
        <v>371</v>
      </c>
      <c r="AQ464" s="1414" t="s">
        <v>92</v>
      </c>
    </row>
    <row r="465" spans="1:45" ht="15" customHeight="1" x14ac:dyDescent="0.4">
      <c r="B465" s="3"/>
      <c r="C465" s="7"/>
      <c r="D465" s="7"/>
      <c r="E465" s="7"/>
      <c r="F465" s="7"/>
      <c r="G465" s="7"/>
      <c r="V465" s="279" t="s">
        <v>369</v>
      </c>
      <c r="W465" s="112" t="s">
        <v>1849</v>
      </c>
      <c r="X465" s="279" t="s">
        <v>369</v>
      </c>
      <c r="Y465" s="1871">
        <v>200171148</v>
      </c>
      <c r="Z465" s="1443"/>
      <c r="AE465" s="3"/>
      <c r="AF465" s="930"/>
      <c r="AH465" s="51">
        <v>0</v>
      </c>
      <c r="AI465" s="39"/>
      <c r="AJ465" s="39"/>
      <c r="AK465" s="39"/>
      <c r="AL465" s="51">
        <f>AD$461*AH465+SUM(AI465:AK465)</f>
        <v>0</v>
      </c>
      <c r="AM465" s="3" t="s">
        <v>371</v>
      </c>
      <c r="AN465" s="3" t="s">
        <v>371</v>
      </c>
      <c r="AO465" s="3" t="s">
        <v>371</v>
      </c>
      <c r="AP465" s="3" t="s">
        <v>371</v>
      </c>
      <c r="AQ465" s="1414" t="s">
        <v>92</v>
      </c>
    </row>
    <row r="466" spans="1:45" ht="15" customHeight="1" thickBot="1" x14ac:dyDescent="0.45">
      <c r="B466" s="3"/>
      <c r="C466" s="924"/>
      <c r="D466" s="924"/>
      <c r="E466" s="924"/>
      <c r="F466" s="924"/>
      <c r="G466" s="924"/>
      <c r="H466" s="948"/>
      <c r="I466" s="889"/>
      <c r="J466" s="889"/>
      <c r="K466" s="889"/>
      <c r="L466" s="889"/>
      <c r="M466" s="945"/>
      <c r="N466" s="945"/>
      <c r="O466" s="945"/>
      <c r="P466" s="945"/>
      <c r="Q466" s="945"/>
      <c r="R466" s="889"/>
      <c r="S466" s="945"/>
      <c r="T466" s="889"/>
      <c r="U466" s="948"/>
      <c r="V466" s="888" t="s">
        <v>369</v>
      </c>
      <c r="W466" s="889" t="s">
        <v>375</v>
      </c>
      <c r="X466" s="888" t="s">
        <v>369</v>
      </c>
      <c r="Y466" s="1444">
        <v>200171133</v>
      </c>
      <c r="Z466" s="1444"/>
      <c r="AA466" s="948"/>
      <c r="AB466" s="889"/>
      <c r="AC466" s="889"/>
      <c r="AD466" s="945"/>
      <c r="AE466" s="889"/>
      <c r="AF466" s="1234"/>
      <c r="AG466" s="945"/>
      <c r="AH466" s="937"/>
      <c r="AI466" s="947"/>
      <c r="AJ466" s="947"/>
      <c r="AK466" s="947"/>
      <c r="AL466" s="937"/>
      <c r="AM466" s="889" t="s">
        <v>371</v>
      </c>
      <c r="AN466" s="889" t="s">
        <v>371</v>
      </c>
      <c r="AO466" s="889" t="s">
        <v>371</v>
      </c>
      <c r="AP466" s="889" t="s">
        <v>371</v>
      </c>
      <c r="AQ466" s="1590" t="s">
        <v>371</v>
      </c>
      <c r="AR466" s="889"/>
    </row>
    <row r="467" spans="1:45" ht="15" customHeight="1" x14ac:dyDescent="0.4">
      <c r="B467" s="3"/>
      <c r="C467" s="7" t="s">
        <v>1164</v>
      </c>
      <c r="D467" s="155"/>
      <c r="E467" s="155"/>
      <c r="F467" s="155"/>
      <c r="G467" s="7"/>
      <c r="I467" s="3" t="s">
        <v>365</v>
      </c>
      <c r="L467" s="3" t="s">
        <v>348</v>
      </c>
      <c r="M467" s="5">
        <v>-3</v>
      </c>
      <c r="R467" s="3" t="s">
        <v>352</v>
      </c>
      <c r="S467" s="5">
        <f>FWHeight+M467</f>
        <v>44.5</v>
      </c>
      <c r="T467" s="3" t="s">
        <v>366</v>
      </c>
      <c r="V467" s="38"/>
      <c r="X467" s="38"/>
      <c r="Y467" s="1443"/>
      <c r="Z467" s="1443"/>
      <c r="AC467" s="3">
        <v>2</v>
      </c>
      <c r="AD467" s="5">
        <f>AC467*S467/12</f>
        <v>7.416666666666667</v>
      </c>
      <c r="AE467" s="3" t="s">
        <v>367</v>
      </c>
      <c r="AF467" s="930">
        <v>4.1000000000000002E-2</v>
      </c>
      <c r="AG467" s="5">
        <f>AF467*AtolbperftFixed</f>
        <v>2.6026800000000003E-2</v>
      </c>
      <c r="AH467" s="955">
        <f>AG467*FWSingleCost</f>
        <v>3.9040200000000004E-2</v>
      </c>
      <c r="AI467" s="39"/>
      <c r="AJ467" s="39"/>
      <c r="AK467" s="39"/>
      <c r="AM467" s="3" t="s">
        <v>371</v>
      </c>
      <c r="AN467" s="3" t="s">
        <v>371</v>
      </c>
      <c r="AO467" s="3" t="s">
        <v>371</v>
      </c>
      <c r="AP467" s="3" t="s">
        <v>371</v>
      </c>
      <c r="AQ467" s="1414" t="s">
        <v>92</v>
      </c>
    </row>
    <row r="468" spans="1:45" ht="15" customHeight="1" x14ac:dyDescent="0.4">
      <c r="B468" s="3"/>
      <c r="C468" s="7"/>
      <c r="D468" s="7"/>
      <c r="E468" s="7"/>
      <c r="F468" s="7"/>
      <c r="G468" s="7"/>
      <c r="V468" s="38" t="s">
        <v>369</v>
      </c>
      <c r="W468" s="3" t="s">
        <v>370</v>
      </c>
      <c r="X468" s="38" t="s">
        <v>369</v>
      </c>
      <c r="Y468" s="1443">
        <v>200190003</v>
      </c>
      <c r="Z468" s="1443"/>
      <c r="AE468" s="3"/>
      <c r="AF468" s="930"/>
      <c r="AH468" s="51">
        <f>AH419</f>
        <v>4.7199999999999999E-2</v>
      </c>
      <c r="AI468" s="39"/>
      <c r="AJ468" s="39"/>
      <c r="AK468" s="39"/>
      <c r="AL468" s="51">
        <f>AD$467*AH468+SUM(AI468:AK468)</f>
        <v>0.35006666666666669</v>
      </c>
      <c r="AM468" s="3" t="s">
        <v>371</v>
      </c>
      <c r="AN468" s="3" t="s">
        <v>371</v>
      </c>
      <c r="AO468" s="3" t="s">
        <v>371</v>
      </c>
      <c r="AP468" s="3" t="s">
        <v>371</v>
      </c>
      <c r="AQ468" s="1414" t="s">
        <v>92</v>
      </c>
    </row>
    <row r="469" spans="1:45" ht="15" customHeight="1" x14ac:dyDescent="0.4">
      <c r="B469" s="3"/>
      <c r="C469" s="7"/>
      <c r="D469" s="7"/>
      <c r="E469" s="7"/>
      <c r="F469" s="7"/>
      <c r="G469" s="7"/>
      <c r="V469" s="38" t="s">
        <v>369</v>
      </c>
      <c r="W469" s="3" t="s">
        <v>372</v>
      </c>
      <c r="X469" s="38" t="s">
        <v>369</v>
      </c>
      <c r="Y469" s="1563">
        <v>200190021</v>
      </c>
      <c r="Z469" s="1443"/>
      <c r="AE469" s="3"/>
      <c r="AF469" s="930"/>
      <c r="AH469" s="51">
        <f>AH420</f>
        <v>5.5E-2</v>
      </c>
      <c r="AI469" s="39"/>
      <c r="AJ469" s="39"/>
      <c r="AK469" s="39"/>
      <c r="AL469" s="51">
        <f>AD$467*AH469+SUM(AI469:AK469)</f>
        <v>0.40791666666666671</v>
      </c>
      <c r="AM469" s="3" t="s">
        <v>371</v>
      </c>
      <c r="AN469" s="3" t="s">
        <v>371</v>
      </c>
      <c r="AO469" s="3" t="s">
        <v>371</v>
      </c>
      <c r="AP469" s="3" t="s">
        <v>371</v>
      </c>
      <c r="AQ469" s="1414" t="s">
        <v>92</v>
      </c>
    </row>
    <row r="470" spans="1:45" ht="15" customHeight="1" x14ac:dyDescent="0.4">
      <c r="B470" s="3"/>
      <c r="C470" s="7"/>
      <c r="D470" s="7"/>
      <c r="E470" s="7"/>
      <c r="F470" s="7"/>
      <c r="G470" s="7"/>
      <c r="V470" s="38" t="s">
        <v>369</v>
      </c>
      <c r="W470" s="3" t="s">
        <v>373</v>
      </c>
      <c r="X470" s="38" t="s">
        <v>369</v>
      </c>
      <c r="Y470" s="1443">
        <v>200190033</v>
      </c>
      <c r="Z470" s="1443"/>
      <c r="AE470" s="3"/>
      <c r="AF470" s="930"/>
      <c r="AH470" s="51">
        <f>AH421</f>
        <v>0</v>
      </c>
      <c r="AI470" s="39"/>
      <c r="AJ470" s="39"/>
      <c r="AK470" s="39"/>
      <c r="AL470" s="51">
        <f>AD$467*AH470+SUM(AI470:AK470)</f>
        <v>0</v>
      </c>
      <c r="AM470" s="3" t="s">
        <v>371</v>
      </c>
      <c r="AN470" s="3" t="s">
        <v>371</v>
      </c>
      <c r="AO470" s="3" t="s">
        <v>371</v>
      </c>
      <c r="AP470" s="3" t="s">
        <v>371</v>
      </c>
      <c r="AQ470" s="1414" t="s">
        <v>92</v>
      </c>
    </row>
    <row r="471" spans="1:45" ht="15" customHeight="1" x14ac:dyDescent="0.4">
      <c r="B471" s="3"/>
      <c r="C471" s="7"/>
      <c r="D471" s="7"/>
      <c r="E471" s="7"/>
      <c r="F471" s="7"/>
      <c r="G471" s="7"/>
      <c r="V471" s="279" t="s">
        <v>369</v>
      </c>
      <c r="W471" s="112" t="s">
        <v>1849</v>
      </c>
      <c r="X471" s="279" t="s">
        <v>369</v>
      </c>
      <c r="Y471" s="1871">
        <v>200190148</v>
      </c>
      <c r="Z471" s="1443"/>
      <c r="AE471" s="3"/>
      <c r="AF471" s="930"/>
      <c r="AH471" s="51">
        <v>0</v>
      </c>
      <c r="AI471" s="39"/>
      <c r="AJ471" s="39"/>
      <c r="AK471" s="39"/>
      <c r="AL471" s="51">
        <f>AD$467*AH471+SUM(AI471:AK471)</f>
        <v>0</v>
      </c>
      <c r="AM471" s="3" t="s">
        <v>371</v>
      </c>
      <c r="AN471" s="3" t="s">
        <v>371</v>
      </c>
      <c r="AO471" s="3" t="s">
        <v>371</v>
      </c>
      <c r="AP471" s="3" t="s">
        <v>371</v>
      </c>
      <c r="AQ471" s="1414" t="s">
        <v>92</v>
      </c>
    </row>
    <row r="472" spans="1:45" ht="15" customHeight="1" thickBot="1" x14ac:dyDescent="0.45">
      <c r="C472" s="949"/>
      <c r="D472" s="924"/>
      <c r="E472" s="924"/>
      <c r="F472" s="924"/>
      <c r="G472" s="924"/>
      <c r="H472" s="948"/>
      <c r="I472" s="889"/>
      <c r="J472" s="889"/>
      <c r="K472" s="889"/>
      <c r="L472" s="889"/>
      <c r="M472" s="945"/>
      <c r="N472" s="945"/>
      <c r="O472" s="945"/>
      <c r="P472" s="945"/>
      <c r="Q472" s="945"/>
      <c r="R472" s="889"/>
      <c r="S472" s="945"/>
      <c r="T472" s="889"/>
      <c r="U472" s="948"/>
      <c r="V472" s="888" t="s">
        <v>369</v>
      </c>
      <c r="W472" s="889" t="s">
        <v>375</v>
      </c>
      <c r="X472" s="888" t="s">
        <v>369</v>
      </c>
      <c r="Y472" s="1444">
        <v>200190133</v>
      </c>
      <c r="Z472" s="1444"/>
      <c r="AA472" s="948"/>
      <c r="AB472" s="889"/>
      <c r="AC472" s="889"/>
      <c r="AD472" s="945"/>
      <c r="AE472" s="889"/>
      <c r="AF472" s="1234"/>
      <c r="AG472" s="945"/>
      <c r="AH472" s="1424">
        <v>0</v>
      </c>
      <c r="AI472" s="947"/>
      <c r="AJ472" s="947"/>
      <c r="AK472" s="947"/>
      <c r="AL472" s="937">
        <f>AD$467*AH472+SUM(AI472:AK472)</f>
        <v>0</v>
      </c>
      <c r="AM472" s="889" t="s">
        <v>371</v>
      </c>
      <c r="AN472" s="889" t="s">
        <v>371</v>
      </c>
      <c r="AO472" s="889" t="s">
        <v>371</v>
      </c>
      <c r="AP472" s="889" t="s">
        <v>371</v>
      </c>
      <c r="AQ472" s="1590" t="s">
        <v>371</v>
      </c>
      <c r="AR472" s="889"/>
    </row>
    <row r="473" spans="1:45" ht="15" customHeight="1" x14ac:dyDescent="0.4">
      <c r="A473" s="3" t="s">
        <v>541</v>
      </c>
      <c r="B473" s="642" t="s">
        <v>1176</v>
      </c>
      <c r="C473" s="642"/>
      <c r="D473" s="642"/>
      <c r="E473" s="642"/>
      <c r="F473" s="642"/>
      <c r="G473" s="642"/>
      <c r="H473" s="643"/>
      <c r="I473" s="643"/>
      <c r="J473" s="643"/>
      <c r="K473" s="643"/>
      <c r="L473" s="643"/>
      <c r="M473" s="644"/>
      <c r="N473" s="644"/>
      <c r="O473" s="644"/>
      <c r="P473" s="644"/>
      <c r="Q473" s="644"/>
      <c r="R473" s="643"/>
      <c r="S473" s="644"/>
      <c r="T473" s="643"/>
      <c r="U473" s="643"/>
      <c r="V473" s="642"/>
      <c r="W473" s="642"/>
      <c r="X473" s="642"/>
      <c r="Y473" s="1453"/>
      <c r="Z473" s="1453"/>
      <c r="AA473" s="643"/>
      <c r="AB473" s="645"/>
      <c r="AC473" s="643"/>
      <c r="AD473" s="644"/>
      <c r="AE473" s="643"/>
      <c r="AF473" s="644"/>
      <c r="AG473" s="643"/>
      <c r="AH473" s="646"/>
      <c r="AI473" s="647"/>
      <c r="AJ473" s="647"/>
      <c r="AK473" s="648" t="s">
        <v>543</v>
      </c>
      <c r="AL473" s="963">
        <f>SUBTOTAL(109,AL474:AL477)</f>
        <v>3.7184874999999993</v>
      </c>
      <c r="AM473" s="647"/>
      <c r="AN473" s="647"/>
      <c r="AO473" s="647"/>
      <c r="AP473" s="647"/>
      <c r="AQ473" s="647"/>
      <c r="AR473" s="647"/>
    </row>
    <row r="474" spans="1:45" ht="26.25" customHeight="1" x14ac:dyDescent="0.4">
      <c r="C474" s="4" t="s">
        <v>1177</v>
      </c>
      <c r="G474" s="3"/>
      <c r="I474" s="3" t="s">
        <v>365</v>
      </c>
      <c r="L474" s="5" t="s">
        <v>348</v>
      </c>
      <c r="M474" s="5">
        <v>-2</v>
      </c>
      <c r="Q474" s="3"/>
      <c r="R474" s="5" t="s">
        <v>352</v>
      </c>
      <c r="S474" s="5">
        <f>FWHeight+M474</f>
        <v>45.5</v>
      </c>
      <c r="T474" s="3" t="s">
        <v>366</v>
      </c>
      <c r="V474" s="4"/>
      <c r="W474" s="4"/>
      <c r="X474" s="56"/>
      <c r="Y474" s="1443">
        <v>640014000</v>
      </c>
      <c r="Z474" s="1443"/>
      <c r="AB474" s="3">
        <v>42</v>
      </c>
      <c r="AC474" s="56">
        <v>2</v>
      </c>
      <c r="AD474" s="376">
        <f>AC474*S474/12</f>
        <v>7.583333333333333</v>
      </c>
      <c r="AE474" s="3" t="s">
        <v>367</v>
      </c>
      <c r="AF474" s="930"/>
      <c r="AG474" s="38"/>
      <c r="AH474" s="492">
        <f>'Single Hung'!AI487</f>
        <v>0.15290000000000001</v>
      </c>
      <c r="AI474" s="477"/>
      <c r="AJ474" s="477"/>
      <c r="AK474" s="477"/>
      <c r="AL474" s="51">
        <f>AD474*AH474+SUM(AI474:AK474)</f>
        <v>1.1594916666666666</v>
      </c>
      <c r="AM474" s="3" t="s">
        <v>371</v>
      </c>
      <c r="AN474" s="3" t="s">
        <v>92</v>
      </c>
      <c r="AO474" s="3" t="s">
        <v>371</v>
      </c>
      <c r="AP474" s="3" t="s">
        <v>371</v>
      </c>
      <c r="AQ474" s="1414" t="s">
        <v>371</v>
      </c>
    </row>
    <row r="475" spans="1:45" ht="26.25" customHeight="1" x14ac:dyDescent="0.4">
      <c r="C475" s="573" t="s">
        <v>1178</v>
      </c>
      <c r="D475" s="573"/>
      <c r="E475" s="573"/>
      <c r="F475" s="573"/>
      <c r="G475" s="577"/>
      <c r="H475" s="574"/>
      <c r="I475" s="577" t="s">
        <v>392</v>
      </c>
      <c r="J475" s="577"/>
      <c r="K475" s="577"/>
      <c r="L475" s="575" t="s">
        <v>348</v>
      </c>
      <c r="M475" s="575">
        <v>-2</v>
      </c>
      <c r="N475" s="575"/>
      <c r="O475" s="575"/>
      <c r="P475" s="575"/>
      <c r="Q475" s="577"/>
      <c r="R475" s="575" t="s">
        <v>352</v>
      </c>
      <c r="S475" s="575">
        <f>FWWidth+M475</f>
        <v>45.5</v>
      </c>
      <c r="T475" s="577" t="s">
        <v>366</v>
      </c>
      <c r="U475" s="574"/>
      <c r="V475" s="573"/>
      <c r="W475" s="573"/>
      <c r="X475" s="576"/>
      <c r="Y475" s="1446">
        <v>640014000</v>
      </c>
      <c r="Z475" s="1446"/>
      <c r="AA475" s="574"/>
      <c r="AB475" s="577">
        <v>42</v>
      </c>
      <c r="AC475" s="576">
        <v>1</v>
      </c>
      <c r="AD475" s="578">
        <f>AC475*S475/12</f>
        <v>3.7916666666666665</v>
      </c>
      <c r="AE475" s="577" t="s">
        <v>367</v>
      </c>
      <c r="AF475" s="931"/>
      <c r="AG475" s="579"/>
      <c r="AH475" s="673">
        <f>AH474</f>
        <v>0.15290000000000001</v>
      </c>
      <c r="AI475" s="580"/>
      <c r="AJ475" s="580"/>
      <c r="AK475" s="580"/>
      <c r="AL475" s="626">
        <f>AD475*AH475+SUM(AI475:AK475)</f>
        <v>0.57974583333333329</v>
      </c>
      <c r="AM475" s="577" t="s">
        <v>371</v>
      </c>
      <c r="AN475" s="577" t="s">
        <v>92</v>
      </c>
      <c r="AO475" s="577" t="s">
        <v>371</v>
      </c>
      <c r="AP475" s="577" t="s">
        <v>371</v>
      </c>
      <c r="AQ475" s="1881" t="s">
        <v>371</v>
      </c>
      <c r="AR475" s="577"/>
    </row>
    <row r="476" spans="1:45" ht="22.5" customHeight="1" x14ac:dyDescent="0.4">
      <c r="C476" s="4" t="s">
        <v>1179</v>
      </c>
      <c r="D476" s="582"/>
      <c r="E476" s="582"/>
      <c r="F476" s="582"/>
      <c r="G476" s="130"/>
      <c r="H476" s="583"/>
      <c r="I476" s="130" t="s">
        <v>365</v>
      </c>
      <c r="J476" s="130"/>
      <c r="K476" s="130"/>
      <c r="L476" s="584" t="s">
        <v>348</v>
      </c>
      <c r="M476" s="584">
        <v>-2</v>
      </c>
      <c r="N476" s="584"/>
      <c r="O476" s="584"/>
      <c r="P476" s="584"/>
      <c r="Q476" s="130"/>
      <c r="R476" s="584" t="s">
        <v>352</v>
      </c>
      <c r="S476" s="5">
        <f>FWHeight+M476</f>
        <v>45.5</v>
      </c>
      <c r="T476" s="130" t="s">
        <v>366</v>
      </c>
      <c r="U476" s="583"/>
      <c r="V476" s="582"/>
      <c r="W476" s="582"/>
      <c r="X476" s="585"/>
      <c r="Y476" s="1452">
        <v>640015000</v>
      </c>
      <c r="Z476" s="1452"/>
      <c r="AA476" s="583"/>
      <c r="AB476" s="130">
        <v>42</v>
      </c>
      <c r="AC476" s="585">
        <v>2</v>
      </c>
      <c r="AD476" s="586">
        <f>AC476*S476/12</f>
        <v>7.583333333333333</v>
      </c>
      <c r="AE476" s="130" t="s">
        <v>367</v>
      </c>
      <c r="AF476" s="932"/>
      <c r="AG476" s="587"/>
      <c r="AH476" s="674">
        <f>'Single Hung'!AI489</f>
        <v>0.17399999999999999</v>
      </c>
      <c r="AI476" s="588"/>
      <c r="AJ476" s="588"/>
      <c r="AK476" s="588"/>
      <c r="AL476" s="51">
        <f>AD476*AH476+SUM(AI476:AK476)</f>
        <v>1.3194999999999999</v>
      </c>
      <c r="AM476" s="3" t="s">
        <v>92</v>
      </c>
      <c r="AN476" s="3" t="s">
        <v>371</v>
      </c>
      <c r="AO476" s="3" t="s">
        <v>92</v>
      </c>
      <c r="AP476" s="3" t="s">
        <v>92</v>
      </c>
      <c r="AQ476" s="1414" t="s">
        <v>92</v>
      </c>
    </row>
    <row r="477" spans="1:45" ht="22.5" customHeight="1" thickBot="1" x14ac:dyDescent="0.45">
      <c r="C477" s="4" t="s">
        <v>1180</v>
      </c>
      <c r="G477" s="3"/>
      <c r="I477" s="3" t="s">
        <v>392</v>
      </c>
      <c r="L477" s="5" t="s">
        <v>348</v>
      </c>
      <c r="M477" s="5">
        <v>-2</v>
      </c>
      <c r="Q477" s="3"/>
      <c r="R477" s="5" t="s">
        <v>352</v>
      </c>
      <c r="S477" s="5">
        <f>FWWidth+M477</f>
        <v>45.5</v>
      </c>
      <c r="T477" s="3" t="s">
        <v>366</v>
      </c>
      <c r="V477" s="4"/>
      <c r="W477" s="4"/>
      <c r="X477" s="56"/>
      <c r="Y477" s="1443">
        <v>640015000</v>
      </c>
      <c r="Z477" s="1443"/>
      <c r="AB477" s="3">
        <v>42</v>
      </c>
      <c r="AC477" s="56">
        <v>1</v>
      </c>
      <c r="AD477" s="376">
        <f>AC477*S477/12</f>
        <v>3.7916666666666665</v>
      </c>
      <c r="AE477" s="3" t="s">
        <v>367</v>
      </c>
      <c r="AF477" s="930"/>
      <c r="AG477" s="38"/>
      <c r="AH477" s="492">
        <f>AH476</f>
        <v>0.17399999999999999</v>
      </c>
      <c r="AI477" s="477"/>
      <c r="AJ477" s="477"/>
      <c r="AK477" s="477"/>
      <c r="AL477" s="51">
        <f>AD477*AH477+SUM(AI477:AK477)</f>
        <v>0.65974999999999995</v>
      </c>
      <c r="AM477" s="3" t="s">
        <v>92</v>
      </c>
      <c r="AN477" s="3" t="s">
        <v>371</v>
      </c>
      <c r="AO477" s="3" t="s">
        <v>92</v>
      </c>
      <c r="AP477" s="3" t="s">
        <v>92</v>
      </c>
      <c r="AQ477" s="1414" t="s">
        <v>92</v>
      </c>
    </row>
    <row r="478" spans="1:45" ht="15" customHeight="1" x14ac:dyDescent="0.4">
      <c r="B478" s="800" t="s">
        <v>1181</v>
      </c>
      <c r="C478" s="800"/>
      <c r="D478" s="800"/>
      <c r="E478" s="800"/>
      <c r="F478" s="800"/>
      <c r="G478" s="800"/>
      <c r="H478" s="801"/>
      <c r="I478" s="801"/>
      <c r="J478" s="801"/>
      <c r="K478" s="801"/>
      <c r="L478" s="801"/>
      <c r="M478" s="802"/>
      <c r="N478" s="802"/>
      <c r="O478" s="802"/>
      <c r="P478" s="802"/>
      <c r="Q478" s="802"/>
      <c r="R478" s="801"/>
      <c r="S478" s="802"/>
      <c r="T478" s="801"/>
      <c r="U478" s="801"/>
      <c r="V478" s="800"/>
      <c r="W478" s="800"/>
      <c r="X478" s="800"/>
      <c r="Y478" s="803"/>
      <c r="Z478" s="803"/>
      <c r="AA478" s="801"/>
      <c r="AB478" s="803"/>
      <c r="AC478" s="801"/>
      <c r="AD478" s="802"/>
      <c r="AE478" s="801"/>
      <c r="AF478" s="802"/>
      <c r="AG478" s="801"/>
      <c r="AH478" s="804"/>
      <c r="AI478" s="805"/>
      <c r="AJ478" s="805"/>
      <c r="AK478" s="671" t="s">
        <v>1182</v>
      </c>
      <c r="AL478" s="1027">
        <f>SUBTOTAL(109,AL479:AL488)</f>
        <v>3.1853507507174834</v>
      </c>
      <c r="AM478" s="805"/>
      <c r="AN478" s="805"/>
      <c r="AO478" s="805"/>
      <c r="AP478" s="805"/>
      <c r="AQ478" s="805"/>
      <c r="AR478" s="805"/>
    </row>
    <row r="479" spans="1:45" ht="15" customHeight="1" x14ac:dyDescent="0.4">
      <c r="A479" s="3" t="s">
        <v>809</v>
      </c>
      <c r="B479" s="3"/>
      <c r="C479" s="4" t="s">
        <v>1183</v>
      </c>
      <c r="D479" s="8"/>
      <c r="E479" s="8"/>
      <c r="F479" s="8"/>
      <c r="G479" s="3"/>
      <c r="I479" s="47" t="s">
        <v>1184</v>
      </c>
      <c r="J479"/>
      <c r="K479"/>
      <c r="L479" s="5"/>
      <c r="M479"/>
      <c r="N479"/>
      <c r="O479"/>
      <c r="P479"/>
      <c r="Q479" s="3"/>
      <c r="R479" s="5"/>
      <c r="S479" s="5">
        <f>((FWGlassWidth*2)+(FWGlassHeight*2))/12/1565</f>
        <v>9.31842385516507E-3</v>
      </c>
      <c r="T479" s="3" t="s">
        <v>815</v>
      </c>
      <c r="V479" s="4"/>
      <c r="W479" s="4"/>
      <c r="X479" s="56"/>
      <c r="Y479" s="1564">
        <v>610031014001</v>
      </c>
      <c r="Z479" s="566">
        <v>253408</v>
      </c>
      <c r="AA479" s="14">
        <v>45</v>
      </c>
      <c r="AB479" s="3">
        <v>45</v>
      </c>
      <c r="AC479" s="5"/>
      <c r="AD479" s="5">
        <f>S479</f>
        <v>9.31842385516507E-3</v>
      </c>
      <c r="AE479" s="3" t="s">
        <v>815</v>
      </c>
      <c r="AF479" s="930" t="s">
        <v>369</v>
      </c>
      <c r="AG479" s="38" t="s">
        <v>369</v>
      </c>
      <c r="AH479" s="492">
        <v>51.71</v>
      </c>
      <c r="AI479" s="477"/>
      <c r="AJ479" s="477"/>
      <c r="AK479" s="477"/>
      <c r="AL479" s="51">
        <f t="shared" ref="AL479:AL490" si="91">AD479*AH479+SUM(AI479:AK479)</f>
        <v>0.48185569755058577</v>
      </c>
      <c r="AM479" s="3" t="s">
        <v>81</v>
      </c>
      <c r="AN479" s="3" t="s">
        <v>81</v>
      </c>
      <c r="AO479" s="3" t="s">
        <v>81</v>
      </c>
      <c r="AP479" s="3" t="s">
        <v>81</v>
      </c>
      <c r="AQ479" s="1937" t="s">
        <v>81</v>
      </c>
      <c r="AR479" s="958"/>
      <c r="AS479"/>
    </row>
    <row r="480" spans="1:45" ht="15" customHeight="1" x14ac:dyDescent="0.4">
      <c r="B480" s="3"/>
      <c r="C480" s="4" t="s">
        <v>2333</v>
      </c>
      <c r="D480" s="8"/>
      <c r="E480" s="8"/>
      <c r="F480" s="8"/>
      <c r="G480" s="3"/>
      <c r="I480" s="47" t="s">
        <v>1184</v>
      </c>
      <c r="J480"/>
      <c r="K480"/>
      <c r="L480" s="5"/>
      <c r="M480"/>
      <c r="N480"/>
      <c r="O480"/>
      <c r="P480"/>
      <c r="Q480" s="3"/>
      <c r="R480" s="5"/>
      <c r="S480" s="5">
        <f>((FWGlassWidth*2)+(FWGlassHeight*2))/12/1565</f>
        <v>9.31842385516507E-3</v>
      </c>
      <c r="T480" s="3" t="s">
        <v>815</v>
      </c>
      <c r="V480" s="4"/>
      <c r="W480" s="4"/>
      <c r="X480" s="56"/>
      <c r="Y480" s="1443">
        <v>610015014</v>
      </c>
      <c r="Z480" s="1443"/>
      <c r="AC480" s="5"/>
      <c r="AD480" s="5">
        <f>S480</f>
        <v>9.31842385516507E-3</v>
      </c>
      <c r="AE480" s="3" t="s">
        <v>815</v>
      </c>
      <c r="AF480" s="930" t="s">
        <v>369</v>
      </c>
      <c r="AG480" s="38" t="s">
        <v>369</v>
      </c>
      <c r="AH480" s="492"/>
      <c r="AI480" s="477"/>
      <c r="AJ480" s="477"/>
      <c r="AK480" s="477"/>
      <c r="AM480" s="3" t="s">
        <v>371</v>
      </c>
      <c r="AN480" s="3" t="s">
        <v>371</v>
      </c>
      <c r="AO480" s="3" t="s">
        <v>371</v>
      </c>
      <c r="AP480" s="3" t="s">
        <v>371</v>
      </c>
      <c r="AQ480" s="1937" t="s">
        <v>371</v>
      </c>
      <c r="AR480" s="958"/>
      <c r="AS480"/>
    </row>
    <row r="481" spans="1:45" ht="15" customHeight="1" x14ac:dyDescent="0.4">
      <c r="A481"/>
      <c r="B481" s="3"/>
      <c r="C481" s="4" t="s">
        <v>816</v>
      </c>
      <c r="D481" s="36"/>
      <c r="E481" s="36"/>
      <c r="F481" s="36"/>
      <c r="G481" s="500"/>
      <c r="I481" s="47" t="s">
        <v>814</v>
      </c>
      <c r="J481"/>
      <c r="K481"/>
      <c r="L481" s="5"/>
      <c r="M481"/>
      <c r="N481"/>
      <c r="O481"/>
      <c r="P481"/>
      <c r="Q481" s="3"/>
      <c r="R481" s="5"/>
      <c r="S481" s="5">
        <f>((FWGlassWidth*2)+(FWGlassHeight*2))/12/392</f>
        <v>3.7202380952380952E-2</v>
      </c>
      <c r="T481" s="3" t="s">
        <v>815</v>
      </c>
      <c r="V481" s="4"/>
      <c r="W481" s="4"/>
      <c r="X481" s="56"/>
      <c r="Y481" s="1445">
        <v>610007010001</v>
      </c>
      <c r="Z481" s="1445"/>
      <c r="AA481" s="14">
        <v>45</v>
      </c>
      <c r="AB481"/>
      <c r="AD481" s="5">
        <f>S481/10.3*128</f>
        <v>0.46232085067036521</v>
      </c>
      <c r="AE481" s="3" t="s">
        <v>811</v>
      </c>
      <c r="AF481" s="930" t="s">
        <v>369</v>
      </c>
      <c r="AG481" s="38" t="s">
        <v>369</v>
      </c>
      <c r="AH481" s="492">
        <v>5.47</v>
      </c>
      <c r="AI481" s="477"/>
      <c r="AJ481" s="477"/>
      <c r="AK481" s="477"/>
      <c r="AL481" s="51">
        <f t="shared" si="91"/>
        <v>2.5288950531668974</v>
      </c>
      <c r="AM481" s="3" t="s">
        <v>92</v>
      </c>
      <c r="AN481" s="3" t="s">
        <v>92</v>
      </c>
      <c r="AO481" s="3" t="s">
        <v>92</v>
      </c>
      <c r="AP481" s="3" t="s">
        <v>92</v>
      </c>
      <c r="AQ481" s="1937" t="s">
        <v>92</v>
      </c>
      <c r="AR481" s="958"/>
      <c r="AS481"/>
    </row>
    <row r="482" spans="1:45" ht="15" customHeight="1" x14ac:dyDescent="0.4">
      <c r="A482"/>
      <c r="B482" s="3"/>
      <c r="C482" s="573" t="s">
        <v>818</v>
      </c>
      <c r="D482" s="622"/>
      <c r="E482" s="622"/>
      <c r="F482" s="622"/>
      <c r="G482" s="223"/>
      <c r="H482" s="574"/>
      <c r="I482" s="698"/>
      <c r="J482" s="853"/>
      <c r="K482" s="853"/>
      <c r="L482" s="575"/>
      <c r="M482" s="853"/>
      <c r="N482" s="853"/>
      <c r="O482" s="853"/>
      <c r="P482" s="853"/>
      <c r="Q482" s="577"/>
      <c r="R482" s="575"/>
      <c r="S482" s="575"/>
      <c r="T482" s="577"/>
      <c r="U482" s="574"/>
      <c r="V482" s="573"/>
      <c r="W482" s="573"/>
      <c r="X482" s="576"/>
      <c r="Y482" s="1460">
        <v>610007010002</v>
      </c>
      <c r="Z482" s="1460"/>
      <c r="AA482" s="574">
        <v>45</v>
      </c>
      <c r="AB482" s="853"/>
      <c r="AC482" s="575"/>
      <c r="AD482" s="577"/>
      <c r="AE482" s="577"/>
      <c r="AF482" s="931"/>
      <c r="AG482" s="579"/>
      <c r="AH482" s="1000">
        <v>0</v>
      </c>
      <c r="AI482" s="580"/>
      <c r="AJ482" s="580"/>
      <c r="AK482" s="580"/>
      <c r="AL482" s="626">
        <f t="shared" si="91"/>
        <v>0</v>
      </c>
      <c r="AM482" s="577" t="s">
        <v>92</v>
      </c>
      <c r="AN482" s="577" t="s">
        <v>92</v>
      </c>
      <c r="AO482" s="577" t="s">
        <v>92</v>
      </c>
      <c r="AP482" s="577" t="s">
        <v>92</v>
      </c>
      <c r="AQ482" s="1938" t="s">
        <v>92</v>
      </c>
      <c r="AR482" s="959"/>
      <c r="AS482"/>
    </row>
    <row r="483" spans="1:45" ht="15" customHeight="1" x14ac:dyDescent="0.4">
      <c r="A483"/>
      <c r="B483" s="3"/>
      <c r="C483" s="4" t="s">
        <v>819</v>
      </c>
      <c r="D483" s="8"/>
      <c r="E483" s="8"/>
      <c r="F483" s="8"/>
      <c r="G483" s="3"/>
      <c r="I483" s="4" t="s">
        <v>820</v>
      </c>
      <c r="J483" s="495"/>
      <c r="K483"/>
      <c r="L483" s="5"/>
      <c r="M483"/>
      <c r="N483"/>
      <c r="O483"/>
      <c r="P483"/>
      <c r="Q483" s="3"/>
      <c r="R483" s="5"/>
      <c r="S483" s="5">
        <v>1</v>
      </c>
      <c r="T483" s="3" t="s">
        <v>385</v>
      </c>
      <c r="V483" s="38" t="s">
        <v>8</v>
      </c>
      <c r="W483" s="3" t="s">
        <v>821</v>
      </c>
      <c r="X483" s="38" t="s">
        <v>8</v>
      </c>
      <c r="Y483" s="1443">
        <v>620001000</v>
      </c>
      <c r="Z483" s="1443"/>
      <c r="AA483" s="14">
        <v>45</v>
      </c>
      <c r="AB483" s="3">
        <v>45</v>
      </c>
      <c r="AC483" s="5"/>
      <c r="AD483" s="56">
        <f>IF(FWWidth&gt;96,6,IF(FWWidth&gt;72,5,IF(FWWidth&gt;48,4,IF(FWWidth&gt;24,3,2))))</f>
        <v>3</v>
      </c>
      <c r="AE483" s="3" t="s">
        <v>385</v>
      </c>
      <c r="AF483" s="930" t="s">
        <v>369</v>
      </c>
      <c r="AG483" s="38" t="s">
        <v>369</v>
      </c>
      <c r="AH483" s="492">
        <f>'Single Hung'!AI788</f>
        <v>1.01E-2</v>
      </c>
      <c r="AI483" s="477"/>
      <c r="AJ483" s="477"/>
      <c r="AK483" s="477"/>
      <c r="AL483" s="51">
        <f t="shared" si="91"/>
        <v>3.0300000000000001E-2</v>
      </c>
      <c r="AM483" s="3" t="s">
        <v>81</v>
      </c>
      <c r="AN483" s="3" t="s">
        <v>81</v>
      </c>
      <c r="AO483" s="3" t="s">
        <v>81</v>
      </c>
      <c r="AP483" s="3" t="s">
        <v>81</v>
      </c>
      <c r="AQ483" s="1414" t="s">
        <v>81</v>
      </c>
      <c r="AS483"/>
    </row>
    <row r="484" spans="1:45" ht="15" customHeight="1" x14ac:dyDescent="0.4">
      <c r="A484"/>
      <c r="B484" s="3"/>
      <c r="C484" s="4" t="s">
        <v>822</v>
      </c>
      <c r="D484" s="8"/>
      <c r="E484" s="3"/>
      <c r="F484" s="8"/>
      <c r="G484" s="3"/>
      <c r="I484" s="4"/>
      <c r="J484"/>
      <c r="K484"/>
      <c r="L484" s="5"/>
      <c r="M484"/>
      <c r="N484"/>
      <c r="O484"/>
      <c r="P484"/>
      <c r="Q484" s="3"/>
      <c r="R484" s="5"/>
      <c r="S484" s="5">
        <v>1</v>
      </c>
      <c r="T484" s="3" t="s">
        <v>385</v>
      </c>
      <c r="V484" s="38" t="s">
        <v>8</v>
      </c>
      <c r="W484" s="3" t="s">
        <v>817</v>
      </c>
      <c r="X484" s="38" t="s">
        <v>8</v>
      </c>
      <c r="Y484" s="1443">
        <v>620007000</v>
      </c>
      <c r="Z484" s="1443"/>
      <c r="AA484" s="14">
        <v>45</v>
      </c>
      <c r="AB484" s="3">
        <v>42</v>
      </c>
      <c r="AC484" s="5"/>
      <c r="AD484" s="56">
        <v>0</v>
      </c>
      <c r="AE484" s="3" t="s">
        <v>385</v>
      </c>
      <c r="AF484" s="930" t="s">
        <v>369</v>
      </c>
      <c r="AG484" s="38" t="s">
        <v>369</v>
      </c>
      <c r="AH484" s="492">
        <f>'Single Hung'!AI789</f>
        <v>1.3100000000000001E-2</v>
      </c>
      <c r="AI484" s="477"/>
      <c r="AJ484" s="477"/>
      <c r="AK484" s="477"/>
      <c r="AL484" s="51">
        <f t="shared" si="91"/>
        <v>0</v>
      </c>
      <c r="AM484" s="3" t="s">
        <v>371</v>
      </c>
      <c r="AN484" s="3" t="s">
        <v>371</v>
      </c>
      <c r="AO484" s="3" t="s">
        <v>371</v>
      </c>
      <c r="AP484" s="3" t="s">
        <v>371</v>
      </c>
      <c r="AQ484" s="1937" t="s">
        <v>371</v>
      </c>
      <c r="AR484" s="958"/>
      <c r="AS484"/>
    </row>
    <row r="485" spans="1:45" ht="15" customHeight="1" x14ac:dyDescent="0.4">
      <c r="A485"/>
      <c r="B485" s="3"/>
      <c r="C485" s="4" t="s">
        <v>823</v>
      </c>
      <c r="D485" s="8"/>
      <c r="E485" s="8"/>
      <c r="F485" s="8"/>
      <c r="G485" s="3"/>
      <c r="I485" s="4"/>
      <c r="J485"/>
      <c r="K485"/>
      <c r="L485" s="5"/>
      <c r="M485"/>
      <c r="N485"/>
      <c r="O485"/>
      <c r="P485"/>
      <c r="Q485" s="3"/>
      <c r="R485" s="5"/>
      <c r="S485" s="5">
        <v>1</v>
      </c>
      <c r="T485" s="3" t="s">
        <v>385</v>
      </c>
      <c r="V485" s="38" t="s">
        <v>8</v>
      </c>
      <c r="W485" s="3" t="s">
        <v>824</v>
      </c>
      <c r="X485" s="38" t="s">
        <v>8</v>
      </c>
      <c r="Y485" s="1443">
        <v>620002000</v>
      </c>
      <c r="Z485" s="1443"/>
      <c r="AA485" s="14">
        <v>45</v>
      </c>
      <c r="AB485" s="3">
        <v>45</v>
      </c>
      <c r="AC485" s="5"/>
      <c r="AD485" s="56">
        <v>0</v>
      </c>
      <c r="AE485" s="3" t="s">
        <v>385</v>
      </c>
      <c r="AF485" s="930" t="s">
        <v>369</v>
      </c>
      <c r="AG485" s="38" t="s">
        <v>369</v>
      </c>
      <c r="AH485" s="492">
        <f>'Single Hung'!AI790</f>
        <v>1.55E-2</v>
      </c>
      <c r="AI485" s="477"/>
      <c r="AJ485" s="477"/>
      <c r="AK485" s="477"/>
      <c r="AL485" s="51">
        <f t="shared" si="91"/>
        <v>0</v>
      </c>
      <c r="AM485" s="3" t="s">
        <v>371</v>
      </c>
      <c r="AN485" s="3" t="s">
        <v>371</v>
      </c>
      <c r="AO485" s="3" t="s">
        <v>371</v>
      </c>
      <c r="AP485" s="3" t="s">
        <v>371</v>
      </c>
      <c r="AQ485" s="1414" t="s">
        <v>371</v>
      </c>
      <c r="AS485"/>
    </row>
    <row r="486" spans="1:45" ht="15" customHeight="1" x14ac:dyDescent="0.4">
      <c r="A486"/>
      <c r="B486" s="3"/>
      <c r="C486" s="4" t="s">
        <v>825</v>
      </c>
      <c r="D486" s="8"/>
      <c r="E486" s="8"/>
      <c r="F486" s="8"/>
      <c r="G486" s="3"/>
      <c r="I486" s="4" t="s">
        <v>826</v>
      </c>
      <c r="J486"/>
      <c r="K486"/>
      <c r="L486" s="5"/>
      <c r="M486"/>
      <c r="N486"/>
      <c r="O486"/>
      <c r="P486"/>
      <c r="Q486" s="3"/>
      <c r="R486" s="5"/>
      <c r="S486" s="5">
        <v>1</v>
      </c>
      <c r="T486" s="3" t="s">
        <v>385</v>
      </c>
      <c r="V486" s="38" t="s">
        <v>8</v>
      </c>
      <c r="W486" s="3" t="s">
        <v>821</v>
      </c>
      <c r="X486" s="38" t="s">
        <v>8</v>
      </c>
      <c r="Y486" s="1443">
        <v>620003000</v>
      </c>
      <c r="Z486" s="1443"/>
      <c r="AA486" s="14">
        <v>45</v>
      </c>
      <c r="AB486" s="3">
        <v>45</v>
      </c>
      <c r="AC486" s="5"/>
      <c r="AD486" s="56">
        <f>IF(FWHeight&gt;96,6,IF(FWHeight&gt;72,5,IF(FWHeight&gt;48,4,IF(FWHeight&gt;24,3,2))))*2</f>
        <v>6</v>
      </c>
      <c r="AE486" s="3" t="s">
        <v>385</v>
      </c>
      <c r="AF486" s="930" t="s">
        <v>369</v>
      </c>
      <c r="AG486" s="38" t="s">
        <v>369</v>
      </c>
      <c r="AH486" s="492">
        <f>'Single Hung'!AI791</f>
        <v>1.38E-2</v>
      </c>
      <c r="AI486" s="477"/>
      <c r="AJ486" s="477"/>
      <c r="AK486" s="477"/>
      <c r="AL486" s="51">
        <f t="shared" si="91"/>
        <v>8.2799999999999999E-2</v>
      </c>
      <c r="AM486" s="3" t="s">
        <v>81</v>
      </c>
      <c r="AN486" s="3" t="s">
        <v>81</v>
      </c>
      <c r="AO486" s="3" t="s">
        <v>81</v>
      </c>
      <c r="AP486" s="3" t="s">
        <v>81</v>
      </c>
      <c r="AQ486" s="1414" t="s">
        <v>81</v>
      </c>
      <c r="AS486"/>
    </row>
    <row r="487" spans="1:45" ht="15" customHeight="1" x14ac:dyDescent="0.4">
      <c r="A487"/>
      <c r="B487" s="3"/>
      <c r="C487" s="4" t="s">
        <v>827</v>
      </c>
      <c r="D487" s="8"/>
      <c r="E487" s="3"/>
      <c r="F487" s="8"/>
      <c r="G487" s="3"/>
      <c r="I487" s="4"/>
      <c r="J487"/>
      <c r="K487"/>
      <c r="L487" s="5"/>
      <c r="M487"/>
      <c r="N487"/>
      <c r="O487"/>
      <c r="P487"/>
      <c r="Q487" s="3"/>
      <c r="R487" s="5"/>
      <c r="S487" s="5">
        <v>1</v>
      </c>
      <c r="T487" s="3" t="s">
        <v>385</v>
      </c>
      <c r="V487" s="38" t="s">
        <v>8</v>
      </c>
      <c r="W487" s="3" t="s">
        <v>817</v>
      </c>
      <c r="X487" s="38" t="s">
        <v>8</v>
      </c>
      <c r="Y487" s="1443">
        <v>620008000</v>
      </c>
      <c r="Z487" s="1443"/>
      <c r="AA487" s="14">
        <v>45</v>
      </c>
      <c r="AB487" s="3">
        <v>42</v>
      </c>
      <c r="AC487" s="5"/>
      <c r="AD487" s="56">
        <v>0</v>
      </c>
      <c r="AE487" s="3" t="s">
        <v>385</v>
      </c>
      <c r="AF487" s="930" t="s">
        <v>369</v>
      </c>
      <c r="AG487" s="38" t="s">
        <v>369</v>
      </c>
      <c r="AH487" s="492">
        <f>'Single Hung'!AI792</f>
        <v>1.54E-2</v>
      </c>
      <c r="AI487" s="477"/>
      <c r="AJ487" s="477"/>
      <c r="AK487" s="477"/>
      <c r="AL487" s="51">
        <f t="shared" si="91"/>
        <v>0</v>
      </c>
      <c r="AM487" s="3" t="s">
        <v>371</v>
      </c>
      <c r="AN487" s="3" t="s">
        <v>371</v>
      </c>
      <c r="AO487" s="3" t="s">
        <v>371</v>
      </c>
      <c r="AP487" s="3" t="s">
        <v>371</v>
      </c>
      <c r="AQ487" s="1937" t="s">
        <v>371</v>
      </c>
      <c r="AR487" s="958"/>
      <c r="AS487"/>
    </row>
    <row r="488" spans="1:45" ht="15" customHeight="1" x14ac:dyDescent="0.4">
      <c r="A488"/>
      <c r="B488" s="3"/>
      <c r="C488" s="4" t="s">
        <v>828</v>
      </c>
      <c r="D488" s="8"/>
      <c r="E488" s="8"/>
      <c r="F488" s="8"/>
      <c r="G488" s="3"/>
      <c r="I488" s="4" t="s">
        <v>1185</v>
      </c>
      <c r="J488"/>
      <c r="K488"/>
      <c r="L488" s="5"/>
      <c r="M488"/>
      <c r="N488"/>
      <c r="O488"/>
      <c r="P488"/>
      <c r="Q488" s="3"/>
      <c r="R488" s="5"/>
      <c r="S488" s="5">
        <v>1</v>
      </c>
      <c r="T488" s="3" t="s">
        <v>385</v>
      </c>
      <c r="V488" s="38" t="s">
        <v>8</v>
      </c>
      <c r="W488" s="3" t="s">
        <v>824</v>
      </c>
      <c r="X488" s="38" t="s">
        <v>8</v>
      </c>
      <c r="Y488" s="1443">
        <v>620004000</v>
      </c>
      <c r="Z488" s="1443"/>
      <c r="AA488" s="14">
        <v>45</v>
      </c>
      <c r="AB488" s="3">
        <v>45</v>
      </c>
      <c r="AC488" s="5"/>
      <c r="AD488" s="56">
        <f>IF(FWWidth&gt;96,6,IF(FWWidth&gt;72,5,IF(FWWidth&gt;48,4,IF(FWWidth&gt;24,3,2))))</f>
        <v>3</v>
      </c>
      <c r="AE488" s="3" t="s">
        <v>385</v>
      </c>
      <c r="AF488" s="930" t="s">
        <v>369</v>
      </c>
      <c r="AG488" s="38" t="s">
        <v>369</v>
      </c>
      <c r="AH488" s="492">
        <f>'Single Hung'!AI793</f>
        <v>2.0500000000000001E-2</v>
      </c>
      <c r="AI488" s="477"/>
      <c r="AJ488" s="477"/>
      <c r="AK488" s="477"/>
      <c r="AL488" s="51">
        <f t="shared" si="91"/>
        <v>6.1499999999999999E-2</v>
      </c>
      <c r="AM488" s="3" t="s">
        <v>81</v>
      </c>
      <c r="AN488" s="3" t="s">
        <v>81</v>
      </c>
      <c r="AO488" s="3" t="s">
        <v>81</v>
      </c>
      <c r="AP488" s="3" t="s">
        <v>81</v>
      </c>
      <c r="AQ488" s="1414" t="s">
        <v>81</v>
      </c>
      <c r="AS488"/>
    </row>
    <row r="489" spans="1:45" ht="15" customHeight="1" x14ac:dyDescent="0.4">
      <c r="A489"/>
      <c r="B489" s="728" t="s">
        <v>918</v>
      </c>
      <c r="C489" s="728"/>
      <c r="D489" s="728"/>
      <c r="E489" s="728"/>
      <c r="F489" s="728"/>
      <c r="G489" s="728"/>
      <c r="H489" s="728"/>
      <c r="I489" s="730"/>
      <c r="J489" s="731"/>
      <c r="K489" s="731"/>
      <c r="L489" s="731"/>
      <c r="M489" s="731"/>
      <c r="N489" s="731"/>
      <c r="O489" s="731"/>
      <c r="P489" s="731"/>
      <c r="Q489" s="731"/>
      <c r="R489" s="731"/>
      <c r="S489" s="618"/>
      <c r="T489" s="618"/>
      <c r="U489" s="618"/>
      <c r="V489" s="618"/>
      <c r="W489" s="618"/>
      <c r="X489" s="618"/>
      <c r="Y489" s="618"/>
      <c r="Z489" s="618"/>
      <c r="AA489" s="615"/>
      <c r="AB489" s="618"/>
      <c r="AC489" s="618"/>
      <c r="AD489" s="618"/>
      <c r="AE489" s="618"/>
      <c r="AF489" s="933"/>
      <c r="AG489" s="618"/>
      <c r="AH489" s="733"/>
      <c r="AI489" s="618"/>
      <c r="AJ489" s="618"/>
      <c r="AK489" s="735" t="s">
        <v>1186</v>
      </c>
      <c r="AL489" s="733">
        <f>+SUBTOTAL(109,AL490:AL566)</f>
        <v>201.924578</v>
      </c>
      <c r="AM489" s="960"/>
      <c r="AN489" s="960"/>
      <c r="AO489" s="960"/>
      <c r="AP489" s="960"/>
      <c r="AQ489" s="960"/>
      <c r="AR489" s="960"/>
      <c r="AS489" s="73"/>
    </row>
    <row r="490" spans="1:45" ht="15" customHeight="1" x14ac:dyDescent="0.4">
      <c r="A490"/>
      <c r="B490" s="3"/>
      <c r="C490" s="8" t="s">
        <v>919</v>
      </c>
      <c r="D490" s="155"/>
      <c r="H490" s="3"/>
      <c r="J490" s="38"/>
      <c r="R490" s="30"/>
      <c r="S490" s="56">
        <v>1</v>
      </c>
      <c r="T490" s="376" t="s">
        <v>385</v>
      </c>
      <c r="V490" s="38" t="s">
        <v>8</v>
      </c>
      <c r="W490" s="38" t="s">
        <v>8</v>
      </c>
      <c r="X490" s="38" t="s">
        <v>8</v>
      </c>
      <c r="Y490" s="1443">
        <v>460040000</v>
      </c>
      <c r="Z490" s="1443"/>
      <c r="AA490" s="14">
        <v>45</v>
      </c>
      <c r="AB490"/>
      <c r="AC490" s="3">
        <v>1</v>
      </c>
      <c r="AD490" s="56">
        <f>S490*AC490</f>
        <v>1</v>
      </c>
      <c r="AE490" s="5" t="s">
        <v>385</v>
      </c>
      <c r="AF490" s="38" t="s">
        <v>8</v>
      </c>
      <c r="AG490" s="38" t="s">
        <v>8</v>
      </c>
      <c r="AH490" s="51">
        <f>'Single Hung'!AI1047</f>
        <v>0.13550000000000001</v>
      </c>
      <c r="AJ490" s="3"/>
      <c r="AK490" s="3"/>
      <c r="AL490" s="51">
        <f t="shared" si="91"/>
        <v>0.13550000000000001</v>
      </c>
      <c r="AM490" s="961" t="s">
        <v>371</v>
      </c>
      <c r="AN490" s="961" t="s">
        <v>371</v>
      </c>
      <c r="AO490" s="961" t="s">
        <v>371</v>
      </c>
      <c r="AP490" s="961" t="s">
        <v>371</v>
      </c>
      <c r="AQ490" s="1939" t="s">
        <v>371</v>
      </c>
      <c r="AR490" s="961"/>
      <c r="AS490" s="75"/>
    </row>
    <row r="491" spans="1:45" ht="15" customHeight="1" x14ac:dyDescent="0.4">
      <c r="A491"/>
      <c r="B491" s="7"/>
      <c r="C491" s="3"/>
      <c r="D491" s="316"/>
      <c r="E491" s="316"/>
      <c r="F491" s="316"/>
      <c r="G491" s="316"/>
      <c r="H491" s="316"/>
      <c r="I491"/>
      <c r="J491"/>
      <c r="K491"/>
      <c r="L491"/>
      <c r="M491"/>
      <c r="N491"/>
      <c r="O491"/>
      <c r="P491"/>
      <c r="Q491"/>
      <c r="R491"/>
      <c r="S491"/>
      <c r="T491"/>
      <c r="V491" s="38"/>
      <c r="W491"/>
      <c r="X491" s="38"/>
      <c r="Y491" s="1443"/>
      <c r="Z491" s="1443"/>
      <c r="AA491" s="14">
        <v>46</v>
      </c>
      <c r="AB491"/>
      <c r="AC491"/>
      <c r="AD491" s="3"/>
      <c r="AE491" s="3"/>
      <c r="AF491" s="851"/>
      <c r="AG491" s="3"/>
      <c r="AI491" s="3"/>
      <c r="AJ491" s="3"/>
      <c r="AK491" s="3"/>
      <c r="AM491" s="961" t="s">
        <v>371</v>
      </c>
      <c r="AN491" s="961" t="s">
        <v>371</v>
      </c>
      <c r="AO491" s="961" t="s">
        <v>371</v>
      </c>
      <c r="AP491" s="961" t="s">
        <v>371</v>
      </c>
      <c r="AQ491" s="1939" t="s">
        <v>371</v>
      </c>
      <c r="AR491" s="961"/>
      <c r="AS491" s="75"/>
    </row>
    <row r="492" spans="1:45" ht="15" customHeight="1" x14ac:dyDescent="0.4">
      <c r="A492"/>
      <c r="B492" s="7"/>
      <c r="C492" s="577"/>
      <c r="D492" s="956"/>
      <c r="E492" s="956"/>
      <c r="F492" s="956"/>
      <c r="G492" s="956"/>
      <c r="H492" s="956"/>
      <c r="I492" s="853"/>
      <c r="J492" s="853"/>
      <c r="K492" s="853"/>
      <c r="L492" s="853"/>
      <c r="M492" s="853"/>
      <c r="N492" s="853"/>
      <c r="O492" s="853"/>
      <c r="P492" s="853"/>
      <c r="Q492" s="853"/>
      <c r="R492" s="853"/>
      <c r="S492" s="853"/>
      <c r="T492" s="853"/>
      <c r="U492" s="574"/>
      <c r="V492" s="579"/>
      <c r="W492" s="853"/>
      <c r="X492" s="579"/>
      <c r="Y492" s="1446"/>
      <c r="Z492" s="1446"/>
      <c r="AA492" s="574"/>
      <c r="AB492" s="853"/>
      <c r="AC492" s="853"/>
      <c r="AD492" s="577"/>
      <c r="AE492" s="577"/>
      <c r="AF492" s="957"/>
      <c r="AG492" s="577"/>
      <c r="AH492" s="626"/>
      <c r="AI492" s="577"/>
      <c r="AJ492" s="577"/>
      <c r="AK492" s="577"/>
      <c r="AL492" s="626"/>
      <c r="AM492" s="962" t="s">
        <v>371</v>
      </c>
      <c r="AN492" s="962" t="s">
        <v>371</v>
      </c>
      <c r="AO492" s="962" t="s">
        <v>371</v>
      </c>
      <c r="AP492" s="962" t="s">
        <v>371</v>
      </c>
      <c r="AQ492" s="1940" t="s">
        <v>371</v>
      </c>
      <c r="AR492" s="962"/>
      <c r="AS492" s="75"/>
    </row>
    <row r="493" spans="1:45" ht="15" customHeight="1" x14ac:dyDescent="0.4">
      <c r="A493"/>
      <c r="B493" s="7"/>
      <c r="C493" s="8" t="s">
        <v>920</v>
      </c>
      <c r="D493" s="155"/>
      <c r="H493" s="10"/>
      <c r="J493" s="38"/>
      <c r="R493" s="30"/>
      <c r="S493" s="376">
        <f>1/50</f>
        <v>0.02</v>
      </c>
      <c r="T493" s="376" t="s">
        <v>385</v>
      </c>
      <c r="V493" s="38"/>
      <c r="W493" s="38"/>
      <c r="X493" s="38"/>
      <c r="Y493" s="1443"/>
      <c r="Z493" s="1443"/>
      <c r="AB493"/>
      <c r="AC493" s="3">
        <v>1</v>
      </c>
      <c r="AD493" s="376">
        <f>S493*AC493</f>
        <v>0.02</v>
      </c>
      <c r="AE493" s="5" t="s">
        <v>385</v>
      </c>
      <c r="AF493" s="38" t="s">
        <v>8</v>
      </c>
      <c r="AG493" s="38" t="s">
        <v>8</v>
      </c>
      <c r="AI493" s="3"/>
      <c r="AJ493" s="3"/>
      <c r="AK493" s="3"/>
      <c r="AM493" s="961" t="s">
        <v>371</v>
      </c>
      <c r="AN493" s="961" t="s">
        <v>371</v>
      </c>
      <c r="AO493" s="961" t="s">
        <v>371</v>
      </c>
      <c r="AP493" s="961" t="s">
        <v>371</v>
      </c>
      <c r="AQ493" s="1939" t="s">
        <v>371</v>
      </c>
      <c r="AR493" s="961"/>
      <c r="AS493" s="75"/>
    </row>
    <row r="494" spans="1:45" ht="15" customHeight="1" x14ac:dyDescent="0.4">
      <c r="A494"/>
      <c r="B494" s="7"/>
      <c r="D494" s="155"/>
      <c r="H494" s="10"/>
      <c r="J494" s="38"/>
      <c r="R494" s="30"/>
      <c r="S494" s="56"/>
      <c r="T494" s="376"/>
      <c r="V494" s="38" t="s">
        <v>369</v>
      </c>
      <c r="W494" s="3" t="s">
        <v>372</v>
      </c>
      <c r="X494" s="38" t="s">
        <v>369</v>
      </c>
      <c r="Y494" s="1563">
        <v>630007021</v>
      </c>
      <c r="Z494" s="1443"/>
      <c r="AB494"/>
      <c r="AD494" s="56"/>
      <c r="AF494" s="38"/>
      <c r="AG494" s="38"/>
      <c r="AH494" s="51">
        <f>'Single Hung'!AI1057</f>
        <v>12.45</v>
      </c>
      <c r="AI494" s="3"/>
      <c r="AJ494" s="3"/>
      <c r="AK494" s="3"/>
      <c r="AL494" s="51">
        <f>AD$493*AH494+SUM(AI494:AK494)</f>
        <v>0.249</v>
      </c>
      <c r="AM494" s="961" t="s">
        <v>371</v>
      </c>
      <c r="AN494" s="961" t="s">
        <v>371</v>
      </c>
      <c r="AO494" s="961" t="s">
        <v>371</v>
      </c>
      <c r="AP494" s="961" t="s">
        <v>371</v>
      </c>
      <c r="AQ494" s="1939" t="s">
        <v>371</v>
      </c>
      <c r="AR494" s="961"/>
      <c r="AS494" s="75"/>
    </row>
    <row r="495" spans="1:45" ht="15" customHeight="1" x14ac:dyDescent="0.4">
      <c r="A495"/>
      <c r="B495" s="7"/>
      <c r="D495" s="155"/>
      <c r="H495" s="10"/>
      <c r="J495" s="38"/>
      <c r="R495" s="30"/>
      <c r="S495" s="56"/>
      <c r="T495" s="376"/>
      <c r="V495" s="38" t="s">
        <v>369</v>
      </c>
      <c r="W495" s="3" t="s">
        <v>373</v>
      </c>
      <c r="X495" s="38" t="s">
        <v>369</v>
      </c>
      <c r="Y495" s="1443">
        <v>630007033</v>
      </c>
      <c r="Z495" s="1443"/>
      <c r="AB495"/>
      <c r="AD495" s="56"/>
      <c r="AF495" s="38"/>
      <c r="AG495" s="38"/>
      <c r="AH495" s="51">
        <f>'Single Hung'!AI1058</f>
        <v>9.6999999999999993</v>
      </c>
      <c r="AI495" s="3"/>
      <c r="AJ495" s="3"/>
      <c r="AK495" s="3"/>
      <c r="AL495" s="51">
        <f>AD$493*AH495+SUM(AI495:AK495)</f>
        <v>0.19399999999999998</v>
      </c>
      <c r="AM495" s="961" t="s">
        <v>371</v>
      </c>
      <c r="AN495" s="961" t="s">
        <v>371</v>
      </c>
      <c r="AO495" s="961" t="s">
        <v>371</v>
      </c>
      <c r="AP495" s="961" t="s">
        <v>371</v>
      </c>
      <c r="AQ495" s="1939" t="s">
        <v>371</v>
      </c>
      <c r="AR495" s="961"/>
      <c r="AS495" s="75"/>
    </row>
    <row r="496" spans="1:45" ht="15" customHeight="1" x14ac:dyDescent="0.4">
      <c r="A496"/>
      <c r="B496" s="7"/>
      <c r="D496" s="155"/>
      <c r="H496" s="10"/>
      <c r="J496" s="38"/>
      <c r="R496" s="30"/>
      <c r="S496" s="56"/>
      <c r="T496" s="376"/>
      <c r="V496" s="38" t="s">
        <v>369</v>
      </c>
      <c r="W496" s="3" t="s">
        <v>374</v>
      </c>
      <c r="X496" s="38" t="s">
        <v>369</v>
      </c>
      <c r="Y496" s="1443">
        <v>630007090</v>
      </c>
      <c r="Z496" s="1443"/>
      <c r="AB496"/>
      <c r="AD496" s="56"/>
      <c r="AF496" s="38"/>
      <c r="AG496" s="38"/>
      <c r="AH496" s="51">
        <f>'Single Hung'!AI1059</f>
        <v>9.0399999999999991</v>
      </c>
      <c r="AI496" s="3"/>
      <c r="AJ496" s="3"/>
      <c r="AK496" s="3"/>
      <c r="AL496" s="51">
        <f>AD$493*AH496+SUM(AI496:AK496)</f>
        <v>0.18079999999999999</v>
      </c>
      <c r="AM496" s="961" t="s">
        <v>371</v>
      </c>
      <c r="AN496" s="961" t="s">
        <v>371</v>
      </c>
      <c r="AO496" s="961" t="s">
        <v>371</v>
      </c>
      <c r="AP496" s="961" t="s">
        <v>371</v>
      </c>
      <c r="AQ496" s="1939" t="s">
        <v>371</v>
      </c>
      <c r="AR496" s="961"/>
      <c r="AS496" s="75"/>
    </row>
    <row r="497" spans="1:45" ht="15" customHeight="1" x14ac:dyDescent="0.4">
      <c r="A497"/>
      <c r="B497" s="7"/>
      <c r="C497" s="694"/>
      <c r="D497" s="623"/>
      <c r="E497" s="573"/>
      <c r="F497" s="573"/>
      <c r="G497" s="573"/>
      <c r="H497" s="743"/>
      <c r="I497" s="577"/>
      <c r="J497" s="579"/>
      <c r="K497" s="577"/>
      <c r="L497" s="577"/>
      <c r="M497" s="575"/>
      <c r="N497" s="575"/>
      <c r="O497" s="575"/>
      <c r="P497" s="575"/>
      <c r="Q497" s="575"/>
      <c r="R497" s="737"/>
      <c r="S497" s="576"/>
      <c r="T497" s="578"/>
      <c r="U497" s="574"/>
      <c r="V497" s="579" t="s">
        <v>369</v>
      </c>
      <c r="W497" s="577" t="s">
        <v>1849</v>
      </c>
      <c r="X497" s="579" t="s">
        <v>369</v>
      </c>
      <c r="Y497" s="1446">
        <v>630007148</v>
      </c>
      <c r="Z497" s="1446"/>
      <c r="AA497" s="574"/>
      <c r="AB497" s="853"/>
      <c r="AC497" s="577"/>
      <c r="AD497" s="576"/>
      <c r="AE497" s="575"/>
      <c r="AF497" s="579"/>
      <c r="AG497" s="579"/>
      <c r="AH497" s="626">
        <v>0</v>
      </c>
      <c r="AI497" s="577"/>
      <c r="AJ497" s="577"/>
      <c r="AK497" s="577"/>
      <c r="AL497" s="626">
        <f>AD$493*AH497+SUM(AI497:AK497)</f>
        <v>0</v>
      </c>
      <c r="AM497" s="962" t="s">
        <v>371</v>
      </c>
      <c r="AN497" s="962" t="s">
        <v>371</v>
      </c>
      <c r="AO497" s="962" t="s">
        <v>371</v>
      </c>
      <c r="AP497" s="962" t="s">
        <v>371</v>
      </c>
      <c r="AQ497" s="1940" t="s">
        <v>371</v>
      </c>
      <c r="AR497" s="962"/>
      <c r="AS497" s="75"/>
    </row>
    <row r="498" spans="1:45" ht="15" customHeight="1" x14ac:dyDescent="0.4">
      <c r="A498"/>
      <c r="B498" s="7"/>
      <c r="C498" s="8" t="s">
        <v>921</v>
      </c>
      <c r="D498" s="155"/>
      <c r="H498" s="10"/>
      <c r="J498" s="38"/>
      <c r="R498" s="30"/>
      <c r="S498" s="77">
        <v>1.1299999999999999E-2</v>
      </c>
      <c r="T498" s="376" t="s">
        <v>922</v>
      </c>
      <c r="V498" s="38"/>
      <c r="X498" s="38"/>
      <c r="Y498" s="1443"/>
      <c r="Z498" s="1443"/>
      <c r="AB498"/>
      <c r="AC498" s="3">
        <v>1</v>
      </c>
      <c r="AD498" s="77">
        <f>S498*AC498</f>
        <v>1.1299999999999999E-2</v>
      </c>
      <c r="AE498" s="5" t="s">
        <v>922</v>
      </c>
      <c r="AF498" s="38" t="s">
        <v>8</v>
      </c>
      <c r="AG498" s="38" t="s">
        <v>8</v>
      </c>
      <c r="AI498" s="3"/>
      <c r="AJ498" s="3"/>
      <c r="AK498" s="3"/>
      <c r="AM498" s="961" t="s">
        <v>371</v>
      </c>
      <c r="AN498" s="961" t="s">
        <v>371</v>
      </c>
      <c r="AO498" s="961" t="s">
        <v>371</v>
      </c>
      <c r="AP498" s="961" t="s">
        <v>371</v>
      </c>
      <c r="AQ498" s="1939" t="s">
        <v>371</v>
      </c>
      <c r="AR498" s="961"/>
      <c r="AS498" s="75"/>
    </row>
    <row r="499" spans="1:45" ht="15" customHeight="1" x14ac:dyDescent="0.4">
      <c r="A499"/>
      <c r="B499" s="7"/>
      <c r="C499" s="3"/>
      <c r="D499" s="155"/>
      <c r="H499" s="10"/>
      <c r="J499" s="38"/>
      <c r="R499" s="30"/>
      <c r="S499" s="56"/>
      <c r="T499" s="376"/>
      <c r="V499" s="38" t="s">
        <v>369</v>
      </c>
      <c r="W499" s="3" t="s">
        <v>372</v>
      </c>
      <c r="X499" s="38" t="s">
        <v>369</v>
      </c>
      <c r="Y499" s="1563">
        <v>630022021</v>
      </c>
      <c r="Z499" s="1443"/>
      <c r="AB499"/>
      <c r="AD499" s="56"/>
      <c r="AF499" s="38"/>
      <c r="AG499" s="38"/>
      <c r="AH499" s="51">
        <f>'Single Hung'!AI1063</f>
        <v>6.99</v>
      </c>
      <c r="AI499" s="3"/>
      <c r="AJ499" s="3"/>
      <c r="AK499" s="3"/>
      <c r="AL499" s="51">
        <f>AD$498*AH499+SUM(AI499:AK499)</f>
        <v>7.8987000000000002E-2</v>
      </c>
      <c r="AM499" s="961" t="s">
        <v>371</v>
      </c>
      <c r="AN499" s="961" t="s">
        <v>371</v>
      </c>
      <c r="AO499" s="961" t="s">
        <v>371</v>
      </c>
      <c r="AP499" s="961" t="s">
        <v>371</v>
      </c>
      <c r="AQ499" s="1939" t="s">
        <v>371</v>
      </c>
      <c r="AR499" s="961"/>
      <c r="AS499" s="75"/>
    </row>
    <row r="500" spans="1:45" ht="15" customHeight="1" x14ac:dyDescent="0.4">
      <c r="A500"/>
      <c r="B500" s="7"/>
      <c r="D500" s="155"/>
      <c r="H500" s="10"/>
      <c r="J500" s="38"/>
      <c r="R500" s="30"/>
      <c r="S500" s="56"/>
      <c r="T500" s="376"/>
      <c r="V500" s="38" t="s">
        <v>369</v>
      </c>
      <c r="W500" s="3" t="s">
        <v>373</v>
      </c>
      <c r="X500" s="38" t="s">
        <v>369</v>
      </c>
      <c r="Y500" s="1443">
        <v>630022033</v>
      </c>
      <c r="Z500" s="1443"/>
      <c r="AB500"/>
      <c r="AD500" s="56"/>
      <c r="AF500" s="38"/>
      <c r="AG500" s="38"/>
      <c r="AH500" s="51">
        <f>'Single Hung'!AI1064</f>
        <v>6.99</v>
      </c>
      <c r="AI500" s="3"/>
      <c r="AJ500" s="3"/>
      <c r="AK500" s="3"/>
      <c r="AL500" s="51">
        <f>AD$498*AH500+SUM(AI500:AK500)</f>
        <v>7.8987000000000002E-2</v>
      </c>
      <c r="AM500" s="961" t="s">
        <v>371</v>
      </c>
      <c r="AN500" s="961" t="s">
        <v>371</v>
      </c>
      <c r="AO500" s="961" t="s">
        <v>371</v>
      </c>
      <c r="AP500" s="961" t="s">
        <v>371</v>
      </c>
      <c r="AQ500" s="1939" t="s">
        <v>371</v>
      </c>
      <c r="AR500" s="961"/>
      <c r="AS500" s="75"/>
    </row>
    <row r="501" spans="1:45" ht="15" customHeight="1" x14ac:dyDescent="0.4">
      <c r="A501"/>
      <c r="B501" s="7"/>
      <c r="D501" s="155"/>
      <c r="H501" s="10"/>
      <c r="J501" s="38"/>
      <c r="R501" s="30"/>
      <c r="S501" s="56"/>
      <c r="T501" s="376"/>
      <c r="V501" s="38" t="s">
        <v>369</v>
      </c>
      <c r="W501" s="3" t="s">
        <v>374</v>
      </c>
      <c r="X501" s="38" t="s">
        <v>369</v>
      </c>
      <c r="Y501" s="1443">
        <v>630022090</v>
      </c>
      <c r="Z501" s="1443"/>
      <c r="AB501"/>
      <c r="AD501" s="56"/>
      <c r="AF501" s="38"/>
      <c r="AG501" s="38"/>
      <c r="AH501" s="51">
        <f>'Single Hung'!AI1065</f>
        <v>4.83</v>
      </c>
      <c r="AI501" s="3"/>
      <c r="AJ501" s="3"/>
      <c r="AK501" s="3"/>
      <c r="AL501" s="51">
        <f>AD$498*AH501+SUM(AI501:AK501)</f>
        <v>5.4578999999999996E-2</v>
      </c>
      <c r="AM501" s="961" t="s">
        <v>371</v>
      </c>
      <c r="AN501" s="961" t="s">
        <v>371</v>
      </c>
      <c r="AO501" s="961" t="s">
        <v>371</v>
      </c>
      <c r="AP501" s="961" t="s">
        <v>371</v>
      </c>
      <c r="AQ501" s="1939" t="s">
        <v>371</v>
      </c>
      <c r="AR501" s="961"/>
      <c r="AS501" s="75"/>
    </row>
    <row r="502" spans="1:45" ht="15" customHeight="1" x14ac:dyDescent="0.4">
      <c r="A502"/>
      <c r="B502" s="7"/>
      <c r="C502" s="694"/>
      <c r="D502" s="623"/>
      <c r="E502" s="573"/>
      <c r="F502" s="573"/>
      <c r="G502" s="573"/>
      <c r="H502" s="743"/>
      <c r="I502" s="577"/>
      <c r="J502" s="579"/>
      <c r="K502" s="577"/>
      <c r="L502" s="577"/>
      <c r="M502" s="575"/>
      <c r="N502" s="575"/>
      <c r="O502" s="575"/>
      <c r="P502" s="575"/>
      <c r="Q502" s="575"/>
      <c r="R502" s="737"/>
      <c r="S502" s="576"/>
      <c r="T502" s="578"/>
      <c r="U502" s="574"/>
      <c r="V502" s="579" t="s">
        <v>369</v>
      </c>
      <c r="W502" s="577" t="s">
        <v>1849</v>
      </c>
      <c r="X502" s="579" t="s">
        <v>369</v>
      </c>
      <c r="Y502" s="1446">
        <v>630022148</v>
      </c>
      <c r="Z502" s="1446"/>
      <c r="AA502" s="574"/>
      <c r="AB502" s="853"/>
      <c r="AC502" s="577"/>
      <c r="AD502" s="576"/>
      <c r="AE502" s="575"/>
      <c r="AF502" s="579"/>
      <c r="AG502" s="579"/>
      <c r="AH502" s="626">
        <v>0</v>
      </c>
      <c r="AI502" s="577"/>
      <c r="AJ502" s="577"/>
      <c r="AK502" s="577"/>
      <c r="AL502" s="626">
        <f>AD$498*AH502+SUM(AI502:AK502)</f>
        <v>0</v>
      </c>
      <c r="AM502" s="962" t="s">
        <v>371</v>
      </c>
      <c r="AN502" s="962" t="s">
        <v>371</v>
      </c>
      <c r="AO502" s="962" t="s">
        <v>371</v>
      </c>
      <c r="AP502" s="962" t="s">
        <v>371</v>
      </c>
      <c r="AQ502" s="1940" t="s">
        <v>371</v>
      </c>
      <c r="AR502" s="962"/>
      <c r="AS502" s="75"/>
    </row>
    <row r="503" spans="1:45" ht="15" customHeight="1" x14ac:dyDescent="0.4">
      <c r="A503"/>
      <c r="B503" s="7"/>
      <c r="C503" s="2006" t="s">
        <v>2275</v>
      </c>
      <c r="D503" s="2006"/>
      <c r="E503" s="2006"/>
      <c r="F503" s="2006"/>
      <c r="G503" s="2006"/>
      <c r="H503" s="10"/>
      <c r="I503" s="4" t="s">
        <v>392</v>
      </c>
      <c r="L503" s="3" t="s">
        <v>348</v>
      </c>
      <c r="M503" s="3">
        <v>-1.25</v>
      </c>
      <c r="N503" s="3"/>
      <c r="O503" s="3"/>
      <c r="P503" s="3"/>
      <c r="Q503" s="3"/>
      <c r="R503" s="3" t="s">
        <v>352</v>
      </c>
      <c r="S503" s="5">
        <f>(FWWidth+M503)</f>
        <v>46.25</v>
      </c>
      <c r="T503" s="3" t="s">
        <v>366</v>
      </c>
      <c r="V503" s="38" t="s">
        <v>8</v>
      </c>
      <c r="W503" s="38" t="s">
        <v>8</v>
      </c>
      <c r="X503" s="38" t="s">
        <v>8</v>
      </c>
      <c r="Y503" s="1443">
        <v>300060007</v>
      </c>
      <c r="Z503" s="1443"/>
      <c r="AB503"/>
      <c r="AC503" s="3">
        <v>2</v>
      </c>
      <c r="AD503" s="5">
        <f>S503/12*AC503+S504/12*AC504</f>
        <v>15.625</v>
      </c>
      <c r="AE503" s="3" t="s">
        <v>367</v>
      </c>
      <c r="AF503" s="216"/>
      <c r="AG503" s="3"/>
      <c r="AH503" s="51">
        <f>'Single Hung'!AI1068</f>
        <v>0.25</v>
      </c>
      <c r="AI503" s="3"/>
      <c r="AJ503" s="3"/>
      <c r="AK503" s="3"/>
      <c r="AL503" s="51">
        <f>AD503*AH503+SUM(AI503:AK503)</f>
        <v>3.90625</v>
      </c>
      <c r="AM503" s="961" t="s">
        <v>371</v>
      </c>
      <c r="AN503" s="961" t="s">
        <v>92</v>
      </c>
      <c r="AO503" s="961" t="s">
        <v>81</v>
      </c>
      <c r="AP503" s="961" t="s">
        <v>371</v>
      </c>
      <c r="AQ503" s="1939" t="s">
        <v>371</v>
      </c>
      <c r="AR503" s="961"/>
      <c r="AS503" s="75"/>
    </row>
    <row r="504" spans="1:45" ht="15" customHeight="1" x14ac:dyDescent="0.4">
      <c r="A504"/>
      <c r="B504" s="7"/>
      <c r="C504" s="2009"/>
      <c r="D504" s="2009"/>
      <c r="E504" s="2009"/>
      <c r="F504" s="2009"/>
      <c r="G504" s="2009"/>
      <c r="H504" s="743"/>
      <c r="I504" s="573" t="s">
        <v>365</v>
      </c>
      <c r="J504" s="577"/>
      <c r="K504" s="577"/>
      <c r="L504" s="577"/>
      <c r="M504" s="577"/>
      <c r="N504" s="577"/>
      <c r="O504" s="577"/>
      <c r="P504" s="577"/>
      <c r="Q504" s="577"/>
      <c r="R504" s="577" t="s">
        <v>352</v>
      </c>
      <c r="S504" s="575">
        <f>FWHeight</f>
        <v>47.5</v>
      </c>
      <c r="T504" s="577" t="s">
        <v>366</v>
      </c>
      <c r="V504" s="579"/>
      <c r="W504" s="579"/>
      <c r="X504" s="579"/>
      <c r="Y504" s="1446"/>
      <c r="Z504" s="1446"/>
      <c r="AA504" s="574"/>
      <c r="AB504" s="853"/>
      <c r="AC504" s="577">
        <v>2</v>
      </c>
      <c r="AD504" s="575"/>
      <c r="AE504" s="577"/>
      <c r="AF504" s="744"/>
      <c r="AG504" s="577"/>
      <c r="AH504" s="626"/>
      <c r="AI504" s="577"/>
      <c r="AJ504" s="577"/>
      <c r="AK504" s="577"/>
      <c r="AL504" s="626"/>
      <c r="AM504" s="962" t="s">
        <v>371</v>
      </c>
      <c r="AN504" s="962" t="s">
        <v>92</v>
      </c>
      <c r="AO504" s="962" t="s">
        <v>81</v>
      </c>
      <c r="AP504" s="962" t="s">
        <v>371</v>
      </c>
      <c r="AQ504" s="1940" t="s">
        <v>371</v>
      </c>
      <c r="AR504" s="962"/>
      <c r="AS504" s="75"/>
    </row>
    <row r="505" spans="1:45" ht="15" customHeight="1" x14ac:dyDescent="0.4">
      <c r="A505"/>
      <c r="B505" s="7"/>
      <c r="C505" s="2006" t="s">
        <v>2286</v>
      </c>
      <c r="D505" s="2006"/>
      <c r="E505" s="2006"/>
      <c r="F505" s="2006"/>
      <c r="G505" s="2006"/>
      <c r="H505" s="10"/>
      <c r="I505" s="4" t="s">
        <v>392</v>
      </c>
      <c r="L505" s="3" t="s">
        <v>348</v>
      </c>
      <c r="M505" s="3">
        <v>-1.25</v>
      </c>
      <c r="N505" s="3"/>
      <c r="O505" s="3"/>
      <c r="P505" s="3"/>
      <c r="Q505" s="3"/>
      <c r="R505" s="3" t="s">
        <v>352</v>
      </c>
      <c r="S505" s="5">
        <f>(FWWidth+M505)</f>
        <v>46.25</v>
      </c>
      <c r="T505" s="3" t="s">
        <v>366</v>
      </c>
      <c r="V505" s="38" t="s">
        <v>8</v>
      </c>
      <c r="W505" s="38" t="s">
        <v>8</v>
      </c>
      <c r="X505" s="38" t="s">
        <v>8</v>
      </c>
      <c r="Y505" s="1443">
        <v>300061007</v>
      </c>
      <c r="Z505" s="1443"/>
      <c r="AB505"/>
      <c r="AC505" s="3">
        <v>2</v>
      </c>
      <c r="AD505" s="5">
        <f>S505/12*AC505+S506/12*AC506</f>
        <v>15.625</v>
      </c>
      <c r="AE505" s="3" t="s">
        <v>367</v>
      </c>
      <c r="AF505" s="216"/>
      <c r="AG505" s="3"/>
      <c r="AI505" s="3"/>
      <c r="AJ505" s="3"/>
      <c r="AK505" s="3"/>
      <c r="AL505" s="51">
        <f>AD505*AH505+SUM(AI505:AK505)</f>
        <v>0</v>
      </c>
      <c r="AM505" s="961" t="s">
        <v>371</v>
      </c>
      <c r="AN505" s="961" t="s">
        <v>92</v>
      </c>
      <c r="AO505" s="961" t="s">
        <v>371</v>
      </c>
      <c r="AP505" s="961" t="s">
        <v>371</v>
      </c>
      <c r="AQ505" s="1939" t="s">
        <v>371</v>
      </c>
      <c r="AR505" s="961"/>
      <c r="AS505" s="75"/>
    </row>
    <row r="506" spans="1:45" ht="15" customHeight="1" x14ac:dyDescent="0.4">
      <c r="A506"/>
      <c r="B506" s="7"/>
      <c r="C506" s="2007"/>
      <c r="D506" s="2007"/>
      <c r="E506" s="2007"/>
      <c r="F506" s="2007"/>
      <c r="G506" s="2007"/>
      <c r="H506" s="10"/>
      <c r="I506" s="573" t="s">
        <v>365</v>
      </c>
      <c r="J506" s="577"/>
      <c r="K506" s="577"/>
      <c r="L506" s="577"/>
      <c r="M506" s="577"/>
      <c r="N506" s="577"/>
      <c r="O506" s="577"/>
      <c r="P506" s="577"/>
      <c r="Q506" s="577"/>
      <c r="R506" s="577" t="s">
        <v>352</v>
      </c>
      <c r="S506" s="575">
        <f>FWHeight</f>
        <v>47.5</v>
      </c>
      <c r="T506" s="577" t="s">
        <v>366</v>
      </c>
      <c r="V506" s="579"/>
      <c r="W506" s="579"/>
      <c r="X506" s="579"/>
      <c r="Y506" s="1446"/>
      <c r="Z506" s="1446"/>
      <c r="AA506" s="574"/>
      <c r="AB506" s="853"/>
      <c r="AC506" s="577">
        <v>2</v>
      </c>
      <c r="AD506" s="575"/>
      <c r="AE506" s="577"/>
      <c r="AF506" s="744"/>
      <c r="AG506" s="577"/>
      <c r="AH506" s="626"/>
      <c r="AI506" s="577"/>
      <c r="AJ506" s="577"/>
      <c r="AK506" s="577"/>
      <c r="AL506" s="626"/>
      <c r="AM506" s="962" t="s">
        <v>371</v>
      </c>
      <c r="AN506" s="962" t="s">
        <v>92</v>
      </c>
      <c r="AO506" s="962" t="s">
        <v>371</v>
      </c>
      <c r="AP506" s="962" t="s">
        <v>371</v>
      </c>
      <c r="AQ506" s="1940" t="s">
        <v>371</v>
      </c>
      <c r="AR506" s="962"/>
      <c r="AS506" s="75"/>
    </row>
    <row r="507" spans="1:45" ht="15" customHeight="1" x14ac:dyDescent="0.4">
      <c r="A507"/>
      <c r="B507" s="7"/>
      <c r="C507" s="1953" t="s">
        <v>2277</v>
      </c>
      <c r="D507" s="1953"/>
      <c r="E507" s="1953"/>
      <c r="F507" s="1953"/>
      <c r="G507" s="1953"/>
      <c r="H507" s="10"/>
      <c r="I507" s="4" t="s">
        <v>392</v>
      </c>
      <c r="L507" s="3" t="s">
        <v>348</v>
      </c>
      <c r="M507" s="3">
        <v>-1.25</v>
      </c>
      <c r="N507" s="3"/>
      <c r="O507" s="3"/>
      <c r="P507" s="3"/>
      <c r="Q507" s="3"/>
      <c r="R507" s="3" t="s">
        <v>352</v>
      </c>
      <c r="S507" s="5">
        <f>(FWWidth+M507)</f>
        <v>46.25</v>
      </c>
      <c r="T507" s="3" t="s">
        <v>366</v>
      </c>
      <c r="V507" s="38" t="s">
        <v>8</v>
      </c>
      <c r="W507" s="38" t="s">
        <v>8</v>
      </c>
      <c r="X507" s="38" t="s">
        <v>8</v>
      </c>
      <c r="Y507" s="1443">
        <v>300062007</v>
      </c>
      <c r="Z507" s="1443"/>
      <c r="AB507"/>
      <c r="AC507" s="3">
        <v>2</v>
      </c>
      <c r="AD507" s="5">
        <f>S507/12*AC507+S508/12*AC508</f>
        <v>15.625</v>
      </c>
      <c r="AE507" s="3" t="s">
        <v>367</v>
      </c>
      <c r="AF507" s="216"/>
      <c r="AG507" s="3"/>
      <c r="AH507" s="51">
        <f>'Single Hung'!AI1081</f>
        <v>0.47</v>
      </c>
      <c r="AI507" s="3"/>
      <c r="AJ507" s="3"/>
      <c r="AK507" s="3"/>
      <c r="AL507" s="51">
        <f>AD507*AH507+SUM(AI507:AK507)</f>
        <v>7.34375</v>
      </c>
      <c r="AM507" s="961" t="s">
        <v>371</v>
      </c>
      <c r="AN507" s="961" t="s">
        <v>92</v>
      </c>
      <c r="AO507" s="961" t="s">
        <v>371</v>
      </c>
      <c r="AP507" s="961" t="s">
        <v>371</v>
      </c>
      <c r="AQ507" s="1939" t="s">
        <v>371</v>
      </c>
      <c r="AR507" s="961"/>
      <c r="AS507" s="75"/>
    </row>
    <row r="508" spans="1:45" ht="15" customHeight="1" x14ac:dyDescent="0.4">
      <c r="A508"/>
      <c r="B508" s="7"/>
      <c r="C508" s="1953"/>
      <c r="D508" s="1953"/>
      <c r="E508" s="1953"/>
      <c r="F508" s="1953"/>
      <c r="G508" s="1953"/>
      <c r="H508" s="743"/>
      <c r="I508" s="573" t="s">
        <v>365</v>
      </c>
      <c r="J508" s="577"/>
      <c r="K508" s="577"/>
      <c r="L508" s="577"/>
      <c r="M508" s="577"/>
      <c r="N508" s="577"/>
      <c r="O508" s="577"/>
      <c r="P508" s="577"/>
      <c r="Q508" s="577"/>
      <c r="R508" s="577" t="s">
        <v>352</v>
      </c>
      <c r="S508" s="575">
        <f>FWHeight</f>
        <v>47.5</v>
      </c>
      <c r="T508" s="577" t="s">
        <v>366</v>
      </c>
      <c r="V508" s="579"/>
      <c r="W508" s="579"/>
      <c r="X508" s="579"/>
      <c r="Y508" s="1446"/>
      <c r="Z508" s="1446"/>
      <c r="AA508" s="574"/>
      <c r="AB508" s="853"/>
      <c r="AC508" s="577">
        <v>2</v>
      </c>
      <c r="AD508" s="575"/>
      <c r="AE508" s="577"/>
      <c r="AF508" s="744"/>
      <c r="AG508" s="577"/>
      <c r="AH508" s="626"/>
      <c r="AI508" s="577"/>
      <c r="AJ508" s="577"/>
      <c r="AK508" s="577"/>
      <c r="AL508" s="626"/>
      <c r="AM508" s="962" t="s">
        <v>371</v>
      </c>
      <c r="AN508" s="962" t="s">
        <v>92</v>
      </c>
      <c r="AO508" s="962" t="s">
        <v>371</v>
      </c>
      <c r="AP508" s="962" t="s">
        <v>371</v>
      </c>
      <c r="AQ508" s="1940" t="s">
        <v>371</v>
      </c>
      <c r="AR508" s="962"/>
      <c r="AS508" s="75"/>
    </row>
    <row r="509" spans="1:45" ht="15" customHeight="1" x14ac:dyDescent="0.4">
      <c r="A509"/>
      <c r="B509" s="7"/>
      <c r="C509" s="2006" t="s">
        <v>2287</v>
      </c>
      <c r="D509" s="2006"/>
      <c r="E509" s="2006"/>
      <c r="F509" s="2006"/>
      <c r="G509" s="2006"/>
      <c r="H509" s="10"/>
      <c r="I509" s="4" t="s">
        <v>392</v>
      </c>
      <c r="L509" s="3" t="s">
        <v>348</v>
      </c>
      <c r="M509" s="3">
        <v>-1.25</v>
      </c>
      <c r="N509" s="3"/>
      <c r="O509" s="3"/>
      <c r="P509" s="3"/>
      <c r="Q509" s="3"/>
      <c r="R509" s="3" t="s">
        <v>352</v>
      </c>
      <c r="S509" s="5">
        <f>(FWWidth+M509)</f>
        <v>46.25</v>
      </c>
      <c r="T509" s="3" t="s">
        <v>366</v>
      </c>
      <c r="V509" s="38" t="s">
        <v>8</v>
      </c>
      <c r="W509" s="38" t="s">
        <v>8</v>
      </c>
      <c r="X509" s="38" t="s">
        <v>8</v>
      </c>
      <c r="Y509" s="1443">
        <v>300063007</v>
      </c>
      <c r="Z509" s="1443"/>
      <c r="AB509"/>
      <c r="AC509" s="3">
        <v>2</v>
      </c>
      <c r="AD509" s="5">
        <f>S509/12*AC509+S510/12*AC510</f>
        <v>15.625</v>
      </c>
      <c r="AE509" s="3" t="s">
        <v>367</v>
      </c>
      <c r="AF509" s="216"/>
      <c r="AG509" s="3"/>
      <c r="AI509" s="3"/>
      <c r="AJ509" s="3"/>
      <c r="AK509" s="3"/>
      <c r="AL509" s="51">
        <f>AD509*AH509+SUM(AI509:AK509)</f>
        <v>0</v>
      </c>
      <c r="AM509" s="961" t="s">
        <v>371</v>
      </c>
      <c r="AN509" s="961" t="s">
        <v>92</v>
      </c>
      <c r="AO509" s="961" t="s">
        <v>371</v>
      </c>
      <c r="AP509" s="961" t="s">
        <v>371</v>
      </c>
      <c r="AQ509" s="1939" t="s">
        <v>371</v>
      </c>
      <c r="AR509" s="961"/>
      <c r="AS509" s="75"/>
    </row>
    <row r="510" spans="1:45" ht="15" customHeight="1" x14ac:dyDescent="0.4">
      <c r="A510"/>
      <c r="B510" s="7"/>
      <c r="C510" s="2007"/>
      <c r="D510" s="2007"/>
      <c r="E510" s="2007"/>
      <c r="F510" s="2007"/>
      <c r="G510" s="2007"/>
      <c r="H510" s="10"/>
      <c r="I510" s="573" t="s">
        <v>365</v>
      </c>
      <c r="J510" s="577"/>
      <c r="K510" s="577"/>
      <c r="L510" s="577"/>
      <c r="M510" s="577"/>
      <c r="N510" s="577"/>
      <c r="O510" s="577"/>
      <c r="P510" s="577"/>
      <c r="Q510" s="577"/>
      <c r="R510" s="577" t="s">
        <v>352</v>
      </c>
      <c r="S510" s="575">
        <f>FWHeight</f>
        <v>47.5</v>
      </c>
      <c r="T510" s="577" t="s">
        <v>366</v>
      </c>
      <c r="V510" s="579"/>
      <c r="W510" s="579"/>
      <c r="X510" s="579"/>
      <c r="Y510" s="1446"/>
      <c r="Z510" s="1446"/>
      <c r="AA510" s="574"/>
      <c r="AB510" s="853"/>
      <c r="AC510" s="577">
        <v>2</v>
      </c>
      <c r="AD510" s="575"/>
      <c r="AE510" s="577"/>
      <c r="AF510" s="744"/>
      <c r="AG510" s="577"/>
      <c r="AH510" s="626"/>
      <c r="AI510" s="577"/>
      <c r="AJ510" s="577"/>
      <c r="AK510" s="577"/>
      <c r="AL510" s="626"/>
      <c r="AM510" s="962" t="s">
        <v>371</v>
      </c>
      <c r="AN510" s="962" t="s">
        <v>92</v>
      </c>
      <c r="AO510" s="962" t="s">
        <v>371</v>
      </c>
      <c r="AP510" s="962" t="s">
        <v>371</v>
      </c>
      <c r="AQ510" s="1940" t="s">
        <v>371</v>
      </c>
      <c r="AR510" s="962"/>
      <c r="AS510" s="75"/>
    </row>
    <row r="511" spans="1:45" ht="15" customHeight="1" x14ac:dyDescent="0.4">
      <c r="A511"/>
      <c r="B511" s="7"/>
      <c r="C511" s="2006" t="s">
        <v>2276</v>
      </c>
      <c r="D511" s="2006"/>
      <c r="E511" s="2006"/>
      <c r="F511" s="2006"/>
      <c r="G511" s="2006"/>
      <c r="H511" s="10"/>
      <c r="I511" s="4" t="s">
        <v>392</v>
      </c>
      <c r="L511" s="3" t="s">
        <v>348</v>
      </c>
      <c r="M511" s="3">
        <v>-1.25</v>
      </c>
      <c r="N511" s="3"/>
      <c r="O511" s="3"/>
      <c r="P511" s="3"/>
      <c r="Q511" s="3"/>
      <c r="R511" s="3" t="s">
        <v>352</v>
      </c>
      <c r="S511" s="5">
        <f>(FWWidth+M511)</f>
        <v>46.25</v>
      </c>
      <c r="T511" s="3" t="s">
        <v>366</v>
      </c>
      <c r="V511" s="38" t="s">
        <v>8</v>
      </c>
      <c r="W511" s="38" t="s">
        <v>8</v>
      </c>
      <c r="X511" s="38" t="s">
        <v>8</v>
      </c>
      <c r="Y511" s="1443">
        <v>300060000</v>
      </c>
      <c r="Z511" s="1443"/>
      <c r="AB511"/>
      <c r="AC511" s="3">
        <v>2</v>
      </c>
      <c r="AD511" s="5">
        <f>S511/12*AC511+S512/12*AC512</f>
        <v>15.625</v>
      </c>
      <c r="AE511" s="3" t="s">
        <v>367</v>
      </c>
      <c r="AF511" s="216"/>
      <c r="AG511" s="3"/>
      <c r="AI511" s="3"/>
      <c r="AJ511" s="3"/>
      <c r="AK511" s="3"/>
      <c r="AL511" s="51">
        <f>AD511*AH511+SUM(AI511:AK511)</f>
        <v>0</v>
      </c>
      <c r="AM511" s="961" t="s">
        <v>371</v>
      </c>
      <c r="AN511" s="961" t="s">
        <v>92</v>
      </c>
      <c r="AO511" s="961" t="s">
        <v>371</v>
      </c>
      <c r="AP511" s="961" t="s">
        <v>371</v>
      </c>
      <c r="AQ511" s="1939" t="s">
        <v>371</v>
      </c>
      <c r="AR511" s="961"/>
      <c r="AS511" s="75"/>
    </row>
    <row r="512" spans="1:45" ht="15" customHeight="1" x14ac:dyDescent="0.4">
      <c r="A512"/>
      <c r="B512" s="7"/>
      <c r="C512" s="2009"/>
      <c r="D512" s="2009"/>
      <c r="E512" s="2009"/>
      <c r="F512" s="2009"/>
      <c r="G512" s="2009"/>
      <c r="H512" s="10"/>
      <c r="I512" s="573" t="s">
        <v>365</v>
      </c>
      <c r="J512" s="577"/>
      <c r="K512" s="577"/>
      <c r="L512" s="577"/>
      <c r="M512" s="577"/>
      <c r="N512" s="577"/>
      <c r="O512" s="577"/>
      <c r="P512" s="577"/>
      <c r="Q512" s="577"/>
      <c r="R512" s="577" t="s">
        <v>352</v>
      </c>
      <c r="S512" s="575">
        <f>FWHeight</f>
        <v>47.5</v>
      </c>
      <c r="T512" s="577" t="s">
        <v>366</v>
      </c>
      <c r="V512" s="579"/>
      <c r="W512" s="579"/>
      <c r="X512" s="579"/>
      <c r="Y512" s="1446"/>
      <c r="Z512" s="1446"/>
      <c r="AA512" s="574"/>
      <c r="AB512" s="853"/>
      <c r="AC512" s="577">
        <v>2</v>
      </c>
      <c r="AD512" s="575"/>
      <c r="AE512" s="577"/>
      <c r="AF512" s="744"/>
      <c r="AG512" s="577"/>
      <c r="AH512" s="626"/>
      <c r="AI512" s="577"/>
      <c r="AJ512" s="577"/>
      <c r="AK512" s="577"/>
      <c r="AL512" s="626"/>
      <c r="AM512" s="962" t="s">
        <v>371</v>
      </c>
      <c r="AN512" s="962" t="s">
        <v>92</v>
      </c>
      <c r="AO512" s="962" t="s">
        <v>371</v>
      </c>
      <c r="AP512" s="962" t="s">
        <v>371</v>
      </c>
      <c r="AQ512" s="1940" t="s">
        <v>371</v>
      </c>
      <c r="AR512" s="962"/>
      <c r="AS512" s="75"/>
    </row>
    <row r="513" spans="1:45" ht="15" customHeight="1" x14ac:dyDescent="0.4">
      <c r="A513"/>
      <c r="B513" s="7"/>
      <c r="C513" s="2006" t="s">
        <v>2288</v>
      </c>
      <c r="D513" s="2006"/>
      <c r="E513" s="2006"/>
      <c r="F513" s="2006"/>
      <c r="G513" s="2006"/>
      <c r="H513" s="10"/>
      <c r="I513" s="4" t="s">
        <v>392</v>
      </c>
      <c r="L513" s="3" t="s">
        <v>348</v>
      </c>
      <c r="M513" s="3">
        <v>-1.25</v>
      </c>
      <c r="N513" s="3"/>
      <c r="O513" s="3"/>
      <c r="P513" s="3"/>
      <c r="Q513" s="3"/>
      <c r="R513" s="3" t="s">
        <v>352</v>
      </c>
      <c r="S513" s="5">
        <f>(FWWidth+M513)</f>
        <v>46.25</v>
      </c>
      <c r="T513" s="3" t="s">
        <v>366</v>
      </c>
      <c r="V513" s="38" t="s">
        <v>8</v>
      </c>
      <c r="W513" s="38" t="s">
        <v>8</v>
      </c>
      <c r="X513" s="38" t="s">
        <v>8</v>
      </c>
      <c r="Y513" s="1443">
        <v>300061000</v>
      </c>
      <c r="Z513" s="1443"/>
      <c r="AB513"/>
      <c r="AC513" s="3">
        <v>2</v>
      </c>
      <c r="AD513" s="5">
        <f>S513/12*AC513+S514/12*AC514</f>
        <v>15.625</v>
      </c>
      <c r="AE513" s="3" t="s">
        <v>367</v>
      </c>
      <c r="AF513" s="216"/>
      <c r="AG513" s="3"/>
      <c r="AI513" s="3"/>
      <c r="AJ513" s="3"/>
      <c r="AK513" s="3"/>
      <c r="AL513" s="51">
        <f>AD513*AH513+SUM(AI513:AK513)</f>
        <v>0</v>
      </c>
      <c r="AM513" s="961" t="s">
        <v>371</v>
      </c>
      <c r="AN513" s="961" t="s">
        <v>92</v>
      </c>
      <c r="AO513" s="961" t="s">
        <v>371</v>
      </c>
      <c r="AP513" s="961" t="s">
        <v>371</v>
      </c>
      <c r="AQ513" s="1939" t="s">
        <v>371</v>
      </c>
      <c r="AR513" s="961"/>
      <c r="AS513" s="75"/>
    </row>
    <row r="514" spans="1:45" ht="15" customHeight="1" x14ac:dyDescent="0.4">
      <c r="A514"/>
      <c r="B514" s="7"/>
      <c r="C514" s="2007"/>
      <c r="D514" s="2007"/>
      <c r="E514" s="2007"/>
      <c r="F514" s="2007"/>
      <c r="G514" s="2007"/>
      <c r="H514" s="10"/>
      <c r="I514" s="573" t="s">
        <v>365</v>
      </c>
      <c r="J514" s="577"/>
      <c r="K514" s="577"/>
      <c r="L514" s="577"/>
      <c r="M514" s="577"/>
      <c r="N514" s="577"/>
      <c r="O514" s="577"/>
      <c r="P514" s="577"/>
      <c r="Q514" s="577"/>
      <c r="R514" s="577" t="s">
        <v>352</v>
      </c>
      <c r="S514" s="575">
        <f>FWHeight</f>
        <v>47.5</v>
      </c>
      <c r="T514" s="577" t="s">
        <v>366</v>
      </c>
      <c r="V514" s="579"/>
      <c r="W514" s="579"/>
      <c r="X514" s="579"/>
      <c r="Y514" s="1446"/>
      <c r="Z514" s="1446"/>
      <c r="AA514" s="574"/>
      <c r="AB514" s="853"/>
      <c r="AC514" s="577">
        <v>2</v>
      </c>
      <c r="AD514" s="575"/>
      <c r="AE514" s="577"/>
      <c r="AF514" s="744"/>
      <c r="AG514" s="577"/>
      <c r="AH514" s="626"/>
      <c r="AI514" s="577"/>
      <c r="AJ514" s="577"/>
      <c r="AK514" s="577"/>
      <c r="AL514" s="626"/>
      <c r="AM514" s="962" t="s">
        <v>371</v>
      </c>
      <c r="AN514" s="962" t="s">
        <v>92</v>
      </c>
      <c r="AO514" s="962" t="s">
        <v>371</v>
      </c>
      <c r="AP514" s="962" t="s">
        <v>371</v>
      </c>
      <c r="AQ514" s="1940" t="s">
        <v>371</v>
      </c>
      <c r="AR514" s="962"/>
      <c r="AS514" s="75"/>
    </row>
    <row r="515" spans="1:45" ht="15" customHeight="1" x14ac:dyDescent="0.4">
      <c r="A515"/>
      <c r="B515" s="7"/>
      <c r="C515" s="1953" t="s">
        <v>2289</v>
      </c>
      <c r="D515" s="1953"/>
      <c r="E515" s="1953"/>
      <c r="F515" s="1953"/>
      <c r="G515" s="1953"/>
      <c r="H515" s="10"/>
      <c r="I515" s="4" t="s">
        <v>392</v>
      </c>
      <c r="L515" s="3" t="s">
        <v>348</v>
      </c>
      <c r="M515" s="3">
        <v>-1.25</v>
      </c>
      <c r="N515" s="3"/>
      <c r="O515" s="3"/>
      <c r="P515" s="3"/>
      <c r="Q515" s="3"/>
      <c r="R515" s="3" t="s">
        <v>352</v>
      </c>
      <c r="S515" s="5">
        <f>(FWWidth+M515)</f>
        <v>46.25</v>
      </c>
      <c r="T515" s="3" t="s">
        <v>366</v>
      </c>
      <c r="V515" s="38" t="s">
        <v>8</v>
      </c>
      <c r="W515" s="38" t="s">
        <v>8</v>
      </c>
      <c r="X515" s="38" t="s">
        <v>8</v>
      </c>
      <c r="Y515" s="1443">
        <v>300062000</v>
      </c>
      <c r="Z515" s="1443"/>
      <c r="AB515"/>
      <c r="AC515" s="3">
        <v>2</v>
      </c>
      <c r="AD515" s="5">
        <f>S515/12*AC515+S516/12*AC516</f>
        <v>15.625</v>
      </c>
      <c r="AE515" s="3" t="s">
        <v>367</v>
      </c>
      <c r="AF515" s="216"/>
      <c r="AG515" s="3"/>
      <c r="AI515" s="3"/>
      <c r="AJ515" s="3"/>
      <c r="AK515" s="3"/>
      <c r="AL515" s="51">
        <f>AD515*AH515+SUM(AI515:AK515)</f>
        <v>0</v>
      </c>
      <c r="AM515" s="961" t="s">
        <v>371</v>
      </c>
      <c r="AN515" s="961" t="s">
        <v>92</v>
      </c>
      <c r="AO515" s="961" t="s">
        <v>371</v>
      </c>
      <c r="AP515" s="961" t="s">
        <v>371</v>
      </c>
      <c r="AQ515" s="1939" t="s">
        <v>371</v>
      </c>
      <c r="AR515" s="961"/>
      <c r="AS515" s="75"/>
    </row>
    <row r="516" spans="1:45" ht="15" customHeight="1" x14ac:dyDescent="0.4">
      <c r="A516"/>
      <c r="B516" s="7"/>
      <c r="C516" s="1953"/>
      <c r="D516" s="1953"/>
      <c r="E516" s="1953"/>
      <c r="F516" s="1953"/>
      <c r="G516" s="1953"/>
      <c r="H516" s="10"/>
      <c r="I516" s="573" t="s">
        <v>365</v>
      </c>
      <c r="J516" s="577"/>
      <c r="K516" s="577"/>
      <c r="L516" s="577"/>
      <c r="M516" s="577"/>
      <c r="N516" s="577"/>
      <c r="O516" s="577"/>
      <c r="P516" s="577"/>
      <c r="Q516" s="577"/>
      <c r="R516" s="577" t="s">
        <v>352</v>
      </c>
      <c r="S516" s="575">
        <f>FWHeight</f>
        <v>47.5</v>
      </c>
      <c r="T516" s="577" t="s">
        <v>366</v>
      </c>
      <c r="V516" s="579"/>
      <c r="W516" s="579"/>
      <c r="X516" s="579"/>
      <c r="Y516" s="1446"/>
      <c r="Z516" s="1446"/>
      <c r="AA516" s="574"/>
      <c r="AB516" s="853"/>
      <c r="AC516" s="577">
        <v>2</v>
      </c>
      <c r="AD516" s="575"/>
      <c r="AE516" s="577"/>
      <c r="AF516" s="744"/>
      <c r="AG516" s="577"/>
      <c r="AH516" s="626"/>
      <c r="AI516" s="577"/>
      <c r="AJ516" s="577"/>
      <c r="AK516" s="577"/>
      <c r="AL516" s="626"/>
      <c r="AM516" s="962" t="s">
        <v>371</v>
      </c>
      <c r="AN516" s="962" t="s">
        <v>92</v>
      </c>
      <c r="AO516" s="962" t="s">
        <v>371</v>
      </c>
      <c r="AP516" s="962" t="s">
        <v>371</v>
      </c>
      <c r="AQ516" s="1940" t="s">
        <v>371</v>
      </c>
      <c r="AR516" s="962"/>
      <c r="AS516" s="75"/>
    </row>
    <row r="517" spans="1:45" ht="15" customHeight="1" x14ac:dyDescent="0.4">
      <c r="A517"/>
      <c r="B517" s="7"/>
      <c r="C517" s="2006" t="s">
        <v>2290</v>
      </c>
      <c r="D517" s="2006"/>
      <c r="E517" s="2006"/>
      <c r="F517" s="2006"/>
      <c r="G517" s="2006"/>
      <c r="H517" s="10"/>
      <c r="I517" s="4" t="s">
        <v>392</v>
      </c>
      <c r="L517" s="3" t="s">
        <v>348</v>
      </c>
      <c r="M517" s="3">
        <v>-1.25</v>
      </c>
      <c r="N517" s="3"/>
      <c r="O517" s="3"/>
      <c r="P517" s="3"/>
      <c r="Q517" s="3"/>
      <c r="R517" s="3" t="s">
        <v>352</v>
      </c>
      <c r="S517" s="5">
        <f>(FWWidth+M517)</f>
        <v>46.25</v>
      </c>
      <c r="T517" s="3" t="s">
        <v>366</v>
      </c>
      <c r="V517" s="38" t="s">
        <v>8</v>
      </c>
      <c r="W517" s="38" t="s">
        <v>8</v>
      </c>
      <c r="X517" s="38" t="s">
        <v>8</v>
      </c>
      <c r="Y517" s="1443">
        <v>300063000</v>
      </c>
      <c r="Z517" s="1443"/>
      <c r="AB517"/>
      <c r="AC517" s="3">
        <v>2</v>
      </c>
      <c r="AD517" s="5">
        <f>S517/12*AC517+S518/12*AC518</f>
        <v>15.625</v>
      </c>
      <c r="AE517" s="3" t="s">
        <v>367</v>
      </c>
      <c r="AF517" s="216"/>
      <c r="AG517" s="3"/>
      <c r="AI517" s="3"/>
      <c r="AJ517" s="3"/>
      <c r="AK517" s="3"/>
      <c r="AL517" s="51">
        <f>AD517*AH517+SUM(AI517:AK517)</f>
        <v>0</v>
      </c>
      <c r="AM517" s="961" t="s">
        <v>371</v>
      </c>
      <c r="AN517" s="961" t="s">
        <v>92</v>
      </c>
      <c r="AO517" s="961" t="s">
        <v>371</v>
      </c>
      <c r="AP517" s="961" t="s">
        <v>371</v>
      </c>
      <c r="AQ517" s="1939" t="s">
        <v>371</v>
      </c>
      <c r="AR517" s="961"/>
      <c r="AS517" s="75"/>
    </row>
    <row r="518" spans="1:45" ht="15" customHeight="1" thickBot="1" x14ac:dyDescent="0.45">
      <c r="A518"/>
      <c r="B518" s="7"/>
      <c r="C518" s="2008"/>
      <c r="D518" s="2008"/>
      <c r="E518" s="2008"/>
      <c r="F518" s="2008"/>
      <c r="G518" s="2008"/>
      <c r="H518" s="1422"/>
      <c r="I518" s="968" t="s">
        <v>365</v>
      </c>
      <c r="J518" s="889"/>
      <c r="K518" s="889"/>
      <c r="L518" s="889"/>
      <c r="M518" s="889"/>
      <c r="N518" s="889"/>
      <c r="O518" s="889"/>
      <c r="P518" s="889"/>
      <c r="Q518" s="889"/>
      <c r="R518" s="889" t="s">
        <v>352</v>
      </c>
      <c r="S518" s="945">
        <f>FWHeight</f>
        <v>47.5</v>
      </c>
      <c r="T518" s="889" t="s">
        <v>366</v>
      </c>
      <c r="U518" s="948"/>
      <c r="V518" s="888"/>
      <c r="W518" s="888"/>
      <c r="X518" s="888"/>
      <c r="Y518" s="1444"/>
      <c r="Z518" s="1444"/>
      <c r="AA518" s="948"/>
      <c r="AB518" s="1068"/>
      <c r="AC518" s="889">
        <v>2</v>
      </c>
      <c r="AD518" s="945"/>
      <c r="AE518" s="889"/>
      <c r="AF518" s="1597"/>
      <c r="AG518" s="889"/>
      <c r="AH518" s="937"/>
      <c r="AI518" s="889"/>
      <c r="AJ518" s="889"/>
      <c r="AK518" s="889"/>
      <c r="AL518" s="937"/>
      <c r="AM518" s="1598" t="s">
        <v>371</v>
      </c>
      <c r="AN518" s="1598" t="s">
        <v>92</v>
      </c>
      <c r="AO518" s="1598" t="s">
        <v>371</v>
      </c>
      <c r="AP518" s="1598" t="s">
        <v>371</v>
      </c>
      <c r="AQ518" s="1941" t="s">
        <v>371</v>
      </c>
      <c r="AR518" s="1598"/>
      <c r="AS518" s="75"/>
    </row>
    <row r="519" spans="1:45" ht="15" customHeight="1" x14ac:dyDescent="0.4">
      <c r="A519"/>
      <c r="B519" s="7"/>
      <c r="C519" s="2036" t="s">
        <v>2278</v>
      </c>
      <c r="D519" s="2036"/>
      <c r="E519" s="2036"/>
      <c r="F519" s="2036"/>
      <c r="G519" s="2036"/>
      <c r="H519" s="10"/>
      <c r="I519" s="4" t="s">
        <v>392</v>
      </c>
      <c r="L519" s="3" t="s">
        <v>348</v>
      </c>
      <c r="M519" s="3">
        <v>-1.25</v>
      </c>
      <c r="N519" s="3"/>
      <c r="O519" s="3"/>
      <c r="P519" s="3"/>
      <c r="Q519" s="3"/>
      <c r="R519" s="3" t="s">
        <v>352</v>
      </c>
      <c r="S519" s="5">
        <f>(FWWidth+M519)</f>
        <v>46.25</v>
      </c>
      <c r="T519" s="3" t="s">
        <v>366</v>
      </c>
      <c r="V519" s="38" t="s">
        <v>8</v>
      </c>
      <c r="W519" s="38" t="s">
        <v>8</v>
      </c>
      <c r="X519" s="38" t="s">
        <v>8</v>
      </c>
      <c r="Y519" s="1443">
        <v>300064007</v>
      </c>
      <c r="Z519" s="1443"/>
      <c r="AB519"/>
      <c r="AC519" s="3">
        <v>2</v>
      </c>
      <c r="AD519" s="5">
        <f>S519/12*AC519+S520/12*AC520</f>
        <v>15.625</v>
      </c>
      <c r="AE519" s="3" t="s">
        <v>367</v>
      </c>
      <c r="AF519" s="216"/>
      <c r="AG519" s="3"/>
      <c r="AH519" s="51">
        <f>'Single Hung'!AI1104</f>
        <v>0.3</v>
      </c>
      <c r="AI519" s="3"/>
      <c r="AJ519" s="3"/>
      <c r="AK519" s="3"/>
      <c r="AL519" s="51">
        <f>AD519*AH519+SUM(AI519:AK519)</f>
        <v>4.6875</v>
      </c>
      <c r="AM519" s="961" t="s">
        <v>92</v>
      </c>
      <c r="AN519" s="961" t="s">
        <v>371</v>
      </c>
      <c r="AO519" s="961" t="s">
        <v>92</v>
      </c>
      <c r="AP519" s="961" t="s">
        <v>92</v>
      </c>
      <c r="AQ519" s="1939" t="s">
        <v>92</v>
      </c>
      <c r="AR519" s="961"/>
      <c r="AS519" s="75"/>
    </row>
    <row r="520" spans="1:45" ht="15" customHeight="1" x14ac:dyDescent="0.4">
      <c r="A520"/>
      <c r="B520" s="7"/>
      <c r="C520" s="1954"/>
      <c r="D520" s="1954"/>
      <c r="E520" s="1954"/>
      <c r="F520" s="1954"/>
      <c r="G520" s="1954"/>
      <c r="H520" s="743"/>
      <c r="I520" s="573" t="s">
        <v>365</v>
      </c>
      <c r="J520" s="577"/>
      <c r="K520" s="577"/>
      <c r="L520" s="577"/>
      <c r="M520" s="577"/>
      <c r="N520" s="577"/>
      <c r="O520" s="577"/>
      <c r="P520" s="577"/>
      <c r="Q520" s="577"/>
      <c r="R520" s="577" t="s">
        <v>352</v>
      </c>
      <c r="S520" s="575">
        <f>FWHeight</f>
        <v>47.5</v>
      </c>
      <c r="T520" s="577" t="s">
        <v>366</v>
      </c>
      <c r="V520" s="579"/>
      <c r="W520" s="579"/>
      <c r="X520" s="579"/>
      <c r="Y520" s="1446"/>
      <c r="Z520" s="1446"/>
      <c r="AA520" s="574"/>
      <c r="AB520" s="853"/>
      <c r="AC520" s="577">
        <v>2</v>
      </c>
      <c r="AD520" s="575"/>
      <c r="AE520" s="577"/>
      <c r="AF520" s="744"/>
      <c r="AG520" s="577"/>
      <c r="AH520" s="626"/>
      <c r="AI520" s="577"/>
      <c r="AJ520" s="577"/>
      <c r="AK520" s="577"/>
      <c r="AL520" s="626"/>
      <c r="AM520" s="962" t="s">
        <v>92</v>
      </c>
      <c r="AN520" s="962" t="s">
        <v>371</v>
      </c>
      <c r="AO520" s="962" t="s">
        <v>92</v>
      </c>
      <c r="AP520" s="962" t="s">
        <v>92</v>
      </c>
      <c r="AQ520" s="1940" t="s">
        <v>92</v>
      </c>
      <c r="AR520" s="962"/>
      <c r="AS520" s="75"/>
    </row>
    <row r="521" spans="1:45" ht="15" customHeight="1" x14ac:dyDescent="0.4">
      <c r="A521"/>
      <c r="B521" s="7"/>
      <c r="C521" s="1953" t="s">
        <v>2282</v>
      </c>
      <c r="D521" s="1953"/>
      <c r="E521" s="1953"/>
      <c r="F521" s="1953"/>
      <c r="G521" s="1953"/>
      <c r="H521" s="10"/>
      <c r="I521" s="4" t="s">
        <v>392</v>
      </c>
      <c r="L521" s="3" t="s">
        <v>348</v>
      </c>
      <c r="M521" s="3">
        <v>-1.25</v>
      </c>
      <c r="N521" s="3"/>
      <c r="O521" s="3"/>
      <c r="P521" s="3"/>
      <c r="Q521" s="3"/>
      <c r="R521" s="3" t="s">
        <v>352</v>
      </c>
      <c r="S521" s="5">
        <f>(FWWidth+M521)</f>
        <v>46.25</v>
      </c>
      <c r="T521" s="3" t="s">
        <v>366</v>
      </c>
      <c r="V521" s="38" t="s">
        <v>8</v>
      </c>
      <c r="W521" s="38" t="s">
        <v>8</v>
      </c>
      <c r="X521" s="38" t="s">
        <v>8</v>
      </c>
      <c r="Y521" s="1443">
        <v>300065007</v>
      </c>
      <c r="Z521" s="1443"/>
      <c r="AB521"/>
      <c r="AC521" s="3">
        <v>2</v>
      </c>
      <c r="AD521" s="5">
        <f>S521/12*AC521+S522/12*AC522</f>
        <v>15.625</v>
      </c>
      <c r="AE521" s="3" t="s">
        <v>367</v>
      </c>
      <c r="AF521" s="216"/>
      <c r="AG521" s="3"/>
      <c r="AI521" s="3"/>
      <c r="AJ521" s="3"/>
      <c r="AK521" s="3"/>
      <c r="AL521" s="51">
        <f>AD521*AH521+SUM(AI521:AK521)</f>
        <v>0</v>
      </c>
      <c r="AM521" s="961" t="s">
        <v>92</v>
      </c>
      <c r="AN521" s="961" t="s">
        <v>371</v>
      </c>
      <c r="AO521" s="961" t="s">
        <v>92</v>
      </c>
      <c r="AP521" s="961" t="s">
        <v>92</v>
      </c>
      <c r="AQ521" s="1939" t="s">
        <v>92</v>
      </c>
      <c r="AR521" s="961"/>
      <c r="AS521" s="75"/>
    </row>
    <row r="522" spans="1:45" ht="15" customHeight="1" x14ac:dyDescent="0.4">
      <c r="A522"/>
      <c r="B522" s="7"/>
      <c r="C522" s="1954"/>
      <c r="D522" s="1954"/>
      <c r="E522" s="1954"/>
      <c r="F522" s="1954"/>
      <c r="G522" s="1954"/>
      <c r="H522" s="10"/>
      <c r="I522" s="573" t="s">
        <v>365</v>
      </c>
      <c r="J522" s="577"/>
      <c r="K522" s="577"/>
      <c r="L522" s="577"/>
      <c r="M522" s="577"/>
      <c r="N522" s="577"/>
      <c r="O522" s="577"/>
      <c r="P522" s="577"/>
      <c r="Q522" s="577"/>
      <c r="R522" s="577" t="s">
        <v>352</v>
      </c>
      <c r="S522" s="575">
        <f>FWHeight</f>
        <v>47.5</v>
      </c>
      <c r="T522" s="577" t="s">
        <v>366</v>
      </c>
      <c r="V522" s="579"/>
      <c r="W522" s="579"/>
      <c r="X522" s="579"/>
      <c r="Y522" s="1446"/>
      <c r="Z522" s="1446"/>
      <c r="AA522" s="574"/>
      <c r="AB522" s="853"/>
      <c r="AC522" s="577">
        <v>2</v>
      </c>
      <c r="AD522" s="575"/>
      <c r="AE522" s="577"/>
      <c r="AF522" s="744"/>
      <c r="AG522" s="577"/>
      <c r="AH522" s="626"/>
      <c r="AI522" s="577"/>
      <c r="AJ522" s="577"/>
      <c r="AK522" s="577"/>
      <c r="AL522" s="626"/>
      <c r="AM522" s="962" t="s">
        <v>92</v>
      </c>
      <c r="AN522" s="962" t="s">
        <v>371</v>
      </c>
      <c r="AO522" s="962" t="s">
        <v>92</v>
      </c>
      <c r="AP522" s="962" t="s">
        <v>92</v>
      </c>
      <c r="AQ522" s="1940" t="s">
        <v>92</v>
      </c>
      <c r="AR522" s="962"/>
      <c r="AS522" s="75"/>
    </row>
    <row r="523" spans="1:45" ht="15" customHeight="1" x14ac:dyDescent="0.4">
      <c r="A523" s="4"/>
      <c r="B523" s="7"/>
      <c r="C523" s="1953" t="s">
        <v>2281</v>
      </c>
      <c r="D523" s="1953"/>
      <c r="E523" s="1953"/>
      <c r="F523" s="1953"/>
      <c r="G523" s="1953"/>
      <c r="H523" s="10"/>
      <c r="I523" s="4" t="s">
        <v>392</v>
      </c>
      <c r="L523" s="3" t="s">
        <v>348</v>
      </c>
      <c r="M523" s="3">
        <v>-1.25</v>
      </c>
      <c r="N523" s="3"/>
      <c r="O523" s="3"/>
      <c r="P523" s="3"/>
      <c r="Q523" s="3"/>
      <c r="R523" s="3" t="s">
        <v>352</v>
      </c>
      <c r="S523" s="5">
        <f>(FWWidth+M523)</f>
        <v>46.25</v>
      </c>
      <c r="T523" s="3" t="s">
        <v>366</v>
      </c>
      <c r="V523" s="38" t="s">
        <v>8</v>
      </c>
      <c r="W523" s="38" t="s">
        <v>8</v>
      </c>
      <c r="X523" s="38" t="s">
        <v>8</v>
      </c>
      <c r="Y523" s="1443">
        <v>300066007</v>
      </c>
      <c r="Z523" s="1443"/>
      <c r="AB523"/>
      <c r="AC523" s="3">
        <v>2</v>
      </c>
      <c r="AD523" s="5">
        <f>S523/12*AC523+S524/12*AC524</f>
        <v>15.625</v>
      </c>
      <c r="AE523" s="3" t="s">
        <v>367</v>
      </c>
      <c r="AF523" s="216"/>
      <c r="AG523" s="3"/>
      <c r="AH523" s="51">
        <f>'Single Hung'!AI1109</f>
        <v>0.52</v>
      </c>
      <c r="AI523" s="3"/>
      <c r="AJ523" s="3"/>
      <c r="AK523" s="3"/>
      <c r="AL523" s="51">
        <f>AD523*AH523+SUM(AI523:AK523)</f>
        <v>8.125</v>
      </c>
      <c r="AM523" s="961" t="s">
        <v>92</v>
      </c>
      <c r="AN523" s="961" t="s">
        <v>371</v>
      </c>
      <c r="AO523" s="961" t="s">
        <v>92</v>
      </c>
      <c r="AP523" s="961" t="s">
        <v>92</v>
      </c>
      <c r="AQ523" s="1939" t="s">
        <v>92</v>
      </c>
      <c r="AR523" s="961"/>
      <c r="AS523" s="75"/>
    </row>
    <row r="524" spans="1:45" ht="15" customHeight="1" x14ac:dyDescent="0.4">
      <c r="A524"/>
      <c r="B524" s="7"/>
      <c r="C524" s="1954"/>
      <c r="D524" s="1954"/>
      <c r="E524" s="1954"/>
      <c r="F524" s="1954"/>
      <c r="G524" s="1954"/>
      <c r="H524" s="743"/>
      <c r="I524" s="573" t="s">
        <v>365</v>
      </c>
      <c r="J524" s="577"/>
      <c r="K524" s="577"/>
      <c r="L524" s="577"/>
      <c r="M524" s="577"/>
      <c r="N524" s="577"/>
      <c r="O524" s="577"/>
      <c r="P524" s="577"/>
      <c r="Q524" s="577"/>
      <c r="R524" s="577" t="s">
        <v>352</v>
      </c>
      <c r="S524" s="575">
        <f>FWHeight</f>
        <v>47.5</v>
      </c>
      <c r="T524" s="577" t="s">
        <v>366</v>
      </c>
      <c r="V524" s="579"/>
      <c r="W524" s="579"/>
      <c r="X524" s="579"/>
      <c r="Y524" s="1446"/>
      <c r="Z524" s="1446"/>
      <c r="AA524" s="574"/>
      <c r="AB524" s="853"/>
      <c r="AC524" s="577">
        <v>2</v>
      </c>
      <c r="AD524" s="577"/>
      <c r="AE524" s="577"/>
      <c r="AF524" s="744"/>
      <c r="AG524" s="577"/>
      <c r="AH524" s="626"/>
      <c r="AI524" s="577"/>
      <c r="AJ524" s="577"/>
      <c r="AK524" s="577"/>
      <c r="AL524" s="626"/>
      <c r="AM524" s="962" t="s">
        <v>92</v>
      </c>
      <c r="AN524" s="962" t="s">
        <v>371</v>
      </c>
      <c r="AO524" s="962" t="s">
        <v>92</v>
      </c>
      <c r="AP524" s="962" t="s">
        <v>92</v>
      </c>
      <c r="AQ524" s="1940" t="s">
        <v>92</v>
      </c>
      <c r="AR524" s="962"/>
      <c r="AS524" s="75"/>
    </row>
    <row r="525" spans="1:45" ht="15" customHeight="1" x14ac:dyDescent="0.4">
      <c r="A525"/>
      <c r="B525" s="7"/>
      <c r="C525" s="1953" t="s">
        <v>2284</v>
      </c>
      <c r="D525" s="1953"/>
      <c r="E525" s="1953"/>
      <c r="F525" s="1953"/>
      <c r="G525" s="1953"/>
      <c r="H525" s="10"/>
      <c r="I525" s="4" t="s">
        <v>392</v>
      </c>
      <c r="L525" s="3" t="s">
        <v>348</v>
      </c>
      <c r="M525" s="3">
        <v>-1.25</v>
      </c>
      <c r="N525" s="3"/>
      <c r="O525" s="3"/>
      <c r="P525" s="3"/>
      <c r="Q525" s="3"/>
      <c r="R525" s="3" t="s">
        <v>352</v>
      </c>
      <c r="S525" s="5">
        <f>(FWWidth+M525)</f>
        <v>46.25</v>
      </c>
      <c r="T525" s="3" t="s">
        <v>366</v>
      </c>
      <c r="V525" s="38" t="s">
        <v>8</v>
      </c>
      <c r="W525" s="38" t="s">
        <v>8</v>
      </c>
      <c r="X525" s="38" t="s">
        <v>8</v>
      </c>
      <c r="Y525" s="1443">
        <v>300067007</v>
      </c>
      <c r="Z525" s="1443"/>
      <c r="AB525"/>
      <c r="AC525" s="3">
        <v>2</v>
      </c>
      <c r="AD525" s="5">
        <f>S525/12*AC525+S526/12*AC526</f>
        <v>15.625</v>
      </c>
      <c r="AE525" s="3" t="s">
        <v>367</v>
      </c>
      <c r="AF525" s="216"/>
      <c r="AG525" s="3"/>
      <c r="AI525" s="3"/>
      <c r="AJ525" s="3"/>
      <c r="AK525" s="3"/>
      <c r="AL525" s="51">
        <f>AD525*AH525+SUM(AI525:AK525)</f>
        <v>0</v>
      </c>
      <c r="AM525" s="961" t="s">
        <v>92</v>
      </c>
      <c r="AN525" s="961" t="s">
        <v>371</v>
      </c>
      <c r="AO525" s="961" t="s">
        <v>92</v>
      </c>
      <c r="AP525" s="961" t="s">
        <v>92</v>
      </c>
      <c r="AQ525" s="1939" t="s">
        <v>92</v>
      </c>
      <c r="AR525" s="961"/>
      <c r="AS525" s="75"/>
    </row>
    <row r="526" spans="1:45" ht="15" customHeight="1" x14ac:dyDescent="0.4">
      <c r="A526"/>
      <c r="B526" s="7"/>
      <c r="C526" s="1954"/>
      <c r="D526" s="1954"/>
      <c r="E526" s="1954"/>
      <c r="F526" s="1954"/>
      <c r="G526" s="1954"/>
      <c r="H526" s="10"/>
      <c r="I526" s="573" t="s">
        <v>365</v>
      </c>
      <c r="J526" s="577"/>
      <c r="K526" s="577"/>
      <c r="L526" s="577"/>
      <c r="M526" s="577"/>
      <c r="N526" s="577"/>
      <c r="O526" s="577"/>
      <c r="P526" s="577"/>
      <c r="Q526" s="577"/>
      <c r="R526" s="577" t="s">
        <v>352</v>
      </c>
      <c r="S526" s="575">
        <f>FWHeight</f>
        <v>47.5</v>
      </c>
      <c r="T526" s="577" t="s">
        <v>366</v>
      </c>
      <c r="V526" s="579"/>
      <c r="W526" s="579"/>
      <c r="X526" s="579"/>
      <c r="Y526" s="1446"/>
      <c r="Z526" s="1446"/>
      <c r="AA526" s="574"/>
      <c r="AB526" s="853"/>
      <c r="AC526" s="577">
        <v>2</v>
      </c>
      <c r="AD526" s="575"/>
      <c r="AE526" s="577"/>
      <c r="AF526" s="744"/>
      <c r="AG526" s="577"/>
      <c r="AH526" s="626"/>
      <c r="AI526" s="577"/>
      <c r="AJ526" s="577"/>
      <c r="AK526" s="577"/>
      <c r="AL526" s="626"/>
      <c r="AM526" s="962" t="s">
        <v>92</v>
      </c>
      <c r="AN526" s="962" t="s">
        <v>371</v>
      </c>
      <c r="AO526" s="962" t="s">
        <v>92</v>
      </c>
      <c r="AP526" s="962" t="s">
        <v>92</v>
      </c>
      <c r="AQ526" s="1940" t="s">
        <v>92</v>
      </c>
      <c r="AR526" s="962"/>
      <c r="AS526" s="75"/>
    </row>
    <row r="527" spans="1:45" ht="15" customHeight="1" x14ac:dyDescent="0.4">
      <c r="A527"/>
      <c r="B527" s="7"/>
      <c r="C527" s="1953" t="s">
        <v>2279</v>
      </c>
      <c r="D527" s="1953"/>
      <c r="E527" s="1953"/>
      <c r="F527" s="1953"/>
      <c r="G527" s="1953"/>
      <c r="H527" s="10"/>
      <c r="I527" s="4" t="s">
        <v>392</v>
      </c>
      <c r="L527" s="3" t="s">
        <v>348</v>
      </c>
      <c r="M527" s="3">
        <v>-1.25</v>
      </c>
      <c r="N527" s="3"/>
      <c r="O527" s="3"/>
      <c r="P527" s="3"/>
      <c r="Q527" s="3"/>
      <c r="R527" s="3" t="s">
        <v>352</v>
      </c>
      <c r="S527" s="5">
        <f>(FWWidth+M527)</f>
        <v>46.25</v>
      </c>
      <c r="T527" s="3" t="s">
        <v>366</v>
      </c>
      <c r="V527" s="38" t="s">
        <v>8</v>
      </c>
      <c r="W527" s="38" t="s">
        <v>8</v>
      </c>
      <c r="X527" s="38" t="s">
        <v>8</v>
      </c>
      <c r="Y527" s="1443">
        <v>300064000</v>
      </c>
      <c r="Z527" s="1443"/>
      <c r="AB527"/>
      <c r="AC527" s="3">
        <v>2</v>
      </c>
      <c r="AD527" s="5">
        <f>S527/12*AC527+S528/12*AC528</f>
        <v>15.625</v>
      </c>
      <c r="AE527" s="3" t="s">
        <v>367</v>
      </c>
      <c r="AF527" s="216"/>
      <c r="AG527" s="3"/>
      <c r="AI527" s="3"/>
      <c r="AJ527" s="3"/>
      <c r="AK527" s="3"/>
      <c r="AL527" s="51">
        <f>AD527*AH527+SUM(AI527:AK527)</f>
        <v>0</v>
      </c>
      <c r="AM527" s="961" t="s">
        <v>92</v>
      </c>
      <c r="AN527" s="961" t="s">
        <v>371</v>
      </c>
      <c r="AO527" s="961" t="s">
        <v>92</v>
      </c>
      <c r="AP527" s="961" t="s">
        <v>92</v>
      </c>
      <c r="AQ527" s="1939" t="s">
        <v>92</v>
      </c>
      <c r="AR527" s="961"/>
      <c r="AS527" s="75"/>
    </row>
    <row r="528" spans="1:45" ht="15" customHeight="1" x14ac:dyDescent="0.4">
      <c r="A528"/>
      <c r="B528" s="7"/>
      <c r="C528" s="1954"/>
      <c r="D528" s="1954"/>
      <c r="E528" s="1954"/>
      <c r="F528" s="1954"/>
      <c r="G528" s="1954"/>
      <c r="H528" s="10"/>
      <c r="I528" s="573" t="s">
        <v>365</v>
      </c>
      <c r="J528" s="577"/>
      <c r="K528" s="577"/>
      <c r="L528" s="577"/>
      <c r="M528" s="577"/>
      <c r="N528" s="577"/>
      <c r="O528" s="577"/>
      <c r="P528" s="577"/>
      <c r="Q528" s="577"/>
      <c r="R528" s="577" t="s">
        <v>352</v>
      </c>
      <c r="S528" s="575">
        <f>FWHeight</f>
        <v>47.5</v>
      </c>
      <c r="T528" s="577" t="s">
        <v>366</v>
      </c>
      <c r="V528" s="579"/>
      <c r="W528" s="579"/>
      <c r="X528" s="579"/>
      <c r="Y528" s="1446"/>
      <c r="Z528" s="1446"/>
      <c r="AA528" s="574"/>
      <c r="AB528" s="853"/>
      <c r="AC528" s="577">
        <v>2</v>
      </c>
      <c r="AD528" s="575"/>
      <c r="AE528" s="577"/>
      <c r="AF528" s="744"/>
      <c r="AG528" s="577"/>
      <c r="AH528" s="626"/>
      <c r="AI528" s="577"/>
      <c r="AJ528" s="577"/>
      <c r="AK528" s="577"/>
      <c r="AL528" s="626"/>
      <c r="AM528" s="962" t="s">
        <v>92</v>
      </c>
      <c r="AN528" s="962" t="s">
        <v>371</v>
      </c>
      <c r="AO528" s="962" t="s">
        <v>92</v>
      </c>
      <c r="AP528" s="962" t="s">
        <v>92</v>
      </c>
      <c r="AQ528" s="1940" t="s">
        <v>92</v>
      </c>
      <c r="AR528" s="962"/>
      <c r="AS528" s="75"/>
    </row>
    <row r="529" spans="1:45" ht="15" customHeight="1" x14ac:dyDescent="0.4">
      <c r="A529"/>
      <c r="B529" s="7"/>
      <c r="C529" s="1953" t="s">
        <v>2280</v>
      </c>
      <c r="D529" s="1953"/>
      <c r="E529" s="1953"/>
      <c r="F529" s="1953"/>
      <c r="G529" s="1953"/>
      <c r="H529" s="10"/>
      <c r="I529" s="4" t="s">
        <v>392</v>
      </c>
      <c r="L529" s="3" t="s">
        <v>348</v>
      </c>
      <c r="M529" s="3">
        <v>-1.25</v>
      </c>
      <c r="N529" s="3"/>
      <c r="O529" s="3"/>
      <c r="P529" s="3"/>
      <c r="Q529" s="3"/>
      <c r="R529" s="3" t="s">
        <v>352</v>
      </c>
      <c r="S529" s="5">
        <f>(FWWidth+M529)</f>
        <v>46.25</v>
      </c>
      <c r="T529" s="3" t="s">
        <v>366</v>
      </c>
      <c r="V529" s="38" t="s">
        <v>8</v>
      </c>
      <c r="W529" s="38" t="s">
        <v>8</v>
      </c>
      <c r="X529" s="38" t="s">
        <v>8</v>
      </c>
      <c r="Y529" s="1443">
        <v>300065000</v>
      </c>
      <c r="Z529" s="1443"/>
      <c r="AB529"/>
      <c r="AC529" s="3">
        <v>2</v>
      </c>
      <c r="AD529" s="5">
        <f>S529/12*AC529+S530/12*AC530</f>
        <v>15.625</v>
      </c>
      <c r="AE529" s="3" t="s">
        <v>367</v>
      </c>
      <c r="AF529" s="216"/>
      <c r="AG529" s="3"/>
      <c r="AI529" s="3"/>
      <c r="AJ529" s="3"/>
      <c r="AK529" s="3"/>
      <c r="AL529" s="51">
        <f>AD529*AH529+SUM(AI529:AK529)</f>
        <v>0</v>
      </c>
      <c r="AM529" s="961" t="s">
        <v>92</v>
      </c>
      <c r="AN529" s="961" t="s">
        <v>371</v>
      </c>
      <c r="AO529" s="961" t="s">
        <v>92</v>
      </c>
      <c r="AP529" s="961" t="s">
        <v>92</v>
      </c>
      <c r="AQ529" s="1939" t="s">
        <v>92</v>
      </c>
      <c r="AR529" s="961"/>
      <c r="AS529" s="75"/>
    </row>
    <row r="530" spans="1:45" ht="15" customHeight="1" x14ac:dyDescent="0.4">
      <c r="A530"/>
      <c r="B530" s="7"/>
      <c r="C530" s="1954"/>
      <c r="D530" s="1954"/>
      <c r="E530" s="1954"/>
      <c r="F530" s="1954"/>
      <c r="G530" s="1954"/>
      <c r="H530" s="10"/>
      <c r="I530" s="573" t="s">
        <v>365</v>
      </c>
      <c r="J530" s="577"/>
      <c r="K530" s="577"/>
      <c r="L530" s="577"/>
      <c r="M530" s="577"/>
      <c r="N530" s="577"/>
      <c r="O530" s="577"/>
      <c r="P530" s="577"/>
      <c r="Q530" s="577"/>
      <c r="R530" s="577" t="s">
        <v>352</v>
      </c>
      <c r="S530" s="575">
        <f>FWHeight</f>
        <v>47.5</v>
      </c>
      <c r="T530" s="577" t="s">
        <v>366</v>
      </c>
      <c r="V530" s="579"/>
      <c r="W530" s="579"/>
      <c r="X530" s="579"/>
      <c r="Y530" s="1446"/>
      <c r="Z530" s="1446"/>
      <c r="AA530" s="574"/>
      <c r="AB530" s="853"/>
      <c r="AC530" s="577">
        <v>2</v>
      </c>
      <c r="AD530" s="575"/>
      <c r="AE530" s="577"/>
      <c r="AF530" s="744"/>
      <c r="AG530" s="577"/>
      <c r="AH530" s="626"/>
      <c r="AI530" s="577"/>
      <c r="AJ530" s="577"/>
      <c r="AK530" s="577"/>
      <c r="AL530" s="626"/>
      <c r="AM530" s="962" t="s">
        <v>92</v>
      </c>
      <c r="AN530" s="962" t="s">
        <v>371</v>
      </c>
      <c r="AO530" s="962" t="s">
        <v>92</v>
      </c>
      <c r="AP530" s="962" t="s">
        <v>92</v>
      </c>
      <c r="AQ530" s="1940" t="s">
        <v>92</v>
      </c>
      <c r="AR530" s="962"/>
      <c r="AS530" s="75"/>
    </row>
    <row r="531" spans="1:45" ht="15" customHeight="1" x14ac:dyDescent="0.4">
      <c r="A531"/>
      <c r="B531" s="7"/>
      <c r="C531" s="1953" t="s">
        <v>2283</v>
      </c>
      <c r="D531" s="1953"/>
      <c r="E531" s="1953"/>
      <c r="F531" s="1953"/>
      <c r="G531" s="1953"/>
      <c r="H531" s="10"/>
      <c r="I531" s="4" t="s">
        <v>392</v>
      </c>
      <c r="L531" s="3" t="s">
        <v>348</v>
      </c>
      <c r="M531" s="3">
        <v>-1.25</v>
      </c>
      <c r="N531" s="3"/>
      <c r="O531" s="3"/>
      <c r="P531" s="3"/>
      <c r="Q531" s="3"/>
      <c r="R531" s="3" t="s">
        <v>352</v>
      </c>
      <c r="S531" s="5">
        <f>(FWWidth+M531)</f>
        <v>46.25</v>
      </c>
      <c r="T531" s="3" t="s">
        <v>366</v>
      </c>
      <c r="V531" s="38" t="s">
        <v>8</v>
      </c>
      <c r="W531" s="38" t="s">
        <v>8</v>
      </c>
      <c r="X531" s="38" t="s">
        <v>8</v>
      </c>
      <c r="Y531" s="1443">
        <v>300066000</v>
      </c>
      <c r="Z531" s="1443"/>
      <c r="AB531"/>
      <c r="AC531" s="3">
        <v>2</v>
      </c>
      <c r="AD531" s="5">
        <f>S531/12*AC531+S532/12*AC532</f>
        <v>15.625</v>
      </c>
      <c r="AE531" s="3" t="s">
        <v>367</v>
      </c>
      <c r="AF531" s="216"/>
      <c r="AG531" s="3"/>
      <c r="AI531" s="3"/>
      <c r="AJ531" s="3"/>
      <c r="AK531" s="3"/>
      <c r="AL531" s="51">
        <f>AD531*AH531+SUM(AI531:AK531)</f>
        <v>0</v>
      </c>
      <c r="AM531" s="961" t="s">
        <v>92</v>
      </c>
      <c r="AN531" s="961" t="s">
        <v>371</v>
      </c>
      <c r="AO531" s="961" t="s">
        <v>92</v>
      </c>
      <c r="AP531" s="961" t="s">
        <v>92</v>
      </c>
      <c r="AQ531" s="1939" t="s">
        <v>92</v>
      </c>
      <c r="AR531" s="961"/>
      <c r="AS531" s="75"/>
    </row>
    <row r="532" spans="1:45" ht="15" customHeight="1" x14ac:dyDescent="0.4">
      <c r="A532"/>
      <c r="B532" s="7"/>
      <c r="C532" s="1954"/>
      <c r="D532" s="1954"/>
      <c r="E532" s="1954"/>
      <c r="F532" s="1954"/>
      <c r="G532" s="1954"/>
      <c r="H532" s="10"/>
      <c r="I532" s="573" t="s">
        <v>365</v>
      </c>
      <c r="J532" s="577"/>
      <c r="K532" s="577"/>
      <c r="L532" s="577"/>
      <c r="M532" s="577"/>
      <c r="N532" s="577"/>
      <c r="O532" s="577"/>
      <c r="P532" s="577"/>
      <c r="Q532" s="577"/>
      <c r="R532" s="577" t="s">
        <v>352</v>
      </c>
      <c r="S532" s="575">
        <f>FWHeight</f>
        <v>47.5</v>
      </c>
      <c r="T532" s="577" t="s">
        <v>366</v>
      </c>
      <c r="V532" s="579"/>
      <c r="W532" s="579"/>
      <c r="X532" s="579"/>
      <c r="Y532" s="1446"/>
      <c r="Z532" s="1446"/>
      <c r="AA532" s="574"/>
      <c r="AB532" s="853"/>
      <c r="AC532" s="577">
        <v>2</v>
      </c>
      <c r="AD532" s="575"/>
      <c r="AE532" s="577"/>
      <c r="AF532" s="744"/>
      <c r="AG532" s="577"/>
      <c r="AH532" s="626"/>
      <c r="AI532" s="577"/>
      <c r="AJ532" s="577"/>
      <c r="AK532" s="577"/>
      <c r="AL532" s="626"/>
      <c r="AM532" s="962" t="s">
        <v>92</v>
      </c>
      <c r="AN532" s="962" t="s">
        <v>371</v>
      </c>
      <c r="AO532" s="962" t="s">
        <v>92</v>
      </c>
      <c r="AP532" s="962" t="s">
        <v>92</v>
      </c>
      <c r="AQ532" s="1940" t="s">
        <v>92</v>
      </c>
      <c r="AR532" s="962"/>
      <c r="AS532" s="75"/>
    </row>
    <row r="533" spans="1:45" ht="15" customHeight="1" x14ac:dyDescent="0.4">
      <c r="A533"/>
      <c r="B533" s="7"/>
      <c r="C533" s="1971" t="s">
        <v>2285</v>
      </c>
      <c r="D533" s="1971"/>
      <c r="E533" s="1971"/>
      <c r="F533" s="1971"/>
      <c r="G533" s="1971"/>
      <c r="H533" s="10"/>
      <c r="I533" s="4" t="s">
        <v>392</v>
      </c>
      <c r="L533" s="3" t="s">
        <v>348</v>
      </c>
      <c r="M533" s="3">
        <v>-1.25</v>
      </c>
      <c r="N533" s="3"/>
      <c r="O533" s="3"/>
      <c r="P533" s="3"/>
      <c r="Q533" s="3"/>
      <c r="R533" s="3" t="s">
        <v>352</v>
      </c>
      <c r="S533" s="5">
        <f>(FWWidth+M533)</f>
        <v>46.25</v>
      </c>
      <c r="T533" s="3" t="s">
        <v>366</v>
      </c>
      <c r="V533" s="38" t="s">
        <v>8</v>
      </c>
      <c r="W533" s="38" t="s">
        <v>8</v>
      </c>
      <c r="X533" s="38" t="s">
        <v>8</v>
      </c>
      <c r="Y533" s="1443">
        <v>300067000</v>
      </c>
      <c r="Z533" s="1443"/>
      <c r="AB533"/>
      <c r="AC533" s="3">
        <v>2</v>
      </c>
      <c r="AD533" s="5">
        <f>S533/12*AC533+S534/12*AC534</f>
        <v>15.625</v>
      </c>
      <c r="AE533" s="3" t="s">
        <v>367</v>
      </c>
      <c r="AF533" s="216"/>
      <c r="AG533" s="3"/>
      <c r="AI533" s="3"/>
      <c r="AJ533" s="3"/>
      <c r="AK533" s="3"/>
      <c r="AL533" s="51">
        <f>AD533*AH533+SUM(AI533:AK533)</f>
        <v>0</v>
      </c>
      <c r="AM533" s="961" t="s">
        <v>92</v>
      </c>
      <c r="AN533" s="961" t="s">
        <v>371</v>
      </c>
      <c r="AO533" s="961" t="s">
        <v>92</v>
      </c>
      <c r="AP533" s="961" t="s">
        <v>92</v>
      </c>
      <c r="AQ533" s="1939" t="s">
        <v>92</v>
      </c>
      <c r="AR533" s="961"/>
      <c r="AS533" s="75"/>
    </row>
    <row r="534" spans="1:45" ht="15" customHeight="1" thickBot="1" x14ac:dyDescent="0.45">
      <c r="A534"/>
      <c r="B534" s="7"/>
      <c r="C534" s="1972"/>
      <c r="D534" s="1972"/>
      <c r="E534" s="1972"/>
      <c r="F534" s="1972"/>
      <c r="G534" s="1972"/>
      <c r="H534" s="1422"/>
      <c r="I534" s="968" t="s">
        <v>365</v>
      </c>
      <c r="J534" s="889"/>
      <c r="K534" s="889"/>
      <c r="L534" s="889"/>
      <c r="M534" s="889"/>
      <c r="N534" s="889"/>
      <c r="O534" s="889"/>
      <c r="P534" s="889"/>
      <c r="Q534" s="889"/>
      <c r="R534" s="889" t="s">
        <v>352</v>
      </c>
      <c r="S534" s="945">
        <f>FWHeight</f>
        <v>47.5</v>
      </c>
      <c r="T534" s="889" t="s">
        <v>366</v>
      </c>
      <c r="U534" s="948"/>
      <c r="V534" s="888"/>
      <c r="W534" s="888"/>
      <c r="X534" s="888"/>
      <c r="Y534" s="1444"/>
      <c r="Z534" s="1444"/>
      <c r="AA534" s="948"/>
      <c r="AB534" s="1068"/>
      <c r="AC534" s="889">
        <v>2</v>
      </c>
      <c r="AD534" s="945"/>
      <c r="AE534" s="889"/>
      <c r="AF534" s="1597"/>
      <c r="AG534" s="889"/>
      <c r="AH534" s="937"/>
      <c r="AI534" s="889"/>
      <c r="AJ534" s="889"/>
      <c r="AK534" s="889"/>
      <c r="AL534" s="937"/>
      <c r="AM534" s="1598" t="s">
        <v>92</v>
      </c>
      <c r="AN534" s="1598" t="s">
        <v>371</v>
      </c>
      <c r="AO534" s="1598" t="s">
        <v>92</v>
      </c>
      <c r="AP534" s="1598" t="s">
        <v>92</v>
      </c>
      <c r="AQ534" s="1941" t="s">
        <v>92</v>
      </c>
      <c r="AR534" s="1598"/>
      <c r="AS534" s="75"/>
    </row>
    <row r="535" spans="1:45" ht="15" customHeight="1" thickBot="1" x14ac:dyDescent="0.45">
      <c r="A535"/>
      <c r="B535" s="7"/>
      <c r="C535" s="1599"/>
      <c r="D535" s="1599"/>
      <c r="E535" s="1599"/>
      <c r="F535" s="1599"/>
      <c r="G535" s="1599"/>
      <c r="H535" s="1600"/>
      <c r="I535" s="1161"/>
      <c r="J535" s="136"/>
      <c r="K535" s="136"/>
      <c r="L535" s="136"/>
      <c r="M535" s="136"/>
      <c r="N535" s="136"/>
      <c r="O535" s="136"/>
      <c r="P535" s="136"/>
      <c r="Q535" s="136"/>
      <c r="R535" s="136"/>
      <c r="S535" s="506"/>
      <c r="T535" s="136"/>
      <c r="U535" s="491"/>
      <c r="V535" s="557"/>
      <c r="W535" s="557"/>
      <c r="X535" s="557"/>
      <c r="Y535" s="1516"/>
      <c r="Z535" s="1516"/>
      <c r="AA535" s="491"/>
      <c r="AB535" s="1601"/>
      <c r="AC535" s="136"/>
      <c r="AD535" s="506"/>
      <c r="AE535" s="136"/>
      <c r="AF535" s="1602"/>
      <c r="AG535" s="136"/>
      <c r="AH535" s="475"/>
      <c r="AI535" s="136"/>
      <c r="AJ535" s="136"/>
      <c r="AK535" s="136"/>
      <c r="AL535" s="475"/>
      <c r="AM535" s="1603"/>
      <c r="AN535" s="1603"/>
      <c r="AO535" s="1603"/>
      <c r="AP535" s="1603"/>
      <c r="AQ535" s="1942"/>
      <c r="AR535" s="1603"/>
      <c r="AS535" s="75"/>
    </row>
    <row r="536" spans="1:45" ht="15" customHeight="1" x14ac:dyDescent="0.4">
      <c r="A536"/>
      <c r="B536" s="7"/>
      <c r="C536" s="1953" t="s">
        <v>2295</v>
      </c>
      <c r="D536" s="1953"/>
      <c r="E536" s="1953"/>
      <c r="F536" s="1953"/>
      <c r="G536" s="1953"/>
      <c r="H536" s="10"/>
      <c r="I536" s="4" t="s">
        <v>392</v>
      </c>
      <c r="L536" s="3" t="s">
        <v>348</v>
      </c>
      <c r="M536" s="3">
        <v>-1.25</v>
      </c>
      <c r="N536" s="3"/>
      <c r="O536" s="3"/>
      <c r="P536" s="3"/>
      <c r="Q536" s="3"/>
      <c r="R536" s="3" t="s">
        <v>352</v>
      </c>
      <c r="S536" s="5">
        <f>(FWWidth+M536)</f>
        <v>46.25</v>
      </c>
      <c r="T536" s="3" t="s">
        <v>366</v>
      </c>
      <c r="V536" s="38" t="s">
        <v>8</v>
      </c>
      <c r="W536" s="38" t="s">
        <v>8</v>
      </c>
      <c r="X536" s="38" t="s">
        <v>8</v>
      </c>
      <c r="Y536" s="1443">
        <v>220032007</v>
      </c>
      <c r="Z536" s="1443"/>
      <c r="AB536"/>
      <c r="AC536" s="3">
        <v>2</v>
      </c>
      <c r="AD536" s="5">
        <f>S536/12*AC536+S537/12*AC537</f>
        <v>15.625</v>
      </c>
      <c r="AE536" s="3" t="s">
        <v>367</v>
      </c>
      <c r="AF536" s="216"/>
      <c r="AG536" s="3"/>
      <c r="AH536" s="51">
        <f>'Single Hung'!AI1073</f>
        <v>1.4</v>
      </c>
      <c r="AI536" s="3"/>
      <c r="AJ536" s="3"/>
      <c r="AK536" s="3"/>
      <c r="AL536" s="51">
        <f>AD536*AH536+SUM(AI536:AK536)</f>
        <v>21.875</v>
      </c>
      <c r="AM536" s="961" t="s">
        <v>371</v>
      </c>
      <c r="AN536" s="961" t="s">
        <v>92</v>
      </c>
      <c r="AO536" s="961" t="s">
        <v>371</v>
      </c>
      <c r="AP536" s="961" t="s">
        <v>371</v>
      </c>
      <c r="AQ536" s="1939" t="s">
        <v>371</v>
      </c>
      <c r="AR536" s="961"/>
      <c r="AS536" s="75"/>
    </row>
    <row r="537" spans="1:45" ht="15" customHeight="1" x14ac:dyDescent="0.4">
      <c r="A537"/>
      <c r="B537" s="7"/>
      <c r="C537" s="1954"/>
      <c r="D537" s="1954"/>
      <c r="E537" s="1954"/>
      <c r="F537" s="1954"/>
      <c r="G537" s="1954"/>
      <c r="H537" s="743"/>
      <c r="I537" s="573" t="s">
        <v>365</v>
      </c>
      <c r="J537" s="577"/>
      <c r="K537" s="577"/>
      <c r="L537" s="577"/>
      <c r="M537" s="577"/>
      <c r="N537" s="577"/>
      <c r="O537" s="577"/>
      <c r="P537" s="577"/>
      <c r="Q537" s="577"/>
      <c r="R537" s="577" t="s">
        <v>352</v>
      </c>
      <c r="S537" s="575">
        <f>FWHeight</f>
        <v>47.5</v>
      </c>
      <c r="T537" s="577" t="s">
        <v>366</v>
      </c>
      <c r="V537" s="579"/>
      <c r="W537" s="579"/>
      <c r="X537" s="579"/>
      <c r="Y537" s="1446"/>
      <c r="Z537" s="1446"/>
      <c r="AA537" s="574"/>
      <c r="AB537" s="853"/>
      <c r="AC537" s="577">
        <v>2</v>
      </c>
      <c r="AD537" s="575"/>
      <c r="AE537" s="577"/>
      <c r="AF537" s="744"/>
      <c r="AG537" s="577"/>
      <c r="AH537" s="626"/>
      <c r="AI537" s="577"/>
      <c r="AJ537" s="577"/>
      <c r="AK537" s="577"/>
      <c r="AL537" s="626"/>
      <c r="AM537" s="962" t="s">
        <v>371</v>
      </c>
      <c r="AN537" s="962" t="s">
        <v>92</v>
      </c>
      <c r="AO537" s="962" t="s">
        <v>371</v>
      </c>
      <c r="AP537" s="962" t="s">
        <v>371</v>
      </c>
      <c r="AQ537" s="1940" t="s">
        <v>371</v>
      </c>
      <c r="AR537" s="962"/>
      <c r="AS537" s="75"/>
    </row>
    <row r="538" spans="1:45" ht="15" customHeight="1" x14ac:dyDescent="0.4">
      <c r="A538"/>
      <c r="B538" s="7"/>
      <c r="C538" s="1953" t="s">
        <v>2296</v>
      </c>
      <c r="D538" s="1953"/>
      <c r="E538" s="1953"/>
      <c r="F538" s="1953"/>
      <c r="G538" s="1953"/>
      <c r="H538" s="10"/>
      <c r="I538" s="4" t="s">
        <v>392</v>
      </c>
      <c r="L538" s="3" t="s">
        <v>348</v>
      </c>
      <c r="M538" s="3">
        <v>-1.25</v>
      </c>
      <c r="N538" s="3"/>
      <c r="O538" s="3"/>
      <c r="P538" s="3"/>
      <c r="Q538" s="3"/>
      <c r="R538" s="3" t="s">
        <v>352</v>
      </c>
      <c r="S538" s="5">
        <f>(FWWidth+M538)</f>
        <v>46.25</v>
      </c>
      <c r="T538" s="3" t="s">
        <v>366</v>
      </c>
      <c r="V538" s="38" t="s">
        <v>8</v>
      </c>
      <c r="W538" s="38" t="s">
        <v>8</v>
      </c>
      <c r="X538" s="38" t="s">
        <v>8</v>
      </c>
      <c r="Y538" s="1443">
        <v>220033007</v>
      </c>
      <c r="Z538" s="1443"/>
      <c r="AB538"/>
      <c r="AC538" s="3">
        <v>2</v>
      </c>
      <c r="AD538" s="5">
        <f>S538/12*AC538+S539/12*AC539</f>
        <v>15.625</v>
      </c>
      <c r="AE538" s="3" t="s">
        <v>367</v>
      </c>
      <c r="AF538" s="216"/>
      <c r="AG538" s="3"/>
      <c r="AH538" s="51">
        <f>'Single Hung'!AI1075</f>
        <v>1.48</v>
      </c>
      <c r="AI538" s="3"/>
      <c r="AJ538" s="3"/>
      <c r="AK538" s="3"/>
      <c r="AL538" s="51">
        <f>AD538*AH538+SUM(AI538:AK538)</f>
        <v>23.125</v>
      </c>
      <c r="AM538" s="961" t="s">
        <v>371</v>
      </c>
      <c r="AN538" s="961" t="s">
        <v>92</v>
      </c>
      <c r="AO538" s="961" t="s">
        <v>371</v>
      </c>
      <c r="AP538" s="961" t="s">
        <v>371</v>
      </c>
      <c r="AQ538" s="1939" t="s">
        <v>371</v>
      </c>
      <c r="AR538" s="961"/>
      <c r="AS538" s="75"/>
    </row>
    <row r="539" spans="1:45" ht="15" customHeight="1" x14ac:dyDescent="0.4">
      <c r="A539"/>
      <c r="B539" s="7"/>
      <c r="C539" s="1954"/>
      <c r="D539" s="1954"/>
      <c r="E539" s="1954"/>
      <c r="F539" s="1954"/>
      <c r="G539" s="1954"/>
      <c r="H539" s="743"/>
      <c r="I539" s="573" t="s">
        <v>365</v>
      </c>
      <c r="J539" s="577"/>
      <c r="K539" s="577"/>
      <c r="L539" s="577"/>
      <c r="M539" s="577"/>
      <c r="N539" s="577"/>
      <c r="O539" s="577"/>
      <c r="P539" s="577"/>
      <c r="Q539" s="577"/>
      <c r="R539" s="577" t="s">
        <v>352</v>
      </c>
      <c r="S539" s="575">
        <f>FWHeight</f>
        <v>47.5</v>
      </c>
      <c r="T539" s="577" t="s">
        <v>366</v>
      </c>
      <c r="V539" s="579"/>
      <c r="W539" s="579"/>
      <c r="X539" s="579"/>
      <c r="Y539" s="1446"/>
      <c r="Z539" s="1446"/>
      <c r="AA539" s="574"/>
      <c r="AB539" s="853"/>
      <c r="AC539" s="577">
        <v>2</v>
      </c>
      <c r="AD539" s="575"/>
      <c r="AE539" s="577"/>
      <c r="AF539" s="744"/>
      <c r="AG539" s="577"/>
      <c r="AH539" s="626"/>
      <c r="AI539" s="577"/>
      <c r="AJ539" s="577"/>
      <c r="AK539" s="577"/>
      <c r="AL539" s="626"/>
      <c r="AM539" s="962" t="s">
        <v>371</v>
      </c>
      <c r="AN539" s="962" t="s">
        <v>92</v>
      </c>
      <c r="AO539" s="962" t="s">
        <v>371</v>
      </c>
      <c r="AP539" s="962" t="s">
        <v>371</v>
      </c>
      <c r="AQ539" s="1940" t="s">
        <v>371</v>
      </c>
      <c r="AR539" s="962"/>
      <c r="AS539" s="75"/>
    </row>
    <row r="540" spans="1:45" ht="15" customHeight="1" x14ac:dyDescent="0.4">
      <c r="A540"/>
      <c r="B540" s="7"/>
      <c r="C540" s="1953" t="s">
        <v>2297</v>
      </c>
      <c r="D540" s="1953"/>
      <c r="E540" s="1953"/>
      <c r="F540" s="1953"/>
      <c r="G540" s="1953"/>
      <c r="H540" s="10"/>
      <c r="I540" s="4" t="s">
        <v>392</v>
      </c>
      <c r="L540" s="3" t="s">
        <v>348</v>
      </c>
      <c r="M540" s="3">
        <v>-1.25</v>
      </c>
      <c r="N540" s="3"/>
      <c r="O540" s="3"/>
      <c r="P540" s="3"/>
      <c r="Q540" s="3"/>
      <c r="R540" s="3" t="s">
        <v>352</v>
      </c>
      <c r="S540" s="5">
        <f>(FWWidth+M540)</f>
        <v>46.25</v>
      </c>
      <c r="T540" s="3" t="s">
        <v>366</v>
      </c>
      <c r="V540" s="38" t="s">
        <v>8</v>
      </c>
      <c r="W540" s="38" t="s">
        <v>8</v>
      </c>
      <c r="X540" s="38" t="s">
        <v>8</v>
      </c>
      <c r="Y540" s="1443">
        <v>220034007</v>
      </c>
      <c r="Z540" s="1443"/>
      <c r="AB540"/>
      <c r="AC540" s="3">
        <v>2</v>
      </c>
      <c r="AD540" s="5">
        <f>S540/12*AC540+S541/12*AC541</f>
        <v>15.625</v>
      </c>
      <c r="AE540" s="3" t="s">
        <v>367</v>
      </c>
      <c r="AF540" s="216"/>
      <c r="AG540" s="3"/>
      <c r="AH540" s="51">
        <f>'Single Hung'!AI1077</f>
        <v>1.28</v>
      </c>
      <c r="AI540" s="3"/>
      <c r="AJ540" s="3"/>
      <c r="AK540" s="3"/>
      <c r="AL540" s="51">
        <f>AD540*AH540+SUM(AI540:AK540)</f>
        <v>20</v>
      </c>
      <c r="AM540" s="961" t="s">
        <v>371</v>
      </c>
      <c r="AN540" s="961" t="s">
        <v>92</v>
      </c>
      <c r="AO540" s="961" t="s">
        <v>371</v>
      </c>
      <c r="AP540" s="961" t="s">
        <v>371</v>
      </c>
      <c r="AQ540" s="1939" t="s">
        <v>371</v>
      </c>
      <c r="AR540" s="961"/>
      <c r="AS540" s="75"/>
    </row>
    <row r="541" spans="1:45" ht="15" customHeight="1" x14ac:dyDescent="0.4">
      <c r="A541"/>
      <c r="B541" s="7"/>
      <c r="C541" s="1954"/>
      <c r="D541" s="1954"/>
      <c r="E541" s="1954"/>
      <c r="F541" s="1954"/>
      <c r="G541" s="1954"/>
      <c r="H541" s="743"/>
      <c r="I541" s="573" t="s">
        <v>365</v>
      </c>
      <c r="J541" s="577"/>
      <c r="K541" s="577"/>
      <c r="L541" s="577"/>
      <c r="M541" s="577"/>
      <c r="N541" s="577"/>
      <c r="O541" s="577"/>
      <c r="P541" s="577"/>
      <c r="Q541" s="577"/>
      <c r="R541" s="577" t="s">
        <v>352</v>
      </c>
      <c r="S541" s="575">
        <f>FWHeight</f>
        <v>47.5</v>
      </c>
      <c r="T541" s="577" t="s">
        <v>366</v>
      </c>
      <c r="V541" s="579"/>
      <c r="W541" s="579"/>
      <c r="X541" s="579"/>
      <c r="Y541" s="1446"/>
      <c r="Z541" s="1446"/>
      <c r="AA541" s="574"/>
      <c r="AB541" s="853"/>
      <c r="AC541" s="577">
        <v>2</v>
      </c>
      <c r="AD541" s="575"/>
      <c r="AE541" s="577"/>
      <c r="AF541" s="744"/>
      <c r="AG541" s="577"/>
      <c r="AH541" s="626"/>
      <c r="AI541" s="577"/>
      <c r="AJ541" s="577"/>
      <c r="AK541" s="577"/>
      <c r="AL541" s="626"/>
      <c r="AM541" s="962" t="s">
        <v>371</v>
      </c>
      <c r="AN541" s="962" t="s">
        <v>92</v>
      </c>
      <c r="AO541" s="962" t="s">
        <v>371</v>
      </c>
      <c r="AP541" s="962" t="s">
        <v>371</v>
      </c>
      <c r="AQ541" s="1940" t="s">
        <v>371</v>
      </c>
      <c r="AR541" s="962"/>
      <c r="AS541" s="75"/>
    </row>
    <row r="542" spans="1:45" ht="15" customHeight="1" x14ac:dyDescent="0.4">
      <c r="A542"/>
      <c r="B542" s="7"/>
      <c r="C542" s="1953" t="s">
        <v>2298</v>
      </c>
      <c r="D542" s="1953"/>
      <c r="E542" s="1953"/>
      <c r="F542" s="1953"/>
      <c r="G542" s="1953"/>
      <c r="H542" s="10"/>
      <c r="I542" s="4" t="s">
        <v>392</v>
      </c>
      <c r="L542" s="3" t="s">
        <v>348</v>
      </c>
      <c r="M542" s="3">
        <v>-1.25</v>
      </c>
      <c r="N542" s="3"/>
      <c r="O542" s="3"/>
      <c r="P542" s="3"/>
      <c r="Q542" s="3"/>
      <c r="R542" s="3" t="s">
        <v>352</v>
      </c>
      <c r="S542" s="5">
        <f>(FWWidth+M542)</f>
        <v>46.25</v>
      </c>
      <c r="T542" s="3" t="s">
        <v>366</v>
      </c>
      <c r="V542" s="38" t="s">
        <v>8</v>
      </c>
      <c r="W542" s="38" t="s">
        <v>8</v>
      </c>
      <c r="X542" s="38" t="s">
        <v>8</v>
      </c>
      <c r="Y542" s="1443">
        <v>220035007</v>
      </c>
      <c r="Z542" s="1443"/>
      <c r="AB542"/>
      <c r="AC542" s="3">
        <v>2</v>
      </c>
      <c r="AD542" s="5">
        <f>S542/12*AC542+S543/12*AC543</f>
        <v>15.625</v>
      </c>
      <c r="AE542" s="3" t="s">
        <v>367</v>
      </c>
      <c r="AF542" s="216"/>
      <c r="AG542" s="3"/>
      <c r="AH542" s="51">
        <f>'Single Hung'!AI1091</f>
        <v>0.875</v>
      </c>
      <c r="AI542" s="3"/>
      <c r="AJ542" s="3"/>
      <c r="AK542" s="3"/>
      <c r="AL542" s="51">
        <f>AD542*AH542+SUM(AI542:AK542)</f>
        <v>13.671875</v>
      </c>
      <c r="AM542" s="961" t="s">
        <v>371</v>
      </c>
      <c r="AN542" s="961" t="s">
        <v>92</v>
      </c>
      <c r="AO542" s="961" t="s">
        <v>371</v>
      </c>
      <c r="AP542" s="961" t="s">
        <v>371</v>
      </c>
      <c r="AQ542" s="1939" t="s">
        <v>371</v>
      </c>
      <c r="AR542" s="961"/>
      <c r="AS542" s="75"/>
    </row>
    <row r="543" spans="1:45" ht="15" customHeight="1" x14ac:dyDescent="0.4">
      <c r="A543"/>
      <c r="B543" s="7"/>
      <c r="C543" s="1954"/>
      <c r="D543" s="1954"/>
      <c r="E543" s="1954"/>
      <c r="F543" s="1954"/>
      <c r="G543" s="1954"/>
      <c r="H543" s="743"/>
      <c r="I543" s="573" t="s">
        <v>365</v>
      </c>
      <c r="J543" s="577"/>
      <c r="K543" s="577"/>
      <c r="L543" s="577"/>
      <c r="M543" s="577"/>
      <c r="N543" s="577"/>
      <c r="O543" s="577"/>
      <c r="P543" s="577"/>
      <c r="Q543" s="577"/>
      <c r="R543" s="577" t="s">
        <v>352</v>
      </c>
      <c r="S543" s="575">
        <f>FWHeight</f>
        <v>47.5</v>
      </c>
      <c r="T543" s="577" t="s">
        <v>366</v>
      </c>
      <c r="V543" s="579"/>
      <c r="W543" s="579"/>
      <c r="X543" s="579"/>
      <c r="Y543" s="1446"/>
      <c r="Z543" s="1446"/>
      <c r="AA543" s="574"/>
      <c r="AB543" s="853"/>
      <c r="AC543" s="577">
        <v>2</v>
      </c>
      <c r="AD543" s="575"/>
      <c r="AE543" s="577"/>
      <c r="AF543" s="744"/>
      <c r="AG543" s="577"/>
      <c r="AH543" s="626"/>
      <c r="AI543" s="577"/>
      <c r="AJ543" s="577"/>
      <c r="AK543" s="577"/>
      <c r="AL543" s="626"/>
      <c r="AM543" s="962" t="s">
        <v>371</v>
      </c>
      <c r="AN543" s="962" t="s">
        <v>92</v>
      </c>
      <c r="AO543" s="962" t="s">
        <v>371</v>
      </c>
      <c r="AP543" s="962" t="s">
        <v>371</v>
      </c>
      <c r="AQ543" s="1940" t="s">
        <v>371</v>
      </c>
      <c r="AR543" s="962"/>
      <c r="AS543" s="75"/>
    </row>
    <row r="544" spans="1:45" ht="15" customHeight="1" thickBot="1" x14ac:dyDescent="0.45">
      <c r="C544" s="949"/>
      <c r="D544" s="968"/>
      <c r="E544" s="968"/>
      <c r="F544" s="968"/>
      <c r="G544" s="968"/>
      <c r="H544" s="948"/>
      <c r="I544" s="889"/>
      <c r="J544" s="889"/>
      <c r="K544" s="889"/>
      <c r="L544" s="889"/>
      <c r="M544" s="945"/>
      <c r="N544" s="945"/>
      <c r="O544" s="945"/>
      <c r="P544" s="945"/>
      <c r="Q544" s="945"/>
      <c r="R544" s="889"/>
      <c r="S544" s="945"/>
      <c r="T544" s="889"/>
      <c r="U544" s="948"/>
      <c r="V544" s="889"/>
      <c r="W544" s="889"/>
      <c r="X544" s="889"/>
      <c r="Y544" s="889"/>
      <c r="Z544" s="889"/>
      <c r="AA544" s="948"/>
      <c r="AB544" s="889"/>
      <c r="AC544" s="889"/>
      <c r="AD544" s="945"/>
      <c r="AE544" s="945"/>
      <c r="AF544" s="945"/>
      <c r="AG544" s="945"/>
      <c r="AH544" s="937"/>
      <c r="AI544" s="937"/>
      <c r="AJ544" s="937"/>
      <c r="AK544" s="937"/>
      <c r="AL544" s="937"/>
      <c r="AM544" s="889"/>
      <c r="AN544" s="889"/>
      <c r="AO544" s="889"/>
      <c r="AP544" s="889"/>
      <c r="AQ544" s="1590"/>
      <c r="AR544" s="889"/>
    </row>
    <row r="545" spans="1:45" ht="15" customHeight="1" x14ac:dyDescent="0.4">
      <c r="A545"/>
      <c r="B545" s="7"/>
      <c r="C545" s="1953" t="s">
        <v>2299</v>
      </c>
      <c r="D545" s="1953"/>
      <c r="E545" s="1953"/>
      <c r="F545" s="1953"/>
      <c r="G545" s="1953"/>
      <c r="H545" s="10"/>
      <c r="I545" s="4" t="s">
        <v>392</v>
      </c>
      <c r="L545" s="3" t="s">
        <v>348</v>
      </c>
      <c r="M545" s="3">
        <v>-1.25</v>
      </c>
      <c r="N545" s="3"/>
      <c r="O545" s="3"/>
      <c r="P545" s="3"/>
      <c r="Q545" s="3"/>
      <c r="R545" s="3" t="s">
        <v>352</v>
      </c>
      <c r="S545" s="5">
        <f>(FWWidth+M545)</f>
        <v>46.25</v>
      </c>
      <c r="T545" s="3" t="s">
        <v>366</v>
      </c>
      <c r="V545" s="38" t="s">
        <v>8</v>
      </c>
      <c r="W545" s="38" t="s">
        <v>8</v>
      </c>
      <c r="X545" s="38" t="s">
        <v>8</v>
      </c>
      <c r="Y545" s="1443">
        <v>220036007</v>
      </c>
      <c r="Z545" s="1443"/>
      <c r="AB545"/>
      <c r="AC545" s="3">
        <v>2</v>
      </c>
      <c r="AD545" s="5">
        <f>S545/12*AC545+S546/12*AC546</f>
        <v>15.625</v>
      </c>
      <c r="AE545" s="3" t="s">
        <v>367</v>
      </c>
      <c r="AF545" s="216"/>
      <c r="AG545" s="3"/>
      <c r="AH545" s="51">
        <f>'Single Hung'!AI1097</f>
        <v>0</v>
      </c>
      <c r="AI545" s="3"/>
      <c r="AJ545" s="3"/>
      <c r="AK545" s="3"/>
      <c r="AL545" s="51">
        <f>AD545*AH545+SUM(AI545:AK545)</f>
        <v>0</v>
      </c>
      <c r="AM545" s="961" t="s">
        <v>371</v>
      </c>
      <c r="AN545" s="961" t="s">
        <v>92</v>
      </c>
      <c r="AO545" s="961" t="s">
        <v>371</v>
      </c>
      <c r="AP545" s="961" t="s">
        <v>371</v>
      </c>
      <c r="AQ545" s="1939" t="s">
        <v>371</v>
      </c>
      <c r="AR545" s="961"/>
      <c r="AS545" s="75"/>
    </row>
    <row r="546" spans="1:45" ht="15" customHeight="1" x14ac:dyDescent="0.4">
      <c r="A546"/>
      <c r="B546" s="7"/>
      <c r="C546" s="1954"/>
      <c r="D546" s="1954"/>
      <c r="E546" s="1954"/>
      <c r="F546" s="1954"/>
      <c r="G546" s="1954"/>
      <c r="H546" s="743"/>
      <c r="I546" s="573" t="s">
        <v>365</v>
      </c>
      <c r="J546" s="577"/>
      <c r="K546" s="577"/>
      <c r="L546" s="577"/>
      <c r="M546" s="577"/>
      <c r="N546" s="577"/>
      <c r="O546" s="577"/>
      <c r="P546" s="577"/>
      <c r="Q546" s="577"/>
      <c r="R546" s="577" t="s">
        <v>352</v>
      </c>
      <c r="S546" s="575">
        <f>FWHeight</f>
        <v>47.5</v>
      </c>
      <c r="T546" s="577" t="s">
        <v>366</v>
      </c>
      <c r="V546" s="579"/>
      <c r="W546" s="579"/>
      <c r="X546" s="579"/>
      <c r="Y546" s="1446"/>
      <c r="Z546" s="1446"/>
      <c r="AA546" s="574"/>
      <c r="AB546" s="853"/>
      <c r="AC546" s="577">
        <v>2</v>
      </c>
      <c r="AD546" s="575"/>
      <c r="AE546" s="577"/>
      <c r="AF546" s="744"/>
      <c r="AG546" s="577"/>
      <c r="AH546" s="626"/>
      <c r="AI546" s="577"/>
      <c r="AJ546" s="577"/>
      <c r="AK546" s="577"/>
      <c r="AL546" s="626"/>
      <c r="AM546" s="962" t="s">
        <v>371</v>
      </c>
      <c r="AN546" s="962" t="s">
        <v>92</v>
      </c>
      <c r="AO546" s="962" t="s">
        <v>371</v>
      </c>
      <c r="AP546" s="962" t="s">
        <v>371</v>
      </c>
      <c r="AQ546" s="1940" t="s">
        <v>371</v>
      </c>
      <c r="AR546" s="962"/>
      <c r="AS546" s="75"/>
    </row>
    <row r="547" spans="1:45" ht="15" customHeight="1" x14ac:dyDescent="0.4">
      <c r="A547"/>
      <c r="B547" s="7"/>
      <c r="C547" s="1953" t="s">
        <v>2300</v>
      </c>
      <c r="D547" s="1953"/>
      <c r="E547" s="1953"/>
      <c r="F547" s="1953"/>
      <c r="G547" s="1953"/>
      <c r="H547" s="10"/>
      <c r="I547" s="4" t="s">
        <v>392</v>
      </c>
      <c r="L547" s="3" t="s">
        <v>348</v>
      </c>
      <c r="M547" s="3">
        <v>-1.25</v>
      </c>
      <c r="N547" s="3"/>
      <c r="O547" s="3"/>
      <c r="P547" s="3"/>
      <c r="Q547" s="3"/>
      <c r="R547" s="3" t="s">
        <v>352</v>
      </c>
      <c r="S547" s="5">
        <f>(FWWidth+M547)</f>
        <v>46.25</v>
      </c>
      <c r="T547" s="3" t="s">
        <v>366</v>
      </c>
      <c r="V547" s="38" t="s">
        <v>8</v>
      </c>
      <c r="W547" s="38" t="s">
        <v>8</v>
      </c>
      <c r="X547" s="38" t="s">
        <v>8</v>
      </c>
      <c r="Y547" s="1443">
        <v>220037007</v>
      </c>
      <c r="Z547" s="1443"/>
      <c r="AB547"/>
      <c r="AC547" s="3">
        <v>2</v>
      </c>
      <c r="AD547" s="5">
        <f>S547/12*AC547+S548/12*AC548</f>
        <v>15.625</v>
      </c>
      <c r="AE547" s="3" t="s">
        <v>367</v>
      </c>
      <c r="AF547" s="216"/>
      <c r="AG547" s="3"/>
      <c r="AH547" s="51">
        <f>'Single Hung'!AI1082</f>
        <v>1.17</v>
      </c>
      <c r="AI547" s="3"/>
      <c r="AJ547" s="3"/>
      <c r="AK547" s="3"/>
      <c r="AL547" s="51">
        <f>AD547*AH547+SUM(AI547:AK547)</f>
        <v>18.28125</v>
      </c>
      <c r="AM547" s="961" t="s">
        <v>371</v>
      </c>
      <c r="AN547" s="961" t="s">
        <v>92</v>
      </c>
      <c r="AO547" s="961" t="s">
        <v>371</v>
      </c>
      <c r="AP547" s="961" t="s">
        <v>371</v>
      </c>
      <c r="AQ547" s="1939" t="s">
        <v>371</v>
      </c>
      <c r="AR547" s="961"/>
      <c r="AS547" s="75"/>
    </row>
    <row r="548" spans="1:45" ht="15" customHeight="1" x14ac:dyDescent="0.4">
      <c r="A548"/>
      <c r="B548" s="7"/>
      <c r="C548" s="1954"/>
      <c r="D548" s="1954"/>
      <c r="E548" s="1954"/>
      <c r="F548" s="1954"/>
      <c r="G548" s="1954"/>
      <c r="H548" s="743"/>
      <c r="I548" s="573" t="s">
        <v>365</v>
      </c>
      <c r="J548" s="577"/>
      <c r="K548" s="577"/>
      <c r="L548" s="577"/>
      <c r="M548" s="577"/>
      <c r="N548" s="577"/>
      <c r="O548" s="577"/>
      <c r="P548" s="577"/>
      <c r="Q548" s="577"/>
      <c r="R548" s="577" t="s">
        <v>352</v>
      </c>
      <c r="S548" s="575">
        <f>FWHeight</f>
        <v>47.5</v>
      </c>
      <c r="T548" s="577" t="s">
        <v>366</v>
      </c>
      <c r="V548" s="579"/>
      <c r="W548" s="579"/>
      <c r="X548" s="579"/>
      <c r="Y548" s="1446"/>
      <c r="Z548" s="1446"/>
      <c r="AA548" s="574"/>
      <c r="AB548" s="853"/>
      <c r="AC548" s="577">
        <v>2</v>
      </c>
      <c r="AD548" s="575"/>
      <c r="AE548" s="577"/>
      <c r="AF548" s="744"/>
      <c r="AG548" s="577"/>
      <c r="AH548" s="626"/>
      <c r="AI548" s="577"/>
      <c r="AJ548" s="577"/>
      <c r="AK548" s="577"/>
      <c r="AL548" s="626"/>
      <c r="AM548" s="962" t="s">
        <v>371</v>
      </c>
      <c r="AN548" s="962" t="s">
        <v>92</v>
      </c>
      <c r="AO548" s="962" t="s">
        <v>371</v>
      </c>
      <c r="AP548" s="962" t="s">
        <v>371</v>
      </c>
      <c r="AQ548" s="1940" t="s">
        <v>371</v>
      </c>
      <c r="AR548" s="962"/>
      <c r="AS548" s="75"/>
    </row>
    <row r="549" spans="1:45" ht="15" customHeight="1" x14ac:dyDescent="0.4">
      <c r="A549"/>
      <c r="B549" s="7"/>
      <c r="C549" s="1953" t="s">
        <v>2301</v>
      </c>
      <c r="D549" s="1953"/>
      <c r="E549" s="1953"/>
      <c r="F549" s="1953"/>
      <c r="G549" s="1953"/>
      <c r="H549" s="10"/>
      <c r="I549" s="4" t="s">
        <v>392</v>
      </c>
      <c r="L549" s="3" t="s">
        <v>348</v>
      </c>
      <c r="M549" s="3">
        <v>-1.25</v>
      </c>
      <c r="N549" s="3"/>
      <c r="O549" s="3"/>
      <c r="P549" s="3"/>
      <c r="Q549" s="3"/>
      <c r="R549" s="3" t="s">
        <v>352</v>
      </c>
      <c r="S549" s="5">
        <f>(FWWidth+M549)</f>
        <v>46.25</v>
      </c>
      <c r="T549" s="3" t="s">
        <v>366</v>
      </c>
      <c r="V549" s="38" t="s">
        <v>8</v>
      </c>
      <c r="W549" s="38" t="s">
        <v>8</v>
      </c>
      <c r="X549" s="38" t="s">
        <v>8</v>
      </c>
      <c r="Y549" s="1443">
        <v>220038007</v>
      </c>
      <c r="Z549" s="1443"/>
      <c r="AB549"/>
      <c r="AC549" s="3">
        <v>2</v>
      </c>
      <c r="AD549" s="5">
        <f>S549/12*AC549+S550/12*AC550</f>
        <v>15.625</v>
      </c>
      <c r="AE549" s="3" t="s">
        <v>367</v>
      </c>
      <c r="AF549" s="216"/>
      <c r="AG549" s="3"/>
      <c r="AH549" s="51">
        <f>'Single Hung'!AI1084</f>
        <v>2.36</v>
      </c>
      <c r="AI549" s="3"/>
      <c r="AJ549" s="3"/>
      <c r="AK549" s="3"/>
      <c r="AL549" s="51">
        <f>AD549*AH549+SUM(AI549:AK549)</f>
        <v>36.875</v>
      </c>
      <c r="AM549" s="961" t="s">
        <v>371</v>
      </c>
      <c r="AN549" s="961" t="s">
        <v>92</v>
      </c>
      <c r="AO549" s="961" t="s">
        <v>371</v>
      </c>
      <c r="AP549" s="961" t="s">
        <v>371</v>
      </c>
      <c r="AQ549" s="1939" t="s">
        <v>371</v>
      </c>
      <c r="AR549" s="961"/>
      <c r="AS549" s="75"/>
    </row>
    <row r="550" spans="1:45" ht="15" customHeight="1" x14ac:dyDescent="0.4">
      <c r="A550"/>
      <c r="B550" s="7"/>
      <c r="C550" s="1954"/>
      <c r="D550" s="1954"/>
      <c r="E550" s="1954"/>
      <c r="F550" s="1954"/>
      <c r="G550" s="1954"/>
      <c r="H550" s="743"/>
      <c r="I550" s="573" t="s">
        <v>365</v>
      </c>
      <c r="J550" s="577"/>
      <c r="K550" s="577"/>
      <c r="L550" s="577"/>
      <c r="M550" s="577"/>
      <c r="N550" s="577"/>
      <c r="O550" s="577"/>
      <c r="P550" s="577"/>
      <c r="Q550" s="577"/>
      <c r="R550" s="577" t="s">
        <v>352</v>
      </c>
      <c r="S550" s="575">
        <f>FWHeight</f>
        <v>47.5</v>
      </c>
      <c r="T550" s="577" t="s">
        <v>366</v>
      </c>
      <c r="V550" s="579"/>
      <c r="W550" s="579"/>
      <c r="X550" s="579"/>
      <c r="Y550" s="1446"/>
      <c r="Z550" s="1446"/>
      <c r="AA550" s="574"/>
      <c r="AB550" s="853"/>
      <c r="AC550" s="577">
        <v>2</v>
      </c>
      <c r="AD550" s="575"/>
      <c r="AE550" s="577"/>
      <c r="AF550" s="744"/>
      <c r="AG550" s="577"/>
      <c r="AH550" s="626"/>
      <c r="AI550" s="577"/>
      <c r="AJ550" s="577"/>
      <c r="AK550" s="577"/>
      <c r="AL550" s="626"/>
      <c r="AM550" s="962" t="s">
        <v>371</v>
      </c>
      <c r="AN550" s="962" t="s">
        <v>92</v>
      </c>
      <c r="AO550" s="962" t="s">
        <v>371</v>
      </c>
      <c r="AP550" s="962" t="s">
        <v>371</v>
      </c>
      <c r="AQ550" s="1940" t="s">
        <v>371</v>
      </c>
      <c r="AR550" s="962"/>
      <c r="AS550" s="75"/>
    </row>
    <row r="551" spans="1:45" ht="15" customHeight="1" x14ac:dyDescent="0.4">
      <c r="A551"/>
      <c r="B551" s="7"/>
      <c r="C551" s="1953" t="s">
        <v>2302</v>
      </c>
      <c r="D551" s="1953"/>
      <c r="E551" s="1953"/>
      <c r="F551" s="1953"/>
      <c r="G551" s="1953"/>
      <c r="H551" s="10"/>
      <c r="I551" s="4" t="s">
        <v>392</v>
      </c>
      <c r="L551" s="3" t="s">
        <v>348</v>
      </c>
      <c r="M551" s="3">
        <v>-1.25</v>
      </c>
      <c r="N551" s="3"/>
      <c r="O551" s="3"/>
      <c r="P551" s="3"/>
      <c r="Q551" s="3"/>
      <c r="R551" s="3" t="s">
        <v>352</v>
      </c>
      <c r="S551" s="5">
        <f>(FWWidth+M551)</f>
        <v>46.25</v>
      </c>
      <c r="T551" s="3" t="s">
        <v>366</v>
      </c>
      <c r="V551" s="38" t="s">
        <v>8</v>
      </c>
      <c r="W551" s="38" t="s">
        <v>8</v>
      </c>
      <c r="X551" s="38" t="s">
        <v>8</v>
      </c>
      <c r="Y551" s="1443">
        <v>220039007</v>
      </c>
      <c r="Z551" s="1443"/>
      <c r="AB551"/>
      <c r="AC551" s="3">
        <v>2</v>
      </c>
      <c r="AD551" s="5">
        <f>S551/12*AC551+S552/12*AC552</f>
        <v>15.625</v>
      </c>
      <c r="AE551" s="3" t="s">
        <v>367</v>
      </c>
      <c r="AF551" s="216"/>
      <c r="AG551" s="3"/>
      <c r="AH551" s="51">
        <f>'Single Hung'!AI1086</f>
        <v>2.74</v>
      </c>
      <c r="AI551" s="3"/>
      <c r="AJ551" s="3"/>
      <c r="AK551" s="3"/>
      <c r="AL551" s="51">
        <f>AD551*AH551+SUM(AI551:AK551)</f>
        <v>42.8125</v>
      </c>
      <c r="AM551" s="961" t="s">
        <v>371</v>
      </c>
      <c r="AN551" s="961" t="s">
        <v>92</v>
      </c>
      <c r="AO551" s="961" t="s">
        <v>371</v>
      </c>
      <c r="AP551" s="961" t="s">
        <v>371</v>
      </c>
      <c r="AQ551" s="1939" t="s">
        <v>371</v>
      </c>
      <c r="AR551" s="961"/>
      <c r="AS551" s="75"/>
    </row>
    <row r="552" spans="1:45" ht="15" customHeight="1" x14ac:dyDescent="0.4">
      <c r="A552"/>
      <c r="B552" s="7"/>
      <c r="C552" s="1954"/>
      <c r="D552" s="1954"/>
      <c r="E552" s="1954"/>
      <c r="F552" s="1954"/>
      <c r="G552" s="1954"/>
      <c r="H552" s="743"/>
      <c r="I552" s="573" t="s">
        <v>365</v>
      </c>
      <c r="J552" s="577"/>
      <c r="K552" s="577"/>
      <c r="L552" s="577"/>
      <c r="M552" s="577"/>
      <c r="N552" s="577"/>
      <c r="O552" s="577"/>
      <c r="P552" s="577"/>
      <c r="Q552" s="577"/>
      <c r="R552" s="577" t="s">
        <v>352</v>
      </c>
      <c r="S552" s="575">
        <f>FWHeight</f>
        <v>47.5</v>
      </c>
      <c r="T552" s="577" t="s">
        <v>366</v>
      </c>
      <c r="V552" s="579"/>
      <c r="W552" s="579"/>
      <c r="X552" s="579"/>
      <c r="Y552" s="1446"/>
      <c r="Z552" s="1446"/>
      <c r="AA552" s="574"/>
      <c r="AB552" s="853"/>
      <c r="AC552" s="577">
        <v>2</v>
      </c>
      <c r="AD552" s="575"/>
      <c r="AE552" s="577"/>
      <c r="AF552" s="744"/>
      <c r="AG552" s="577"/>
      <c r="AH552" s="626"/>
      <c r="AI552" s="577"/>
      <c r="AJ552" s="577"/>
      <c r="AK552" s="577"/>
      <c r="AL552" s="626"/>
      <c r="AM552" s="962" t="s">
        <v>371</v>
      </c>
      <c r="AN552" s="962" t="s">
        <v>92</v>
      </c>
      <c r="AO552" s="962" t="s">
        <v>371</v>
      </c>
      <c r="AP552" s="962" t="s">
        <v>371</v>
      </c>
      <c r="AQ552" s="1940" t="s">
        <v>371</v>
      </c>
      <c r="AR552" s="962"/>
      <c r="AS552" s="75"/>
    </row>
    <row r="553" spans="1:45" ht="15" customHeight="1" x14ac:dyDescent="0.4">
      <c r="A553"/>
      <c r="B553" s="7"/>
      <c r="C553" s="1165"/>
      <c r="D553" s="1165"/>
      <c r="E553" s="1165"/>
      <c r="F553" s="1165"/>
      <c r="G553" s="1165"/>
      <c r="H553" s="743"/>
      <c r="I553" s="573"/>
      <c r="J553" s="577"/>
      <c r="K553" s="577"/>
      <c r="L553" s="577"/>
      <c r="M553" s="577"/>
      <c r="N553" s="577"/>
      <c r="O553" s="577"/>
      <c r="P553" s="577"/>
      <c r="Q553" s="577"/>
      <c r="R553" s="577"/>
      <c r="S553" s="575"/>
      <c r="T553" s="577"/>
      <c r="U553" s="574"/>
      <c r="V553" s="579"/>
      <c r="W553" s="579"/>
      <c r="X553" s="579"/>
      <c r="Y553" s="1446"/>
      <c r="Z553" s="1446"/>
      <c r="AA553" s="574"/>
      <c r="AB553" s="853"/>
      <c r="AC553" s="577"/>
      <c r="AD553" s="575"/>
      <c r="AE553" s="577"/>
      <c r="AF553" s="744"/>
      <c r="AG553" s="577"/>
      <c r="AH553" s="626"/>
      <c r="AI553" s="577"/>
      <c r="AJ553" s="577"/>
      <c r="AK553" s="577"/>
      <c r="AL553" s="626"/>
      <c r="AM553" s="962"/>
      <c r="AN553" s="962"/>
      <c r="AO553" s="962"/>
      <c r="AP553" s="962"/>
      <c r="AQ553" s="1940"/>
      <c r="AR553" s="962"/>
      <c r="AS553" s="75"/>
    </row>
    <row r="554" spans="1:45" ht="15" customHeight="1" x14ac:dyDescent="0.4">
      <c r="A554"/>
      <c r="B554" s="7"/>
      <c r="C554" s="1953" t="s">
        <v>2303</v>
      </c>
      <c r="D554" s="1953"/>
      <c r="E554" s="1953"/>
      <c r="F554" s="1953"/>
      <c r="G554" s="1953"/>
      <c r="H554" s="10"/>
      <c r="I554" s="4" t="s">
        <v>392</v>
      </c>
      <c r="L554" s="3" t="s">
        <v>348</v>
      </c>
      <c r="M554" s="3">
        <v>-1.25</v>
      </c>
      <c r="N554" s="3"/>
      <c r="O554" s="3"/>
      <c r="P554" s="3"/>
      <c r="Q554" s="3"/>
      <c r="R554" s="3" t="s">
        <v>352</v>
      </c>
      <c r="S554" s="5">
        <f>(FWWidth+M554)</f>
        <v>46.25</v>
      </c>
      <c r="T554" s="3" t="s">
        <v>366</v>
      </c>
      <c r="V554" s="38" t="s">
        <v>8</v>
      </c>
      <c r="W554" s="38" t="s">
        <v>8</v>
      </c>
      <c r="X554" s="38" t="s">
        <v>8</v>
      </c>
      <c r="Y554" s="1443">
        <v>200107009</v>
      </c>
      <c r="Z554" s="1443"/>
      <c r="AB554"/>
      <c r="AC554" s="3">
        <v>2</v>
      </c>
      <c r="AD554" s="5">
        <f>S554/12*AC554+S555/12*AC555</f>
        <v>15.625</v>
      </c>
      <c r="AE554" s="3" t="s">
        <v>367</v>
      </c>
      <c r="AF554" s="216"/>
      <c r="AG554" s="3"/>
      <c r="AI554" s="3"/>
      <c r="AJ554" s="3"/>
      <c r="AK554" s="3"/>
      <c r="AL554" s="51">
        <f>AD554*AH554+SUM(AI554:AK554)</f>
        <v>0</v>
      </c>
      <c r="AM554" s="961" t="s">
        <v>371</v>
      </c>
      <c r="AN554" s="961" t="s">
        <v>371</v>
      </c>
      <c r="AO554" s="961" t="s">
        <v>371</v>
      </c>
      <c r="AP554" s="961" t="s">
        <v>81</v>
      </c>
      <c r="AQ554" s="1939" t="s">
        <v>371</v>
      </c>
      <c r="AR554" s="961"/>
      <c r="AS554" s="75"/>
    </row>
    <row r="555" spans="1:45" ht="15" customHeight="1" x14ac:dyDescent="0.4">
      <c r="A555"/>
      <c r="B555" s="7"/>
      <c r="C555" s="1954"/>
      <c r="D555" s="1954"/>
      <c r="E555" s="1954"/>
      <c r="F555" s="1954"/>
      <c r="G555" s="1954"/>
      <c r="H555" s="743"/>
      <c r="I555" s="573" t="s">
        <v>365</v>
      </c>
      <c r="J555" s="577"/>
      <c r="K555" s="577"/>
      <c r="L555" s="577"/>
      <c r="M555" s="577"/>
      <c r="N555" s="577"/>
      <c r="O555" s="577"/>
      <c r="P555" s="577"/>
      <c r="Q555" s="577"/>
      <c r="R555" s="577" t="s">
        <v>352</v>
      </c>
      <c r="S555" s="575">
        <f>FWHeight</f>
        <v>47.5</v>
      </c>
      <c r="T555" s="577" t="s">
        <v>366</v>
      </c>
      <c r="U555" s="574"/>
      <c r="V555" s="579"/>
      <c r="W555" s="579"/>
      <c r="X555" s="579"/>
      <c r="Y555" s="1446"/>
      <c r="Z555" s="1446"/>
      <c r="AA555" s="574"/>
      <c r="AB555" s="853"/>
      <c r="AC555" s="577">
        <v>2</v>
      </c>
      <c r="AD555" s="577"/>
      <c r="AE555" s="577"/>
      <c r="AF555" s="744"/>
      <c r="AG555" s="577"/>
      <c r="AH555" s="626"/>
      <c r="AI555" s="577"/>
      <c r="AJ555" s="577"/>
      <c r="AK555" s="577"/>
      <c r="AL555" s="626"/>
      <c r="AM555" s="962" t="s">
        <v>371</v>
      </c>
      <c r="AN555" s="962" t="s">
        <v>371</v>
      </c>
      <c r="AO555" s="962" t="s">
        <v>371</v>
      </c>
      <c r="AP555" s="962" t="s">
        <v>81</v>
      </c>
      <c r="AQ555" s="1940" t="s">
        <v>371</v>
      </c>
      <c r="AR555" s="962"/>
      <c r="AS555" s="75"/>
    </row>
    <row r="556" spans="1:45" ht="15" customHeight="1" x14ac:dyDescent="0.4">
      <c r="A556"/>
      <c r="B556" s="7"/>
      <c r="C556" s="1953" t="s">
        <v>2304</v>
      </c>
      <c r="D556" s="1953"/>
      <c r="E556" s="1953"/>
      <c r="F556" s="1953"/>
      <c r="G556" s="1953"/>
      <c r="H556" s="10"/>
      <c r="I556" s="4" t="s">
        <v>392</v>
      </c>
      <c r="L556" s="3" t="s">
        <v>348</v>
      </c>
      <c r="M556" s="3">
        <v>-1.25</v>
      </c>
      <c r="N556" s="3"/>
      <c r="O556" s="3"/>
      <c r="P556" s="3"/>
      <c r="Q556" s="3"/>
      <c r="R556" s="3" t="s">
        <v>352</v>
      </c>
      <c r="S556" s="5">
        <f>(FWWidth+M556)</f>
        <v>46.25</v>
      </c>
      <c r="T556" s="3" t="s">
        <v>366</v>
      </c>
      <c r="V556" s="38" t="s">
        <v>8</v>
      </c>
      <c r="W556" s="38" t="s">
        <v>8</v>
      </c>
      <c r="X556" s="38" t="s">
        <v>8</v>
      </c>
      <c r="Y556" s="1563">
        <v>200107021</v>
      </c>
      <c r="Z556" s="1443"/>
      <c r="AB556"/>
      <c r="AC556" s="3">
        <v>2</v>
      </c>
      <c r="AD556" s="5">
        <f>S556/12*AC556+S557/12*AC557</f>
        <v>15.625</v>
      </c>
      <c r="AE556" s="3" t="s">
        <v>367</v>
      </c>
      <c r="AF556" s="216"/>
      <c r="AG556" s="3"/>
      <c r="AI556" s="3"/>
      <c r="AJ556" s="3"/>
      <c r="AK556" s="3"/>
      <c r="AL556" s="51">
        <f>AD556*AH556+SUM(AI556:AK556)</f>
        <v>0</v>
      </c>
      <c r="AM556" s="961" t="s">
        <v>371</v>
      </c>
      <c r="AN556" s="961" t="s">
        <v>371</v>
      </c>
      <c r="AO556" s="961" t="s">
        <v>371</v>
      </c>
      <c r="AP556" s="961" t="s">
        <v>371</v>
      </c>
      <c r="AQ556" s="1939" t="s">
        <v>371</v>
      </c>
      <c r="AR556" s="961"/>
      <c r="AS556" s="75"/>
    </row>
    <row r="557" spans="1:45" ht="15" customHeight="1" x14ac:dyDescent="0.4">
      <c r="A557"/>
      <c r="B557" s="7"/>
      <c r="C557" s="1954"/>
      <c r="D557" s="1954"/>
      <c r="E557" s="1954"/>
      <c r="F557" s="1954"/>
      <c r="G557" s="1954"/>
      <c r="H557" s="743"/>
      <c r="I557" s="573" t="s">
        <v>365</v>
      </c>
      <c r="J557" s="577"/>
      <c r="K557" s="577"/>
      <c r="L557" s="577"/>
      <c r="M557" s="577"/>
      <c r="N557" s="577"/>
      <c r="O557" s="577"/>
      <c r="P557" s="577"/>
      <c r="Q557" s="577"/>
      <c r="R557" s="577" t="s">
        <v>352</v>
      </c>
      <c r="S557" s="575">
        <f>FWHeight</f>
        <v>47.5</v>
      </c>
      <c r="T557" s="577" t="s">
        <v>366</v>
      </c>
      <c r="U557" s="574"/>
      <c r="V557" s="579"/>
      <c r="W557" s="579"/>
      <c r="X557" s="579"/>
      <c r="Y557" s="1446"/>
      <c r="Z557" s="1446"/>
      <c r="AA557" s="574"/>
      <c r="AB557" s="853"/>
      <c r="AC557" s="577">
        <v>2</v>
      </c>
      <c r="AD557" s="577"/>
      <c r="AE557" s="577"/>
      <c r="AF557" s="744"/>
      <c r="AG557" s="577"/>
      <c r="AH557" s="626"/>
      <c r="AI557" s="577"/>
      <c r="AJ557" s="577"/>
      <c r="AK557" s="577"/>
      <c r="AL557" s="626"/>
      <c r="AM557" s="962" t="s">
        <v>371</v>
      </c>
      <c r="AN557" s="962" t="s">
        <v>371</v>
      </c>
      <c r="AO557" s="962" t="s">
        <v>371</v>
      </c>
      <c r="AP557" s="962" t="s">
        <v>371</v>
      </c>
      <c r="AQ557" s="1940" t="s">
        <v>371</v>
      </c>
      <c r="AR557" s="962"/>
      <c r="AS557" s="75"/>
    </row>
    <row r="558" spans="1:45" ht="15" customHeight="1" x14ac:dyDescent="0.4">
      <c r="A558"/>
      <c r="B558" s="7"/>
      <c r="C558" s="1953" t="s">
        <v>2305</v>
      </c>
      <c r="D558" s="1953"/>
      <c r="E558" s="1953"/>
      <c r="F558" s="1953"/>
      <c r="G558" s="1953"/>
      <c r="H558" s="10"/>
      <c r="I558" s="4" t="s">
        <v>392</v>
      </c>
      <c r="L558" s="3" t="s">
        <v>348</v>
      </c>
      <c r="M558" s="3">
        <v>-1.25</v>
      </c>
      <c r="N558" s="3"/>
      <c r="O558" s="3"/>
      <c r="P558" s="3"/>
      <c r="Q558" s="3"/>
      <c r="R558" s="3" t="s">
        <v>352</v>
      </c>
      <c r="S558" s="5">
        <f>(FWWidth+M558)</f>
        <v>46.25</v>
      </c>
      <c r="T558" s="3" t="s">
        <v>366</v>
      </c>
      <c r="V558" s="38" t="s">
        <v>8</v>
      </c>
      <c r="W558" s="38" t="s">
        <v>8</v>
      </c>
      <c r="X558" s="38" t="s">
        <v>8</v>
      </c>
      <c r="Y558" s="1443">
        <v>200107033</v>
      </c>
      <c r="Z558" s="1443"/>
      <c r="AB558"/>
      <c r="AC558" s="3">
        <v>2</v>
      </c>
      <c r="AD558" s="5">
        <f>S558/12*AC558+S559/12*AC559</f>
        <v>15.625</v>
      </c>
      <c r="AE558" s="3" t="s">
        <v>367</v>
      </c>
      <c r="AF558" s="216"/>
      <c r="AG558" s="3"/>
      <c r="AI558" s="3"/>
      <c r="AJ558" s="3"/>
      <c r="AK558" s="3"/>
      <c r="AL558" s="51">
        <f>AD558*AH558+SUM(AI558:AK558)</f>
        <v>0</v>
      </c>
      <c r="AM558" s="961" t="s">
        <v>371</v>
      </c>
      <c r="AN558" s="961" t="s">
        <v>371</v>
      </c>
      <c r="AO558" s="961" t="s">
        <v>371</v>
      </c>
      <c r="AP558" s="961" t="s">
        <v>371</v>
      </c>
      <c r="AQ558" s="1939" t="s">
        <v>371</v>
      </c>
      <c r="AR558" s="961"/>
      <c r="AS558" s="75"/>
    </row>
    <row r="559" spans="1:45" ht="15" customHeight="1" x14ac:dyDescent="0.4">
      <c r="A559"/>
      <c r="B559" s="7"/>
      <c r="C559" s="1954"/>
      <c r="D559" s="1954"/>
      <c r="E559" s="1954"/>
      <c r="F559" s="1954"/>
      <c r="G559" s="1954"/>
      <c r="H559" s="743"/>
      <c r="I559" s="573" t="s">
        <v>365</v>
      </c>
      <c r="J559" s="577"/>
      <c r="K559" s="577"/>
      <c r="L559" s="577"/>
      <c r="M559" s="577"/>
      <c r="N559" s="577"/>
      <c r="O559" s="577"/>
      <c r="P559" s="577"/>
      <c r="Q559" s="577"/>
      <c r="R559" s="577" t="s">
        <v>352</v>
      </c>
      <c r="S559" s="575">
        <f>FWHeight</f>
        <v>47.5</v>
      </c>
      <c r="T559" s="577" t="s">
        <v>366</v>
      </c>
      <c r="U559" s="574"/>
      <c r="V559" s="579"/>
      <c r="W559" s="579"/>
      <c r="X559" s="579"/>
      <c r="Y559" s="1446"/>
      <c r="Z559" s="1446"/>
      <c r="AA559" s="574"/>
      <c r="AB559" s="853"/>
      <c r="AC559" s="577">
        <v>2</v>
      </c>
      <c r="AD559" s="577"/>
      <c r="AE559" s="577"/>
      <c r="AF559" s="744"/>
      <c r="AG559" s="577"/>
      <c r="AH559" s="626"/>
      <c r="AI559" s="577"/>
      <c r="AJ559" s="577"/>
      <c r="AK559" s="577"/>
      <c r="AL559" s="626"/>
      <c r="AM559" s="962" t="s">
        <v>371</v>
      </c>
      <c r="AN559" s="962" t="s">
        <v>371</v>
      </c>
      <c r="AO559" s="962" t="s">
        <v>371</v>
      </c>
      <c r="AP559" s="962" t="s">
        <v>371</v>
      </c>
      <c r="AQ559" s="1940" t="s">
        <v>371</v>
      </c>
      <c r="AR559" s="962"/>
      <c r="AS559" s="75"/>
    </row>
    <row r="560" spans="1:45" ht="15" customHeight="1" thickBot="1" x14ac:dyDescent="0.45">
      <c r="A560"/>
      <c r="B560" s="7"/>
      <c r="C560" s="1604"/>
      <c r="D560" s="1604"/>
      <c r="E560" s="1604"/>
      <c r="F560" s="1604"/>
      <c r="G560" s="1604"/>
      <c r="H560" s="1605"/>
      <c r="I560" s="1606"/>
      <c r="J560" s="710"/>
      <c r="K560" s="710"/>
      <c r="L560" s="710"/>
      <c r="M560" s="710"/>
      <c r="N560" s="710"/>
      <c r="O560" s="710"/>
      <c r="P560" s="710"/>
      <c r="Q560" s="710"/>
      <c r="R560" s="710"/>
      <c r="S560" s="1041"/>
      <c r="T560" s="710"/>
      <c r="U560" s="1607"/>
      <c r="V560" s="1043"/>
      <c r="W560" s="1043"/>
      <c r="X560" s="1043"/>
      <c r="Y560" s="1608"/>
      <c r="Z560" s="1608"/>
      <c r="AA560" s="1607"/>
      <c r="AB560" s="1609"/>
      <c r="AC560" s="710"/>
      <c r="AD560" s="710"/>
      <c r="AE560" s="710"/>
      <c r="AF560" s="1610"/>
      <c r="AG560" s="710"/>
      <c r="AH560" s="1611"/>
      <c r="AI560" s="710"/>
      <c r="AJ560" s="710"/>
      <c r="AK560" s="710"/>
      <c r="AL560" s="1611"/>
      <c r="AM560" s="1612"/>
      <c r="AN560" s="1612"/>
      <c r="AO560" s="1612"/>
      <c r="AP560" s="1612"/>
      <c r="AQ560" s="1943"/>
      <c r="AR560" s="1612"/>
      <c r="AS560" s="75"/>
    </row>
    <row r="561" spans="1:45" ht="15" customHeight="1" x14ac:dyDescent="0.4">
      <c r="A561"/>
      <c r="B561" s="7"/>
      <c r="C561" s="4" t="s">
        <v>2306</v>
      </c>
      <c r="D561" s="976"/>
      <c r="E561" s="976"/>
      <c r="F561" s="976"/>
      <c r="G561" s="976"/>
      <c r="H561" s="10"/>
      <c r="I561" s="4" t="s">
        <v>923</v>
      </c>
      <c r="M561" s="3"/>
      <c r="N561" s="3"/>
      <c r="O561" s="3"/>
      <c r="P561" s="3"/>
      <c r="Q561" s="3"/>
      <c r="R561" s="3" t="s">
        <v>352</v>
      </c>
      <c r="S561" s="56">
        <v>4</v>
      </c>
      <c r="T561" s="3" t="s">
        <v>385</v>
      </c>
      <c r="V561" s="38" t="s">
        <v>8</v>
      </c>
      <c r="W561" s="38" t="s">
        <v>8</v>
      </c>
      <c r="X561" s="38" t="s">
        <v>8</v>
      </c>
      <c r="Y561" s="1563">
        <v>440083000</v>
      </c>
      <c r="Z561" s="566">
        <v>221189</v>
      </c>
      <c r="AB561"/>
      <c r="AC561" s="3">
        <v>4</v>
      </c>
      <c r="AD561" s="3">
        <f>S561*AC561</f>
        <v>16</v>
      </c>
      <c r="AE561" s="3" t="s">
        <v>385</v>
      </c>
      <c r="AF561" s="216"/>
      <c r="AG561" s="3"/>
      <c r="AH561" s="51">
        <v>1.9E-3</v>
      </c>
      <c r="AI561" s="3"/>
      <c r="AJ561" s="3"/>
      <c r="AK561" s="3"/>
      <c r="AL561" s="51">
        <f>AD561*AH561+SUM(AI561:AK561)</f>
        <v>3.04E-2</v>
      </c>
      <c r="AM561" s="961" t="s">
        <v>371</v>
      </c>
      <c r="AN561" s="961" t="s">
        <v>371</v>
      </c>
      <c r="AO561" s="961" t="s">
        <v>81</v>
      </c>
      <c r="AP561" s="961" t="s">
        <v>81</v>
      </c>
      <c r="AQ561" s="1939" t="s">
        <v>371</v>
      </c>
      <c r="AR561" s="961"/>
      <c r="AS561" s="75"/>
    </row>
    <row r="562" spans="1:45" ht="15" customHeight="1" x14ac:dyDescent="0.4">
      <c r="A562"/>
      <c r="B562" s="7"/>
      <c r="C562" s="1165"/>
      <c r="D562" s="694" t="s">
        <v>924</v>
      </c>
      <c r="E562" s="1165"/>
      <c r="F562" s="1165"/>
      <c r="G562" s="1165"/>
      <c r="H562" s="743"/>
      <c r="I562" s="573"/>
      <c r="J562" s="577"/>
      <c r="K562" s="577"/>
      <c r="L562" s="577"/>
      <c r="M562" s="577"/>
      <c r="N562" s="577"/>
      <c r="O562" s="577"/>
      <c r="P562" s="577"/>
      <c r="Q562" s="577"/>
      <c r="R562" s="577"/>
      <c r="S562" s="575"/>
      <c r="T562" s="577"/>
      <c r="U562" s="574"/>
      <c r="V562" s="579"/>
      <c r="W562" s="579"/>
      <c r="X562" s="579"/>
      <c r="Y562" s="577"/>
      <c r="Z562" s="577"/>
      <c r="AA562" s="574"/>
      <c r="AB562" s="853"/>
      <c r="AC562" s="577"/>
      <c r="AD562" s="577"/>
      <c r="AE562" s="577"/>
      <c r="AF562" s="744"/>
      <c r="AG562" s="577"/>
      <c r="AH562" s="626"/>
      <c r="AI562" s="577"/>
      <c r="AJ562" s="577"/>
      <c r="AK562" s="577"/>
      <c r="AL562" s="626"/>
      <c r="AM562" s="962" t="s">
        <v>371</v>
      </c>
      <c r="AN562" s="962" t="s">
        <v>371</v>
      </c>
      <c r="AO562" s="962" t="s">
        <v>81</v>
      </c>
      <c r="AP562" s="962" t="s">
        <v>81</v>
      </c>
      <c r="AQ562" s="1940" t="s">
        <v>371</v>
      </c>
      <c r="AR562" s="962"/>
      <c r="AS562" s="75"/>
    </row>
    <row r="563" spans="1:45" ht="15" customHeight="1" x14ac:dyDescent="0.4">
      <c r="A563"/>
      <c r="B563" s="7"/>
      <c r="C563" s="4" t="s">
        <v>925</v>
      </c>
      <c r="G563" s="4" t="s">
        <v>2273</v>
      </c>
      <c r="H563" s="10"/>
      <c r="M563" s="3"/>
      <c r="N563" s="3"/>
      <c r="O563" s="3"/>
      <c r="P563" s="3"/>
      <c r="Q563" s="3"/>
      <c r="R563" s="3" t="s">
        <v>352</v>
      </c>
      <c r="S563" s="3">
        <v>1</v>
      </c>
      <c r="T563" s="3" t="s">
        <v>385</v>
      </c>
      <c r="V563" s="38" t="s">
        <v>8</v>
      </c>
      <c r="W563" s="3" t="s">
        <v>817</v>
      </c>
      <c r="X563" s="38" t="s">
        <v>8</v>
      </c>
      <c r="Y563" s="1445">
        <v>200056008001</v>
      </c>
      <c r="Z563" s="1445"/>
      <c r="AB563"/>
      <c r="AC563" s="576">
        <f>IF(FWWidth&lt;48,4,IF(FWWidth&lt;60,6,IF(FWWidth&lt;72,8,10)))</f>
        <v>4</v>
      </c>
      <c r="AD563" s="56">
        <f>AC563+AC564</f>
        <v>8</v>
      </c>
      <c r="AE563" s="3" t="s">
        <v>385</v>
      </c>
      <c r="AF563" s="216"/>
      <c r="AG563" s="3"/>
      <c r="AH563" s="51">
        <f>'Single Hung'!AI1127</f>
        <v>2.3400000000000001E-2</v>
      </c>
      <c r="AI563" s="3"/>
      <c r="AJ563" s="3"/>
      <c r="AK563" s="3"/>
      <c r="AL563" s="51">
        <f>AD563*AH563+SUM(AI563:AK563)</f>
        <v>0.18720000000000001</v>
      </c>
      <c r="AM563" s="961" t="s">
        <v>371</v>
      </c>
      <c r="AN563" s="961" t="s">
        <v>371</v>
      </c>
      <c r="AO563" s="961" t="s">
        <v>81</v>
      </c>
      <c r="AP563" s="961" t="s">
        <v>81</v>
      </c>
      <c r="AQ563" s="1939" t="s">
        <v>371</v>
      </c>
      <c r="AR563" s="961"/>
      <c r="AS563" s="75"/>
    </row>
    <row r="564" spans="1:45" ht="15" customHeight="1" x14ac:dyDescent="0.4">
      <c r="A564"/>
      <c r="B564" s="7"/>
      <c r="C564" s="573"/>
      <c r="D564" s="573" t="s">
        <v>927</v>
      </c>
      <c r="E564" s="573"/>
      <c r="F564" s="573"/>
      <c r="G564" s="573" t="s">
        <v>2274</v>
      </c>
      <c r="H564" s="743"/>
      <c r="I564" s="573"/>
      <c r="J564" s="577"/>
      <c r="K564" s="577"/>
      <c r="L564" s="577"/>
      <c r="M564" s="577"/>
      <c r="N564" s="577"/>
      <c r="O564" s="577"/>
      <c r="P564" s="577"/>
      <c r="Q564" s="577"/>
      <c r="R564" s="577" t="s">
        <v>352</v>
      </c>
      <c r="S564" s="577">
        <v>1</v>
      </c>
      <c r="T564" s="577" t="s">
        <v>385</v>
      </c>
      <c r="V564" s="579"/>
      <c r="W564" s="579"/>
      <c r="X564" s="579"/>
      <c r="Y564" s="577"/>
      <c r="Z564" s="577"/>
      <c r="AA564" s="574"/>
      <c r="AB564" s="853"/>
      <c r="AC564" s="576">
        <f>IF(FWHeight&lt;48,4,IF(FWHeight&lt;60,6,IF(FWHeight&lt;72,8,10)))</f>
        <v>4</v>
      </c>
      <c r="AD564" s="577"/>
      <c r="AE564" s="577"/>
      <c r="AF564" s="744"/>
      <c r="AG564" s="577"/>
      <c r="AH564" s="626"/>
      <c r="AI564" s="577"/>
      <c r="AJ564" s="577"/>
      <c r="AK564" s="577"/>
      <c r="AL564" s="626"/>
      <c r="AM564" s="962" t="s">
        <v>371</v>
      </c>
      <c r="AN564" s="962" t="s">
        <v>371</v>
      </c>
      <c r="AO564" s="962" t="s">
        <v>81</v>
      </c>
      <c r="AP564" s="962" t="s">
        <v>81</v>
      </c>
      <c r="AQ564" s="1940" t="s">
        <v>371</v>
      </c>
      <c r="AR564" s="962"/>
      <c r="AS564" s="75"/>
    </row>
    <row r="565" spans="1:45" ht="15" customHeight="1" x14ac:dyDescent="0.4">
      <c r="A565"/>
      <c r="B565" s="7"/>
      <c r="C565" s="4" t="s">
        <v>2307</v>
      </c>
      <c r="H565" s="10"/>
      <c r="I565" s="4" t="s">
        <v>930</v>
      </c>
      <c r="M565" s="3"/>
      <c r="N565" s="3"/>
      <c r="O565" s="3"/>
      <c r="P565" s="3"/>
      <c r="Q565" s="3"/>
      <c r="S565" s="56">
        <v>4</v>
      </c>
      <c r="T565" s="3" t="s">
        <v>385</v>
      </c>
      <c r="V565" s="38" t="s">
        <v>8</v>
      </c>
      <c r="W565" s="38" t="s">
        <v>8</v>
      </c>
      <c r="X565" s="38" t="s">
        <v>8</v>
      </c>
      <c r="Y565" s="1563">
        <v>4400084000</v>
      </c>
      <c r="Z565" s="566">
        <v>186475</v>
      </c>
      <c r="AB565"/>
      <c r="AC565" s="56">
        <f>AC563+AC564</f>
        <v>8</v>
      </c>
      <c r="AD565" s="3">
        <f>S565*AC565</f>
        <v>32</v>
      </c>
      <c r="AE565" s="3" t="s">
        <v>385</v>
      </c>
      <c r="AF565" s="216"/>
      <c r="AG565" s="3"/>
      <c r="AH565" s="51">
        <f>'Single Hung'!AI1129</f>
        <v>1E-3</v>
      </c>
      <c r="AI565" s="3"/>
      <c r="AJ565" s="3"/>
      <c r="AK565" s="3"/>
      <c r="AL565" s="51">
        <f>AD565*AH565+SUM(AI565:AK565)</f>
        <v>3.2000000000000001E-2</v>
      </c>
      <c r="AM565" s="961" t="s">
        <v>371</v>
      </c>
      <c r="AN565" s="961" t="s">
        <v>371</v>
      </c>
      <c r="AO565" s="961" t="s">
        <v>81</v>
      </c>
      <c r="AP565" s="961" t="s">
        <v>81</v>
      </c>
      <c r="AQ565" s="1939" t="s">
        <v>371</v>
      </c>
      <c r="AR565" s="961"/>
      <c r="AS565" s="75"/>
    </row>
    <row r="566" spans="1:45" ht="15" customHeight="1" x14ac:dyDescent="0.4">
      <c r="A566"/>
      <c r="B566" s="7"/>
      <c r="C566" s="4"/>
      <c r="D566" s="8" t="s">
        <v>931</v>
      </c>
      <c r="H566" s="10"/>
      <c r="I566" s="4"/>
      <c r="M566" s="3"/>
      <c r="N566" s="3"/>
      <c r="O566" s="3"/>
      <c r="P566" s="3"/>
      <c r="Q566" s="3"/>
      <c r="S566" s="56"/>
      <c r="V566" s="38"/>
      <c r="W566" s="38"/>
      <c r="X566" s="38"/>
      <c r="AB566"/>
      <c r="AC566" s="56"/>
      <c r="AD566" s="3"/>
      <c r="AE566" s="3"/>
      <c r="AF566" s="216"/>
      <c r="AG566" s="3"/>
      <c r="AI566" s="3"/>
      <c r="AJ566" s="3"/>
      <c r="AK566" s="3"/>
      <c r="AM566" s="961" t="s">
        <v>371</v>
      </c>
      <c r="AN566" s="961" t="s">
        <v>371</v>
      </c>
      <c r="AO566" s="961" t="s">
        <v>81</v>
      </c>
      <c r="AP566" s="961" t="s">
        <v>81</v>
      </c>
      <c r="AQ566" s="1939" t="s">
        <v>371</v>
      </c>
      <c r="AR566" s="961"/>
      <c r="AS566" s="75"/>
    </row>
    <row r="567" spans="1:45" ht="15" customHeight="1" x14ac:dyDescent="0.4">
      <c r="A567"/>
      <c r="B567" s="855" t="s">
        <v>932</v>
      </c>
      <c r="C567" s="745"/>
      <c r="D567" s="729"/>
      <c r="E567" s="729"/>
      <c r="F567" s="729"/>
      <c r="G567" s="728"/>
      <c r="H567" s="728"/>
      <c r="I567" s="730"/>
      <c r="J567" s="731"/>
      <c r="K567" s="731"/>
      <c r="L567" s="731"/>
      <c r="M567" s="731"/>
      <c r="N567" s="731"/>
      <c r="O567" s="731"/>
      <c r="P567" s="731"/>
      <c r="Q567" s="731"/>
      <c r="R567" s="731"/>
      <c r="S567" s="618"/>
      <c r="T567" s="618"/>
      <c r="U567" s="618"/>
      <c r="V567" s="618"/>
      <c r="W567" s="618"/>
      <c r="X567" s="618"/>
      <c r="Y567" s="618"/>
      <c r="Z567" s="618"/>
      <c r="AA567" s="615"/>
      <c r="AB567" s="615"/>
      <c r="AC567" s="615"/>
      <c r="AD567" s="615"/>
      <c r="AE567" s="615"/>
      <c r="AF567" s="934"/>
      <c r="AG567" s="731"/>
      <c r="AH567" s="747"/>
      <c r="AI567" s="748"/>
      <c r="AJ567" s="748"/>
      <c r="AK567" s="735" t="s">
        <v>933</v>
      </c>
      <c r="AL567" s="733" t="e">
        <f>SUM(AL568,AL577,AL581,AL589,AL591,AL599)</f>
        <v>#NAME?</v>
      </c>
      <c r="AM567" s="734"/>
      <c r="AN567" s="734"/>
      <c r="AO567" s="734"/>
      <c r="AP567" s="734"/>
      <c r="AQ567" s="734"/>
      <c r="AR567" s="734"/>
      <c r="AS567" s="75"/>
    </row>
    <row r="568" spans="1:45" ht="15" customHeight="1" x14ac:dyDescent="0.4">
      <c r="A568"/>
      <c r="B568" s="8"/>
      <c r="C568" s="641" t="s">
        <v>935</v>
      </c>
      <c r="D568" s="749"/>
      <c r="E568" s="749"/>
      <c r="F568" s="749"/>
      <c r="G568" s="749"/>
      <c r="H568" s="750"/>
      <c r="I568" s="750"/>
      <c r="J568" s="750"/>
      <c r="K568" s="750"/>
      <c r="L568" s="750"/>
      <c r="M568" s="750"/>
      <c r="N568" s="750"/>
      <c r="O568" s="750"/>
      <c r="P568" s="750"/>
      <c r="Q568" s="750"/>
      <c r="R568" s="750"/>
      <c r="S568" s="645"/>
      <c r="T568" s="645"/>
      <c r="U568" s="645"/>
      <c r="V568" s="645"/>
      <c r="W568" s="645"/>
      <c r="X568" s="645"/>
      <c r="Y568" s="645"/>
      <c r="Z568" s="645"/>
      <c r="AA568" s="645"/>
      <c r="AB568" s="645"/>
      <c r="AC568" s="645"/>
      <c r="AD568" s="645"/>
      <c r="AE568" s="645"/>
      <c r="AF568" s="751"/>
      <c r="AG568" s="752"/>
      <c r="AH568" s="753"/>
      <c r="AI568" s="753"/>
      <c r="AJ568" s="753"/>
      <c r="AK568" s="648" t="s">
        <v>936</v>
      </c>
      <c r="AL568" s="963" t="e">
        <f>SUBTOTAL(109,AL569:AL576)</f>
        <v>#NAME?</v>
      </c>
      <c r="AM568" s="963"/>
      <c r="AN568" s="963"/>
      <c r="AO568" s="963"/>
      <c r="AP568" s="963"/>
      <c r="AQ568" s="963"/>
      <c r="AR568" s="963"/>
      <c r="AS568"/>
    </row>
    <row r="569" spans="1:45" ht="15" customHeight="1" x14ac:dyDescent="0.4">
      <c r="A569"/>
      <c r="B569" s="8"/>
      <c r="C569" s="4" t="s">
        <v>937</v>
      </c>
      <c r="D569" s="3"/>
      <c r="P569" s="42" t="s">
        <v>938</v>
      </c>
      <c r="Q569" s="756">
        <v>23.5</v>
      </c>
      <c r="S569" s="56">
        <v>1</v>
      </c>
      <c r="T569" s="376" t="s">
        <v>385</v>
      </c>
      <c r="V569" s="38" t="s">
        <v>8</v>
      </c>
      <c r="W569" s="38" t="s">
        <v>8</v>
      </c>
      <c r="X569" s="38" t="s">
        <v>8</v>
      </c>
      <c r="Y569" s="1443">
        <v>170094000</v>
      </c>
      <c r="Z569" s="1443"/>
      <c r="AA569" s="558"/>
      <c r="AB569"/>
      <c r="AC569" s="3">
        <v>1</v>
      </c>
      <c r="AD569" s="56" t="e">
        <f>IF(SHWidth&gt;=Q569,1,0)</f>
        <v>#NAME?</v>
      </c>
      <c r="AE569" s="5" t="s">
        <v>385</v>
      </c>
      <c r="AF569" s="38" t="s">
        <v>8</v>
      </c>
      <c r="AG569" s="38" t="s">
        <v>8</v>
      </c>
      <c r="AH569" s="51">
        <f>'Single Hung'!AI1133</f>
        <v>7.9100000000000004E-2</v>
      </c>
      <c r="AI569" s="590"/>
      <c r="AJ569" s="590"/>
      <c r="AK569" s="590"/>
      <c r="AL569" s="51" t="e">
        <f>AD569*AH569+SUM(AI569:AK569)</f>
        <v>#NAME?</v>
      </c>
      <c r="AM569" s="961" t="s">
        <v>81</v>
      </c>
      <c r="AN569" s="961" t="s">
        <v>81</v>
      </c>
      <c r="AO569" s="961" t="s">
        <v>81</v>
      </c>
      <c r="AP569" s="961" t="s">
        <v>81</v>
      </c>
      <c r="AQ569" s="1937" t="s">
        <v>81</v>
      </c>
      <c r="AR569" s="958"/>
      <c r="AS569"/>
    </row>
    <row r="570" spans="1:45" ht="15" customHeight="1" x14ac:dyDescent="0.4">
      <c r="A570"/>
      <c r="B570" s="8"/>
      <c r="C570" s="4" t="s">
        <v>939</v>
      </c>
      <c r="D570" s="3"/>
      <c r="J570" s="38"/>
      <c r="P570" s="42" t="s">
        <v>940</v>
      </c>
      <c r="Q570" s="756">
        <v>23.5</v>
      </c>
      <c r="S570" s="56">
        <v>1</v>
      </c>
      <c r="T570" s="376" t="s">
        <v>385</v>
      </c>
      <c r="V570" s="38" t="s">
        <v>8</v>
      </c>
      <c r="W570" s="38" t="s">
        <v>8</v>
      </c>
      <c r="X570" s="38" t="s">
        <v>8</v>
      </c>
      <c r="Y570" s="1443">
        <v>170006000</v>
      </c>
      <c r="Z570" s="1443"/>
      <c r="AA570" s="558"/>
      <c r="AB570"/>
      <c r="AC570" s="3">
        <v>1</v>
      </c>
      <c r="AD570" s="56" t="e">
        <f>IF(SHWidth&lt;Q570,1,0)</f>
        <v>#NAME?</v>
      </c>
      <c r="AE570" s="5" t="s">
        <v>385</v>
      </c>
      <c r="AF570" s="38" t="s">
        <v>8</v>
      </c>
      <c r="AG570" s="38" t="s">
        <v>8</v>
      </c>
      <c r="AH570" s="51">
        <f>'Single Hung'!AI1134</f>
        <v>5.7299999999999997E-2</v>
      </c>
      <c r="AI570" s="590"/>
      <c r="AJ570" s="590"/>
      <c r="AK570" s="590"/>
      <c r="AL570" s="51" t="e">
        <f>AD570*AH570+SUM(AI570:AK570)</f>
        <v>#NAME?</v>
      </c>
      <c r="AM570" s="961" t="s">
        <v>371</v>
      </c>
      <c r="AN570" s="961" t="s">
        <v>371</v>
      </c>
      <c r="AO570" s="961" t="s">
        <v>371</v>
      </c>
      <c r="AP570" s="961" t="s">
        <v>371</v>
      </c>
      <c r="AQ570" s="1937" t="s">
        <v>371</v>
      </c>
      <c r="AR570" s="958"/>
      <c r="AS570"/>
    </row>
    <row r="571" spans="1:45" ht="15" customHeight="1" x14ac:dyDescent="0.4">
      <c r="A571"/>
      <c r="B571" s="8"/>
      <c r="C571" s="4" t="s">
        <v>941</v>
      </c>
      <c r="D571" s="3"/>
      <c r="J571" s="38"/>
      <c r="P571" s="42" t="s">
        <v>938</v>
      </c>
      <c r="Q571" s="756">
        <f>Q569</f>
        <v>23.5</v>
      </c>
      <c r="S571" s="56">
        <v>1</v>
      </c>
      <c r="T571" s="376" t="s">
        <v>385</v>
      </c>
      <c r="V571" s="38" t="s">
        <v>8</v>
      </c>
      <c r="W571" s="38" t="s">
        <v>8</v>
      </c>
      <c r="X571" s="38" t="s">
        <v>8</v>
      </c>
      <c r="Y571" s="1443">
        <v>170093000</v>
      </c>
      <c r="Z571" s="1443"/>
      <c r="AA571" s="558"/>
      <c r="AB571"/>
      <c r="AC571" s="3">
        <v>1</v>
      </c>
      <c r="AD571" s="56" t="e">
        <f>IF(SHWidth&gt;=Q571,1,0)</f>
        <v>#NAME?</v>
      </c>
      <c r="AE571" s="5" t="s">
        <v>385</v>
      </c>
      <c r="AF571" s="38" t="s">
        <v>8</v>
      </c>
      <c r="AG571" s="38" t="s">
        <v>8</v>
      </c>
      <c r="AH571" s="51">
        <f>'Single Hung'!AI1135</f>
        <v>0.12770000000000001</v>
      </c>
      <c r="AI571" s="590"/>
      <c r="AJ571" s="590"/>
      <c r="AK571" s="590"/>
      <c r="AL571" s="51" t="e">
        <f t="shared" ref="AL571:AL576" si="92">AD571*AH571+SUM(AI571:AK571)</f>
        <v>#NAME?</v>
      </c>
      <c r="AM571" s="961" t="s">
        <v>371</v>
      </c>
      <c r="AN571" s="961" t="s">
        <v>371</v>
      </c>
      <c r="AO571" s="961" t="s">
        <v>371</v>
      </c>
      <c r="AP571" s="961" t="s">
        <v>371</v>
      </c>
      <c r="AQ571" s="1937" t="s">
        <v>371</v>
      </c>
      <c r="AR571" s="958"/>
      <c r="AS571"/>
    </row>
    <row r="572" spans="1:45" ht="15" customHeight="1" x14ac:dyDescent="0.4">
      <c r="A572"/>
      <c r="B572" s="8"/>
      <c r="C572" s="4" t="s">
        <v>942</v>
      </c>
      <c r="D572" s="3"/>
      <c r="J572" s="38"/>
      <c r="P572" s="42" t="s">
        <v>940</v>
      </c>
      <c r="Q572" s="756">
        <f>Q570</f>
        <v>23.5</v>
      </c>
      <c r="S572" s="56">
        <v>1</v>
      </c>
      <c r="T572" s="376" t="s">
        <v>385</v>
      </c>
      <c r="V572" s="38" t="s">
        <v>8</v>
      </c>
      <c r="W572" s="38" t="s">
        <v>8</v>
      </c>
      <c r="X572" s="38" t="s">
        <v>8</v>
      </c>
      <c r="Y572" s="1443">
        <v>170002000</v>
      </c>
      <c r="Z572" s="1443"/>
      <c r="AA572" s="558"/>
      <c r="AB572"/>
      <c r="AC572" s="3">
        <v>1</v>
      </c>
      <c r="AD572" s="56" t="e">
        <f>IF(SHWidth&lt;Q572,1,0)</f>
        <v>#NAME?</v>
      </c>
      <c r="AE572" s="5" t="s">
        <v>385</v>
      </c>
      <c r="AF572" s="38" t="s">
        <v>8</v>
      </c>
      <c r="AG572" s="38" t="s">
        <v>8</v>
      </c>
      <c r="AH572" s="51">
        <f>'Single Hung'!AI1136</f>
        <v>5.3100000000000001E-2</v>
      </c>
      <c r="AI572" s="590"/>
      <c r="AJ572" s="590"/>
      <c r="AK572" s="590"/>
      <c r="AL572" s="51" t="e">
        <f t="shared" si="92"/>
        <v>#NAME?</v>
      </c>
      <c r="AM572" s="961" t="s">
        <v>371</v>
      </c>
      <c r="AN572" s="961" t="s">
        <v>371</v>
      </c>
      <c r="AO572" s="961" t="s">
        <v>371</v>
      </c>
      <c r="AP572" s="961" t="s">
        <v>371</v>
      </c>
      <c r="AQ572" s="1937" t="s">
        <v>371</v>
      </c>
      <c r="AR572" s="958"/>
      <c r="AS572"/>
    </row>
    <row r="573" spans="1:45" ht="15" customHeight="1" x14ac:dyDescent="0.4">
      <c r="A573"/>
      <c r="B573" s="8"/>
      <c r="C573" s="4" t="s">
        <v>943</v>
      </c>
      <c r="D573" s="3"/>
      <c r="J573" s="38"/>
      <c r="P573" s="42" t="s">
        <v>938</v>
      </c>
      <c r="Q573" s="756">
        <f>Q569</f>
        <v>23.5</v>
      </c>
      <c r="S573" s="56">
        <v>1</v>
      </c>
      <c r="T573" s="376" t="s">
        <v>385</v>
      </c>
      <c r="V573" s="38" t="s">
        <v>8</v>
      </c>
      <c r="W573" s="38" t="s">
        <v>8</v>
      </c>
      <c r="X573" s="38" t="s">
        <v>8</v>
      </c>
      <c r="Y573" s="1443">
        <v>170095000</v>
      </c>
      <c r="Z573" s="1443"/>
      <c r="AA573" s="558"/>
      <c r="AB573"/>
      <c r="AC573" s="3">
        <v>1</v>
      </c>
      <c r="AD573" s="56" t="e">
        <f>IF(SHWidth&gt;=Q573,1,0)</f>
        <v>#NAME?</v>
      </c>
      <c r="AE573" s="5" t="s">
        <v>385</v>
      </c>
      <c r="AF573" s="38" t="s">
        <v>8</v>
      </c>
      <c r="AG573" s="38" t="s">
        <v>8</v>
      </c>
      <c r="AH573" s="844">
        <f>'Single Hung'!AI1137</f>
        <v>7.9000000000000001E-2</v>
      </c>
      <c r="AI573" s="590"/>
      <c r="AJ573" s="590"/>
      <c r="AK573" s="590"/>
      <c r="AL573" s="51" t="e">
        <f t="shared" si="92"/>
        <v>#NAME?</v>
      </c>
      <c r="AM573" s="961" t="s">
        <v>371</v>
      </c>
      <c r="AN573" s="961" t="s">
        <v>371</v>
      </c>
      <c r="AO573" s="961" t="s">
        <v>371</v>
      </c>
      <c r="AP573" s="961" t="s">
        <v>371</v>
      </c>
      <c r="AQ573" s="1937" t="s">
        <v>371</v>
      </c>
      <c r="AR573" s="958"/>
      <c r="AS573"/>
    </row>
    <row r="574" spans="1:45" ht="15" customHeight="1" x14ac:dyDescent="0.4">
      <c r="A574"/>
      <c r="B574" s="8"/>
      <c r="C574" s="4" t="s">
        <v>944</v>
      </c>
      <c r="D574" s="3"/>
      <c r="J574" s="38"/>
      <c r="P574" s="42" t="s">
        <v>940</v>
      </c>
      <c r="Q574" s="756">
        <f>Q570</f>
        <v>23.5</v>
      </c>
      <c r="S574" s="56">
        <v>1</v>
      </c>
      <c r="T574" s="376" t="s">
        <v>385</v>
      </c>
      <c r="V574" s="38" t="s">
        <v>8</v>
      </c>
      <c r="W574" s="38" t="s">
        <v>8</v>
      </c>
      <c r="X574" s="38" t="s">
        <v>8</v>
      </c>
      <c r="Y574" s="1443">
        <v>170078000</v>
      </c>
      <c r="Z574" s="1443"/>
      <c r="AA574" s="558"/>
      <c r="AB574"/>
      <c r="AC574" s="3">
        <v>1</v>
      </c>
      <c r="AD574" s="56" t="e">
        <f>IF(SHWidth&lt;Q574,1,0)</f>
        <v>#NAME?</v>
      </c>
      <c r="AE574" s="5" t="s">
        <v>385</v>
      </c>
      <c r="AF574" s="38" t="s">
        <v>8</v>
      </c>
      <c r="AG574" s="38" t="s">
        <v>8</v>
      </c>
      <c r="AH574" s="844">
        <f>'Single Hung'!AI1138</f>
        <v>5.1200000000000002E-2</v>
      </c>
      <c r="AI574" s="590"/>
      <c r="AJ574" s="590"/>
      <c r="AK574" s="590"/>
      <c r="AL574" s="51" t="e">
        <f t="shared" si="92"/>
        <v>#NAME?</v>
      </c>
      <c r="AM574" s="961" t="s">
        <v>371</v>
      </c>
      <c r="AN574" s="961" t="s">
        <v>371</v>
      </c>
      <c r="AO574" s="961" t="s">
        <v>371</v>
      </c>
      <c r="AP574" s="961" t="s">
        <v>371</v>
      </c>
      <c r="AQ574" s="1937" t="s">
        <v>371</v>
      </c>
      <c r="AR574" s="958"/>
      <c r="AS574"/>
    </row>
    <row r="575" spans="1:45" ht="15" customHeight="1" x14ac:dyDescent="0.4">
      <c r="A575"/>
      <c r="B575" s="8"/>
      <c r="C575" s="4" t="s">
        <v>945</v>
      </c>
      <c r="D575" s="3"/>
      <c r="J575" s="38"/>
      <c r="P575" s="42" t="s">
        <v>938</v>
      </c>
      <c r="Q575" s="756">
        <f>Q569</f>
        <v>23.5</v>
      </c>
      <c r="S575" s="56">
        <v>1</v>
      </c>
      <c r="T575" s="376" t="s">
        <v>385</v>
      </c>
      <c r="V575" s="38" t="s">
        <v>8</v>
      </c>
      <c r="W575" s="38" t="s">
        <v>8</v>
      </c>
      <c r="X575" s="38" t="s">
        <v>8</v>
      </c>
      <c r="Y575" s="1443">
        <v>170154000</v>
      </c>
      <c r="Z575" s="1443"/>
      <c r="AA575" s="558"/>
      <c r="AB575"/>
      <c r="AC575" s="3">
        <v>1</v>
      </c>
      <c r="AD575" s="56" t="e">
        <f>IF(SHWidth&gt;=Q575,1,0)</f>
        <v>#NAME?</v>
      </c>
      <c r="AE575" s="5" t="s">
        <v>385</v>
      </c>
      <c r="AF575" s="38" t="s">
        <v>8</v>
      </c>
      <c r="AG575" s="38" t="s">
        <v>8</v>
      </c>
      <c r="AH575" s="844">
        <f>'Single Hung'!AI1139</f>
        <v>0</v>
      </c>
      <c r="AI575" s="590"/>
      <c r="AJ575" s="590"/>
      <c r="AK575" s="590"/>
      <c r="AL575" s="51" t="e">
        <f t="shared" si="92"/>
        <v>#NAME?</v>
      </c>
      <c r="AM575" s="961" t="s">
        <v>371</v>
      </c>
      <c r="AN575" s="961" t="s">
        <v>371</v>
      </c>
      <c r="AO575" s="961" t="s">
        <v>371</v>
      </c>
      <c r="AP575" s="961" t="s">
        <v>371</v>
      </c>
      <c r="AQ575" s="1937" t="s">
        <v>371</v>
      </c>
      <c r="AR575" s="958"/>
      <c r="AS575"/>
    </row>
    <row r="576" spans="1:45" ht="15" customHeight="1" x14ac:dyDescent="0.4">
      <c r="A576"/>
      <c r="B576" s="8"/>
      <c r="C576" s="4" t="s">
        <v>946</v>
      </c>
      <c r="D576" s="3"/>
      <c r="J576" s="38"/>
      <c r="P576" s="42" t="s">
        <v>940</v>
      </c>
      <c r="Q576" s="756">
        <f>Q570</f>
        <v>23.5</v>
      </c>
      <c r="S576" s="56">
        <v>1</v>
      </c>
      <c r="T576" s="376" t="s">
        <v>385</v>
      </c>
      <c r="V576" s="38" t="s">
        <v>8</v>
      </c>
      <c r="W576" s="38" t="s">
        <v>8</v>
      </c>
      <c r="X576" s="38" t="s">
        <v>8</v>
      </c>
      <c r="Y576" s="1563">
        <v>170182000</v>
      </c>
      <c r="Z576" s="1563" t="s">
        <v>2264</v>
      </c>
      <c r="AA576" s="558"/>
      <c r="AB576"/>
      <c r="AC576" s="3">
        <v>1</v>
      </c>
      <c r="AD576" s="56" t="e">
        <f>IF(SHWidth&lt;Q576,1,0)</f>
        <v>#NAME?</v>
      </c>
      <c r="AE576" s="5" t="s">
        <v>385</v>
      </c>
      <c r="AF576" s="38" t="s">
        <v>8</v>
      </c>
      <c r="AG576" s="38" t="s">
        <v>8</v>
      </c>
      <c r="AH576" s="844">
        <f>'Single Hung'!AI1140</f>
        <v>0</v>
      </c>
      <c r="AI576" s="590"/>
      <c r="AJ576" s="590"/>
      <c r="AK576" s="590"/>
      <c r="AL576" s="51" t="e">
        <f t="shared" si="92"/>
        <v>#NAME?</v>
      </c>
      <c r="AM576" s="961" t="s">
        <v>371</v>
      </c>
      <c r="AN576" s="961" t="s">
        <v>371</v>
      </c>
      <c r="AO576" s="961" t="s">
        <v>371</v>
      </c>
      <c r="AP576" s="961" t="s">
        <v>371</v>
      </c>
      <c r="AQ576" s="1937" t="s">
        <v>371</v>
      </c>
      <c r="AR576" s="958"/>
      <c r="AS576"/>
    </row>
    <row r="577" spans="1:45" ht="15" customHeight="1" x14ac:dyDescent="0.4">
      <c r="A577"/>
      <c r="B577" s="8"/>
      <c r="C577" s="641" t="s">
        <v>947</v>
      </c>
      <c r="D577" s="749"/>
      <c r="E577" s="749"/>
      <c r="F577" s="749"/>
      <c r="G577" s="749"/>
      <c r="H577" s="750"/>
      <c r="I577" s="750"/>
      <c r="J577" s="750"/>
      <c r="K577" s="750"/>
      <c r="L577" s="750"/>
      <c r="M577" s="750"/>
      <c r="N577" s="750"/>
      <c r="O577" s="750"/>
      <c r="P577" s="750"/>
      <c r="Q577" s="750"/>
      <c r="R577" s="750"/>
      <c r="S577" s="645"/>
      <c r="T577" s="645"/>
      <c r="U577" s="645"/>
      <c r="V577" s="645"/>
      <c r="W577" s="645"/>
      <c r="X577" s="645"/>
      <c r="Y577" s="1453"/>
      <c r="Z577" s="1453"/>
      <c r="AA577" s="645"/>
      <c r="AB577" s="645"/>
      <c r="AC577" s="645"/>
      <c r="AD577" s="645"/>
      <c r="AE577" s="645"/>
      <c r="AF577" s="751"/>
      <c r="AG577" s="752"/>
      <c r="AH577" s="753"/>
      <c r="AI577" s="753"/>
      <c r="AJ577" s="753"/>
      <c r="AK577" s="648" t="s">
        <v>948</v>
      </c>
      <c r="AL577" s="963">
        <f>SUBTOTAL(109,AL578:AL579)</f>
        <v>1.8393333333333333</v>
      </c>
      <c r="AM577" s="963"/>
      <c r="AN577" s="963"/>
      <c r="AO577" s="963"/>
      <c r="AP577" s="963"/>
      <c r="AQ577" s="963"/>
      <c r="AR577" s="963"/>
      <c r="AS577"/>
    </row>
    <row r="578" spans="1:45" ht="15" customHeight="1" x14ac:dyDescent="0.4">
      <c r="A578"/>
      <c r="B578" s="8"/>
      <c r="C578" s="8" t="s">
        <v>949</v>
      </c>
      <c r="D578" s="3"/>
      <c r="I578" s="8" t="s">
        <v>950</v>
      </c>
      <c r="J578" s="38"/>
      <c r="R578" s="30"/>
      <c r="S578" s="56">
        <v>1</v>
      </c>
      <c r="T578" s="376" t="s">
        <v>385</v>
      </c>
      <c r="V578" s="38" t="s">
        <v>8</v>
      </c>
      <c r="W578" s="38" t="s">
        <v>8</v>
      </c>
      <c r="X578" s="38" t="s">
        <v>8</v>
      </c>
      <c r="Y578" s="1443">
        <v>100041000</v>
      </c>
      <c r="Z578" s="1443"/>
      <c r="AA578" s="558"/>
      <c r="AB578"/>
      <c r="AC578" s="3">
        <v>4</v>
      </c>
      <c r="AD578" s="5">
        <f>S578*AC578</f>
        <v>4</v>
      </c>
      <c r="AE578" s="5" t="s">
        <v>385</v>
      </c>
      <c r="AF578" s="38" t="s">
        <v>8</v>
      </c>
      <c r="AG578" s="38" t="s">
        <v>8</v>
      </c>
      <c r="AH578" s="51">
        <f>'Single Hung'!AI1143</f>
        <v>0.109</v>
      </c>
      <c r="AI578" s="590"/>
      <c r="AJ578" s="590"/>
      <c r="AK578" s="590"/>
      <c r="AL578" s="51">
        <f>AD578*AH578+SUM(AI578:AK578)</f>
        <v>0.436</v>
      </c>
      <c r="AM578" s="961" t="s">
        <v>81</v>
      </c>
      <c r="AN578" s="961" t="s">
        <v>81</v>
      </c>
      <c r="AO578" s="961" t="s">
        <v>81</v>
      </c>
      <c r="AP578" s="961" t="s">
        <v>81</v>
      </c>
      <c r="AQ578" s="1937" t="s">
        <v>81</v>
      </c>
      <c r="AR578" s="958"/>
      <c r="AS578"/>
    </row>
    <row r="579" spans="1:45" ht="15" customHeight="1" x14ac:dyDescent="0.4">
      <c r="A579"/>
      <c r="B579" s="8"/>
      <c r="C579" s="8" t="s">
        <v>951</v>
      </c>
      <c r="D579" s="3"/>
      <c r="I579" s="8" t="s">
        <v>952</v>
      </c>
      <c r="J579" s="38"/>
      <c r="R579" s="30"/>
      <c r="S579" s="5">
        <f>1/12</f>
        <v>8.3333333333333329E-2</v>
      </c>
      <c r="T579" s="376" t="s">
        <v>385</v>
      </c>
      <c r="V579" s="38" t="s">
        <v>8</v>
      </c>
      <c r="W579" s="38" t="s">
        <v>8</v>
      </c>
      <c r="X579" s="38" t="s">
        <v>8</v>
      </c>
      <c r="Y579" s="1443">
        <v>100032000</v>
      </c>
      <c r="Z579" s="1443"/>
      <c r="AA579" s="558"/>
      <c r="AB579"/>
      <c r="AC579" s="3">
        <v>4</v>
      </c>
      <c r="AD579" s="5">
        <f>S579*AC579</f>
        <v>0.33333333333333331</v>
      </c>
      <c r="AE579" s="5" t="s">
        <v>385</v>
      </c>
      <c r="AF579" s="38" t="s">
        <v>8</v>
      </c>
      <c r="AG579" s="38" t="s">
        <v>8</v>
      </c>
      <c r="AH579" s="51">
        <f>'Single Hung'!AI1144</f>
        <v>4.21</v>
      </c>
      <c r="AI579" s="590"/>
      <c r="AJ579" s="590"/>
      <c r="AK579" s="590"/>
      <c r="AL579" s="51">
        <f>AD579*AH579+SUM(AI579:AK579)</f>
        <v>1.4033333333333333</v>
      </c>
      <c r="AM579" s="961" t="s">
        <v>371</v>
      </c>
      <c r="AN579" s="961" t="s">
        <v>371</v>
      </c>
      <c r="AO579" s="961" t="s">
        <v>371</v>
      </c>
      <c r="AP579" s="961" t="s">
        <v>371</v>
      </c>
      <c r="AQ579" s="1937" t="s">
        <v>371</v>
      </c>
      <c r="AR579" s="958"/>
      <c r="AS579"/>
    </row>
    <row r="580" spans="1:45" ht="15" customHeight="1" x14ac:dyDescent="0.4">
      <c r="A580"/>
      <c r="B580" s="8"/>
      <c r="C580" s="8" t="s">
        <v>953</v>
      </c>
      <c r="D580" s="3"/>
      <c r="I580" s="8" t="s">
        <v>954</v>
      </c>
      <c r="J580" s="38"/>
      <c r="R580" s="30"/>
      <c r="S580" s="56">
        <v>1</v>
      </c>
      <c r="T580" s="376" t="s">
        <v>385</v>
      </c>
      <c r="V580" s="38" t="s">
        <v>8</v>
      </c>
      <c r="W580" s="38" t="s">
        <v>8</v>
      </c>
      <c r="X580" s="38" t="s">
        <v>8</v>
      </c>
      <c r="Y580" s="1443">
        <v>100003000</v>
      </c>
      <c r="Z580" s="1443"/>
      <c r="AA580" s="558"/>
      <c r="AB580"/>
      <c r="AC580" s="3">
        <v>4</v>
      </c>
      <c r="AD580" s="5">
        <f>S580*AC580</f>
        <v>4</v>
      </c>
      <c r="AE580" s="5" t="s">
        <v>385</v>
      </c>
      <c r="AF580" s="38" t="s">
        <v>8</v>
      </c>
      <c r="AG580" s="38" t="s">
        <v>8</v>
      </c>
      <c r="AH580" s="51">
        <f>'Single Hung'!AI1145</f>
        <v>0.124</v>
      </c>
      <c r="AI580" s="590"/>
      <c r="AJ580" s="590"/>
      <c r="AK580" s="590"/>
      <c r="AL580" s="51">
        <f>AD580*AH580+SUM(AI580:AK580)</f>
        <v>0.496</v>
      </c>
      <c r="AM580" s="961" t="s">
        <v>371</v>
      </c>
      <c r="AN580" s="961" t="s">
        <v>371</v>
      </c>
      <c r="AO580" s="961" t="s">
        <v>371</v>
      </c>
      <c r="AP580" s="961" t="s">
        <v>371</v>
      </c>
      <c r="AQ580" s="1937" t="s">
        <v>371</v>
      </c>
      <c r="AR580" s="958"/>
      <c r="AS580"/>
    </row>
    <row r="581" spans="1:45" ht="15" customHeight="1" x14ac:dyDescent="0.4">
      <c r="A581"/>
      <c r="B581" s="8"/>
      <c r="C581" s="641" t="s">
        <v>974</v>
      </c>
      <c r="D581" s="749"/>
      <c r="E581" s="749"/>
      <c r="F581" s="749"/>
      <c r="G581" s="749"/>
      <c r="H581" s="750"/>
      <c r="I581" s="750"/>
      <c r="J581" s="750"/>
      <c r="K581" s="750"/>
      <c r="L581" s="750"/>
      <c r="M581" s="750"/>
      <c r="N581" s="750"/>
      <c r="O581" s="750"/>
      <c r="P581" s="750"/>
      <c r="Q581" s="750"/>
      <c r="R581" s="750"/>
      <c r="S581" s="645"/>
      <c r="T581" s="645"/>
      <c r="U581" s="645"/>
      <c r="V581" s="645"/>
      <c r="W581" s="645"/>
      <c r="X581" s="645"/>
      <c r="Y581" s="645"/>
      <c r="Z581" s="645"/>
      <c r="AA581" s="645"/>
      <c r="AB581" s="645"/>
      <c r="AC581" s="645"/>
      <c r="AD581" s="645"/>
      <c r="AE581" s="645"/>
      <c r="AF581" s="751"/>
      <c r="AG581" s="752"/>
      <c r="AH581" s="753"/>
      <c r="AI581" s="753"/>
      <c r="AJ581" s="753"/>
      <c r="AK581" s="648" t="s">
        <v>975</v>
      </c>
      <c r="AL581" s="963">
        <f>SUBTOTAL(109,AL582:AL588)</f>
        <v>0.13950000000000001</v>
      </c>
      <c r="AM581" s="963"/>
      <c r="AN581" s="963"/>
      <c r="AO581" s="963"/>
      <c r="AP581" s="963"/>
      <c r="AQ581" s="963"/>
      <c r="AR581" s="963"/>
      <c r="AS581"/>
    </row>
    <row r="582" spans="1:45" ht="15" customHeight="1" x14ac:dyDescent="0.4">
      <c r="A582"/>
      <c r="B582" s="8"/>
      <c r="C582" s="4" t="s">
        <v>977</v>
      </c>
      <c r="J582" s="38"/>
      <c r="R582" s="30"/>
      <c r="S582" s="56">
        <v>1</v>
      </c>
      <c r="T582" s="376" t="s">
        <v>385</v>
      </c>
      <c r="V582" s="38" t="s">
        <v>8</v>
      </c>
      <c r="W582" s="38" t="s">
        <v>8</v>
      </c>
      <c r="X582" s="38" t="s">
        <v>8</v>
      </c>
      <c r="Y582" s="1564">
        <v>170318000001</v>
      </c>
      <c r="Z582" s="566">
        <v>253660</v>
      </c>
      <c r="AA582" s="10"/>
      <c r="AB582"/>
      <c r="AC582" s="3">
        <v>1</v>
      </c>
      <c r="AD582" s="56">
        <f t="shared" ref="AD582:AD590" si="93">S582*AC582</f>
        <v>1</v>
      </c>
      <c r="AE582" s="5" t="s">
        <v>385</v>
      </c>
      <c r="AF582" s="38" t="s">
        <v>8</v>
      </c>
      <c r="AG582" s="38" t="s">
        <v>8</v>
      </c>
      <c r="AH582" s="51">
        <f>'Single Hung'!AI1167</f>
        <v>9.9000000000000008E-3</v>
      </c>
      <c r="AI582" s="590"/>
      <c r="AJ582" s="590"/>
      <c r="AK582" s="590"/>
      <c r="AL582" s="51">
        <f>AD582*AH582+SUM(AI582:AK582)</f>
        <v>9.9000000000000008E-3</v>
      </c>
      <c r="AM582" s="961" t="s">
        <v>81</v>
      </c>
      <c r="AN582" s="961" t="s">
        <v>81</v>
      </c>
      <c r="AO582" s="961" t="s">
        <v>81</v>
      </c>
      <c r="AP582" s="961" t="s">
        <v>81</v>
      </c>
      <c r="AQ582" s="1937" t="s">
        <v>81</v>
      </c>
      <c r="AR582" s="958"/>
      <c r="AS582"/>
    </row>
    <row r="583" spans="1:45" ht="15" customHeight="1" x14ac:dyDescent="0.4">
      <c r="A583"/>
      <c r="B583" s="8"/>
      <c r="C583" s="8" t="s">
        <v>2092</v>
      </c>
      <c r="J583" s="38"/>
      <c r="R583" s="30"/>
      <c r="S583" s="56">
        <v>1</v>
      </c>
      <c r="T583" s="376" t="s">
        <v>385</v>
      </c>
      <c r="V583" s="38" t="s">
        <v>8</v>
      </c>
      <c r="W583" s="38" t="s">
        <v>8</v>
      </c>
      <c r="X583" s="38" t="s">
        <v>8</v>
      </c>
      <c r="Y583" s="1443">
        <v>170188000</v>
      </c>
      <c r="Z583" s="1443"/>
      <c r="AA583" s="10"/>
      <c r="AB583"/>
      <c r="AC583" s="3">
        <v>1</v>
      </c>
      <c r="AD583" s="56">
        <f t="shared" si="93"/>
        <v>1</v>
      </c>
      <c r="AE583" s="5" t="s">
        <v>385</v>
      </c>
      <c r="AF583" s="38" t="s">
        <v>8</v>
      </c>
      <c r="AG583" s="38" t="s">
        <v>8</v>
      </c>
      <c r="AH583" s="51">
        <f>'Single Hung'!AI1169</f>
        <v>1.6400000000000001E-2</v>
      </c>
      <c r="AI583" s="590"/>
      <c r="AJ583" s="590"/>
      <c r="AK583" s="590"/>
      <c r="AL583" s="51">
        <f t="shared" ref="AL583:AL592" si="94">AD583*AH583+SUM(AI583:AK583)</f>
        <v>1.6400000000000001E-2</v>
      </c>
      <c r="AM583" s="961" t="s">
        <v>81</v>
      </c>
      <c r="AN583" s="961" t="s">
        <v>81</v>
      </c>
      <c r="AO583" s="961" t="s">
        <v>81</v>
      </c>
      <c r="AP583" s="961" t="s">
        <v>81</v>
      </c>
      <c r="AQ583" s="1937" t="s">
        <v>81</v>
      </c>
      <c r="AR583" s="958"/>
      <c r="AS583"/>
    </row>
    <row r="584" spans="1:45" ht="15" customHeight="1" x14ac:dyDescent="0.4">
      <c r="A584"/>
      <c r="B584" s="8"/>
      <c r="C584" s="4" t="s">
        <v>978</v>
      </c>
      <c r="J584" s="38"/>
      <c r="R584" s="30"/>
      <c r="S584" s="56">
        <v>1</v>
      </c>
      <c r="T584" s="376" t="s">
        <v>385</v>
      </c>
      <c r="V584" s="38" t="s">
        <v>8</v>
      </c>
      <c r="W584" s="38" t="s">
        <v>8</v>
      </c>
      <c r="X584" s="38" t="s">
        <v>8</v>
      </c>
      <c r="Y584" s="1563">
        <v>170200000</v>
      </c>
      <c r="Z584" s="566">
        <v>253666</v>
      </c>
      <c r="AA584" s="10"/>
      <c r="AB584"/>
      <c r="AC584" s="3">
        <v>2</v>
      </c>
      <c r="AD584" s="56">
        <f t="shared" si="93"/>
        <v>2</v>
      </c>
      <c r="AE584" s="5" t="s">
        <v>385</v>
      </c>
      <c r="AF584" s="38" t="s">
        <v>8</v>
      </c>
      <c r="AG584" s="38" t="s">
        <v>8</v>
      </c>
      <c r="AH584" s="51">
        <f>'Single Hung'!AI1170</f>
        <v>9.5999999999999992E-3</v>
      </c>
      <c r="AI584" s="590"/>
      <c r="AJ584" s="590"/>
      <c r="AK584" s="590"/>
      <c r="AL584" s="51">
        <f t="shared" si="94"/>
        <v>1.9199999999999998E-2</v>
      </c>
      <c r="AM584" s="961" t="s">
        <v>81</v>
      </c>
      <c r="AN584" s="961" t="s">
        <v>81</v>
      </c>
      <c r="AO584" s="961" t="s">
        <v>81</v>
      </c>
      <c r="AP584" s="961" t="s">
        <v>81</v>
      </c>
      <c r="AQ584" s="1937" t="s">
        <v>81</v>
      </c>
      <c r="AR584" s="958"/>
      <c r="AS584"/>
    </row>
    <row r="585" spans="1:45" ht="15" customHeight="1" x14ac:dyDescent="0.4">
      <c r="A585"/>
      <c r="B585" s="8"/>
      <c r="C585" s="4" t="s">
        <v>979</v>
      </c>
      <c r="R585" s="376"/>
      <c r="S585" s="56">
        <v>1</v>
      </c>
      <c r="T585" s="376" t="s">
        <v>385</v>
      </c>
      <c r="V585" s="38" t="s">
        <v>8</v>
      </c>
      <c r="W585" s="38" t="s">
        <v>8</v>
      </c>
      <c r="X585" s="38" t="s">
        <v>8</v>
      </c>
      <c r="Y585" s="1563">
        <v>170228000</v>
      </c>
      <c r="Z585" s="566">
        <v>253668</v>
      </c>
      <c r="AA585" s="10"/>
      <c r="AB585"/>
      <c r="AC585" s="3">
        <v>1</v>
      </c>
      <c r="AD585" s="56">
        <f t="shared" si="93"/>
        <v>1</v>
      </c>
      <c r="AE585" s="5" t="s">
        <v>385</v>
      </c>
      <c r="AF585" s="38" t="s">
        <v>8</v>
      </c>
      <c r="AG585" s="38" t="s">
        <v>8</v>
      </c>
      <c r="AH585" s="51">
        <f>'Single Hung'!AI1171</f>
        <v>6.4000000000000003E-3</v>
      </c>
      <c r="AI585" s="590"/>
      <c r="AJ585" s="590"/>
      <c r="AK585" s="590"/>
      <c r="AL585" s="51">
        <f t="shared" si="94"/>
        <v>6.4000000000000003E-3</v>
      </c>
      <c r="AM585" s="961" t="s">
        <v>81</v>
      </c>
      <c r="AN585" s="961" t="s">
        <v>81</v>
      </c>
      <c r="AO585" s="961" t="s">
        <v>81</v>
      </c>
      <c r="AP585" s="961" t="s">
        <v>81</v>
      </c>
      <c r="AQ585" s="1937" t="s">
        <v>81</v>
      </c>
      <c r="AR585" s="958"/>
      <c r="AS585"/>
    </row>
    <row r="586" spans="1:45" ht="15" customHeight="1" x14ac:dyDescent="0.4">
      <c r="A586"/>
      <c r="B586" s="8"/>
      <c r="C586" s="4" t="s">
        <v>980</v>
      </c>
      <c r="R586" s="376"/>
      <c r="S586" s="56">
        <v>1</v>
      </c>
      <c r="T586" s="376" t="s">
        <v>385</v>
      </c>
      <c r="V586" s="38" t="s">
        <v>8</v>
      </c>
      <c r="W586" s="38" t="s">
        <v>8</v>
      </c>
      <c r="X586" s="38" t="s">
        <v>8</v>
      </c>
      <c r="Y586" s="1563">
        <v>170196000</v>
      </c>
      <c r="Z586" s="566">
        <v>253674</v>
      </c>
      <c r="AA586" s="10"/>
      <c r="AB586"/>
      <c r="AC586" s="3">
        <v>1</v>
      </c>
      <c r="AD586" s="56">
        <f t="shared" si="93"/>
        <v>1</v>
      </c>
      <c r="AE586" s="5" t="s">
        <v>385</v>
      </c>
      <c r="AF586" s="38" t="s">
        <v>8</v>
      </c>
      <c r="AG586" s="38" t="s">
        <v>8</v>
      </c>
      <c r="AH586" s="51">
        <f>'Single Hung'!AI1172</f>
        <v>2.92E-2</v>
      </c>
      <c r="AI586" s="590"/>
      <c r="AJ586" s="590"/>
      <c r="AK586" s="590"/>
      <c r="AL586" s="51">
        <f t="shared" si="94"/>
        <v>2.92E-2</v>
      </c>
      <c r="AM586" s="961" t="s">
        <v>81</v>
      </c>
      <c r="AN586" s="961" t="s">
        <v>81</v>
      </c>
      <c r="AO586" s="961" t="s">
        <v>81</v>
      </c>
      <c r="AP586" s="961" t="s">
        <v>81</v>
      </c>
      <c r="AQ586" s="1937" t="s">
        <v>81</v>
      </c>
      <c r="AR586" s="958"/>
      <c r="AS586"/>
    </row>
    <row r="587" spans="1:45" ht="15" customHeight="1" x14ac:dyDescent="0.4">
      <c r="A587"/>
      <c r="B587" s="8"/>
      <c r="C587" s="4" t="s">
        <v>981</v>
      </c>
      <c r="R587" s="376"/>
      <c r="S587" s="56">
        <v>1</v>
      </c>
      <c r="T587" s="376" t="s">
        <v>385</v>
      </c>
      <c r="V587" s="38" t="s">
        <v>8</v>
      </c>
      <c r="W587" s="38" t="s">
        <v>8</v>
      </c>
      <c r="X587" s="38" t="s">
        <v>8</v>
      </c>
      <c r="Y587" s="1563">
        <v>170196000</v>
      </c>
      <c r="Z587" s="566">
        <v>253674</v>
      </c>
      <c r="AA587" s="10"/>
      <c r="AB587"/>
      <c r="AC587" s="3">
        <v>1</v>
      </c>
      <c r="AD587" s="56">
        <f t="shared" si="93"/>
        <v>1</v>
      </c>
      <c r="AE587" s="5" t="s">
        <v>385</v>
      </c>
      <c r="AF587" s="38" t="s">
        <v>8</v>
      </c>
      <c r="AG587" s="38" t="s">
        <v>8</v>
      </c>
      <c r="AH587" s="51">
        <f>'Single Hung'!AI1173</f>
        <v>2.92E-2</v>
      </c>
      <c r="AI587" s="590"/>
      <c r="AJ587" s="590"/>
      <c r="AK587" s="590"/>
      <c r="AL587" s="51">
        <f t="shared" si="94"/>
        <v>2.92E-2</v>
      </c>
      <c r="AM587" s="961" t="s">
        <v>81</v>
      </c>
      <c r="AN587" s="961" t="s">
        <v>81</v>
      </c>
      <c r="AO587" s="961" t="s">
        <v>81</v>
      </c>
      <c r="AP587" s="961" t="s">
        <v>81</v>
      </c>
      <c r="AQ587" s="1937" t="s">
        <v>81</v>
      </c>
      <c r="AR587" s="958"/>
      <c r="AS587"/>
    </row>
    <row r="588" spans="1:45" ht="15" customHeight="1" x14ac:dyDescent="0.4">
      <c r="A588"/>
      <c r="B588" s="8"/>
      <c r="C588" s="4" t="s">
        <v>982</v>
      </c>
      <c r="R588" s="376"/>
      <c r="S588" s="56">
        <v>1</v>
      </c>
      <c r="T588" s="376" t="s">
        <v>385</v>
      </c>
      <c r="V588" s="38" t="s">
        <v>8</v>
      </c>
      <c r="W588" s="38" t="s">
        <v>8</v>
      </c>
      <c r="X588" s="38" t="s">
        <v>8</v>
      </c>
      <c r="Y588" s="1563">
        <v>170196000</v>
      </c>
      <c r="Z588" s="566">
        <v>253674</v>
      </c>
      <c r="AA588" s="10"/>
      <c r="AB588"/>
      <c r="AC588" s="3">
        <v>1</v>
      </c>
      <c r="AD588" s="56">
        <f t="shared" si="93"/>
        <v>1</v>
      </c>
      <c r="AE588" s="5" t="s">
        <v>385</v>
      </c>
      <c r="AF588" s="38" t="s">
        <v>8</v>
      </c>
      <c r="AG588" s="38" t="s">
        <v>8</v>
      </c>
      <c r="AH588" s="51">
        <f>'Single Hung'!AI1174</f>
        <v>2.92E-2</v>
      </c>
      <c r="AI588" s="590"/>
      <c r="AJ588" s="590"/>
      <c r="AK588" s="590"/>
      <c r="AL588" s="51">
        <f t="shared" si="94"/>
        <v>2.92E-2</v>
      </c>
      <c r="AM588" s="961" t="s">
        <v>81</v>
      </c>
      <c r="AN588" s="961" t="s">
        <v>81</v>
      </c>
      <c r="AO588" s="961" t="s">
        <v>81</v>
      </c>
      <c r="AP588" s="961" t="s">
        <v>81</v>
      </c>
      <c r="AQ588" s="1937" t="s">
        <v>81</v>
      </c>
      <c r="AR588" s="958"/>
      <c r="AS588"/>
    </row>
    <row r="589" spans="1:45" ht="15" customHeight="1" x14ac:dyDescent="0.4">
      <c r="A589"/>
      <c r="B589" s="8"/>
      <c r="C589" s="641" t="s">
        <v>983</v>
      </c>
      <c r="D589" s="749"/>
      <c r="E589" s="749"/>
      <c r="F589" s="749"/>
      <c r="G589" s="749"/>
      <c r="H589" s="750"/>
      <c r="I589" s="750"/>
      <c r="J589" s="750"/>
      <c r="K589" s="750"/>
      <c r="L589" s="750"/>
      <c r="M589" s="750"/>
      <c r="N589" s="750"/>
      <c r="O589" s="750"/>
      <c r="P589" s="750"/>
      <c r="Q589" s="750"/>
      <c r="R589" s="750"/>
      <c r="S589" s="645"/>
      <c r="T589" s="645"/>
      <c r="U589" s="645"/>
      <c r="V589" s="645"/>
      <c r="W589" s="645"/>
      <c r="X589" s="645"/>
      <c r="Y589" s="645"/>
      <c r="Z589" s="645"/>
      <c r="AA589" s="645"/>
      <c r="AB589" s="645"/>
      <c r="AC589" s="645"/>
      <c r="AD589" s="645"/>
      <c r="AE589" s="645"/>
      <c r="AF589" s="751"/>
      <c r="AG589" s="752"/>
      <c r="AH589" s="753"/>
      <c r="AI589" s="753"/>
      <c r="AJ589" s="753"/>
      <c r="AK589" s="648" t="s">
        <v>984</v>
      </c>
      <c r="AL589" s="963">
        <f>SUBTOTAL(109,AL590)</f>
        <v>0.3</v>
      </c>
      <c r="AM589" s="963"/>
      <c r="AN589" s="963"/>
      <c r="AO589" s="963"/>
      <c r="AP589" s="963"/>
      <c r="AQ589" s="963"/>
      <c r="AR589" s="963"/>
      <c r="AS589"/>
    </row>
    <row r="590" spans="1:45" ht="15" customHeight="1" x14ac:dyDescent="0.4">
      <c r="A590"/>
      <c r="B590" s="8"/>
      <c r="C590" s="4" t="s">
        <v>985</v>
      </c>
      <c r="D590" s="3"/>
      <c r="J590" s="38"/>
      <c r="R590" s="30"/>
      <c r="S590" s="56">
        <v>1</v>
      </c>
      <c r="T590" s="376" t="s">
        <v>385</v>
      </c>
      <c r="V590" s="38" t="s">
        <v>8</v>
      </c>
      <c r="W590" s="38" t="s">
        <v>8</v>
      </c>
      <c r="X590" s="38" t="s">
        <v>8</v>
      </c>
      <c r="Y590" s="1563">
        <v>170201000</v>
      </c>
      <c r="Z590" s="566">
        <v>151965</v>
      </c>
      <c r="AA590" s="10"/>
      <c r="AB590"/>
      <c r="AC590" s="3">
        <v>1</v>
      </c>
      <c r="AD590" s="56">
        <f t="shared" si="93"/>
        <v>1</v>
      </c>
      <c r="AE590" s="5" t="s">
        <v>385</v>
      </c>
      <c r="AF590" s="38" t="s">
        <v>8</v>
      </c>
      <c r="AG590" s="38" t="s">
        <v>8</v>
      </c>
      <c r="AH590" s="51">
        <f>'Single Hung'!AI1176</f>
        <v>0.3</v>
      </c>
      <c r="AI590" s="590"/>
      <c r="AJ590" s="590"/>
      <c r="AK590" s="590"/>
      <c r="AL590" s="51">
        <f t="shared" si="94"/>
        <v>0.3</v>
      </c>
      <c r="AM590" s="961" t="s">
        <v>371</v>
      </c>
      <c r="AN590" s="961" t="s">
        <v>371</v>
      </c>
      <c r="AO590" s="961" t="s">
        <v>371</v>
      </c>
      <c r="AP590" s="961" t="s">
        <v>371</v>
      </c>
      <c r="AQ590" s="1937" t="s">
        <v>371</v>
      </c>
      <c r="AR590" s="958"/>
      <c r="AS590"/>
    </row>
    <row r="591" spans="1:45" ht="15" customHeight="1" x14ac:dyDescent="0.4">
      <c r="A591"/>
      <c r="B591" s="8"/>
      <c r="C591" s="641" t="s">
        <v>991</v>
      </c>
      <c r="D591" s="749"/>
      <c r="E591" s="749"/>
      <c r="F591" s="749"/>
      <c r="G591" s="749"/>
      <c r="H591" s="750"/>
      <c r="I591" s="750"/>
      <c r="J591" s="750"/>
      <c r="K591" s="750"/>
      <c r="L591" s="750"/>
      <c r="M591" s="750"/>
      <c r="N591" s="750"/>
      <c r="O591" s="750"/>
      <c r="P591" s="750"/>
      <c r="Q591" s="750"/>
      <c r="R591" s="750"/>
      <c r="S591" s="645"/>
      <c r="T591" s="645"/>
      <c r="U591" s="645"/>
      <c r="V591" s="645"/>
      <c r="W591" s="645"/>
      <c r="X591" s="645"/>
      <c r="Y591" s="645"/>
      <c r="Z591" s="645"/>
      <c r="AA591" s="645"/>
      <c r="AB591" s="645"/>
      <c r="AC591" s="645"/>
      <c r="AD591" s="645"/>
      <c r="AE591" s="645"/>
      <c r="AF591" s="751"/>
      <c r="AG591" s="752"/>
      <c r="AH591" s="753"/>
      <c r="AI591" s="753"/>
      <c r="AJ591" s="753"/>
      <c r="AK591" s="648" t="s">
        <v>992</v>
      </c>
      <c r="AL591" s="963" t="e">
        <f>SUBTOTAL(109,AL592:AL598)</f>
        <v>#NAME?</v>
      </c>
      <c r="AM591" s="963"/>
      <c r="AN591" s="963"/>
      <c r="AO591" s="963"/>
      <c r="AP591" s="963"/>
      <c r="AQ591" s="963"/>
      <c r="AR591" s="963"/>
      <c r="AS591"/>
    </row>
    <row r="592" spans="1:45" ht="15" customHeight="1" x14ac:dyDescent="0.4">
      <c r="A592"/>
      <c r="B592" s="8"/>
      <c r="C592" s="4" t="s">
        <v>963</v>
      </c>
      <c r="J592" s="38"/>
      <c r="R592" s="30"/>
      <c r="T592" s="376"/>
      <c r="V592" s="38" t="s">
        <v>8</v>
      </c>
      <c r="W592" s="38" t="s">
        <v>8</v>
      </c>
      <c r="X592" s="38" t="s">
        <v>8</v>
      </c>
      <c r="Y592" s="1563">
        <v>120027000</v>
      </c>
      <c r="Z592" s="566">
        <v>49464</v>
      </c>
      <c r="AA592" s="10"/>
      <c r="AB592"/>
      <c r="AC592" s="56">
        <v>1</v>
      </c>
      <c r="AD592" s="5" t="e">
        <f>S596/12*AC592</f>
        <v>#NAME?</v>
      </c>
      <c r="AE592" s="5" t="s">
        <v>367</v>
      </c>
      <c r="AF592" s="38" t="s">
        <v>8</v>
      </c>
      <c r="AG592" s="38" t="s">
        <v>8</v>
      </c>
      <c r="AH592" s="51">
        <f>'Single Hung'!AI1150</f>
        <v>4.8999999999999998E-3</v>
      </c>
      <c r="AI592" s="590"/>
      <c r="AJ592" s="590"/>
      <c r="AK592" s="590"/>
      <c r="AL592" s="51" t="e">
        <f t="shared" si="94"/>
        <v>#NAME?</v>
      </c>
      <c r="AM592" s="961" t="s">
        <v>81</v>
      </c>
      <c r="AN592" s="961" t="s">
        <v>81</v>
      </c>
      <c r="AO592" s="961" t="s">
        <v>81</v>
      </c>
      <c r="AP592" s="961" t="s">
        <v>81</v>
      </c>
      <c r="AQ592" s="1937" t="s">
        <v>81</v>
      </c>
      <c r="AR592" s="958"/>
      <c r="AS592"/>
    </row>
    <row r="593" spans="1:47" ht="15" customHeight="1" x14ac:dyDescent="0.4">
      <c r="A593"/>
      <c r="B593" s="8"/>
      <c r="C593" s="4"/>
      <c r="G593" s="42" t="s">
        <v>1187</v>
      </c>
      <c r="I593" s="8" t="s">
        <v>965</v>
      </c>
      <c r="J593" s="38"/>
      <c r="K593" s="3" t="s">
        <v>365</v>
      </c>
      <c r="L593" s="38" t="s">
        <v>346</v>
      </c>
      <c r="M593" s="5">
        <v>18</v>
      </c>
      <c r="R593" s="30" t="s">
        <v>352</v>
      </c>
      <c r="S593" s="56" t="e">
        <f>ROUND(SHHeight/M593,0)</f>
        <v>#NAME?</v>
      </c>
      <c r="T593" s="376" t="s">
        <v>966</v>
      </c>
      <c r="AA593" s="10"/>
      <c r="AB593"/>
      <c r="AC593" s="56"/>
      <c r="AF593" s="38"/>
      <c r="AG593" s="38"/>
      <c r="AI593" s="590"/>
      <c r="AJ593" s="590"/>
      <c r="AK593" s="590"/>
      <c r="AL593" s="492"/>
      <c r="AM593" s="961" t="s">
        <v>81</v>
      </c>
      <c r="AN593" s="961" t="s">
        <v>81</v>
      </c>
      <c r="AO593" s="961" t="s">
        <v>81</v>
      </c>
      <c r="AP593" s="961" t="s">
        <v>81</v>
      </c>
      <c r="AQ593" s="1937" t="s">
        <v>81</v>
      </c>
      <c r="AR593" s="958"/>
      <c r="AS593"/>
    </row>
    <row r="594" spans="1:47" ht="15" customHeight="1" x14ac:dyDescent="0.4">
      <c r="A594"/>
      <c r="B594" s="8"/>
      <c r="C594" s="4"/>
      <c r="G594" s="42" t="s">
        <v>1188</v>
      </c>
      <c r="I594" s="3" t="s">
        <v>392</v>
      </c>
      <c r="J594" s="3" t="s">
        <v>483</v>
      </c>
      <c r="K594" s="3">
        <v>2</v>
      </c>
      <c r="L594" s="38" t="s">
        <v>348</v>
      </c>
      <c r="M594" s="5">
        <v>5</v>
      </c>
      <c r="N594" s="5" t="s">
        <v>483</v>
      </c>
      <c r="O594" s="5">
        <v>2</v>
      </c>
      <c r="R594" s="30" t="s">
        <v>352</v>
      </c>
      <c r="S594" s="758">
        <f>(FWWidth*K594)+(M594*O594)</f>
        <v>105</v>
      </c>
      <c r="T594" s="376" t="s">
        <v>590</v>
      </c>
      <c r="AA594" s="10"/>
      <c r="AB594"/>
      <c r="AC594" s="56"/>
      <c r="AF594" s="38"/>
      <c r="AG594" s="38"/>
      <c r="AI594" s="590"/>
      <c r="AJ594" s="590"/>
      <c r="AK594" s="590"/>
      <c r="AL594" s="492"/>
      <c r="AM594" s="961" t="s">
        <v>81</v>
      </c>
      <c r="AN594" s="961" t="s">
        <v>81</v>
      </c>
      <c r="AO594" s="961" t="s">
        <v>81</v>
      </c>
      <c r="AP594" s="961" t="s">
        <v>81</v>
      </c>
      <c r="AQ594" s="1937" t="s">
        <v>81</v>
      </c>
      <c r="AR594" s="958"/>
      <c r="AS594"/>
    </row>
    <row r="595" spans="1:47" ht="15" customHeight="1" x14ac:dyDescent="0.4">
      <c r="A595"/>
      <c r="B595" s="8"/>
      <c r="C595" s="4"/>
      <c r="G595" s="42" t="s">
        <v>968</v>
      </c>
      <c r="I595" s="1970" t="s">
        <v>969</v>
      </c>
      <c r="J595" s="1970"/>
      <c r="K595" s="1970"/>
      <c r="L595" s="3" t="s">
        <v>483</v>
      </c>
      <c r="M595" s="5" t="s">
        <v>970</v>
      </c>
      <c r="N595" s="38" t="s">
        <v>348</v>
      </c>
      <c r="O595" s="5" t="s">
        <v>971</v>
      </c>
      <c r="R595" s="30" t="s">
        <v>352</v>
      </c>
      <c r="S595" s="758" t="e">
        <f>S594*(S593+4)</f>
        <v>#NAME?</v>
      </c>
      <c r="T595" s="376" t="s">
        <v>590</v>
      </c>
      <c r="AA595" s="10"/>
      <c r="AB595"/>
      <c r="AC595" s="56"/>
      <c r="AF595" s="38"/>
      <c r="AG595" s="38"/>
      <c r="AI595" s="590"/>
      <c r="AJ595" s="590"/>
      <c r="AK595" s="590"/>
      <c r="AL595" s="492"/>
      <c r="AM595" s="961" t="s">
        <v>81</v>
      </c>
      <c r="AN595" s="961" t="s">
        <v>81</v>
      </c>
      <c r="AO595" s="961" t="s">
        <v>81</v>
      </c>
      <c r="AP595" s="961" t="s">
        <v>81</v>
      </c>
      <c r="AQ595" s="1937" t="s">
        <v>81</v>
      </c>
      <c r="AR595" s="958"/>
      <c r="AS595"/>
    </row>
    <row r="596" spans="1:47" ht="15" customHeight="1" x14ac:dyDescent="0.4">
      <c r="A596"/>
      <c r="B596" s="8"/>
      <c r="C596" s="573"/>
      <c r="D596" s="573"/>
      <c r="E596" s="573"/>
      <c r="F596" s="573"/>
      <c r="G596" s="691" t="s">
        <v>972</v>
      </c>
      <c r="H596" s="574"/>
      <c r="I596" s="2035" t="s">
        <v>973</v>
      </c>
      <c r="J596" s="2035"/>
      <c r="K596" s="2035"/>
      <c r="L596" s="577" t="s">
        <v>483</v>
      </c>
      <c r="M596" s="575">
        <v>0.8</v>
      </c>
      <c r="N596" s="575"/>
      <c r="O596" s="575"/>
      <c r="P596" s="575"/>
      <c r="Q596" s="575"/>
      <c r="R596" s="737" t="s">
        <v>352</v>
      </c>
      <c r="S596" s="856" t="e">
        <f>S595*0.8</f>
        <v>#NAME?</v>
      </c>
      <c r="T596" s="578" t="s">
        <v>590</v>
      </c>
      <c r="U596" s="574"/>
      <c r="V596" s="577"/>
      <c r="W596" s="577"/>
      <c r="X596" s="577"/>
      <c r="Y596" s="577"/>
      <c r="Z596" s="577"/>
      <c r="AA596" s="743"/>
      <c r="AB596" s="577"/>
      <c r="AC596" s="577"/>
      <c r="AD596" s="577"/>
      <c r="AE596" s="577"/>
      <c r="AF596" s="577"/>
      <c r="AG596" s="577"/>
      <c r="AH596" s="577"/>
      <c r="AI596" s="577"/>
      <c r="AJ596" s="577"/>
      <c r="AK596" s="577"/>
      <c r="AL596" s="626"/>
      <c r="AM596" s="577" t="s">
        <v>81</v>
      </c>
      <c r="AN596" s="577" t="s">
        <v>81</v>
      </c>
      <c r="AO596" s="577" t="s">
        <v>81</v>
      </c>
      <c r="AP596" s="577" t="s">
        <v>81</v>
      </c>
      <c r="AQ596" s="1881" t="s">
        <v>81</v>
      </c>
      <c r="AR596" s="577"/>
      <c r="AS596"/>
    </row>
    <row r="597" spans="1:47" ht="15" customHeight="1" x14ac:dyDescent="0.4">
      <c r="A597"/>
      <c r="B597" s="8"/>
      <c r="C597" s="4" t="s">
        <v>994</v>
      </c>
      <c r="J597" s="38"/>
      <c r="R597" s="30"/>
      <c r="T597" s="376"/>
      <c r="V597" s="38" t="s">
        <v>8</v>
      </c>
      <c r="W597" s="38" t="s">
        <v>8</v>
      </c>
      <c r="X597" s="38" t="s">
        <v>8</v>
      </c>
      <c r="Y597" s="1443">
        <v>120009000</v>
      </c>
      <c r="Z597" s="1443"/>
      <c r="AA597" s="10"/>
      <c r="AB597"/>
      <c r="AE597" s="5" t="s">
        <v>1000</v>
      </c>
      <c r="AF597" s="38" t="s">
        <v>8</v>
      </c>
      <c r="AG597" s="38" t="s">
        <v>8</v>
      </c>
      <c r="AH597" s="51">
        <f>'Single Hung'!AI1187</f>
        <v>55.92</v>
      </c>
      <c r="AI597" s="590"/>
      <c r="AJ597" s="590"/>
      <c r="AK597" s="590"/>
      <c r="AL597" s="492"/>
      <c r="AM597" s="961" t="s">
        <v>371</v>
      </c>
      <c r="AN597" s="961" t="s">
        <v>371</v>
      </c>
      <c r="AO597" s="961" t="s">
        <v>371</v>
      </c>
      <c r="AP597" s="961" t="s">
        <v>371</v>
      </c>
      <c r="AQ597" s="1937" t="s">
        <v>371</v>
      </c>
      <c r="AR597" s="958"/>
      <c r="AS597"/>
    </row>
    <row r="598" spans="1:47" ht="15" customHeight="1" x14ac:dyDescent="0.4">
      <c r="A598"/>
      <c r="B598" s="8"/>
      <c r="C598" s="4" t="s">
        <v>1189</v>
      </c>
      <c r="J598" s="38"/>
      <c r="R598" s="30"/>
      <c r="T598" s="376"/>
      <c r="V598" s="38" t="s">
        <v>8</v>
      </c>
      <c r="W598" s="38" t="s">
        <v>8</v>
      </c>
      <c r="X598" s="38" t="s">
        <v>8</v>
      </c>
      <c r="Y598" s="1443">
        <v>120010000</v>
      </c>
      <c r="Z598" s="1443"/>
      <c r="AA598" s="10"/>
      <c r="AB598"/>
      <c r="AE598" s="5" t="s">
        <v>1000</v>
      </c>
      <c r="AF598" s="38" t="s">
        <v>8</v>
      </c>
      <c r="AG598" s="38" t="s">
        <v>8</v>
      </c>
      <c r="AH598" s="51">
        <f>'Single Hung'!AI1189</f>
        <v>74.67</v>
      </c>
      <c r="AI598" s="590"/>
      <c r="AJ598" s="590"/>
      <c r="AK598" s="590"/>
      <c r="AL598" s="492"/>
      <c r="AM598" s="961" t="s">
        <v>371</v>
      </c>
      <c r="AN598" s="961" t="s">
        <v>371</v>
      </c>
      <c r="AO598" s="961" t="s">
        <v>371</v>
      </c>
      <c r="AP598" s="961" t="s">
        <v>371</v>
      </c>
      <c r="AQ598" s="1937" t="s">
        <v>371</v>
      </c>
      <c r="AR598" s="958"/>
      <c r="AS598"/>
    </row>
    <row r="599" spans="1:47" ht="15" customHeight="1" x14ac:dyDescent="0.4">
      <c r="B599" s="8"/>
      <c r="C599" s="641" t="s">
        <v>1190</v>
      </c>
      <c r="D599" s="749"/>
      <c r="E599" s="749"/>
      <c r="F599" s="749"/>
      <c r="G599" s="749"/>
      <c r="H599" s="750"/>
      <c r="I599" s="750"/>
      <c r="J599" s="750"/>
      <c r="K599" s="750"/>
      <c r="L599" s="750"/>
      <c r="M599" s="750"/>
      <c r="N599" s="750"/>
      <c r="O599" s="750"/>
      <c r="P599" s="750"/>
      <c r="Q599" s="750"/>
      <c r="R599" s="750"/>
      <c r="S599" s="645"/>
      <c r="T599" s="645"/>
      <c r="U599" s="645"/>
      <c r="V599" s="645"/>
      <c r="W599" s="645"/>
      <c r="X599" s="645"/>
      <c r="Y599" s="645"/>
      <c r="Z599" s="645"/>
      <c r="AA599" s="645"/>
      <c r="AB599" s="645"/>
      <c r="AC599" s="645"/>
      <c r="AD599" s="645"/>
      <c r="AE599" s="645"/>
      <c r="AF599" s="751"/>
      <c r="AG599" s="752"/>
      <c r="AH599" s="753"/>
      <c r="AI599" s="754"/>
      <c r="AJ599" s="754"/>
      <c r="AK599" s="648" t="s">
        <v>992</v>
      </c>
      <c r="AL599" s="963">
        <f>SUBTOTAL(109,AL600:AL602)</f>
        <v>0.38976750000000004</v>
      </c>
      <c r="AM599" s="645"/>
      <c r="AN599" s="645"/>
      <c r="AO599" s="645"/>
      <c r="AP599" s="645"/>
      <c r="AQ599" s="645"/>
      <c r="AR599" s="645"/>
      <c r="AS599" s="570"/>
      <c r="AT599" s="139"/>
      <c r="AU599" s="139"/>
    </row>
    <row r="600" spans="1:47" ht="12.75" customHeight="1" x14ac:dyDescent="0.4">
      <c r="B600" s="8"/>
      <c r="C600" s="4" t="s">
        <v>1191</v>
      </c>
      <c r="D600" s="517"/>
      <c r="E600" s="517"/>
      <c r="F600" s="517"/>
      <c r="G600" s="517"/>
      <c r="I600" s="4" t="s">
        <v>392</v>
      </c>
      <c r="L600" s="3" t="s">
        <v>348</v>
      </c>
      <c r="M600" s="3">
        <v>2.75</v>
      </c>
      <c r="N600" s="3"/>
      <c r="O600" s="3"/>
      <c r="P600" s="3"/>
      <c r="Q600" s="3"/>
      <c r="R600" s="3" t="s">
        <v>352</v>
      </c>
      <c r="S600" s="5">
        <f>(FWWidth+M600)</f>
        <v>50.25</v>
      </c>
      <c r="T600" s="3" t="s">
        <v>366</v>
      </c>
      <c r="V600" s="38" t="s">
        <v>8</v>
      </c>
      <c r="W600" s="38" t="s">
        <v>8</v>
      </c>
      <c r="X600" s="38" t="s">
        <v>8</v>
      </c>
      <c r="Y600" s="1563">
        <v>150015000</v>
      </c>
      <c r="Z600" s="566">
        <v>252404</v>
      </c>
      <c r="AB600" s="3">
        <v>45</v>
      </c>
      <c r="AC600" s="56">
        <f>IF(FWWidth&lt;40,0,1)</f>
        <v>1</v>
      </c>
      <c r="AD600" s="5">
        <f>S600/80</f>
        <v>0.62812500000000004</v>
      </c>
      <c r="AE600" s="3" t="s">
        <v>385</v>
      </c>
      <c r="AF600" s="930" t="s">
        <v>8</v>
      </c>
      <c r="AG600" s="38" t="s">
        <v>8</v>
      </c>
      <c r="AH600" s="51">
        <f>'Single Hung'!AI1192</f>
        <v>0.59760000000000002</v>
      </c>
      <c r="AI600" s="3"/>
      <c r="AJ600" s="3"/>
      <c r="AK600" s="3"/>
      <c r="AL600" s="51">
        <f>AD600*AH600+SUM(AI600:AK600)</f>
        <v>0.37536750000000002</v>
      </c>
      <c r="AM600" s="3" t="s">
        <v>371</v>
      </c>
      <c r="AN600" s="3" t="s">
        <v>371</v>
      </c>
      <c r="AO600" s="3" t="s">
        <v>371</v>
      </c>
      <c r="AP600" s="3" t="s">
        <v>371</v>
      </c>
      <c r="AQ600" s="1414" t="s">
        <v>371</v>
      </c>
      <c r="AS600" s="850"/>
      <c r="AT600" s="139"/>
      <c r="AU600" s="139"/>
    </row>
    <row r="601" spans="1:47" ht="15" customHeight="1" x14ac:dyDescent="0.4">
      <c r="B601" s="8"/>
      <c r="C601" s="4" t="s">
        <v>1006</v>
      </c>
      <c r="D601" s="517"/>
      <c r="E601" s="517"/>
      <c r="F601" s="517"/>
      <c r="G601" s="517"/>
      <c r="I601" s="8"/>
      <c r="M601" s="3"/>
      <c r="N601" s="3"/>
      <c r="O601" s="3"/>
      <c r="P601" s="3"/>
      <c r="Q601" s="3"/>
      <c r="S601" s="56">
        <v>1</v>
      </c>
      <c r="T601" s="376" t="s">
        <v>385</v>
      </c>
      <c r="V601" s="38" t="s">
        <v>8</v>
      </c>
      <c r="W601" s="38" t="s">
        <v>8</v>
      </c>
      <c r="X601" s="38" t="s">
        <v>8</v>
      </c>
      <c r="Y601" s="1563">
        <v>440006000</v>
      </c>
      <c r="Z601" s="566">
        <v>54073</v>
      </c>
      <c r="AB601" s="3">
        <v>45</v>
      </c>
      <c r="AC601" s="56">
        <f>IF(FWWidth&lt;40,0,1)</f>
        <v>1</v>
      </c>
      <c r="AD601" s="56">
        <f>IF(FWWidth&lt;36,2,3)</f>
        <v>3</v>
      </c>
      <c r="AE601" s="3" t="s">
        <v>385</v>
      </c>
      <c r="AF601" s="930" t="s">
        <v>8</v>
      </c>
      <c r="AG601" s="38" t="s">
        <v>8</v>
      </c>
      <c r="AH601" s="51">
        <f>'Single Hung'!AI1193</f>
        <v>4.7999999999999996E-3</v>
      </c>
      <c r="AI601" s="5"/>
      <c r="AJ601" s="5"/>
      <c r="AK601" s="842"/>
      <c r="AL601" s="51">
        <f>AD601*AH601+SUM(AI601:AK601)</f>
        <v>1.44E-2</v>
      </c>
      <c r="AM601" s="3" t="s">
        <v>371</v>
      </c>
      <c r="AN601" s="3" t="s">
        <v>371</v>
      </c>
      <c r="AO601" s="3" t="s">
        <v>371</v>
      </c>
      <c r="AP601" s="3" t="s">
        <v>371</v>
      </c>
      <c r="AQ601" s="1414" t="s">
        <v>371</v>
      </c>
      <c r="AS601" s="850"/>
      <c r="AT601" s="139"/>
      <c r="AU601" s="139"/>
    </row>
    <row r="602" spans="1:47" ht="15" customHeight="1" x14ac:dyDescent="0.4">
      <c r="B602" s="8"/>
      <c r="C602" s="4" t="s">
        <v>1007</v>
      </c>
      <c r="D602" s="3"/>
      <c r="J602" s="38"/>
      <c r="R602" s="30"/>
      <c r="S602" s="56">
        <v>1</v>
      </c>
      <c r="T602" s="376" t="s">
        <v>385</v>
      </c>
      <c r="V602" s="38" t="s">
        <v>8</v>
      </c>
      <c r="W602" s="38" t="s">
        <v>8</v>
      </c>
      <c r="X602" s="38" t="s">
        <v>8</v>
      </c>
      <c r="Y602" s="1443">
        <v>170178000</v>
      </c>
      <c r="Z602" s="1443"/>
      <c r="AA602" s="10"/>
      <c r="AB602" s="3">
        <v>42</v>
      </c>
      <c r="AC602" s="56">
        <f>IF(FWWidth&lt;40,0,1)</f>
        <v>1</v>
      </c>
      <c r="AD602" s="56">
        <v>1</v>
      </c>
      <c r="AE602" s="5" t="s">
        <v>385</v>
      </c>
      <c r="AF602" s="930" t="s">
        <v>8</v>
      </c>
      <c r="AG602" s="38" t="s">
        <v>8</v>
      </c>
      <c r="AH602" s="844">
        <f>'Single Hung'!AI1194</f>
        <v>0</v>
      </c>
      <c r="AL602" s="51">
        <f>AD602*AH602+SUM(AI602:AK602)</f>
        <v>0</v>
      </c>
      <c r="AM602" s="3" t="s">
        <v>371</v>
      </c>
      <c r="AN602" s="3" t="s">
        <v>371</v>
      </c>
      <c r="AO602" s="3" t="s">
        <v>371</v>
      </c>
      <c r="AP602" s="3" t="s">
        <v>371</v>
      </c>
      <c r="AQ602" s="1414" t="s">
        <v>371</v>
      </c>
      <c r="AS602" s="139"/>
      <c r="AT602" s="139"/>
      <c r="AU602" s="139"/>
    </row>
    <row r="603" spans="1:47" ht="15" customHeight="1" x14ac:dyDescent="0.4">
      <c r="A603"/>
      <c r="C603"/>
      <c r="D603" s="3"/>
      <c r="E603"/>
      <c r="F603" s="108"/>
      <c r="G603" s="109"/>
      <c r="I603" s="443"/>
      <c r="J603" s="376"/>
      <c r="K603"/>
      <c r="L603" s="376"/>
      <c r="M603"/>
      <c r="N603"/>
      <c r="O603"/>
      <c r="P603"/>
      <c r="Q603"/>
      <c r="R603" s="376"/>
      <c r="S603"/>
      <c r="T603"/>
      <c r="V603"/>
      <c r="W603"/>
      <c r="X603"/>
      <c r="Y603" s="43"/>
      <c r="Z603" s="43"/>
      <c r="AB603"/>
      <c r="AC603"/>
      <c r="AD603" s="44"/>
      <c r="AE603" s="45"/>
      <c r="AF603" s="44"/>
      <c r="AG603" s="45"/>
      <c r="AH603" s="54"/>
      <c r="AI603" s="54"/>
      <c r="AJ603" s="54"/>
      <c r="AK603" s="54"/>
      <c r="AL603" s="1028"/>
      <c r="AM603" s="519"/>
      <c r="AN603" s="519"/>
      <c r="AO603" s="519"/>
      <c r="AP603" s="519"/>
      <c r="AQ603" s="1944"/>
      <c r="AR603" s="519"/>
      <c r="AS603" s="262"/>
    </row>
    <row r="604" spans="1:47" ht="15" customHeight="1" x14ac:dyDescent="0.4">
      <c r="A604"/>
      <c r="B604" s="155"/>
      <c r="C604"/>
      <c r="D604"/>
      <c r="E604"/>
      <c r="F604" s="108"/>
      <c r="G604" s="109"/>
      <c r="I604" s="443"/>
      <c r="J604" s="376"/>
      <c r="K604"/>
      <c r="L604" s="376"/>
      <c r="M604"/>
      <c r="N604"/>
      <c r="O604"/>
      <c r="P604"/>
      <c r="Q604"/>
      <c r="R604" s="376"/>
      <c r="S604"/>
      <c r="T604"/>
      <c r="V604"/>
      <c r="W604"/>
      <c r="X604"/>
      <c r="Y604" s="43"/>
      <c r="Z604" s="43"/>
      <c r="AA604" s="14">
        <v>45</v>
      </c>
      <c r="AB604"/>
      <c r="AC604"/>
      <c r="AD604" s="44"/>
      <c r="AE604" s="45" t="s">
        <v>454</v>
      </c>
      <c r="AF604" s="44"/>
      <c r="AG604" s="45"/>
      <c r="AH604" s="54"/>
      <c r="AI604" s="54"/>
      <c r="AJ604" s="54"/>
      <c r="AK604" s="54"/>
      <c r="AL604" s="1028"/>
      <c r="AM604" s="519"/>
      <c r="AN604" s="519"/>
      <c r="AO604" s="519"/>
      <c r="AP604" s="519"/>
      <c r="AQ604" s="519"/>
      <c r="AR604" s="519"/>
      <c r="AS604" s="262"/>
    </row>
    <row r="605" spans="1:47" ht="15" customHeight="1" x14ac:dyDescent="0.4">
      <c r="A605"/>
      <c r="B605" s="42"/>
      <c r="C605"/>
      <c r="D605"/>
      <c r="E605"/>
      <c r="F605" s="108"/>
      <c r="G605" s="109"/>
      <c r="I605" s="443"/>
      <c r="J605" s="376"/>
      <c r="K605"/>
      <c r="L605" s="376"/>
      <c r="M605"/>
      <c r="N605"/>
      <c r="O605"/>
      <c r="P605"/>
      <c r="Q605"/>
      <c r="R605" s="376"/>
      <c r="S605"/>
      <c r="T605"/>
      <c r="V605"/>
      <c r="W605"/>
      <c r="X605"/>
      <c r="Y605" s="43"/>
      <c r="Z605" s="43"/>
      <c r="AA605" s="14">
        <v>45</v>
      </c>
      <c r="AB605"/>
      <c r="AC605"/>
      <c r="AD605" s="44"/>
      <c r="AE605" s="45" t="s">
        <v>454</v>
      </c>
      <c r="AF605" s="44"/>
      <c r="AG605" s="45"/>
      <c r="AH605" s="54"/>
      <c r="AI605" s="54"/>
      <c r="AJ605" s="54"/>
      <c r="AK605" s="54"/>
      <c r="AL605" s="1028"/>
      <c r="AM605"/>
      <c r="AN605"/>
      <c r="AO605"/>
      <c r="AP605"/>
      <c r="AQ605"/>
      <c r="AR605"/>
      <c r="AS605"/>
    </row>
    <row r="606" spans="1:47" ht="15" customHeight="1" x14ac:dyDescent="0.4">
      <c r="A606" s="14"/>
      <c r="B606" s="10"/>
      <c r="C606" s="11"/>
      <c r="D606" s="12"/>
      <c r="E606" s="12"/>
      <c r="F606" s="12"/>
      <c r="G606" s="13"/>
      <c r="I606" s="15"/>
      <c r="J606" s="16"/>
      <c r="K606" s="14"/>
      <c r="L606" s="16"/>
      <c r="M606" s="17"/>
      <c r="N606" s="17"/>
      <c r="O606" s="17"/>
      <c r="P606" s="17"/>
      <c r="Q606" s="17"/>
      <c r="R606" s="16"/>
      <c r="S606" s="17"/>
      <c r="T606" s="16"/>
      <c r="V606" s="14"/>
      <c r="W606" s="18"/>
      <c r="X606" s="18"/>
      <c r="Y606" s="14"/>
      <c r="Z606" s="14"/>
      <c r="AA606" s="14">
        <v>45</v>
      </c>
      <c r="AB606" s="17"/>
      <c r="AC606" s="14"/>
      <c r="AD606" s="17"/>
      <c r="AE606" s="10"/>
      <c r="AF606" s="929"/>
      <c r="AG606" s="10"/>
      <c r="AH606" s="48"/>
      <c r="AI606" s="48"/>
      <c r="AJ606" s="48"/>
      <c r="AK606" s="48"/>
      <c r="AL606" s="48"/>
      <c r="AM606" s="824" t="s">
        <v>1192</v>
      </c>
      <c r="AN606" s="19"/>
      <c r="AO606" s="19"/>
      <c r="AP606" s="19"/>
      <c r="AQ606" s="48"/>
      <c r="AR606" s="48"/>
      <c r="AS606"/>
    </row>
    <row r="607" spans="1:47" ht="15" customHeight="1" x14ac:dyDescent="0.4">
      <c r="B607" s="7"/>
      <c r="C607" s="7"/>
      <c r="D607" s="7"/>
      <c r="E607" s="7"/>
      <c r="F607" s="7"/>
      <c r="G607" s="7"/>
      <c r="H607" s="500"/>
      <c r="I607" s="500"/>
      <c r="J607" s="500"/>
      <c r="K607" s="500"/>
      <c r="L607" s="500"/>
      <c r="M607" s="24"/>
      <c r="N607" s="24"/>
      <c r="O607" s="24"/>
      <c r="P607" s="24"/>
      <c r="Q607" s="24"/>
      <c r="R607" s="500"/>
      <c r="S607" s="24"/>
      <c r="T607" s="500"/>
      <c r="U607" s="500"/>
      <c r="V607" s="7"/>
      <c r="W607" s="7"/>
      <c r="X607" s="7"/>
      <c r="AA607" s="500"/>
      <c r="AC607" s="500"/>
      <c r="AD607" s="24"/>
      <c r="AE607" s="500"/>
      <c r="AF607" s="24"/>
      <c r="AG607" s="500"/>
      <c r="AH607" s="478"/>
      <c r="AI607" s="9"/>
      <c r="AJ607" s="9"/>
      <c r="AK607" s="9"/>
      <c r="AL607" s="478"/>
      <c r="AQ607" s="139"/>
      <c r="AR607" s="139"/>
    </row>
    <row r="608" spans="1:47" ht="21" x14ac:dyDescent="0.4">
      <c r="A608"/>
      <c r="B608" s="360" t="s">
        <v>1193</v>
      </c>
      <c r="C608"/>
      <c r="D608" s="452"/>
      <c r="E608" s="452"/>
      <c r="F608" s="452"/>
      <c r="G608" s="453"/>
      <c r="H608" s="3"/>
      <c r="I608" s="443"/>
      <c r="J608" s="376"/>
      <c r="K608"/>
      <c r="L608" s="376"/>
      <c r="M608" s="3"/>
      <c r="N608" s="3"/>
      <c r="O608" s="3"/>
      <c r="P608" s="3"/>
      <c r="Q608" s="3"/>
      <c r="R608" s="376"/>
      <c r="S608"/>
      <c r="T608" s="376"/>
      <c r="U608" s="500"/>
      <c r="V608" s="7"/>
      <c r="W608" s="7"/>
      <c r="X608" s="7"/>
      <c r="AA608" s="500"/>
      <c r="AC608" s="500"/>
      <c r="AD608" s="24"/>
      <c r="AE608" s="500"/>
      <c r="AF608" s="24"/>
      <c r="AG608" s="500"/>
      <c r="AH608" s="478"/>
      <c r="AI608" s="9"/>
      <c r="AJ608" s="9"/>
      <c r="AK608" s="9"/>
      <c r="AL608" s="478"/>
      <c r="AQ608" s="139"/>
      <c r="AR608" s="139"/>
    </row>
    <row r="609" spans="1:44" ht="15" customHeight="1" x14ac:dyDescent="0.4">
      <c r="A609" s="60"/>
      <c r="B609" s="531" t="str">
        <f>"Glass Daylight Opening: "&amp;$S$613&amp;" W x "&amp;$S$614&amp;" H"</f>
        <v>Glass Daylight Opening: 42.875 W x 42.875 H</v>
      </c>
      <c r="C609" s="37"/>
      <c r="D609" s="37"/>
      <c r="E609" s="37"/>
      <c r="F609" s="37"/>
      <c r="G609" s="37"/>
      <c r="H609" s="59"/>
      <c r="I609" s="59"/>
      <c r="J609" s="59"/>
      <c r="K609" s="59"/>
      <c r="L609" s="59"/>
      <c r="M609" s="60"/>
      <c r="N609" s="60"/>
      <c r="O609" s="60"/>
      <c r="P609" s="60"/>
      <c r="Q609" s="60"/>
      <c r="R609" s="65"/>
      <c r="S609" s="60"/>
      <c r="T609" s="65"/>
      <c r="U609" s="500"/>
      <c r="V609" s="7"/>
      <c r="W609" s="7"/>
      <c r="X609" s="7"/>
      <c r="AA609" s="500"/>
      <c r="AC609" s="500"/>
      <c r="AD609" s="24"/>
      <c r="AE609" s="500"/>
      <c r="AF609" s="24"/>
      <c r="AG609" s="500"/>
      <c r="AH609" s="478"/>
      <c r="AI609" s="9"/>
      <c r="AJ609" s="9"/>
      <c r="AK609" s="9"/>
      <c r="AL609" s="478"/>
      <c r="AQ609" s="139"/>
      <c r="AR609" s="139"/>
    </row>
    <row r="610" spans="1:44" ht="15" customHeight="1" x14ac:dyDescent="0.25">
      <c r="A610" s="95" t="s">
        <v>1194</v>
      </c>
      <c r="B610" s="79"/>
      <c r="C610" s="358" t="s">
        <v>1194</v>
      </c>
      <c r="D610" s="270"/>
      <c r="E610" s="272"/>
      <c r="F610" s="526"/>
      <c r="G610" s="527"/>
      <c r="H610" s="438"/>
      <c r="I610" s="124" t="s">
        <v>392</v>
      </c>
      <c r="J610" s="528"/>
      <c r="K610" s="438"/>
      <c r="L610" s="528" t="s">
        <v>348</v>
      </c>
      <c r="M610" s="529">
        <v>-3.75</v>
      </c>
      <c r="N610" s="530"/>
      <c r="O610" s="530"/>
      <c r="P610" s="530"/>
      <c r="Q610" s="530"/>
      <c r="R610" s="528" t="s">
        <v>352</v>
      </c>
      <c r="S610" s="530">
        <f>FWWidth+M610</f>
        <v>43.75</v>
      </c>
      <c r="T610" s="528" t="s">
        <v>366</v>
      </c>
      <c r="U610" s="500"/>
      <c r="V610" s="7"/>
      <c r="W610" s="7"/>
      <c r="X610" s="7"/>
      <c r="AA610" s="500"/>
      <c r="AC610" s="500"/>
      <c r="AD610" s="24"/>
      <c r="AE610" s="500"/>
      <c r="AF610" s="24"/>
      <c r="AG610" s="500"/>
      <c r="AH610" s="478"/>
      <c r="AI610" s="9"/>
      <c r="AJ610" s="9"/>
      <c r="AK610" s="9"/>
      <c r="AL610" s="478"/>
      <c r="AQ610" s="139"/>
      <c r="AR610" s="139"/>
    </row>
    <row r="611" spans="1:44" ht="15" customHeight="1" x14ac:dyDescent="0.25">
      <c r="A611" s="95" t="s">
        <v>1195</v>
      </c>
      <c r="B611" s="79"/>
      <c r="C611" s="358" t="s">
        <v>1195</v>
      </c>
      <c r="D611" s="270"/>
      <c r="E611" s="272"/>
      <c r="F611" s="526"/>
      <c r="G611" s="527"/>
      <c r="H611" s="438"/>
      <c r="I611" s="124" t="s">
        <v>365</v>
      </c>
      <c r="J611" s="528"/>
      <c r="K611" s="438"/>
      <c r="L611" s="528" t="s">
        <v>348</v>
      </c>
      <c r="M611" s="529">
        <v>-3.75</v>
      </c>
      <c r="N611" s="530"/>
      <c r="O611" s="530"/>
      <c r="P611" s="530"/>
      <c r="Q611" s="530"/>
      <c r="R611" s="528" t="s">
        <v>352</v>
      </c>
      <c r="S611" s="530">
        <f>FWHeight+M611</f>
        <v>43.75</v>
      </c>
      <c r="T611" s="528" t="s">
        <v>366</v>
      </c>
      <c r="U611" s="500"/>
      <c r="V611" s="7"/>
      <c r="W611" s="7"/>
      <c r="X611" s="7"/>
      <c r="AA611" s="500"/>
      <c r="AC611" s="500"/>
      <c r="AD611" s="24"/>
      <c r="AE611" s="500"/>
      <c r="AF611" s="24"/>
      <c r="AG611" s="500"/>
      <c r="AH611" s="478"/>
      <c r="AI611" s="9"/>
      <c r="AJ611" s="9"/>
      <c r="AK611" s="9"/>
      <c r="AL611" s="478"/>
      <c r="AQ611" s="139"/>
      <c r="AR611" s="139"/>
    </row>
    <row r="612" spans="1:44" ht="15" customHeight="1" x14ac:dyDescent="0.25">
      <c r="B612" s="263"/>
      <c r="C612" s="359" t="s">
        <v>1196</v>
      </c>
      <c r="D612" s="271"/>
      <c r="E612" s="273"/>
      <c r="F612" s="264"/>
      <c r="G612" s="265"/>
      <c r="H612" s="266"/>
      <c r="I612" s="267" t="s">
        <v>1197</v>
      </c>
      <c r="J612" s="268"/>
      <c r="K612" s="266"/>
      <c r="L612" s="225" t="s">
        <v>346</v>
      </c>
      <c r="M612" s="125">
        <v>144</v>
      </c>
      <c r="N612" s="269"/>
      <c r="O612" s="269"/>
      <c r="P612" s="269"/>
      <c r="Q612" s="269"/>
      <c r="R612" s="528" t="s">
        <v>352</v>
      </c>
      <c r="S612" s="530">
        <f>S610*S611/M612</f>
        <v>13.292100694444445</v>
      </c>
      <c r="T612" s="528" t="s">
        <v>1019</v>
      </c>
      <c r="U612" s="500"/>
      <c r="V612" s="7"/>
      <c r="W612" s="7"/>
      <c r="X612" s="7"/>
      <c r="AA612" s="500"/>
      <c r="AC612" s="500"/>
      <c r="AD612" s="24"/>
      <c r="AE612" s="500"/>
      <c r="AF612" s="24"/>
      <c r="AG612" s="500"/>
      <c r="AH612" s="478"/>
      <c r="AI612" s="9"/>
      <c r="AJ612" s="9"/>
      <c r="AK612" s="9"/>
      <c r="AL612" s="478"/>
      <c r="AQ612" s="139"/>
      <c r="AR612" s="139"/>
    </row>
    <row r="613" spans="1:44" ht="15" customHeight="1" x14ac:dyDescent="0.4">
      <c r="A613"/>
      <c r="B613" s="263"/>
      <c r="C613" s="359" t="s">
        <v>1198</v>
      </c>
      <c r="D613" s="271"/>
      <c r="E613" s="273"/>
      <c r="F613" s="264"/>
      <c r="G613" s="265"/>
      <c r="H613" s="266"/>
      <c r="I613" s="267" t="s">
        <v>392</v>
      </c>
      <c r="J613" s="268"/>
      <c r="K613" s="266"/>
      <c r="L613" s="268" t="s">
        <v>348</v>
      </c>
      <c r="M613" s="591">
        <v>-4.625</v>
      </c>
      <c r="N613" s="269"/>
      <c r="O613" s="269"/>
      <c r="P613" s="269"/>
      <c r="Q613" s="269"/>
      <c r="R613" s="268" t="s">
        <v>352</v>
      </c>
      <c r="S613" s="530">
        <f>FWWidth+M613</f>
        <v>42.875</v>
      </c>
      <c r="T613" s="268" t="s">
        <v>366</v>
      </c>
      <c r="U613" s="500"/>
      <c r="V613" s="7"/>
      <c r="W613" s="7"/>
      <c r="X613" s="7"/>
      <c r="AA613" s="500"/>
      <c r="AC613" s="500"/>
      <c r="AD613" s="24"/>
      <c r="AE613" s="500"/>
      <c r="AF613" s="24"/>
      <c r="AG613" s="500"/>
      <c r="AH613" s="478"/>
      <c r="AI613" s="9"/>
      <c r="AJ613" s="9"/>
      <c r="AK613" s="9"/>
      <c r="AL613" s="478"/>
      <c r="AQ613" s="139"/>
      <c r="AR613" s="139"/>
    </row>
    <row r="614" spans="1:44" ht="15" customHeight="1" x14ac:dyDescent="0.4">
      <c r="A614"/>
      <c r="B614" s="79"/>
      <c r="C614" s="358" t="s">
        <v>1199</v>
      </c>
      <c r="D614" s="270"/>
      <c r="E614" s="272"/>
      <c r="F614" s="526"/>
      <c r="G614" s="527"/>
      <c r="H614" s="438"/>
      <c r="I614" s="124" t="s">
        <v>365</v>
      </c>
      <c r="J614" s="528"/>
      <c r="K614" s="438"/>
      <c r="L614" s="528" t="s">
        <v>348</v>
      </c>
      <c r="M614" s="529">
        <v>-4.625</v>
      </c>
      <c r="N614" s="530"/>
      <c r="O614" s="530"/>
      <c r="P614" s="530"/>
      <c r="Q614" s="530"/>
      <c r="R614" s="528" t="s">
        <v>352</v>
      </c>
      <c r="S614" s="530">
        <f>FWHeight+M614</f>
        <v>42.875</v>
      </c>
      <c r="T614" s="528" t="s">
        <v>366</v>
      </c>
      <c r="U614" s="500"/>
      <c r="V614" s="7"/>
      <c r="W614" s="7"/>
      <c r="X614" s="7"/>
      <c r="AA614" s="500"/>
      <c r="AC614" s="500"/>
      <c r="AD614" s="24"/>
      <c r="AE614" s="500"/>
      <c r="AF614" s="24"/>
      <c r="AG614" s="500"/>
      <c r="AH614" s="478"/>
      <c r="AI614" s="9"/>
      <c r="AJ614" s="9"/>
      <c r="AK614" s="9"/>
      <c r="AL614" s="478"/>
      <c r="AQ614" s="139"/>
      <c r="AR614" s="139"/>
    </row>
    <row r="615" spans="1:44" ht="15" customHeight="1" x14ac:dyDescent="0.4">
      <c r="A615"/>
      <c r="B615" s="79"/>
      <c r="C615" s="358" t="s">
        <v>1022</v>
      </c>
      <c r="D615" s="526"/>
      <c r="E615" s="526"/>
      <c r="F615" s="526"/>
      <c r="G615" s="527"/>
      <c r="H615" s="438"/>
      <c r="I615" s="124" t="s">
        <v>1023</v>
      </c>
      <c r="J615" s="528"/>
      <c r="K615" s="438"/>
      <c r="L615" s="225" t="s">
        <v>346</v>
      </c>
      <c r="M615" s="125">
        <v>144</v>
      </c>
      <c r="N615" s="530"/>
      <c r="O615" s="530"/>
      <c r="P615" s="530"/>
      <c r="Q615" s="530"/>
      <c r="R615" s="528" t="s">
        <v>352</v>
      </c>
      <c r="S615" s="528">
        <f>S613*S614/M615</f>
        <v>12.765733506944445</v>
      </c>
      <c r="T615" s="528" t="s">
        <v>1019</v>
      </c>
      <c r="U615" s="500"/>
      <c r="V615" s="7"/>
      <c r="W615" s="7"/>
      <c r="X615" s="7"/>
      <c r="AA615" s="500"/>
      <c r="AC615" s="500"/>
      <c r="AD615" s="24"/>
      <c r="AE615" s="500"/>
      <c r="AF615" s="24"/>
      <c r="AG615" s="500"/>
      <c r="AH615" s="478"/>
      <c r="AI615" s="9"/>
      <c r="AJ615" s="9"/>
      <c r="AK615" s="9"/>
      <c r="AL615" s="478"/>
      <c r="AQ615" s="139"/>
      <c r="AR615" s="139"/>
    </row>
    <row r="616" spans="1:44" ht="15" customHeight="1" x14ac:dyDescent="0.4">
      <c r="B616" s="7"/>
      <c r="C616" s="7"/>
      <c r="D616" s="7"/>
      <c r="E616" s="7"/>
      <c r="F616" s="7"/>
      <c r="G616" s="7"/>
      <c r="H616" s="500"/>
      <c r="I616" s="500"/>
      <c r="J616" s="500"/>
      <c r="K616" s="500"/>
      <c r="L616" s="500"/>
      <c r="M616" s="24"/>
      <c r="N616" s="24"/>
      <c r="O616" s="24"/>
      <c r="P616" s="24"/>
      <c r="Q616" s="24"/>
      <c r="R616" s="500"/>
      <c r="S616" s="24"/>
      <c r="T616" s="500"/>
      <c r="U616" s="500"/>
      <c r="V616" s="7"/>
      <c r="W616" s="7"/>
      <c r="X616" s="7"/>
      <c r="AA616" s="500"/>
      <c r="AC616" s="500"/>
      <c r="AD616" s="24"/>
      <c r="AE616" s="500"/>
      <c r="AF616" s="24"/>
      <c r="AG616" s="500"/>
      <c r="AH616" s="478"/>
      <c r="AI616" s="9"/>
      <c r="AJ616" s="9"/>
      <c r="AK616" s="9"/>
      <c r="AL616" s="478"/>
      <c r="AQ616" s="139"/>
      <c r="AR616" s="139"/>
    </row>
    <row r="617" spans="1:44" ht="25.5" customHeight="1" x14ac:dyDescent="0.25">
      <c r="B617" s="3"/>
      <c r="C617" s="299"/>
      <c r="D617" s="452"/>
      <c r="E617" s="452"/>
      <c r="F617" s="452"/>
      <c r="G617" s="453"/>
      <c r="H617" s="3"/>
      <c r="I617" s="443"/>
      <c r="J617" s="376"/>
      <c r="L617" s="376"/>
      <c r="R617" s="376"/>
      <c r="T617" s="376"/>
      <c r="U617" s="3"/>
      <c r="W617" s="6"/>
      <c r="X617" s="6"/>
      <c r="AA617" s="3"/>
      <c r="AB617" s="5"/>
      <c r="AE617" s="4"/>
      <c r="AF617" s="44"/>
      <c r="AG617" s="4"/>
    </row>
    <row r="618" spans="1:44" ht="21" x14ac:dyDescent="0.4">
      <c r="B618" s="76" t="s">
        <v>1200</v>
      </c>
      <c r="C618" s="299"/>
      <c r="D618" s="452"/>
      <c r="E618" s="452"/>
      <c r="F618" s="452"/>
      <c r="G618" s="453"/>
      <c r="H618" s="3"/>
      <c r="I618" s="443"/>
      <c r="J618" s="376"/>
      <c r="L618" s="376"/>
      <c r="R618" s="376"/>
      <c r="T618" s="376"/>
      <c r="U618" s="3"/>
      <c r="W618" s="6"/>
      <c r="X618" s="6"/>
      <c r="AA618" s="3"/>
      <c r="AB618" s="5"/>
      <c r="AE618" s="4"/>
      <c r="AF618" s="44"/>
      <c r="AG618" s="4"/>
    </row>
    <row r="619" spans="1:44" ht="15" customHeight="1" x14ac:dyDescent="0.25">
      <c r="B619" s="221" t="s">
        <v>1036</v>
      </c>
      <c r="C619" s="301"/>
      <c r="D619" s="222"/>
      <c r="E619" s="222"/>
      <c r="F619" s="222"/>
      <c r="G619" s="453"/>
      <c r="H619" s="3"/>
      <c r="I619" s="443"/>
      <c r="J619" s="376"/>
      <c r="L619" s="376"/>
      <c r="R619" s="376"/>
      <c r="T619" s="376"/>
      <c r="U619" s="3"/>
      <c r="W619" s="6"/>
      <c r="X619" s="6"/>
      <c r="AA619" s="3"/>
      <c r="AB619" s="5"/>
      <c r="AE619" s="4"/>
      <c r="AF619" s="44"/>
      <c r="AG619" s="4"/>
    </row>
    <row r="620" spans="1:44" ht="15" customHeight="1" x14ac:dyDescent="0.25">
      <c r="B620" s="130" t="s">
        <v>1037</v>
      </c>
      <c r="C620" s="298" t="s">
        <v>1201</v>
      </c>
      <c r="D620" s="122"/>
      <c r="E620" s="122"/>
      <c r="F620" s="122"/>
      <c r="G620" s="1001">
        <v>1.875</v>
      </c>
      <c r="H620" s="3"/>
      <c r="I620" s="443"/>
      <c r="J620" s="376"/>
      <c r="L620" s="376"/>
      <c r="R620" s="376"/>
      <c r="T620" s="376"/>
      <c r="U620" s="3"/>
      <c r="W620" s="6"/>
      <c r="X620" s="6"/>
      <c r="AA620" s="3"/>
      <c r="AB620" s="5"/>
      <c r="AE620" s="4"/>
      <c r="AF620" s="44"/>
      <c r="AG620" s="4"/>
    </row>
    <row r="621" spans="1:44" ht="15" customHeight="1" x14ac:dyDescent="0.25">
      <c r="B621" s="130" t="s">
        <v>1039</v>
      </c>
      <c r="C621" s="298" t="s">
        <v>1202</v>
      </c>
      <c r="D621" s="122"/>
      <c r="E621" s="122"/>
      <c r="F621" s="122"/>
      <c r="G621" s="1001">
        <v>1.875</v>
      </c>
      <c r="H621" s="3"/>
      <c r="I621" s="443"/>
      <c r="J621" s="376"/>
      <c r="L621" s="376"/>
      <c r="R621" s="376"/>
      <c r="T621" s="376"/>
      <c r="U621" s="3"/>
      <c r="W621" s="6"/>
      <c r="X621" s="6"/>
      <c r="AA621" s="3"/>
      <c r="AB621" s="5"/>
      <c r="AE621" s="4"/>
      <c r="AF621" s="44"/>
      <c r="AG621" s="4"/>
    </row>
    <row r="622" spans="1:44" ht="15" customHeight="1" x14ac:dyDescent="0.25">
      <c r="B622" s="219" t="s">
        <v>1041</v>
      </c>
      <c r="C622" s="302" t="s">
        <v>1203</v>
      </c>
      <c r="D622" s="220"/>
      <c r="E622" s="220"/>
      <c r="F622" s="220"/>
      <c r="G622" s="1001">
        <v>1.875</v>
      </c>
      <c r="H622" s="3"/>
      <c r="I622" s="443"/>
      <c r="J622" s="376"/>
      <c r="L622" s="376"/>
      <c r="R622" s="376"/>
      <c r="T622" s="376"/>
      <c r="U622" s="3"/>
      <c r="W622" s="6"/>
      <c r="X622" s="6"/>
      <c r="AA622" s="3"/>
      <c r="AB622" s="5"/>
      <c r="AE622" s="4"/>
      <c r="AF622" s="44"/>
      <c r="AG622" s="4"/>
    </row>
    <row r="623" spans="1:44" ht="15" customHeight="1" x14ac:dyDescent="0.4">
      <c r="B623"/>
      <c r="C623"/>
      <c r="D623"/>
      <c r="E623"/>
      <c r="F623"/>
      <c r="G623" s="1002"/>
      <c r="H623" s="3"/>
      <c r="I623" s="443"/>
      <c r="J623" s="376"/>
      <c r="L623" s="376"/>
      <c r="R623" s="376"/>
      <c r="T623" s="376"/>
      <c r="U623" s="3"/>
      <c r="W623" s="6"/>
      <c r="X623" s="6"/>
      <c r="AA623" s="3"/>
      <c r="AB623" s="5"/>
      <c r="AE623" s="4"/>
      <c r="AF623" s="44"/>
      <c r="AG623" s="4"/>
    </row>
    <row r="624" spans="1:44" ht="15" customHeight="1" x14ac:dyDescent="0.25">
      <c r="B624" s="221" t="s">
        <v>1047</v>
      </c>
      <c r="C624" s="301"/>
      <c r="D624" s="222"/>
      <c r="E624" s="222"/>
      <c r="F624" s="222"/>
      <c r="G624" s="577"/>
      <c r="H624" s="3"/>
      <c r="I624" s="443"/>
      <c r="J624" s="376"/>
      <c r="L624" s="376"/>
      <c r="R624" s="376"/>
      <c r="T624" s="376"/>
      <c r="U624" s="3"/>
      <c r="W624" s="6"/>
      <c r="X624" s="6"/>
      <c r="AA624" s="3"/>
      <c r="AB624" s="5"/>
      <c r="AE624" s="4"/>
      <c r="AF624" s="44"/>
      <c r="AG624" s="4"/>
    </row>
    <row r="625" spans="1:41" ht="15" customHeight="1" x14ac:dyDescent="0.25">
      <c r="B625" s="130" t="s">
        <v>1048</v>
      </c>
      <c r="C625" s="298" t="s">
        <v>1204</v>
      </c>
      <c r="D625" s="122"/>
      <c r="E625" s="122"/>
      <c r="F625" s="122"/>
      <c r="G625" s="1001">
        <v>0.438</v>
      </c>
      <c r="H625" s="3"/>
      <c r="I625" s="443"/>
      <c r="J625" s="376"/>
      <c r="L625" s="376"/>
      <c r="R625" s="376"/>
      <c r="T625" s="376"/>
      <c r="U625" s="3"/>
      <c r="W625" s="6"/>
      <c r="X625" s="6"/>
      <c r="AA625" s="3"/>
      <c r="AB625" s="5"/>
      <c r="AE625" s="4"/>
      <c r="AF625" s="44"/>
      <c r="AG625" s="4"/>
    </row>
    <row r="626" spans="1:41" ht="15" customHeight="1" x14ac:dyDescent="0.25">
      <c r="B626" s="130" t="s">
        <v>1050</v>
      </c>
      <c r="C626" s="298" t="s">
        <v>1205</v>
      </c>
      <c r="D626" s="122"/>
      <c r="E626" s="122"/>
      <c r="F626" s="122"/>
      <c r="G626" s="1001">
        <v>0.438</v>
      </c>
      <c r="H626" s="3"/>
      <c r="I626" s="443"/>
      <c r="J626" s="376"/>
      <c r="L626" s="376"/>
      <c r="R626" s="376"/>
      <c r="T626" s="376"/>
      <c r="U626" s="3"/>
      <c r="W626" s="6"/>
      <c r="X626" s="6"/>
      <c r="AA626" s="3"/>
      <c r="AB626" s="5"/>
      <c r="AE626" s="4"/>
      <c r="AF626" s="44"/>
      <c r="AG626" s="4"/>
    </row>
    <row r="627" spans="1:41" ht="15" customHeight="1" x14ac:dyDescent="0.25">
      <c r="B627" s="219" t="s">
        <v>1052</v>
      </c>
      <c r="C627" s="302" t="s">
        <v>1206</v>
      </c>
      <c r="D627" s="220"/>
      <c r="E627" s="220"/>
      <c r="F627" s="220"/>
      <c r="G627" s="1001">
        <v>0.438</v>
      </c>
      <c r="H627" s="3"/>
      <c r="I627" s="443"/>
      <c r="J627" s="376"/>
      <c r="L627" s="376"/>
      <c r="R627" s="376"/>
      <c r="T627" s="376"/>
      <c r="U627" s="3"/>
      <c r="W627" s="6"/>
      <c r="X627" s="6"/>
      <c r="AA627" s="3"/>
      <c r="AB627" s="5"/>
      <c r="AE627" s="4"/>
      <c r="AF627" s="44"/>
      <c r="AG627" s="4"/>
    </row>
    <row r="628" spans="1:41" ht="15" customHeight="1" x14ac:dyDescent="0.25">
      <c r="B628" s="3"/>
      <c r="C628" s="303"/>
      <c r="D628" s="452"/>
      <c r="E628" s="452"/>
      <c r="F628" s="452"/>
      <c r="G628" s="453"/>
      <c r="H628" s="3"/>
      <c r="I628" s="443"/>
      <c r="J628" s="376"/>
      <c r="L628" s="376"/>
      <c r="R628" s="376"/>
      <c r="T628" s="376"/>
      <c r="U628" s="3"/>
      <c r="W628" s="6"/>
      <c r="X628" s="6"/>
      <c r="AA628" s="3"/>
      <c r="AB628" s="5"/>
      <c r="AE628" s="4"/>
      <c r="AF628" s="44"/>
      <c r="AG628" s="4"/>
    </row>
    <row r="629" spans="1:41" ht="15" customHeight="1" x14ac:dyDescent="0.25">
      <c r="B629" s="3"/>
      <c r="C629" s="303"/>
      <c r="D629" s="452"/>
      <c r="E629" s="452"/>
      <c r="F629" s="452"/>
      <c r="G629" s="453"/>
      <c r="H629" s="3"/>
      <c r="I629" s="443"/>
      <c r="J629" s="376"/>
      <c r="L629" s="376"/>
      <c r="R629" s="376"/>
      <c r="T629" s="376"/>
      <c r="U629" s="3"/>
      <c r="W629" s="6"/>
      <c r="X629" s="6"/>
      <c r="AA629" s="3"/>
      <c r="AB629" s="5"/>
      <c r="AE629" s="4"/>
      <c r="AF629" s="44"/>
      <c r="AG629" s="4"/>
    </row>
    <row r="630" spans="1:41" ht="24" customHeight="1" x14ac:dyDescent="0.4">
      <c r="B630" s="360" t="s">
        <v>1207</v>
      </c>
      <c r="D630" s="452"/>
      <c r="E630" s="452"/>
      <c r="F630" s="452"/>
      <c r="G630" s="453"/>
      <c r="H630" s="3"/>
      <c r="I630" s="443"/>
      <c r="J630" s="376"/>
      <c r="L630" s="376"/>
      <c r="M630" s="3"/>
      <c r="N630" s="3"/>
      <c r="O630" s="3"/>
      <c r="P630" s="3"/>
      <c r="Q630" s="3"/>
      <c r="R630" s="376"/>
      <c r="T630" s="376"/>
      <c r="U630" s="3"/>
      <c r="W630" s="6"/>
      <c r="X630" s="6"/>
      <c r="AA630" s="3"/>
      <c r="AB630" s="5"/>
      <c r="AE630" s="4"/>
      <c r="AF630" s="44"/>
      <c r="AG630" s="4"/>
      <c r="AI630" s="39"/>
      <c r="AJ630" s="39"/>
      <c r="AK630" s="39"/>
    </row>
    <row r="631" spans="1:41" ht="15" customHeight="1" x14ac:dyDescent="0.4">
      <c r="A631" s="65"/>
      <c r="B631" s="531" t="str">
        <f>" Glass Daylight Opening: "&amp;$S$366&amp;" W x "&amp;$S$367&amp;" H"</f>
        <v xml:space="preserve"> Glass Daylight Opening:  W x  H</v>
      </c>
      <c r="C631" s="37"/>
      <c r="D631" s="37"/>
      <c r="E631" s="37"/>
      <c r="F631" s="37"/>
      <c r="G631" s="37"/>
      <c r="H631" s="59"/>
      <c r="I631" s="59"/>
      <c r="J631" s="59"/>
      <c r="K631" s="59"/>
      <c r="L631" s="59"/>
      <c r="M631" s="60"/>
      <c r="N631" s="60"/>
      <c r="O631" s="60"/>
      <c r="P631" s="60"/>
      <c r="Q631" s="60"/>
      <c r="R631" s="65"/>
      <c r="S631" s="60"/>
      <c r="T631" s="65"/>
      <c r="U631" s="3"/>
      <c r="V631" s="38"/>
      <c r="W631" s="376"/>
      <c r="X631" s="38"/>
      <c r="Y631" s="41"/>
      <c r="Z631" s="41"/>
      <c r="AA631" s="3"/>
      <c r="AC631" s="42"/>
      <c r="AH631" s="492"/>
      <c r="AI631" s="492"/>
      <c r="AJ631" s="492"/>
      <c r="AK631" s="492"/>
      <c r="AL631" s="492"/>
    </row>
    <row r="632" spans="1:41" ht="13.2" x14ac:dyDescent="0.25">
      <c r="A632" s="95" t="s">
        <v>1194</v>
      </c>
      <c r="B632" s="79"/>
      <c r="C632" s="358" t="s">
        <v>1194</v>
      </c>
      <c r="D632" s="270"/>
      <c r="E632" s="272"/>
      <c r="F632" s="526"/>
      <c r="G632" s="527"/>
      <c r="H632" s="438"/>
      <c r="I632" s="124" t="s">
        <v>392</v>
      </c>
      <c r="J632" s="528"/>
      <c r="K632" s="438"/>
      <c r="L632" s="528" t="s">
        <v>348</v>
      </c>
      <c r="M632" s="304">
        <v>-3.25</v>
      </c>
      <c r="N632" s="530"/>
      <c r="O632" s="530"/>
      <c r="P632" s="530"/>
      <c r="Q632" s="530"/>
      <c r="R632" s="528" t="s">
        <v>352</v>
      </c>
      <c r="S632" s="530">
        <f>FWWidth+M632</f>
        <v>44.25</v>
      </c>
      <c r="T632" s="528" t="s">
        <v>366</v>
      </c>
      <c r="U632" s="3"/>
      <c r="AA632" s="3"/>
      <c r="AE632" s="4"/>
      <c r="AF632" s="44"/>
      <c r="AG632" s="4"/>
      <c r="AI632" s="39"/>
      <c r="AJ632" s="39"/>
      <c r="AK632" s="39"/>
    </row>
    <row r="633" spans="1:41" ht="15" customHeight="1" x14ac:dyDescent="0.25">
      <c r="A633" s="95" t="s">
        <v>1195</v>
      </c>
      <c r="B633" s="79"/>
      <c r="C633" s="358" t="s">
        <v>1195</v>
      </c>
      <c r="D633" s="270"/>
      <c r="E633" s="272"/>
      <c r="F633" s="526"/>
      <c r="G633" s="527"/>
      <c r="H633" s="438"/>
      <c r="I633" s="124" t="s">
        <v>365</v>
      </c>
      <c r="J633" s="528"/>
      <c r="K633" s="438"/>
      <c r="L633" s="528" t="s">
        <v>348</v>
      </c>
      <c r="M633" s="304">
        <v>-3.25</v>
      </c>
      <c r="N633" s="530"/>
      <c r="O633" s="530"/>
      <c r="P633" s="530"/>
      <c r="Q633" s="530"/>
      <c r="R633" s="528" t="s">
        <v>352</v>
      </c>
      <c r="S633" s="530">
        <f>FWHeight+M633</f>
        <v>44.25</v>
      </c>
      <c r="T633" s="528" t="s">
        <v>366</v>
      </c>
      <c r="U633" s="3"/>
      <c r="AA633" s="3"/>
      <c r="AE633" s="4"/>
      <c r="AF633" s="44"/>
      <c r="AG633" s="4"/>
      <c r="AM633" s="51"/>
      <c r="AN633" s="51"/>
      <c r="AO633" s="51"/>
    </row>
    <row r="634" spans="1:41" ht="15" customHeight="1" x14ac:dyDescent="0.25">
      <c r="B634" s="263"/>
      <c r="C634" s="359" t="s">
        <v>1198</v>
      </c>
      <c r="D634" s="271"/>
      <c r="E634" s="273"/>
      <c r="F634" s="264"/>
      <c r="G634" s="265"/>
      <c r="H634" s="266"/>
      <c r="I634" s="267" t="s">
        <v>392</v>
      </c>
      <c r="J634" s="268"/>
      <c r="K634" s="266"/>
      <c r="L634" s="268" t="s">
        <v>348</v>
      </c>
      <c r="M634" s="304">
        <v>-4.125</v>
      </c>
      <c r="N634" s="269"/>
      <c r="O634" s="269"/>
      <c r="P634" s="269"/>
      <c r="Q634" s="269"/>
      <c r="R634" s="268" t="s">
        <v>352</v>
      </c>
      <c r="S634" s="269">
        <f>FWWidth+M634</f>
        <v>43.375</v>
      </c>
      <c r="T634" s="268" t="s">
        <v>366</v>
      </c>
      <c r="U634" s="3"/>
      <c r="AA634" s="3"/>
      <c r="AE634" s="4"/>
      <c r="AF634" s="44"/>
      <c r="AG634" s="4"/>
      <c r="AM634" s="51"/>
      <c r="AN634" s="51"/>
      <c r="AO634" s="51"/>
    </row>
    <row r="635" spans="1:41" ht="15" customHeight="1" x14ac:dyDescent="0.25">
      <c r="B635" s="79"/>
      <c r="C635" s="358" t="s">
        <v>1199</v>
      </c>
      <c r="D635" s="270"/>
      <c r="E635" s="272"/>
      <c r="F635" s="526"/>
      <c r="G635" s="527"/>
      <c r="H635" s="438"/>
      <c r="I635" s="124" t="s">
        <v>365</v>
      </c>
      <c r="J635" s="528"/>
      <c r="K635" s="438"/>
      <c r="L635" s="528" t="s">
        <v>348</v>
      </c>
      <c r="M635" s="304">
        <v>-4.125</v>
      </c>
      <c r="N635" s="530"/>
      <c r="O635" s="530"/>
      <c r="P635" s="530"/>
      <c r="Q635" s="530"/>
      <c r="R635" s="528" t="s">
        <v>352</v>
      </c>
      <c r="S635" s="530">
        <f>FWHeight+M635</f>
        <v>43.375</v>
      </c>
      <c r="T635" s="528" t="s">
        <v>366</v>
      </c>
      <c r="U635" s="3"/>
      <c r="AA635" s="3"/>
      <c r="AE635" s="4"/>
      <c r="AF635" s="44"/>
      <c r="AG635" s="4"/>
      <c r="AM635" s="51"/>
      <c r="AN635" s="51"/>
      <c r="AO635" s="51"/>
    </row>
    <row r="636" spans="1:41" ht="15" customHeight="1" x14ac:dyDescent="0.25">
      <c r="B636" s="79"/>
      <c r="C636" s="358" t="s">
        <v>1022</v>
      </c>
      <c r="D636" s="526"/>
      <c r="E636" s="526"/>
      <c r="F636" s="526"/>
      <c r="G636" s="527"/>
      <c r="H636" s="438"/>
      <c r="I636" s="124" t="s">
        <v>1023</v>
      </c>
      <c r="J636" s="528"/>
      <c r="K636" s="438"/>
      <c r="L636" s="225" t="s">
        <v>346</v>
      </c>
      <c r="M636" s="125">
        <v>144</v>
      </c>
      <c r="N636" s="530"/>
      <c r="O636" s="530"/>
      <c r="P636" s="530"/>
      <c r="Q636" s="530"/>
      <c r="R636" s="528" t="s">
        <v>352</v>
      </c>
      <c r="S636" s="528">
        <f>S634*S635/M636</f>
        <v>13.065212673611111</v>
      </c>
      <c r="T636" s="528" t="s">
        <v>1208</v>
      </c>
      <c r="U636" s="3"/>
      <c r="AA636" s="3"/>
      <c r="AE636" s="4"/>
      <c r="AF636" s="44"/>
      <c r="AG636" s="4"/>
      <c r="AM636" s="51"/>
      <c r="AN636" s="51"/>
      <c r="AO636" s="51"/>
    </row>
    <row r="637" spans="1:41" ht="25.5" customHeight="1" x14ac:dyDescent="0.25">
      <c r="B637" s="3"/>
      <c r="C637" s="300"/>
      <c r="D637" s="122"/>
      <c r="E637" s="122"/>
      <c r="F637" s="122"/>
      <c r="G637" s="123"/>
      <c r="H637" s="3"/>
      <c r="I637" s="443"/>
      <c r="J637" s="376"/>
      <c r="L637" s="376"/>
      <c r="R637" s="376"/>
      <c r="T637" s="376"/>
      <c r="U637" s="3"/>
      <c r="W637" s="6"/>
      <c r="X637" s="6"/>
      <c r="AA637" s="3"/>
      <c r="AB637" s="5"/>
      <c r="AE637" s="4"/>
      <c r="AF637" s="44"/>
      <c r="AG637" s="4"/>
      <c r="AM637" s="51"/>
      <c r="AN637" s="51"/>
      <c r="AO637" s="51"/>
    </row>
    <row r="638" spans="1:41" ht="21" x14ac:dyDescent="0.4">
      <c r="B638" s="76" t="s">
        <v>1209</v>
      </c>
      <c r="C638" s="299"/>
      <c r="D638" s="452"/>
      <c r="E638" s="452"/>
      <c r="F638" s="452"/>
      <c r="G638" s="453"/>
      <c r="H638" s="3"/>
      <c r="I638" s="443"/>
      <c r="J638" s="376"/>
      <c r="L638" s="376"/>
      <c r="R638" s="376"/>
      <c r="T638" s="376"/>
      <c r="U638" s="3"/>
      <c r="W638" s="6"/>
      <c r="X638" s="6"/>
      <c r="AA638" s="3"/>
      <c r="AB638" s="5"/>
      <c r="AE638" s="4"/>
      <c r="AF638" s="44"/>
      <c r="AG638" s="4"/>
      <c r="AM638" s="51"/>
      <c r="AN638" s="51"/>
      <c r="AO638" s="51"/>
    </row>
    <row r="639" spans="1:41" ht="15" customHeight="1" x14ac:dyDescent="0.25">
      <c r="B639" s="221" t="s">
        <v>1036</v>
      </c>
      <c r="C639" s="301"/>
      <c r="D639" s="222"/>
      <c r="E639" s="222"/>
      <c r="F639" s="222"/>
      <c r="G639" s="453"/>
      <c r="H639" s="3"/>
      <c r="I639" s="443"/>
      <c r="J639" s="376"/>
      <c r="L639" s="376"/>
      <c r="R639" s="376"/>
      <c r="T639" s="376"/>
      <c r="U639" s="3"/>
      <c r="W639" s="6"/>
      <c r="X639" s="6"/>
      <c r="AA639" s="3"/>
      <c r="AB639" s="5"/>
      <c r="AE639" s="4"/>
      <c r="AF639" s="44"/>
      <c r="AG639" s="4"/>
      <c r="AM639" s="51"/>
      <c r="AN639" s="51"/>
      <c r="AO639" s="51"/>
    </row>
    <row r="640" spans="1:41" ht="15" customHeight="1" x14ac:dyDescent="0.25">
      <c r="B640" s="130" t="s">
        <v>1037</v>
      </c>
      <c r="C640" s="298" t="s">
        <v>1201</v>
      </c>
      <c r="D640" s="122"/>
      <c r="E640" s="122"/>
      <c r="F640" s="122"/>
      <c r="G640" s="304">
        <v>1.625</v>
      </c>
      <c r="H640" s="3"/>
      <c r="I640" s="443"/>
      <c r="J640" s="376"/>
      <c r="L640" s="376"/>
      <c r="R640" s="376"/>
      <c r="T640" s="376"/>
      <c r="U640" s="3"/>
      <c r="W640" s="6"/>
      <c r="X640" s="6"/>
      <c r="AA640" s="3"/>
      <c r="AB640" s="5"/>
      <c r="AE640" s="4"/>
      <c r="AF640" s="44"/>
      <c r="AG640" s="4"/>
      <c r="AM640" s="51"/>
      <c r="AN640" s="51"/>
      <c r="AO640" s="51"/>
    </row>
    <row r="641" spans="2:41" ht="15" customHeight="1" x14ac:dyDescent="0.25">
      <c r="B641" s="130" t="s">
        <v>1039</v>
      </c>
      <c r="C641" s="298" t="s">
        <v>1202</v>
      </c>
      <c r="D641" s="122"/>
      <c r="E641" s="122"/>
      <c r="F641" s="122"/>
      <c r="G641" s="304">
        <v>1.625</v>
      </c>
      <c r="H641" s="3"/>
      <c r="I641" s="443"/>
      <c r="J641" s="376"/>
      <c r="L641" s="376"/>
      <c r="R641" s="376"/>
      <c r="T641" s="376"/>
      <c r="U641" s="3"/>
      <c r="W641" s="6"/>
      <c r="X641" s="6"/>
      <c r="AA641" s="3"/>
      <c r="AB641" s="5"/>
      <c r="AE641" s="4"/>
      <c r="AF641" s="44"/>
      <c r="AG641" s="4"/>
      <c r="AM641" s="51"/>
      <c r="AN641" s="51"/>
      <c r="AO641" s="51"/>
    </row>
    <row r="642" spans="2:41" ht="15" customHeight="1" x14ac:dyDescent="0.25">
      <c r="B642" s="219" t="s">
        <v>1041</v>
      </c>
      <c r="C642" s="302" t="s">
        <v>1203</v>
      </c>
      <c r="D642" s="220"/>
      <c r="E642" s="220"/>
      <c r="F642" s="220"/>
      <c r="G642" s="304">
        <v>1.625</v>
      </c>
      <c r="H642" s="3"/>
      <c r="I642" s="443"/>
      <c r="J642" s="376"/>
      <c r="L642" s="376"/>
      <c r="R642" s="376"/>
      <c r="T642" s="376"/>
      <c r="U642" s="3"/>
      <c r="W642" s="6"/>
      <c r="X642" s="6"/>
      <c r="AA642" s="3"/>
      <c r="AB642" s="5"/>
      <c r="AE642" s="4"/>
      <c r="AF642" s="44"/>
      <c r="AG642" s="4"/>
      <c r="AM642" s="51"/>
      <c r="AN642" s="51"/>
      <c r="AO642" s="51"/>
    </row>
    <row r="643" spans="2:41" ht="15" customHeight="1" x14ac:dyDescent="0.4">
      <c r="B643"/>
      <c r="C643"/>
      <c r="D643"/>
      <c r="E643"/>
      <c r="F643"/>
      <c r="G643" s="78"/>
      <c r="H643" s="3"/>
      <c r="I643" s="443"/>
      <c r="J643" s="376"/>
      <c r="L643" s="376"/>
      <c r="R643" s="376"/>
      <c r="T643" s="376"/>
      <c r="U643" s="3"/>
      <c r="W643" s="6"/>
      <c r="X643" s="6"/>
      <c r="AA643" s="3"/>
      <c r="AB643" s="5"/>
      <c r="AE643" s="4"/>
      <c r="AF643" s="44"/>
      <c r="AG643" s="4"/>
      <c r="AM643" s="51"/>
      <c r="AN643" s="51"/>
      <c r="AO643" s="51"/>
    </row>
    <row r="644" spans="2:41" ht="15" customHeight="1" x14ac:dyDescent="0.25">
      <c r="B644" s="221" t="s">
        <v>1047</v>
      </c>
      <c r="C644" s="301"/>
      <c r="D644" s="222"/>
      <c r="E644" s="222"/>
      <c r="F644" s="222"/>
      <c r="G644" s="223"/>
      <c r="H644" s="3"/>
      <c r="I644" s="443"/>
      <c r="J644" s="376"/>
      <c r="L644" s="376"/>
      <c r="R644" s="376"/>
      <c r="T644" s="376"/>
      <c r="U644" s="3"/>
      <c r="W644" s="6"/>
      <c r="X644" s="6"/>
      <c r="AA644" s="3"/>
      <c r="AB644" s="5"/>
      <c r="AE644" s="4"/>
      <c r="AF644" s="44"/>
      <c r="AG644" s="4"/>
      <c r="AM644" s="51"/>
      <c r="AN644" s="51"/>
      <c r="AO644" s="51"/>
    </row>
    <row r="645" spans="2:41" ht="15" customHeight="1" x14ac:dyDescent="0.25">
      <c r="B645" s="130" t="s">
        <v>1048</v>
      </c>
      <c r="C645" s="298" t="s">
        <v>1204</v>
      </c>
      <c r="D645" s="122"/>
      <c r="E645" s="122"/>
      <c r="F645" s="122"/>
      <c r="G645" s="304">
        <v>0.438</v>
      </c>
      <c r="H645" s="3"/>
      <c r="I645" s="443"/>
      <c r="J645" s="376"/>
      <c r="L645" s="376"/>
      <c r="R645" s="376"/>
      <c r="T645" s="376"/>
      <c r="U645" s="3"/>
      <c r="W645" s="6"/>
      <c r="X645" s="6"/>
      <c r="AA645" s="3"/>
      <c r="AB645" s="5"/>
      <c r="AE645" s="4"/>
      <c r="AF645" s="44"/>
      <c r="AG645" s="4"/>
      <c r="AM645" s="51"/>
      <c r="AN645" s="51"/>
      <c r="AO645" s="51"/>
    </row>
    <row r="646" spans="2:41" ht="15" customHeight="1" x14ac:dyDescent="0.25">
      <c r="B646" s="130" t="s">
        <v>1050</v>
      </c>
      <c r="C646" s="298" t="s">
        <v>1205</v>
      </c>
      <c r="D646" s="122"/>
      <c r="E646" s="122"/>
      <c r="F646" s="122"/>
      <c r="G646" s="304">
        <v>0.438</v>
      </c>
      <c r="H646" s="3"/>
      <c r="I646" s="443"/>
      <c r="J646" s="376"/>
      <c r="L646" s="376"/>
      <c r="R646" s="376"/>
      <c r="T646" s="376"/>
      <c r="U646" s="3"/>
      <c r="W646" s="6"/>
      <c r="X646" s="6"/>
      <c r="AA646" s="3"/>
      <c r="AB646" s="5"/>
      <c r="AE646" s="4"/>
      <c r="AF646" s="44"/>
      <c r="AG646" s="4"/>
      <c r="AM646" s="51"/>
      <c r="AN646" s="51"/>
      <c r="AO646" s="51"/>
    </row>
    <row r="647" spans="2:41" ht="15" customHeight="1" x14ac:dyDescent="0.25">
      <c r="B647" s="219" t="s">
        <v>1052</v>
      </c>
      <c r="C647" s="302" t="s">
        <v>1206</v>
      </c>
      <c r="D647" s="220"/>
      <c r="E647" s="220"/>
      <c r="F647" s="220"/>
      <c r="G647" s="304">
        <v>0.438</v>
      </c>
      <c r="H647" s="3"/>
      <c r="I647" s="443"/>
      <c r="J647" s="376"/>
      <c r="L647" s="376"/>
      <c r="R647" s="376"/>
      <c r="T647" s="376"/>
      <c r="U647" s="3"/>
      <c r="W647" s="6"/>
      <c r="X647" s="6"/>
      <c r="AA647" s="3"/>
      <c r="AB647" s="5"/>
      <c r="AE647" s="4"/>
      <c r="AF647" s="44"/>
      <c r="AG647" s="4"/>
      <c r="AM647" s="51"/>
      <c r="AN647" s="51"/>
      <c r="AO647" s="51"/>
    </row>
    <row r="648" spans="2:41" ht="15" customHeight="1" x14ac:dyDescent="0.25">
      <c r="B648" s="3"/>
      <c r="C648" s="303"/>
      <c r="D648" s="452"/>
      <c r="E648" s="452"/>
      <c r="F648" s="452"/>
      <c r="G648" s="453"/>
      <c r="H648" s="3"/>
      <c r="I648" s="443"/>
      <c r="J648" s="376"/>
      <c r="L648" s="376"/>
      <c r="R648" s="376"/>
      <c r="T648" s="376"/>
      <c r="U648" s="3"/>
      <c r="W648" s="6"/>
      <c r="X648" s="6"/>
      <c r="AA648" s="3"/>
      <c r="AB648" s="5"/>
      <c r="AE648" s="4"/>
      <c r="AF648" s="44"/>
      <c r="AG648" s="4"/>
      <c r="AM648" s="51"/>
      <c r="AN648" s="51"/>
      <c r="AO648" s="51"/>
    </row>
    <row r="649" spans="2:41" ht="15" customHeight="1" x14ac:dyDescent="0.25">
      <c r="B649" s="3"/>
      <c r="C649" s="303"/>
      <c r="D649" s="452"/>
      <c r="E649" s="452"/>
      <c r="F649" s="452"/>
      <c r="G649" s="453"/>
      <c r="H649" s="3"/>
      <c r="I649" s="443"/>
      <c r="J649" s="376"/>
      <c r="L649" s="376"/>
      <c r="R649" s="376"/>
      <c r="T649" s="376"/>
      <c r="U649" s="3"/>
      <c r="W649" s="6"/>
      <c r="X649" s="6"/>
      <c r="AA649" s="3"/>
      <c r="AB649" s="5"/>
      <c r="AE649" s="4"/>
      <c r="AF649" s="44"/>
      <c r="AG649" s="4"/>
    </row>
  </sheetData>
  <sheetProtection algorithmName="SHA-512" hashValue="6hC3ofcQJe7dt1sDasfm6NxWbpCspdr/rX53HCUX5x8SentmvRs3Q6SY9Z+Q4Fc6SHifn5kCxGSDdLlZfvpMow==" saltValue="syy2mBT8BGE3i973BeLDIg==" spinCount="100000" sheet="1" objects="1" scenarios="1"/>
  <dataConsolidate/>
  <mergeCells count="50">
    <mergeCell ref="I596:K596"/>
    <mergeCell ref="C503:G504"/>
    <mergeCell ref="C507:G508"/>
    <mergeCell ref="C519:G520"/>
    <mergeCell ref="C523:G524"/>
    <mergeCell ref="I595:K595"/>
    <mergeCell ref="C536:G537"/>
    <mergeCell ref="C538:G539"/>
    <mergeCell ref="C540:G541"/>
    <mergeCell ref="C542:G543"/>
    <mergeCell ref="C545:G546"/>
    <mergeCell ref="C547:G548"/>
    <mergeCell ref="C549:G550"/>
    <mergeCell ref="C505:G506"/>
    <mergeCell ref="C509:G510"/>
    <mergeCell ref="C511:G512"/>
    <mergeCell ref="AQ3:AR6"/>
    <mergeCell ref="E4:G4"/>
    <mergeCell ref="C517:G518"/>
    <mergeCell ref="C521:G522"/>
    <mergeCell ref="C525:G526"/>
    <mergeCell ref="C513:G514"/>
    <mergeCell ref="C515:G516"/>
    <mergeCell ref="Z5:AA5"/>
    <mergeCell ref="Z6:AA6"/>
    <mergeCell ref="N3:S3"/>
    <mergeCell ref="N4:S4"/>
    <mergeCell ref="N5:S5"/>
    <mergeCell ref="Z3:AA3"/>
    <mergeCell ref="Z4:AA4"/>
    <mergeCell ref="AM7:AP7"/>
    <mergeCell ref="W7:X7"/>
    <mergeCell ref="B5:D5"/>
    <mergeCell ref="B9:G9"/>
    <mergeCell ref="I9:M9"/>
    <mergeCell ref="B2:G2"/>
    <mergeCell ref="J3:M3"/>
    <mergeCell ref="J4:M4"/>
    <mergeCell ref="E3:G3"/>
    <mergeCell ref="B4:D4"/>
    <mergeCell ref="V9:X9"/>
    <mergeCell ref="C556:G557"/>
    <mergeCell ref="C558:G559"/>
    <mergeCell ref="C551:G552"/>
    <mergeCell ref="AS9:AT9"/>
    <mergeCell ref="C527:G528"/>
    <mergeCell ref="C529:G530"/>
    <mergeCell ref="C531:G532"/>
    <mergeCell ref="C533:G534"/>
    <mergeCell ref="C554:G555"/>
  </mergeCells>
  <phoneticPr fontId="0" type="noConversion"/>
  <conditionalFormatting sqref="AB631 AB324:AB329 AB561:AB567 AB303 AB344:AB349 AB275:AB280 AB269:AB272 AB318:AB321 AB311:AB314 AB14:AB21 AB23:AB24 AB34:AB35 AB43:AB49 AB51:AB60 AB62:AB70 AB72:AB73 AB83:AB84 AB101:AB107 AB109:AB114 AB116:AB121 AB123:AB131 AB133:AB134 AB144:AB145 AB153:AB158 AB160:AB165 AB167:AB172 AB174:AB179 AB181:AB186 AB189:AB193 AB195:AB212 AB222:AB225 AB228:AB234 AB260 AB354 AB569:AB576 AB578:AB580 AB582:AB588 AB590 AB592:AB595 AB597:AB616 AB26:AB32 AB37:AB41 AB75:AB81 AB86:AB99 AB136:AB142 AB147:AB151 AB214:AB217 AB236:AB241 AB243:AB257 AB262:AB265 AB282:AB287 AB289:AB300 AB338:AB341 AB331:AB336 AB356:AB535">
    <cfRule type="cellIs" dxfId="487" priority="171" stopIfTrue="1" operator="lessThan">
      <formula>42</formula>
    </cfRule>
    <cfRule type="cellIs" dxfId="486" priority="172" stopIfTrue="1" operator="lessThan">
      <formula>45</formula>
    </cfRule>
  </conditionalFormatting>
  <conditionalFormatting sqref="AB22">
    <cfRule type="cellIs" dxfId="485" priority="139" stopIfTrue="1" operator="lessThan">
      <formula>42</formula>
    </cfRule>
    <cfRule type="cellIs" dxfId="484" priority="140" stopIfTrue="1" operator="lessThan">
      <formula>45</formula>
    </cfRule>
  </conditionalFormatting>
  <conditionalFormatting sqref="AB33">
    <cfRule type="cellIs" dxfId="483" priority="137" stopIfTrue="1" operator="lessThan">
      <formula>42</formula>
    </cfRule>
    <cfRule type="cellIs" dxfId="482" priority="138" stopIfTrue="1" operator="lessThan">
      <formula>45</formula>
    </cfRule>
  </conditionalFormatting>
  <conditionalFormatting sqref="AB42">
    <cfRule type="cellIs" dxfId="481" priority="135" stopIfTrue="1" operator="lessThan">
      <formula>42</formula>
    </cfRule>
    <cfRule type="cellIs" dxfId="480" priority="136" stopIfTrue="1" operator="lessThan">
      <formula>45</formula>
    </cfRule>
  </conditionalFormatting>
  <conditionalFormatting sqref="AB50">
    <cfRule type="cellIs" dxfId="479" priority="133" stopIfTrue="1" operator="lessThan">
      <formula>42</formula>
    </cfRule>
    <cfRule type="cellIs" dxfId="478" priority="134" stopIfTrue="1" operator="lessThan">
      <formula>45</formula>
    </cfRule>
  </conditionalFormatting>
  <conditionalFormatting sqref="AB61">
    <cfRule type="cellIs" dxfId="477" priority="131" stopIfTrue="1" operator="lessThan">
      <formula>42</formula>
    </cfRule>
    <cfRule type="cellIs" dxfId="476" priority="132" stopIfTrue="1" operator="lessThan">
      <formula>45</formula>
    </cfRule>
  </conditionalFormatting>
  <conditionalFormatting sqref="AB71">
    <cfRule type="cellIs" dxfId="475" priority="129" stopIfTrue="1" operator="lessThan">
      <formula>42</formula>
    </cfRule>
    <cfRule type="cellIs" dxfId="474" priority="130" stopIfTrue="1" operator="lessThan">
      <formula>45</formula>
    </cfRule>
  </conditionalFormatting>
  <conditionalFormatting sqref="AB82">
    <cfRule type="cellIs" dxfId="473" priority="127" stopIfTrue="1" operator="lessThan">
      <formula>42</formula>
    </cfRule>
    <cfRule type="cellIs" dxfId="472" priority="128" stopIfTrue="1" operator="lessThan">
      <formula>45</formula>
    </cfRule>
  </conditionalFormatting>
  <conditionalFormatting sqref="AB100">
    <cfRule type="cellIs" dxfId="471" priority="123" stopIfTrue="1" operator="lessThan">
      <formula>42</formula>
    </cfRule>
    <cfRule type="cellIs" dxfId="470" priority="124" stopIfTrue="1" operator="lessThan">
      <formula>45</formula>
    </cfRule>
  </conditionalFormatting>
  <conditionalFormatting sqref="AB108">
    <cfRule type="cellIs" dxfId="469" priority="121" stopIfTrue="1" operator="lessThan">
      <formula>42</formula>
    </cfRule>
    <cfRule type="cellIs" dxfId="468" priority="122" stopIfTrue="1" operator="lessThan">
      <formula>45</formula>
    </cfRule>
  </conditionalFormatting>
  <conditionalFormatting sqref="AB115">
    <cfRule type="cellIs" dxfId="467" priority="119" stopIfTrue="1" operator="lessThan">
      <formula>42</formula>
    </cfRule>
    <cfRule type="cellIs" dxfId="466" priority="120" stopIfTrue="1" operator="lessThan">
      <formula>45</formula>
    </cfRule>
  </conditionalFormatting>
  <conditionalFormatting sqref="AB122">
    <cfRule type="cellIs" dxfId="465" priority="117" stopIfTrue="1" operator="lessThan">
      <formula>42</formula>
    </cfRule>
    <cfRule type="cellIs" dxfId="464" priority="118" stopIfTrue="1" operator="lessThan">
      <formula>45</formula>
    </cfRule>
  </conditionalFormatting>
  <conditionalFormatting sqref="AB132">
    <cfRule type="cellIs" dxfId="463" priority="115" stopIfTrue="1" operator="lessThan">
      <formula>42</formula>
    </cfRule>
    <cfRule type="cellIs" dxfId="462" priority="116" stopIfTrue="1" operator="lessThan">
      <formula>45</formula>
    </cfRule>
  </conditionalFormatting>
  <conditionalFormatting sqref="AB143">
    <cfRule type="cellIs" dxfId="461" priority="113" stopIfTrue="1" operator="lessThan">
      <formula>42</formula>
    </cfRule>
    <cfRule type="cellIs" dxfId="460" priority="114" stopIfTrue="1" operator="lessThan">
      <formula>45</formula>
    </cfRule>
  </conditionalFormatting>
  <conditionalFormatting sqref="AB152">
    <cfRule type="cellIs" dxfId="459" priority="111" stopIfTrue="1" operator="lessThan">
      <formula>42</formula>
    </cfRule>
    <cfRule type="cellIs" dxfId="458" priority="112" stopIfTrue="1" operator="lessThan">
      <formula>45</formula>
    </cfRule>
  </conditionalFormatting>
  <conditionalFormatting sqref="AB159">
    <cfRule type="cellIs" dxfId="457" priority="109" stopIfTrue="1" operator="lessThan">
      <formula>42</formula>
    </cfRule>
    <cfRule type="cellIs" dxfId="456" priority="110" stopIfTrue="1" operator="lessThan">
      <formula>45</formula>
    </cfRule>
  </conditionalFormatting>
  <conditionalFormatting sqref="AB166">
    <cfRule type="cellIs" dxfId="455" priority="107" stopIfTrue="1" operator="lessThan">
      <formula>42</formula>
    </cfRule>
    <cfRule type="cellIs" dxfId="454" priority="108" stopIfTrue="1" operator="lessThan">
      <formula>45</formula>
    </cfRule>
  </conditionalFormatting>
  <conditionalFormatting sqref="AB173">
    <cfRule type="cellIs" dxfId="453" priority="105" stopIfTrue="1" operator="lessThan">
      <formula>42</formula>
    </cfRule>
    <cfRule type="cellIs" dxfId="452" priority="106" stopIfTrue="1" operator="lessThan">
      <formula>45</formula>
    </cfRule>
  </conditionalFormatting>
  <conditionalFormatting sqref="AB180">
    <cfRule type="cellIs" dxfId="451" priority="103" stopIfTrue="1" operator="lessThan">
      <formula>42</formula>
    </cfRule>
    <cfRule type="cellIs" dxfId="450" priority="104" stopIfTrue="1" operator="lessThan">
      <formula>45</formula>
    </cfRule>
  </conditionalFormatting>
  <conditionalFormatting sqref="AB187">
    <cfRule type="cellIs" dxfId="449" priority="101" stopIfTrue="1" operator="lessThan">
      <formula>42</formula>
    </cfRule>
    <cfRule type="cellIs" dxfId="448" priority="102" stopIfTrue="1" operator="lessThan">
      <formula>45</formula>
    </cfRule>
  </conditionalFormatting>
  <conditionalFormatting sqref="AB194">
    <cfRule type="cellIs" dxfId="447" priority="99" stopIfTrue="1" operator="lessThan">
      <formula>42</formula>
    </cfRule>
    <cfRule type="cellIs" dxfId="446" priority="100" stopIfTrue="1" operator="lessThan">
      <formula>45</formula>
    </cfRule>
  </conditionalFormatting>
  <conditionalFormatting sqref="AB304:AB307">
    <cfRule type="cellIs" dxfId="445" priority="83" stopIfTrue="1" operator="lessThan">
      <formula>42</formula>
    </cfRule>
    <cfRule type="cellIs" dxfId="444" priority="84" stopIfTrue="1" operator="lessThan">
      <formula>45</formula>
    </cfRule>
  </conditionalFormatting>
  <conditionalFormatting sqref="AB536:AB537">
    <cfRule type="cellIs" dxfId="443" priority="81" stopIfTrue="1" operator="lessThan">
      <formula>42</formula>
    </cfRule>
    <cfRule type="cellIs" dxfId="442" priority="82" stopIfTrue="1" operator="lessThan">
      <formula>45</formula>
    </cfRule>
  </conditionalFormatting>
  <conditionalFormatting sqref="AB538:AB539">
    <cfRule type="cellIs" dxfId="441" priority="79" stopIfTrue="1" operator="lessThan">
      <formula>42</formula>
    </cfRule>
    <cfRule type="cellIs" dxfId="440" priority="80" stopIfTrue="1" operator="lessThan">
      <formula>45</formula>
    </cfRule>
  </conditionalFormatting>
  <conditionalFormatting sqref="AB540:AB541">
    <cfRule type="cellIs" dxfId="439" priority="77" stopIfTrue="1" operator="lessThan">
      <formula>42</formula>
    </cfRule>
    <cfRule type="cellIs" dxfId="438" priority="78" stopIfTrue="1" operator="lessThan">
      <formula>45</formula>
    </cfRule>
  </conditionalFormatting>
  <conditionalFormatting sqref="AB542:AB543">
    <cfRule type="cellIs" dxfId="437" priority="75" stopIfTrue="1" operator="lessThan">
      <formula>42</formula>
    </cfRule>
    <cfRule type="cellIs" dxfId="436" priority="76" stopIfTrue="1" operator="lessThan">
      <formula>45</formula>
    </cfRule>
  </conditionalFormatting>
  <conditionalFormatting sqref="AB545:AB546">
    <cfRule type="cellIs" dxfId="435" priority="73" stopIfTrue="1" operator="lessThan">
      <formula>42</formula>
    </cfRule>
    <cfRule type="cellIs" dxfId="434" priority="74" stopIfTrue="1" operator="lessThan">
      <formula>45</formula>
    </cfRule>
  </conditionalFormatting>
  <conditionalFormatting sqref="AB547:AB548">
    <cfRule type="cellIs" dxfId="433" priority="71" stopIfTrue="1" operator="lessThan">
      <formula>42</formula>
    </cfRule>
    <cfRule type="cellIs" dxfId="432" priority="72" stopIfTrue="1" operator="lessThan">
      <formula>45</formula>
    </cfRule>
  </conditionalFormatting>
  <conditionalFormatting sqref="AB549:AB550">
    <cfRule type="cellIs" dxfId="431" priority="69" stopIfTrue="1" operator="lessThan">
      <formula>42</formula>
    </cfRule>
    <cfRule type="cellIs" dxfId="430" priority="70" stopIfTrue="1" operator="lessThan">
      <formula>45</formula>
    </cfRule>
  </conditionalFormatting>
  <conditionalFormatting sqref="AB551:AB553">
    <cfRule type="cellIs" dxfId="429" priority="67" stopIfTrue="1" operator="lessThan">
      <formula>42</formula>
    </cfRule>
    <cfRule type="cellIs" dxfId="428" priority="68" stopIfTrue="1" operator="lessThan">
      <formula>45</formula>
    </cfRule>
  </conditionalFormatting>
  <conditionalFormatting sqref="AB554:AB555">
    <cfRule type="cellIs" dxfId="427" priority="65" stopIfTrue="1" operator="lessThan">
      <formula>42</formula>
    </cfRule>
    <cfRule type="cellIs" dxfId="426" priority="66" stopIfTrue="1" operator="lessThan">
      <formula>45</formula>
    </cfRule>
  </conditionalFormatting>
  <conditionalFormatting sqref="AB556:AB557">
    <cfRule type="cellIs" dxfId="425" priority="63" stopIfTrue="1" operator="lessThan">
      <formula>42</formula>
    </cfRule>
    <cfRule type="cellIs" dxfId="424" priority="64" stopIfTrue="1" operator="lessThan">
      <formula>45</formula>
    </cfRule>
  </conditionalFormatting>
  <conditionalFormatting sqref="AB558:AB560">
    <cfRule type="cellIs" dxfId="423" priority="61" stopIfTrue="1" operator="lessThan">
      <formula>42</formula>
    </cfRule>
    <cfRule type="cellIs" dxfId="422" priority="62" stopIfTrue="1" operator="lessThan">
      <formula>45</formula>
    </cfRule>
  </conditionalFormatting>
  <conditionalFormatting sqref="AB218:AB220">
    <cfRule type="cellIs" dxfId="421" priority="59" stopIfTrue="1" operator="lessThan">
      <formula>42</formula>
    </cfRule>
    <cfRule type="cellIs" dxfId="420" priority="60" stopIfTrue="1" operator="lessThan">
      <formula>45</formula>
    </cfRule>
  </conditionalFormatting>
  <conditionalFormatting sqref="AB226:AB227">
    <cfRule type="cellIs" dxfId="419" priority="57" stopIfTrue="1" operator="lessThan">
      <formula>42</formula>
    </cfRule>
    <cfRule type="cellIs" dxfId="418" priority="58" stopIfTrue="1" operator="lessThan">
      <formula>45</formula>
    </cfRule>
  </conditionalFormatting>
  <conditionalFormatting sqref="AB258:AB259">
    <cfRule type="cellIs" dxfId="417" priority="55" stopIfTrue="1" operator="lessThan">
      <formula>42</formula>
    </cfRule>
    <cfRule type="cellIs" dxfId="416" priority="56" stopIfTrue="1" operator="lessThan">
      <formula>45</formula>
    </cfRule>
  </conditionalFormatting>
  <conditionalFormatting sqref="AB266:AB267">
    <cfRule type="cellIs" dxfId="415" priority="53" stopIfTrue="1" operator="lessThan">
      <formula>42</formula>
    </cfRule>
    <cfRule type="cellIs" dxfId="414" priority="54" stopIfTrue="1" operator="lessThan">
      <formula>45</formula>
    </cfRule>
  </conditionalFormatting>
  <conditionalFormatting sqref="AB273:AB274">
    <cfRule type="cellIs" dxfId="413" priority="51" stopIfTrue="1" operator="lessThan">
      <formula>42</formula>
    </cfRule>
    <cfRule type="cellIs" dxfId="412" priority="52" stopIfTrue="1" operator="lessThan">
      <formula>45</formula>
    </cfRule>
  </conditionalFormatting>
  <conditionalFormatting sqref="AB301:AB302">
    <cfRule type="cellIs" dxfId="411" priority="49" stopIfTrue="1" operator="lessThan">
      <formula>42</formula>
    </cfRule>
    <cfRule type="cellIs" dxfId="410" priority="50" stopIfTrue="1" operator="lessThan">
      <formula>45</formula>
    </cfRule>
  </conditionalFormatting>
  <conditionalFormatting sqref="AB308:AB309">
    <cfRule type="cellIs" dxfId="409" priority="47" stopIfTrue="1" operator="lessThan">
      <formula>42</formula>
    </cfRule>
    <cfRule type="cellIs" dxfId="408" priority="48" stopIfTrue="1" operator="lessThan">
      <formula>45</formula>
    </cfRule>
  </conditionalFormatting>
  <conditionalFormatting sqref="AB315:AB316">
    <cfRule type="cellIs" dxfId="407" priority="45" stopIfTrue="1" operator="lessThan">
      <formula>42</formula>
    </cfRule>
    <cfRule type="cellIs" dxfId="406" priority="46" stopIfTrue="1" operator="lessThan">
      <formula>45</formula>
    </cfRule>
  </conditionalFormatting>
  <conditionalFormatting sqref="AB322:AB323">
    <cfRule type="cellIs" dxfId="405" priority="43" stopIfTrue="1" operator="lessThan">
      <formula>42</formula>
    </cfRule>
    <cfRule type="cellIs" dxfId="404" priority="44" stopIfTrue="1" operator="lessThan">
      <formula>45</formula>
    </cfRule>
  </conditionalFormatting>
  <conditionalFormatting sqref="AB342:AB343">
    <cfRule type="cellIs" dxfId="403" priority="41" stopIfTrue="1" operator="lessThan">
      <formula>42</formula>
    </cfRule>
    <cfRule type="cellIs" dxfId="402" priority="42" stopIfTrue="1" operator="lessThan">
      <formula>45</formula>
    </cfRule>
  </conditionalFormatting>
  <conditionalFormatting sqref="AB350:AB354">
    <cfRule type="cellIs" dxfId="401" priority="39" stopIfTrue="1" operator="lessThan">
      <formula>42</formula>
    </cfRule>
    <cfRule type="cellIs" dxfId="400" priority="40" stopIfTrue="1" operator="lessThan">
      <formula>45</formula>
    </cfRule>
  </conditionalFormatting>
  <conditionalFormatting sqref="AB355">
    <cfRule type="cellIs" dxfId="399" priority="37" stopIfTrue="1" operator="lessThan">
      <formula>42</formula>
    </cfRule>
    <cfRule type="cellIs" dxfId="398" priority="38" stopIfTrue="1" operator="lessThan">
      <formula>45</formula>
    </cfRule>
  </conditionalFormatting>
  <conditionalFormatting sqref="AB25">
    <cfRule type="cellIs" dxfId="397" priority="35" stopIfTrue="1" operator="lessThan">
      <formula>42</formula>
    </cfRule>
    <cfRule type="cellIs" dxfId="396" priority="36" stopIfTrue="1" operator="lessThan">
      <formula>45</formula>
    </cfRule>
  </conditionalFormatting>
  <conditionalFormatting sqref="AB36">
    <cfRule type="cellIs" dxfId="395" priority="33" stopIfTrue="1" operator="lessThan">
      <formula>42</formula>
    </cfRule>
    <cfRule type="cellIs" dxfId="394" priority="34" stopIfTrue="1" operator="lessThan">
      <formula>45</formula>
    </cfRule>
  </conditionalFormatting>
  <conditionalFormatting sqref="AB74">
    <cfRule type="cellIs" dxfId="393" priority="31" stopIfTrue="1" operator="lessThan">
      <formula>42</formula>
    </cfRule>
    <cfRule type="cellIs" dxfId="392" priority="32" stopIfTrue="1" operator="lessThan">
      <formula>45</formula>
    </cfRule>
  </conditionalFormatting>
  <conditionalFormatting sqref="AB85">
    <cfRule type="cellIs" dxfId="391" priority="29" stopIfTrue="1" operator="lessThan">
      <formula>42</formula>
    </cfRule>
    <cfRule type="cellIs" dxfId="390" priority="30" stopIfTrue="1" operator="lessThan">
      <formula>45</formula>
    </cfRule>
  </conditionalFormatting>
  <conditionalFormatting sqref="AB135">
    <cfRule type="cellIs" dxfId="389" priority="27" stopIfTrue="1" operator="lessThan">
      <formula>42</formula>
    </cfRule>
    <cfRule type="cellIs" dxfId="388" priority="28" stopIfTrue="1" operator="lessThan">
      <formula>45</formula>
    </cfRule>
  </conditionalFormatting>
  <conditionalFormatting sqref="AB146">
    <cfRule type="cellIs" dxfId="387" priority="25" stopIfTrue="1" operator="lessThan">
      <formula>42</formula>
    </cfRule>
    <cfRule type="cellIs" dxfId="386" priority="26" stopIfTrue="1" operator="lessThan">
      <formula>45</formula>
    </cfRule>
  </conditionalFormatting>
  <conditionalFormatting sqref="AB213">
    <cfRule type="cellIs" dxfId="385" priority="23" stopIfTrue="1" operator="lessThan">
      <formula>42</formula>
    </cfRule>
    <cfRule type="cellIs" dxfId="384" priority="24" stopIfTrue="1" operator="lessThan">
      <formula>45</formula>
    </cfRule>
  </conditionalFormatting>
  <conditionalFormatting sqref="AB221">
    <cfRule type="cellIs" dxfId="383" priority="21" stopIfTrue="1" operator="lessThan">
      <formula>42</formula>
    </cfRule>
    <cfRule type="cellIs" dxfId="382" priority="22" stopIfTrue="1" operator="lessThan">
      <formula>45</formula>
    </cfRule>
  </conditionalFormatting>
  <conditionalFormatting sqref="AB235">
    <cfRule type="cellIs" dxfId="381" priority="19" stopIfTrue="1" operator="lessThan">
      <formula>42</formula>
    </cfRule>
    <cfRule type="cellIs" dxfId="380" priority="20" stopIfTrue="1" operator="lessThan">
      <formula>45</formula>
    </cfRule>
  </conditionalFormatting>
  <conditionalFormatting sqref="AB242">
    <cfRule type="cellIs" dxfId="379" priority="17" stopIfTrue="1" operator="lessThan">
      <formula>42</formula>
    </cfRule>
    <cfRule type="cellIs" dxfId="378" priority="18" stopIfTrue="1" operator="lessThan">
      <formula>45</formula>
    </cfRule>
  </conditionalFormatting>
  <conditionalFormatting sqref="AB261">
    <cfRule type="cellIs" dxfId="377" priority="15" stopIfTrue="1" operator="lessThan">
      <formula>42</formula>
    </cfRule>
    <cfRule type="cellIs" dxfId="376" priority="16" stopIfTrue="1" operator="lessThan">
      <formula>45</formula>
    </cfRule>
  </conditionalFormatting>
  <conditionalFormatting sqref="AB268">
    <cfRule type="cellIs" dxfId="375" priority="13" stopIfTrue="1" operator="lessThan">
      <formula>42</formula>
    </cfRule>
    <cfRule type="cellIs" dxfId="374" priority="14" stopIfTrue="1" operator="lessThan">
      <formula>45</formula>
    </cfRule>
  </conditionalFormatting>
  <conditionalFormatting sqref="AB281">
    <cfRule type="cellIs" dxfId="373" priority="11" stopIfTrue="1" operator="lessThan">
      <formula>42</formula>
    </cfRule>
    <cfRule type="cellIs" dxfId="372" priority="12" stopIfTrue="1" operator="lessThan">
      <formula>45</formula>
    </cfRule>
  </conditionalFormatting>
  <conditionalFormatting sqref="AB288">
    <cfRule type="cellIs" dxfId="371" priority="9" stopIfTrue="1" operator="lessThan">
      <formula>42</formula>
    </cfRule>
    <cfRule type="cellIs" dxfId="370" priority="10" stopIfTrue="1" operator="lessThan">
      <formula>45</formula>
    </cfRule>
  </conditionalFormatting>
  <conditionalFormatting sqref="AB310">
    <cfRule type="cellIs" dxfId="369" priority="7" stopIfTrue="1" operator="lessThan">
      <formula>42</formula>
    </cfRule>
    <cfRule type="cellIs" dxfId="368" priority="8" stopIfTrue="1" operator="lessThan">
      <formula>45</formula>
    </cfRule>
  </conditionalFormatting>
  <conditionalFormatting sqref="AB317">
    <cfRule type="cellIs" dxfId="367" priority="5" stopIfTrue="1" operator="lessThan">
      <formula>42</formula>
    </cfRule>
    <cfRule type="cellIs" dxfId="366" priority="6" stopIfTrue="1" operator="lessThan">
      <formula>45</formula>
    </cfRule>
  </conditionalFormatting>
  <conditionalFormatting sqref="AB337">
    <cfRule type="cellIs" dxfId="365" priority="3" stopIfTrue="1" operator="lessThan">
      <formula>42</formula>
    </cfRule>
    <cfRule type="cellIs" dxfId="364" priority="4" stopIfTrue="1" operator="lessThan">
      <formula>45</formula>
    </cfRule>
  </conditionalFormatting>
  <conditionalFormatting sqref="AB330">
    <cfRule type="cellIs" dxfId="363" priority="1" stopIfTrue="1" operator="lessThan">
      <formula>42</formula>
    </cfRule>
    <cfRule type="cellIs" dxfId="362" priority="2" stopIfTrue="1" operator="lessThan">
      <formula>45</formula>
    </cfRule>
  </conditionalFormatting>
  <dataValidations disablePrompts="1" count="3">
    <dataValidation showDropDown="1" showInputMessage="1" showErrorMessage="1" sqref="W7" xr:uid="{00000000-0002-0000-0200-000000000000}"/>
    <dataValidation type="list" showInputMessage="1" showErrorMessage="1" sqref="E4:G4" xr:uid="{00000000-0002-0000-0200-000001000000}">
      <formula1>$AN$3:$AN$6</formula1>
    </dataValidation>
    <dataValidation type="list" allowBlank="1" showInputMessage="1" showErrorMessage="1" sqref="E3:G3" xr:uid="{00000000-0002-0000-0200-000002000000}">
      <formula1>$AM$9:$AR$9</formula1>
    </dataValidation>
  </dataValidations>
  <printOptions gridLines="1"/>
  <pageMargins left="0.125" right="0.125" top="0.25" bottom="0.375" header="0" footer="0"/>
  <pageSetup paperSize="3" fitToHeight="10" orientation="landscape" horizontalDpi="4294967292" r:id="rId1"/>
  <headerFooter alignWithMargins="0">
    <oddFooter>&amp;L&amp;8&amp;Z&amp;F</oddFooter>
  </headerFooter>
  <ignoredErrors>
    <ignoredError sqref="Y567 Y63 Y124 Y196 Y249:Y253 Y303 Y357 Y473:Y478 Y482:Y489 Y37:Y38 Y45:Y46 Y52:Y57 Y75:Y76 Y86:Y87 Y103:Y104 Y110:Y111 Y117:Y118 Y136:Y137 Y147:Y148 Y154:Y155 Y161:Y162 Y168:Y169 Y175:Y176 Y182:Y185 Y189:Y190 Y359:Y361 Y424:Y425 Y431:Y432 Y443:Y444 Y412:Y413 Y437:Y438 Y449:Y450 Y418:Y419 Y243:Y244 Y289:Y290 Y338:Y339 Y344:Y345 Y229:Y230 Y236:Y237 Y275:Y276 Y282:Y283 Y324:Y325 Y331:Y332 Y40 Y48 Y59 Y78:Y80 Y98 Y106 Y113 Y120 Y139:Y141 Y150 Y157 Y164 Y171 Y178 Y192 Y198 Y200 Y202:Y205 Y232 Y239 Y246 Y278 Y285 Y292:Y294 Y296:Y298 Y300 Y327 Y334 Y341 Y347 Y365:Y366 Y370:Y371 Y406:Y407 Y409 Y415 Y421 Y434 Y440 Y446 Y452 Y95:Y96 Y375 Y89:Y92 Y363 Y368 Y373" numberStoredAsText="1"/>
    <ignoredError sqref="S475 S613 S633 S611 AD570:AD574 S504 S507:S508 S505:S506 S509:S518 S519:S526 S547:S567"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BG804"/>
  <sheetViews>
    <sheetView showGridLines="0" showOutlineSymbols="0" view="pageBreakPreview" zoomScale="70" zoomScaleNormal="100" zoomScaleSheetLayoutView="70" workbookViewId="0">
      <pane ySplit="13" topLeftCell="A129" activePane="bottomLeft" state="frozen"/>
      <selection pane="bottomLeft" activeCell="A129" sqref="A129"/>
    </sheetView>
  </sheetViews>
  <sheetFormatPr defaultColWidth="20.59765625" defaultRowHeight="15" customHeight="1" x14ac:dyDescent="0.4"/>
  <cols>
    <col min="1" max="1" width="15.59765625" style="3" bestFit="1" customWidth="1"/>
    <col min="2" max="2" width="7.59765625" style="4" customWidth="1"/>
    <col min="3" max="3" width="4.09765625" style="8" customWidth="1"/>
    <col min="4" max="4" width="3.59765625" style="4" customWidth="1"/>
    <col min="5" max="5" width="10.59765625" style="4" customWidth="1"/>
    <col min="6" max="6" width="12.09765625" style="4" customWidth="1"/>
    <col min="7" max="7" width="9" style="4" customWidth="1"/>
    <col min="8" max="8" width="3.09765625" style="14" customWidth="1"/>
    <col min="9" max="9" width="5.59765625" style="3" customWidth="1"/>
    <col min="10" max="10" width="2.59765625" style="3" customWidth="1"/>
    <col min="11" max="11" width="5.3984375" style="3" customWidth="1"/>
    <col min="12" max="12" width="2.59765625" style="3" customWidth="1"/>
    <col min="13" max="13" width="7.5" style="5" customWidth="1"/>
    <col min="14" max="14" width="2.59765625" style="5" customWidth="1"/>
    <col min="15" max="15" width="5.59765625" style="5" bestFit="1" customWidth="1"/>
    <col min="16" max="16" width="3.59765625" style="5" bestFit="1" customWidth="1"/>
    <col min="17" max="17" width="7.69921875" style="5" customWidth="1"/>
    <col min="18" max="18" width="2.59765625" style="3" customWidth="1"/>
    <col min="19" max="19" width="8.09765625" style="5" customWidth="1"/>
    <col min="20" max="20" width="7.59765625" style="3" customWidth="1"/>
    <col min="21" max="21" width="5.09765625" style="14" customWidth="1"/>
    <col min="22" max="22" width="6.09765625" style="3" customWidth="1"/>
    <col min="23" max="23" width="5.09765625" style="3" customWidth="1"/>
    <col min="24" max="24" width="5.8984375" style="3" customWidth="1"/>
    <col min="25" max="26" width="12.59765625" style="3" customWidth="1"/>
    <col min="27" max="27" width="4.59765625" style="14" customWidth="1"/>
    <col min="28" max="28" width="6.59765625" style="3" bestFit="1" customWidth="1"/>
    <col min="29" max="29" width="6.3984375" style="3" customWidth="1"/>
    <col min="30" max="30" width="7.59765625" style="5" customWidth="1"/>
    <col min="31" max="31" width="4.59765625" style="5" customWidth="1"/>
    <col min="32" max="32" width="6.59765625" style="5" customWidth="1"/>
    <col min="33" max="33" width="9.09765625" style="5" customWidth="1"/>
    <col min="34" max="37" width="11" style="51" customWidth="1"/>
    <col min="38" max="38" width="7.09765625" style="39" customWidth="1"/>
    <col min="39" max="39" width="8.59765625" style="3" customWidth="1"/>
    <col min="40" max="43" width="10.59765625" style="3" customWidth="1"/>
    <col min="44" max="47" width="5.5" style="3" customWidth="1"/>
    <col min="48" max="16384" width="20.59765625" style="3"/>
  </cols>
  <sheetData>
    <row r="1" spans="1:48" s="86" customFormat="1" ht="30.6" thickBot="1" x14ac:dyDescent="0.3">
      <c r="A1" s="456" t="s">
        <v>1210</v>
      </c>
      <c r="B1" s="129"/>
      <c r="C1" s="290"/>
      <c r="D1" s="290"/>
      <c r="E1" s="4"/>
      <c r="F1" s="290"/>
      <c r="G1" s="290"/>
      <c r="H1" s="290"/>
      <c r="I1" s="290"/>
      <c r="J1" s="290"/>
      <c r="K1" s="3"/>
      <c r="L1" s="290"/>
      <c r="M1" s="290"/>
      <c r="N1" s="290"/>
      <c r="O1" s="290"/>
      <c r="P1" s="8"/>
      <c r="Q1" s="290"/>
      <c r="R1" s="290"/>
      <c r="S1" s="290"/>
      <c r="T1" s="290"/>
      <c r="U1" s="290"/>
      <c r="V1" s="290"/>
      <c r="W1" s="290"/>
      <c r="X1" s="290"/>
      <c r="Y1" s="290"/>
      <c r="Z1" s="290"/>
      <c r="AA1" s="290"/>
      <c r="AB1" s="290"/>
      <c r="AC1" s="290"/>
      <c r="AD1" s="290"/>
      <c r="AE1" s="290"/>
      <c r="AF1" s="290"/>
      <c r="AG1" s="290"/>
      <c r="AH1" s="290"/>
      <c r="AI1" s="290"/>
      <c r="AJ1" s="290"/>
      <c r="AK1" s="290"/>
      <c r="AL1" s="290"/>
      <c r="AM1" s="290"/>
      <c r="AN1" s="290"/>
      <c r="AO1" s="290"/>
      <c r="AP1" s="290"/>
      <c r="AQ1" s="290"/>
      <c r="AR1" s="290"/>
      <c r="AS1" s="290"/>
      <c r="AT1" s="290"/>
      <c r="AU1" s="290"/>
      <c r="AV1" s="290"/>
    </row>
    <row r="2" spans="1:48" s="2" customFormat="1" ht="23.4" thickBot="1" x14ac:dyDescent="0.3">
      <c r="B2" s="2013" t="s">
        <v>297</v>
      </c>
      <c r="C2" s="2014"/>
      <c r="D2" s="2014"/>
      <c r="E2" s="2014"/>
      <c r="F2" s="2014"/>
      <c r="G2" s="2015"/>
      <c r="H2" s="500"/>
      <c r="I2" s="1"/>
      <c r="J2" s="817"/>
      <c r="K2" s="549"/>
      <c r="L2" s="818"/>
      <c r="M2" s="549"/>
      <c r="N2" s="549"/>
      <c r="O2" s="549"/>
      <c r="P2" s="819"/>
      <c r="Q2" s="819"/>
      <c r="R2" s="820" t="s">
        <v>298</v>
      </c>
      <c r="S2" s="549"/>
      <c r="T2" s="549"/>
      <c r="U2" s="549"/>
      <c r="V2" s="549"/>
      <c r="W2" s="549"/>
      <c r="X2" s="549"/>
      <c r="Y2" s="550"/>
      <c r="Z2" s="290"/>
      <c r="AB2" s="1"/>
      <c r="AL2" s="3"/>
      <c r="AO2" s="452" t="s">
        <v>299</v>
      </c>
      <c r="AP2" s="812">
        <f>MATCH(E4,AN3:AN6,0)</f>
        <v>1</v>
      </c>
      <c r="AQ2" s="118"/>
    </row>
    <row r="3" spans="1:48" s="2" customFormat="1" ht="20.25" customHeight="1" thickBot="1" x14ac:dyDescent="0.3">
      <c r="B3" s="458"/>
      <c r="C3" s="459"/>
      <c r="D3" s="459" t="s">
        <v>299</v>
      </c>
      <c r="E3" s="2017" t="s">
        <v>1116</v>
      </c>
      <c r="F3" s="2018"/>
      <c r="G3" s="2019"/>
      <c r="H3" s="500"/>
      <c r="J3" s="2040" t="s">
        <v>300</v>
      </c>
      <c r="K3" s="2041"/>
      <c r="L3" s="2041"/>
      <c r="M3" s="2041" t="s">
        <v>300</v>
      </c>
      <c r="N3" s="2038" t="str">
        <f>FIXED(SL2Width,3)&amp;" W x "&amp;FIXED(SL2Height,3)&amp;" H"</f>
        <v>47.500 W x 47.500 H</v>
      </c>
      <c r="O3" s="2038"/>
      <c r="P3" s="2038"/>
      <c r="Q3" s="2038"/>
      <c r="R3" s="821"/>
      <c r="S3" s="821"/>
      <c r="T3" s="821"/>
      <c r="U3" s="822" t="s">
        <v>1211</v>
      </c>
      <c r="V3" s="2051" t="str">
        <f>FIXED(S736,3)&amp;" W x "&amp;FIXED(S737,3)&amp;" H = "&amp;FIXED(S738,1)&amp;" "&amp;T738</f>
        <v>20.062 W x 42.375 H = 5.9 Sq Ft</v>
      </c>
      <c r="W3" s="2052"/>
      <c r="X3" s="2052"/>
      <c r="Y3" s="2053"/>
      <c r="Z3" s="290"/>
      <c r="AA3" s="551"/>
      <c r="AB3" s="551"/>
      <c r="AE3" s="5"/>
      <c r="AF3" s="5"/>
      <c r="AG3" s="457"/>
      <c r="AN3" s="119" t="s">
        <v>302</v>
      </c>
      <c r="AO3" s="116"/>
      <c r="AP3" s="64"/>
      <c r="AQ3" s="2037" t="s">
        <v>303</v>
      </c>
      <c r="AS3" s="355"/>
    </row>
    <row r="4" spans="1:48" s="2" customFormat="1" ht="20.25" customHeight="1" thickBot="1" x14ac:dyDescent="0.3">
      <c r="B4" s="2020" t="s">
        <v>304</v>
      </c>
      <c r="C4" s="2021"/>
      <c r="D4" s="2021"/>
      <c r="E4" s="2017" t="s">
        <v>302</v>
      </c>
      <c r="F4" s="2018"/>
      <c r="G4" s="2019"/>
      <c r="H4" s="500"/>
      <c r="I4" s="36"/>
      <c r="J4" s="1959" t="s">
        <v>1212</v>
      </c>
      <c r="K4" s="1960"/>
      <c r="L4" s="1960"/>
      <c r="M4" s="1960"/>
      <c r="N4" s="1964" t="str">
        <f>FIXED(SL2FGW,3)&amp;" W x "&amp;FIXED(SL2FGH,3)&amp;" H"</f>
        <v>20.938 W x 43.250 H</v>
      </c>
      <c r="O4" s="1964"/>
      <c r="P4" s="1964"/>
      <c r="Q4" s="1964"/>
      <c r="R4" s="460"/>
      <c r="S4" s="284"/>
      <c r="T4" s="283"/>
      <c r="U4" s="121" t="s">
        <v>1213</v>
      </c>
      <c r="V4" s="2048" t="str">
        <f>FIXED(S742,3)&amp;" W x "&amp;FIXED(S743,3)&amp;" H = "&amp;FIXED(S744,1)&amp;" "&amp;T744</f>
        <v>18.875 W x 41.062 H = 5.4 Sq Ft</v>
      </c>
      <c r="W4" s="2049"/>
      <c r="X4" s="2049"/>
      <c r="Y4" s="2050"/>
      <c r="Z4" s="290"/>
      <c r="AA4" s="551"/>
      <c r="AB4" s="551"/>
      <c r="AD4" s="5"/>
      <c r="AE4" s="5"/>
      <c r="AF4" s="461"/>
      <c r="AG4" s="462"/>
      <c r="AH4" s="462"/>
      <c r="AI4" s="462"/>
      <c r="AJ4" s="462"/>
      <c r="AN4" s="120" t="s">
        <v>307</v>
      </c>
      <c r="AO4" s="3"/>
      <c r="AP4" s="64"/>
      <c r="AQ4" s="2037"/>
      <c r="AS4" s="355"/>
    </row>
    <row r="5" spans="1:48" ht="20.25" customHeight="1" thickBot="1" x14ac:dyDescent="0.3">
      <c r="B5" s="2020" t="s">
        <v>308</v>
      </c>
      <c r="C5" s="2021"/>
      <c r="D5" s="2021"/>
      <c r="E5" s="542">
        <v>47.5</v>
      </c>
      <c r="F5" s="464" t="s">
        <v>309</v>
      </c>
      <c r="G5" s="543">
        <v>47.5</v>
      </c>
      <c r="H5" s="500"/>
      <c r="J5" s="1959" t="s">
        <v>1214</v>
      </c>
      <c r="K5" s="1965"/>
      <c r="L5" s="1965"/>
      <c r="M5" s="1965"/>
      <c r="N5" s="1964" t="str">
        <f>FIXED(SL2SGW,3)&amp;" W x "&amp;FIXED(SL2SGH,3)&amp;" H"</f>
        <v>19.875 W x 42.125 H</v>
      </c>
      <c r="O5" s="1964"/>
      <c r="P5" s="1964"/>
      <c r="Q5" s="1964"/>
      <c r="R5" s="460"/>
      <c r="S5" s="285"/>
      <c r="T5" s="284"/>
      <c r="U5" s="552" t="s">
        <v>321</v>
      </c>
      <c r="V5" s="2048" t="str">
        <f>FIXED($S$727,3)&amp;" x "&amp;FIXED($S$728,3)&amp;" = "&amp;FIXED($S$729,2)&amp;"  Sq Ft"</f>
        <v>20.320 x 42.386 = 5.98  Sq Ft</v>
      </c>
      <c r="W5" s="2049"/>
      <c r="X5" s="2049"/>
      <c r="Y5" s="2050"/>
      <c r="Z5" s="290"/>
      <c r="AA5" s="551"/>
      <c r="AB5" s="551"/>
      <c r="AC5" s="461"/>
      <c r="AF5" s="461"/>
      <c r="AG5" s="457"/>
      <c r="AH5" s="462"/>
      <c r="AI5" s="462"/>
      <c r="AJ5" s="462"/>
      <c r="AN5" s="117" t="s">
        <v>1122</v>
      </c>
      <c r="AP5" s="64"/>
      <c r="AQ5" s="2037"/>
      <c r="AS5" s="355"/>
    </row>
    <row r="6" spans="1:48" ht="20.25" customHeight="1" thickBot="1" x14ac:dyDescent="0.3">
      <c r="B6" s="466"/>
      <c r="C6" s="467"/>
      <c r="D6" s="468" t="s">
        <v>313</v>
      </c>
      <c r="E6" s="2042" t="s">
        <v>314</v>
      </c>
      <c r="F6" s="2043"/>
      <c r="G6" s="2044"/>
      <c r="H6" s="500"/>
      <c r="J6" s="1992" t="s">
        <v>1215</v>
      </c>
      <c r="K6" s="1960"/>
      <c r="L6" s="1960"/>
      <c r="M6" s="1960"/>
      <c r="N6" s="1964" t="str">
        <f>FIXED(SL2SW,3)&amp;" W x "&amp;FIXED(SL2SH,3)&amp;" H"</f>
        <v>22.375 W x 44.625 H</v>
      </c>
      <c r="O6" s="1964"/>
      <c r="P6" s="1964"/>
      <c r="Q6" s="1964"/>
      <c r="R6" s="465"/>
      <c r="S6" s="286"/>
      <c r="T6" s="286"/>
      <c r="U6" s="284"/>
      <c r="V6" s="284"/>
      <c r="W6" s="284"/>
      <c r="X6" s="284"/>
      <c r="Y6" s="471"/>
      <c r="Z6" s="290"/>
      <c r="AA6" s="155"/>
      <c r="AB6" s="291"/>
      <c r="AC6" s="461"/>
      <c r="AG6" s="457"/>
      <c r="AH6" s="462"/>
      <c r="AI6" s="462"/>
      <c r="AJ6" s="462"/>
      <c r="AN6" s="939" t="s">
        <v>317</v>
      </c>
      <c r="AO6" s="889"/>
      <c r="AP6" s="940"/>
      <c r="AQ6" s="2037"/>
      <c r="AS6" s="355"/>
    </row>
    <row r="7" spans="1:48" ht="20.25" customHeight="1" thickBot="1" x14ac:dyDescent="0.3">
      <c r="B7" s="466"/>
      <c r="C7" s="1500"/>
      <c r="D7" s="469" t="s">
        <v>318</v>
      </c>
      <c r="E7" s="2045" t="s">
        <v>319</v>
      </c>
      <c r="F7" s="2046"/>
      <c r="G7" s="2047"/>
      <c r="H7" s="500"/>
      <c r="J7" s="1992" t="s">
        <v>320</v>
      </c>
      <c r="K7" s="1960"/>
      <c r="L7" s="1960"/>
      <c r="M7" s="1960"/>
      <c r="N7" s="2039" t="str">
        <f>FIXED(SL2HSWidth,3)&amp;" W x "&amp;FIXED(SL2HSHeight,3)&amp;" H"</f>
        <v>21.063 W x 43.000 H</v>
      </c>
      <c r="O7" s="2039"/>
      <c r="P7" s="2039"/>
      <c r="Q7" s="2039"/>
      <c r="R7" s="287"/>
      <c r="S7" s="286"/>
      <c r="T7" s="286"/>
      <c r="U7" s="284"/>
      <c r="V7" s="284"/>
      <c r="W7" s="283"/>
      <c r="X7" s="553" t="s">
        <v>1217</v>
      </c>
      <c r="Y7" s="823">
        <f>SL2SORnd</f>
        <v>0</v>
      </c>
      <c r="Z7" s="290"/>
      <c r="AA7" s="155"/>
      <c r="AB7" s="291"/>
      <c r="AC7" s="437"/>
      <c r="AG7" s="457"/>
      <c r="AH7" s="462"/>
      <c r="AI7" s="462"/>
      <c r="AJ7" s="462"/>
      <c r="AK7" s="462"/>
      <c r="AL7" s="3"/>
      <c r="AN7" s="2001"/>
      <c r="AO7" s="2002"/>
      <c r="AP7" s="2002"/>
      <c r="AQ7" s="24"/>
    </row>
    <row r="8" spans="1:48" ht="20.25" customHeight="1" thickBot="1" x14ac:dyDescent="0.3">
      <c r="B8" s="1235"/>
      <c r="C8" s="1236"/>
      <c r="D8" s="1237" t="s">
        <v>2226</v>
      </c>
      <c r="E8" s="310">
        <v>30.625</v>
      </c>
      <c r="F8" s="1238" t="str">
        <f>IF(ISERR(FIND("DIM",$E$7)),"not needed","Required")</f>
        <v>not needed</v>
      </c>
      <c r="G8" s="1239"/>
      <c r="H8" s="500"/>
      <c r="I8" s="470"/>
      <c r="J8" s="1240"/>
      <c r="K8" s="1183"/>
      <c r="L8" s="1183"/>
      <c r="M8" s="1183"/>
      <c r="N8" s="1183"/>
      <c r="O8" s="1183"/>
      <c r="P8" s="1183"/>
      <c r="Q8" s="1183"/>
      <c r="R8" s="1183"/>
      <c r="S8" s="1183"/>
      <c r="T8" s="1241"/>
      <c r="U8" s="1241"/>
      <c r="V8" s="1241"/>
      <c r="W8" s="1241"/>
      <c r="X8" s="1241"/>
      <c r="Y8" s="1242"/>
      <c r="Z8" s="290"/>
      <c r="AA8" s="3"/>
      <c r="AB8" s="24"/>
      <c r="AG8" s="462"/>
      <c r="AH8" s="462"/>
      <c r="AI8" s="462"/>
      <c r="AJ8" s="462"/>
      <c r="AK8" s="462"/>
      <c r="AL8" s="318"/>
    </row>
    <row r="9" spans="1:48" ht="20.25" customHeight="1" x14ac:dyDescent="0.4">
      <c r="C9" s="201"/>
      <c r="G9" s="201"/>
      <c r="H9" s="500"/>
      <c r="I9" s="470"/>
      <c r="J9" s="517"/>
      <c r="K9" s="517"/>
      <c r="L9" s="517"/>
      <c r="M9" s="517"/>
      <c r="N9" s="517"/>
      <c r="O9" s="517"/>
      <c r="P9" s="517"/>
      <c r="Q9" s="517"/>
      <c r="R9" s="517"/>
      <c r="S9" s="517"/>
      <c r="U9" s="3"/>
      <c r="AA9" s="472"/>
      <c r="AB9" s="472"/>
      <c r="AC9" s="473"/>
      <c r="AD9" s="473"/>
      <c r="AE9" s="473"/>
      <c r="AF9" s="474"/>
      <c r="AG9" s="457"/>
      <c r="AH9" s="473"/>
      <c r="AI9" s="473"/>
      <c r="AJ9" s="473"/>
      <c r="AK9" s="473"/>
      <c r="AL9" s="473"/>
      <c r="AM9" s="7"/>
      <c r="AN9" s="7"/>
      <c r="AO9" s="7"/>
      <c r="AP9" s="7"/>
      <c r="AQ9" s="7"/>
    </row>
    <row r="10" spans="1:48" s="14" customFormat="1" ht="6" customHeight="1" x14ac:dyDescent="0.4">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36" customHeight="1" x14ac:dyDescent="0.25">
      <c r="B11" s="1991" t="s">
        <v>328</v>
      </c>
      <c r="C11" s="1991"/>
      <c r="D11" s="1991"/>
      <c r="E11" s="1991"/>
      <c r="F11" s="1991"/>
      <c r="G11" s="1991"/>
      <c r="H11" s="20"/>
      <c r="I11" s="1969" t="s">
        <v>329</v>
      </c>
      <c r="J11" s="1969"/>
      <c r="K11" s="1969"/>
      <c r="L11" s="1969"/>
      <c r="M11" s="1969"/>
      <c r="N11" s="500"/>
      <c r="O11" s="500"/>
      <c r="P11" s="500"/>
      <c r="Q11" s="500"/>
      <c r="R11" s="500"/>
      <c r="S11" s="21" t="s">
        <v>330</v>
      </c>
      <c r="T11" s="22" t="s">
        <v>1126</v>
      </c>
      <c r="U11" s="82"/>
      <c r="V11" s="1969" t="s">
        <v>332</v>
      </c>
      <c r="W11" s="1969"/>
      <c r="X11" s="1969"/>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813" t="s">
        <v>1116</v>
      </c>
      <c r="AN11" s="941" t="s">
        <v>2312</v>
      </c>
      <c r="AO11" s="941" t="s">
        <v>1218</v>
      </c>
      <c r="AP11" s="1895" t="s">
        <v>2382</v>
      </c>
      <c r="AQ11" s="813"/>
      <c r="AR11" s="1996" t="s">
        <v>343</v>
      </c>
      <c r="AS11" s="1996"/>
      <c r="AT11" s="1996"/>
      <c r="AU11" s="1996"/>
      <c r="AV11" s="31"/>
    </row>
    <row r="12" spans="1:48" s="23" customFormat="1" ht="12" x14ac:dyDescent="0.25">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t="s">
        <v>2342</v>
      </c>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2227</v>
      </c>
      <c r="AM12" s="31"/>
    </row>
    <row r="13" spans="1:48" s="14" customFormat="1" ht="6" customHeight="1" thickBot="1" x14ac:dyDescent="0.45">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8" thickBot="1" x14ac:dyDescent="0.45">
      <c r="D14" s="452"/>
      <c r="E14" s="452"/>
      <c r="F14" s="452"/>
      <c r="G14" s="453"/>
      <c r="H14" s="3"/>
      <c r="I14" s="443"/>
      <c r="J14" s="376"/>
      <c r="L14" s="376"/>
      <c r="R14" s="376"/>
      <c r="T14" s="376"/>
      <c r="U14" s="3"/>
      <c r="W14" s="6"/>
      <c r="X14" s="6"/>
      <c r="AA14" s="3"/>
      <c r="AB14" s="5"/>
      <c r="AE14" s="4"/>
      <c r="AF14" s="4"/>
      <c r="AG14" s="4"/>
      <c r="AK14" s="611" t="s">
        <v>358</v>
      </c>
      <c r="AL14" s="815">
        <f>AL15+AL162+AL248+AL442+AL635+AL641+AL681</f>
        <v>534.05387219430406</v>
      </c>
    </row>
    <row r="15" spans="1:48" ht="15" customHeight="1" thickBot="1" x14ac:dyDescent="0.45">
      <c r="B15" s="612" t="s">
        <v>1219</v>
      </c>
      <c r="C15" s="613"/>
      <c r="D15" s="614"/>
      <c r="E15" s="614"/>
      <c r="F15" s="614"/>
      <c r="G15" s="614"/>
      <c r="H15" s="615"/>
      <c r="I15" s="615"/>
      <c r="J15" s="615"/>
      <c r="K15" s="615"/>
      <c r="L15" s="615"/>
      <c r="M15" s="616"/>
      <c r="N15" s="616"/>
      <c r="O15" s="616"/>
      <c r="P15" s="616"/>
      <c r="Q15" s="616"/>
      <c r="R15" s="615"/>
      <c r="S15" s="616"/>
      <c r="T15" s="615"/>
      <c r="U15" s="615"/>
      <c r="V15" s="614"/>
      <c r="W15" s="614"/>
      <c r="X15" s="614"/>
      <c r="Y15" s="617"/>
      <c r="Z15" s="617"/>
      <c r="AA15" s="615"/>
      <c r="AB15" s="618"/>
      <c r="AC15" s="615"/>
      <c r="AD15" s="616"/>
      <c r="AE15" s="615"/>
      <c r="AF15" s="615"/>
      <c r="AG15" s="615"/>
      <c r="AH15" s="619"/>
      <c r="AI15" s="619"/>
      <c r="AJ15" s="619"/>
      <c r="AK15" s="620" t="s">
        <v>2228</v>
      </c>
      <c r="AL15" s="621">
        <f>SUBTOTAL(109,AL16:AL161)</f>
        <v>174.27568105416671</v>
      </c>
      <c r="AM15" s="917" t="s">
        <v>81</v>
      </c>
      <c r="AN15" s="917" t="s">
        <v>81</v>
      </c>
      <c r="AO15" s="917" t="s">
        <v>81</v>
      </c>
      <c r="AP15" s="917"/>
      <c r="AQ15" s="917"/>
    </row>
    <row r="16" spans="1:48" ht="15" customHeight="1" thickBot="1" x14ac:dyDescent="0.45">
      <c r="B16" s="173" t="s">
        <v>361</v>
      </c>
      <c r="C16" s="173"/>
      <c r="D16" s="116"/>
      <c r="E16" s="116"/>
      <c r="F16" s="174"/>
      <c r="G16" s="173"/>
      <c r="H16" s="175"/>
      <c r="I16" s="116"/>
      <c r="J16" s="116"/>
      <c r="K16" s="116"/>
      <c r="L16" s="116"/>
      <c r="M16" s="177"/>
      <c r="N16" s="177"/>
      <c r="O16" s="177"/>
      <c r="P16" s="177"/>
      <c r="Q16" s="177"/>
      <c r="R16" s="116"/>
      <c r="S16" s="177"/>
      <c r="T16" s="116"/>
      <c r="U16" s="175"/>
      <c r="V16" s="173"/>
      <c r="W16" s="173"/>
      <c r="X16" s="173"/>
      <c r="Y16" s="116"/>
      <c r="Z16" s="116"/>
      <c r="AA16" s="175"/>
      <c r="AB16" s="116"/>
      <c r="AC16" s="116"/>
      <c r="AD16" s="177"/>
      <c r="AE16" s="116"/>
      <c r="AF16" s="179"/>
      <c r="AG16" s="177"/>
      <c r="AH16" s="185"/>
      <c r="AI16" s="185"/>
      <c r="AJ16" s="185"/>
      <c r="AK16" s="185"/>
      <c r="AL16" s="180"/>
      <c r="AM16" s="136" t="s">
        <v>81</v>
      </c>
      <c r="AN16" s="136" t="s">
        <v>81</v>
      </c>
      <c r="AO16" s="136" t="s">
        <v>81</v>
      </c>
      <c r="AP16" s="136" t="s">
        <v>81</v>
      </c>
      <c r="AQ16" s="136"/>
      <c r="AR16" s="139"/>
      <c r="AS16" s="139"/>
      <c r="AT16" s="139"/>
      <c r="AU16" s="139"/>
    </row>
    <row r="17" spans="1:47" ht="15" customHeight="1" x14ac:dyDescent="0.4">
      <c r="A17" s="3" t="s">
        <v>362</v>
      </c>
      <c r="B17" s="173"/>
      <c r="C17" s="173" t="s">
        <v>363</v>
      </c>
      <c r="D17" s="116"/>
      <c r="E17" s="174" t="s">
        <v>364</v>
      </c>
      <c r="F17" s="116"/>
      <c r="G17" s="173"/>
      <c r="H17" s="175"/>
      <c r="I17" s="116" t="s">
        <v>365</v>
      </c>
      <c r="J17" s="116"/>
      <c r="K17" s="116"/>
      <c r="L17" s="116" t="s">
        <v>348</v>
      </c>
      <c r="M17" s="177">
        <f>1.375*2</f>
        <v>2.75</v>
      </c>
      <c r="N17" s="177" t="s">
        <v>348</v>
      </c>
      <c r="O17" s="177">
        <f>0.25</f>
        <v>0.25</v>
      </c>
      <c r="P17" s="177"/>
      <c r="Q17" s="177"/>
      <c r="R17" s="116" t="s">
        <v>352</v>
      </c>
      <c r="S17" s="177">
        <f>SL2Height+M17+O17</f>
        <v>50.5</v>
      </c>
      <c r="T17" s="116" t="s">
        <v>366</v>
      </c>
      <c r="U17" s="175"/>
      <c r="V17" s="173"/>
      <c r="W17" s="173"/>
      <c r="X17" s="173"/>
      <c r="Y17" s="116"/>
      <c r="Z17" s="116"/>
      <c r="AA17" s="175"/>
      <c r="AB17" s="116">
        <v>45</v>
      </c>
      <c r="AC17" s="116">
        <v>2</v>
      </c>
      <c r="AD17" s="177">
        <f>AC17*S17/12</f>
        <v>8.4166666666666661</v>
      </c>
      <c r="AE17" s="116" t="s">
        <v>367</v>
      </c>
      <c r="AF17" s="179">
        <v>1.212</v>
      </c>
      <c r="AG17" s="177">
        <f>AF17*AtolbperftSL2</f>
        <v>0.76658999999999988</v>
      </c>
      <c r="AH17" s="185"/>
      <c r="AI17" s="185"/>
      <c r="AJ17" s="185"/>
      <c r="AK17" s="185"/>
      <c r="AL17" s="180"/>
      <c r="AM17" s="39" t="s">
        <v>81</v>
      </c>
      <c r="AN17" s="39" t="s">
        <v>81</v>
      </c>
      <c r="AO17" s="39" t="s">
        <v>81</v>
      </c>
      <c r="AP17" s="39" t="s">
        <v>81</v>
      </c>
      <c r="AQ17" s="39"/>
    </row>
    <row r="18" spans="1:47" ht="15" customHeight="1" x14ac:dyDescent="0.4">
      <c r="B18" s="36"/>
      <c r="C18" s="36"/>
      <c r="D18" s="155"/>
      <c r="E18" s="47" t="s">
        <v>393</v>
      </c>
      <c r="F18" s="155"/>
      <c r="G18" s="7"/>
      <c r="H18" s="20"/>
      <c r="I18" s="3" t="s">
        <v>365</v>
      </c>
      <c r="L18" s="3" t="s">
        <v>348</v>
      </c>
      <c r="M18" s="5">
        <v>0</v>
      </c>
      <c r="N18" s="5" t="s">
        <v>348</v>
      </c>
      <c r="O18" s="5">
        <f>0.25</f>
        <v>0.25</v>
      </c>
      <c r="P18" s="24"/>
      <c r="Q18" s="24"/>
      <c r="R18" s="3" t="s">
        <v>352</v>
      </c>
      <c r="S18" s="5">
        <f>SL2Height+M18+O18</f>
        <v>47.75</v>
      </c>
      <c r="T18" s="3" t="s">
        <v>366</v>
      </c>
      <c r="U18" s="20"/>
      <c r="V18" s="38" t="s">
        <v>369</v>
      </c>
      <c r="W18" s="3" t="s">
        <v>370</v>
      </c>
      <c r="X18" s="38" t="s">
        <v>369</v>
      </c>
      <c r="Y18" s="1443">
        <v>200153003</v>
      </c>
      <c r="Z18" s="1443"/>
      <c r="AA18" s="20"/>
      <c r="AE18" s="3"/>
      <c r="AF18" s="38"/>
      <c r="AH18" s="51">
        <v>0.60570000000000002</v>
      </c>
      <c r="AI18" s="39"/>
      <c r="AJ18" s="39"/>
      <c r="AK18" s="39"/>
      <c r="AL18" s="39">
        <f>AD$17*AH18+SUM(AI18:AK18)</f>
        <v>5.0979749999999999</v>
      </c>
      <c r="AM18" s="3" t="s">
        <v>81</v>
      </c>
      <c r="AN18" s="3" t="s">
        <v>81</v>
      </c>
      <c r="AO18" s="3" t="s">
        <v>371</v>
      </c>
      <c r="AP18" s="3" t="s">
        <v>92</v>
      </c>
      <c r="AR18" s="139"/>
      <c r="AS18" s="139"/>
      <c r="AT18" s="139"/>
      <c r="AU18" s="139"/>
    </row>
    <row r="19" spans="1:47" ht="15" customHeight="1" x14ac:dyDescent="0.4">
      <c r="B19" s="36"/>
      <c r="C19" s="36"/>
      <c r="D19" s="155"/>
      <c r="E19" s="155"/>
      <c r="F19" s="155"/>
      <c r="G19" s="7"/>
      <c r="H19" s="20"/>
      <c r="P19" s="24"/>
      <c r="Q19" s="24"/>
      <c r="U19" s="20"/>
      <c r="V19" s="38" t="s">
        <v>369</v>
      </c>
      <c r="W19" s="3" t="s">
        <v>372</v>
      </c>
      <c r="X19" s="38" t="s">
        <v>369</v>
      </c>
      <c r="Y19" s="1443">
        <v>200153021</v>
      </c>
      <c r="Z19" s="1443"/>
      <c r="AA19" s="20"/>
      <c r="AE19" s="3"/>
      <c r="AF19" s="3"/>
      <c r="AH19" s="51">
        <v>0.65820000000000001</v>
      </c>
      <c r="AI19" s="39"/>
      <c r="AJ19" s="39"/>
      <c r="AK19" s="39"/>
      <c r="AL19" s="39">
        <f t="shared" ref="AL19:AL26" si="0">AD$17*AH19+SUM(AI19:AK19)</f>
        <v>5.5398499999999995</v>
      </c>
      <c r="AM19" s="3" t="s">
        <v>371</v>
      </c>
      <c r="AN19" s="3" t="s">
        <v>371</v>
      </c>
      <c r="AO19" s="3" t="s">
        <v>371</v>
      </c>
      <c r="AP19" s="3" t="s">
        <v>92</v>
      </c>
      <c r="AR19" s="139"/>
      <c r="AS19" s="139"/>
      <c r="AT19" s="139"/>
      <c r="AU19" s="139"/>
    </row>
    <row r="20" spans="1:47" ht="15.75" customHeight="1" x14ac:dyDescent="0.4">
      <c r="B20" s="3"/>
      <c r="C20" s="36"/>
      <c r="D20" s="155"/>
      <c r="E20" s="155"/>
      <c r="F20" s="155"/>
      <c r="G20" s="7"/>
      <c r="H20" s="20"/>
      <c r="P20" s="24"/>
      <c r="Q20" s="24"/>
      <c r="U20" s="20"/>
      <c r="V20" s="38" t="s">
        <v>369</v>
      </c>
      <c r="W20" s="3" t="s">
        <v>373</v>
      </c>
      <c r="X20" s="38" t="s">
        <v>369</v>
      </c>
      <c r="Y20" s="1443">
        <v>200153033</v>
      </c>
      <c r="Z20" s="1443"/>
      <c r="AA20" s="20"/>
      <c r="AE20" s="3"/>
      <c r="AF20" s="3"/>
      <c r="AH20" s="51">
        <v>0.73070000000000002</v>
      </c>
      <c r="AI20" s="39"/>
      <c r="AJ20" s="39"/>
      <c r="AK20" s="39"/>
      <c r="AL20" s="39">
        <f t="shared" si="0"/>
        <v>6.150058333333333</v>
      </c>
      <c r="AM20" s="3" t="s">
        <v>371</v>
      </c>
      <c r="AN20" s="3" t="s">
        <v>371</v>
      </c>
      <c r="AO20" s="3" t="s">
        <v>371</v>
      </c>
      <c r="AP20" s="3" t="s">
        <v>92</v>
      </c>
      <c r="AR20" s="139"/>
      <c r="AS20" s="139"/>
      <c r="AT20" s="139"/>
      <c r="AU20" s="139"/>
    </row>
    <row r="21" spans="1:47" ht="15.75" customHeight="1" x14ac:dyDescent="0.4">
      <c r="B21" s="3"/>
      <c r="C21" s="36"/>
      <c r="D21" s="155"/>
      <c r="E21" s="155"/>
      <c r="F21" s="155"/>
      <c r="G21" s="7"/>
      <c r="H21" s="20"/>
      <c r="P21" s="24"/>
      <c r="Q21" s="24"/>
      <c r="U21" s="20"/>
      <c r="V21" s="3" t="s">
        <v>2363</v>
      </c>
      <c r="W21" s="3" t="s">
        <v>370</v>
      </c>
      <c r="X21" s="38" t="s">
        <v>369</v>
      </c>
      <c r="Y21" s="1443">
        <v>200153127</v>
      </c>
      <c r="Z21" s="1443"/>
      <c r="AA21" s="20"/>
      <c r="AE21" s="3"/>
      <c r="AF21" s="3"/>
      <c r="AH21" s="51">
        <v>0.94010000000000005</v>
      </c>
      <c r="AI21" s="39"/>
      <c r="AJ21" s="39"/>
      <c r="AK21" s="39"/>
      <c r="AL21" s="39">
        <f t="shared" si="0"/>
        <v>7.9125083333333333</v>
      </c>
      <c r="AM21" s="3" t="s">
        <v>371</v>
      </c>
      <c r="AN21" s="3" t="s">
        <v>371</v>
      </c>
      <c r="AO21" s="3" t="s">
        <v>81</v>
      </c>
      <c r="AP21" s="3" t="s">
        <v>92</v>
      </c>
      <c r="AR21" s="139"/>
      <c r="AS21" s="139"/>
      <c r="AT21" s="139"/>
      <c r="AU21" s="139"/>
    </row>
    <row r="22" spans="1:47" ht="15.75" customHeight="1" x14ac:dyDescent="0.4">
      <c r="B22" s="3"/>
      <c r="C22" s="36"/>
      <c r="D22" s="155"/>
      <c r="E22" s="155"/>
      <c r="F22" s="155"/>
      <c r="G22" s="7"/>
      <c r="H22" s="20"/>
      <c r="P22" s="24"/>
      <c r="Q22" s="24"/>
      <c r="U22" s="20"/>
      <c r="V22" s="572" t="s">
        <v>2366</v>
      </c>
      <c r="W22" s="572" t="s">
        <v>370</v>
      </c>
      <c r="X22" s="571" t="s">
        <v>369</v>
      </c>
      <c r="Y22" s="1447">
        <v>200153128</v>
      </c>
      <c r="Z22" s="1443"/>
      <c r="AA22" s="20"/>
      <c r="AE22" s="3"/>
      <c r="AF22" s="3"/>
      <c r="AH22" s="51">
        <v>0.77329999999999999</v>
      </c>
      <c r="AI22" s="39"/>
      <c r="AJ22" s="39"/>
      <c r="AK22" s="39"/>
      <c r="AL22" s="39">
        <f t="shared" si="0"/>
        <v>6.5086083333333331</v>
      </c>
      <c r="AM22" s="3" t="s">
        <v>371</v>
      </c>
      <c r="AN22" s="3" t="s">
        <v>371</v>
      </c>
      <c r="AO22" s="3" t="s">
        <v>371</v>
      </c>
      <c r="AP22" s="3" t="s">
        <v>92</v>
      </c>
      <c r="AR22" s="139"/>
      <c r="AS22" s="139"/>
      <c r="AT22" s="139"/>
      <c r="AU22" s="139"/>
    </row>
    <row r="23" spans="1:47" ht="15.75" customHeight="1" x14ac:dyDescent="0.4">
      <c r="B23" s="3"/>
      <c r="C23" s="36"/>
      <c r="D23" s="155"/>
      <c r="E23" s="155"/>
      <c r="F23" s="155"/>
      <c r="G23" s="7"/>
      <c r="H23" s="20"/>
      <c r="P23" s="24"/>
      <c r="Q23" s="24"/>
      <c r="U23" s="20"/>
      <c r="V23" s="3" t="s">
        <v>2364</v>
      </c>
      <c r="W23" s="3" t="s">
        <v>370</v>
      </c>
      <c r="X23" s="38" t="s">
        <v>369</v>
      </c>
      <c r="Y23" s="1443">
        <v>200153129</v>
      </c>
      <c r="Z23" s="1443"/>
      <c r="AA23" s="20"/>
      <c r="AE23" s="3"/>
      <c r="AF23" s="3"/>
      <c r="AH23" s="51">
        <v>0.77329999999999999</v>
      </c>
      <c r="AI23" s="39"/>
      <c r="AJ23" s="39"/>
      <c r="AK23" s="39"/>
      <c r="AL23" s="39">
        <f>AD$17*AH23+SUM(AI23:AK23)</f>
        <v>6.5086083333333331</v>
      </c>
      <c r="AM23" s="3" t="s">
        <v>371</v>
      </c>
      <c r="AN23" s="3" t="s">
        <v>371</v>
      </c>
      <c r="AO23" s="3" t="s">
        <v>371</v>
      </c>
      <c r="AP23" s="3" t="s">
        <v>92</v>
      </c>
      <c r="AR23" s="139"/>
      <c r="AS23" s="139"/>
      <c r="AT23" s="139"/>
      <c r="AU23" s="139"/>
    </row>
    <row r="24" spans="1:47" ht="15.75" customHeight="1" x14ac:dyDescent="0.4">
      <c r="B24" s="3"/>
      <c r="C24" s="36"/>
      <c r="D24" s="155"/>
      <c r="E24" s="155"/>
      <c r="F24" s="155"/>
      <c r="G24" s="7"/>
      <c r="H24" s="20"/>
      <c r="P24" s="24"/>
      <c r="Q24" s="24"/>
      <c r="U24" s="20"/>
      <c r="V24" s="3" t="s">
        <v>2365</v>
      </c>
      <c r="W24" s="3" t="s">
        <v>370</v>
      </c>
      <c r="X24" s="38" t="s">
        <v>369</v>
      </c>
      <c r="Y24" s="1443">
        <v>200153180</v>
      </c>
      <c r="Z24" s="1443"/>
      <c r="AA24" s="20"/>
      <c r="AE24" s="3"/>
      <c r="AF24" s="3"/>
      <c r="AH24" s="844">
        <v>0</v>
      </c>
      <c r="AI24" s="39"/>
      <c r="AJ24" s="39"/>
      <c r="AK24" s="39"/>
      <c r="AL24" s="39">
        <f t="shared" ref="AL24" si="1">AD$17*AH24+SUM(AI24:AK24)</f>
        <v>0</v>
      </c>
      <c r="AM24" s="3" t="s">
        <v>371</v>
      </c>
      <c r="AN24" s="3" t="s">
        <v>371</v>
      </c>
      <c r="AO24" s="3" t="s">
        <v>371</v>
      </c>
      <c r="AP24" s="3" t="s">
        <v>92</v>
      </c>
      <c r="AR24" s="139"/>
      <c r="AS24" s="139"/>
      <c r="AT24" s="139"/>
      <c r="AU24" s="139"/>
    </row>
    <row r="25" spans="1:47" ht="15.75" customHeight="1" x14ac:dyDescent="0.4">
      <c r="B25" s="3"/>
      <c r="C25" s="36"/>
      <c r="D25" s="155"/>
      <c r="E25" s="155"/>
      <c r="F25" s="155"/>
      <c r="G25" s="7"/>
      <c r="H25" s="20"/>
      <c r="P25" s="24"/>
      <c r="Q25" s="24"/>
      <c r="U25" s="20"/>
      <c r="V25" s="279" t="s">
        <v>2367</v>
      </c>
      <c r="W25" s="112" t="s">
        <v>370</v>
      </c>
      <c r="X25" s="279" t="s">
        <v>369</v>
      </c>
      <c r="Y25" s="1871">
        <v>200153152</v>
      </c>
      <c r="Z25" s="1443"/>
      <c r="AA25" s="20"/>
      <c r="AE25" s="3"/>
      <c r="AF25" s="3"/>
      <c r="AH25" s="51">
        <v>0</v>
      </c>
      <c r="AI25" s="39"/>
      <c r="AJ25" s="39"/>
      <c r="AK25" s="39"/>
      <c r="AL25" s="39">
        <f t="shared" si="0"/>
        <v>0</v>
      </c>
      <c r="AM25" s="3" t="s">
        <v>371</v>
      </c>
      <c r="AN25" s="3" t="s">
        <v>371</v>
      </c>
      <c r="AO25" s="3" t="s">
        <v>371</v>
      </c>
      <c r="AP25" s="3" t="s">
        <v>92</v>
      </c>
      <c r="AR25" s="139"/>
      <c r="AS25" s="139"/>
      <c r="AT25" s="139"/>
      <c r="AU25" s="139"/>
    </row>
    <row r="26" spans="1:47" ht="15.75" customHeight="1" x14ac:dyDescent="0.4">
      <c r="B26" s="3"/>
      <c r="C26" s="36"/>
      <c r="D26" s="155"/>
      <c r="E26" s="623"/>
      <c r="F26" s="623"/>
      <c r="G26" s="221"/>
      <c r="H26" s="624"/>
      <c r="I26" s="577"/>
      <c r="J26" s="577"/>
      <c r="K26" s="577"/>
      <c r="L26" s="577"/>
      <c r="M26" s="575"/>
      <c r="N26" s="575"/>
      <c r="O26" s="575"/>
      <c r="P26" s="625"/>
      <c r="Q26" s="625"/>
      <c r="R26" s="577"/>
      <c r="S26" s="575"/>
      <c r="T26" s="577"/>
      <c r="U26" s="624"/>
      <c r="V26" s="579" t="s">
        <v>2365</v>
      </c>
      <c r="W26" s="577" t="s">
        <v>370</v>
      </c>
      <c r="X26" s="579" t="s">
        <v>2365</v>
      </c>
      <c r="Y26" s="1446">
        <v>200153181</v>
      </c>
      <c r="Z26" s="1446"/>
      <c r="AA26" s="624"/>
      <c r="AB26" s="577"/>
      <c r="AC26" s="577"/>
      <c r="AD26" s="575"/>
      <c r="AE26" s="577"/>
      <c r="AF26" s="577"/>
      <c r="AG26" s="575"/>
      <c r="AH26" s="626">
        <v>0</v>
      </c>
      <c r="AI26" s="581"/>
      <c r="AJ26" s="581"/>
      <c r="AK26" s="581"/>
      <c r="AL26" s="581">
        <f t="shared" si="0"/>
        <v>0</v>
      </c>
      <c r="AM26" s="577" t="s">
        <v>92</v>
      </c>
      <c r="AN26" s="577" t="s">
        <v>92</v>
      </c>
      <c r="AO26" s="577" t="s">
        <v>92</v>
      </c>
      <c r="AP26" s="577" t="s">
        <v>81</v>
      </c>
      <c r="AQ26" s="577"/>
      <c r="AR26" s="139"/>
      <c r="AS26" s="139"/>
      <c r="AT26" s="139"/>
      <c r="AU26" s="139"/>
    </row>
    <row r="27" spans="1:47" ht="15" customHeight="1" x14ac:dyDescent="0.4">
      <c r="C27" s="36"/>
      <c r="D27" s="36"/>
      <c r="E27" s="447" t="s">
        <v>1220</v>
      </c>
      <c r="F27" s="155"/>
      <c r="G27" s="7"/>
      <c r="H27" s="20"/>
      <c r="I27" s="3" t="s">
        <v>365</v>
      </c>
      <c r="L27" s="3" t="s">
        <v>348</v>
      </c>
      <c r="M27" s="5">
        <v>0</v>
      </c>
      <c r="R27" s="3" t="s">
        <v>352</v>
      </c>
      <c r="S27" s="5">
        <f>SL2Height+M27+O27</f>
        <v>47.5</v>
      </c>
      <c r="T27" s="3" t="s">
        <v>366</v>
      </c>
      <c r="U27" s="20"/>
      <c r="V27" s="38" t="s">
        <v>369</v>
      </c>
      <c r="W27" s="3" t="s">
        <v>405</v>
      </c>
      <c r="X27" s="38" t="s">
        <v>369</v>
      </c>
      <c r="Y27" s="1443">
        <v>600042010</v>
      </c>
      <c r="Z27" s="1443"/>
      <c r="AA27" s="20"/>
      <c r="AB27" s="3">
        <v>45</v>
      </c>
      <c r="AC27" s="3">
        <v>1</v>
      </c>
      <c r="AD27" s="5">
        <f>S27*AC27/12</f>
        <v>3.9583333333333335</v>
      </c>
      <c r="AE27" s="3" t="s">
        <v>367</v>
      </c>
      <c r="AF27" s="38" t="s">
        <v>369</v>
      </c>
      <c r="AG27" s="38" t="s">
        <v>369</v>
      </c>
      <c r="AH27" s="51">
        <v>1.9E-2</v>
      </c>
      <c r="AI27" s="39"/>
      <c r="AJ27" s="39"/>
      <c r="AK27" s="39"/>
      <c r="AL27" s="39">
        <f>AD$27*AH27+SUM(AI27:AK27)</f>
        <v>7.5208333333333335E-2</v>
      </c>
      <c r="AM27" s="3" t="s">
        <v>81</v>
      </c>
      <c r="AN27" s="3" t="s">
        <v>81</v>
      </c>
      <c r="AO27" s="3" t="s">
        <v>81</v>
      </c>
      <c r="AP27" s="3" t="s">
        <v>81</v>
      </c>
      <c r="AR27" s="140"/>
      <c r="AS27" s="139"/>
      <c r="AT27" s="139"/>
      <c r="AU27" s="139"/>
    </row>
    <row r="28" spans="1:47" ht="15" customHeight="1" x14ac:dyDescent="0.4">
      <c r="C28" s="36"/>
      <c r="D28" s="36"/>
      <c r="E28" s="447" t="s">
        <v>1221</v>
      </c>
      <c r="F28" s="155"/>
      <c r="G28" s="7"/>
      <c r="H28" s="20"/>
      <c r="I28" s="3" t="s">
        <v>365</v>
      </c>
      <c r="L28" s="3" t="s">
        <v>348</v>
      </c>
      <c r="M28" s="5">
        <v>0</v>
      </c>
      <c r="R28" s="3" t="s">
        <v>352</v>
      </c>
      <c r="S28" s="5">
        <f>SL2Height+M28+O28</f>
        <v>47.5</v>
      </c>
      <c r="T28" s="3" t="s">
        <v>366</v>
      </c>
      <c r="U28" s="20"/>
      <c r="V28" s="38" t="s">
        <v>369</v>
      </c>
      <c r="W28" s="3" t="s">
        <v>405</v>
      </c>
      <c r="X28" s="38" t="s">
        <v>369</v>
      </c>
      <c r="Y28" s="1443">
        <v>600050010</v>
      </c>
      <c r="Z28" s="1443"/>
      <c r="AA28" s="20"/>
      <c r="AB28" s="3">
        <v>45</v>
      </c>
      <c r="AE28" s="3"/>
      <c r="AF28" s="38"/>
      <c r="AG28" s="38"/>
      <c r="AH28" s="844">
        <v>0</v>
      </c>
      <c r="AI28" s="39"/>
      <c r="AJ28" s="39"/>
      <c r="AK28" s="39"/>
      <c r="AM28" s="3" t="s">
        <v>371</v>
      </c>
      <c r="AN28" s="3" t="s">
        <v>371</v>
      </c>
      <c r="AO28" s="3" t="s">
        <v>371</v>
      </c>
      <c r="AP28" s="3" t="s">
        <v>371</v>
      </c>
      <c r="AR28" s="140"/>
      <c r="AS28" s="139"/>
      <c r="AT28" s="139"/>
      <c r="AU28" s="139"/>
    </row>
    <row r="29" spans="1:47" ht="15" customHeight="1" thickBot="1" x14ac:dyDescent="0.25">
      <c r="C29" s="1849"/>
      <c r="D29" s="1849"/>
      <c r="E29" s="1850" t="s">
        <v>2352</v>
      </c>
      <c r="F29" s="1851"/>
      <c r="G29" s="1852"/>
      <c r="H29" s="1853"/>
      <c r="I29" s="1854" t="s">
        <v>365</v>
      </c>
      <c r="J29" s="1854"/>
      <c r="K29" s="1854"/>
      <c r="L29" s="1854"/>
      <c r="M29" s="1855"/>
      <c r="N29" s="1855"/>
      <c r="O29" s="1855"/>
      <c r="P29" s="1855"/>
      <c r="Q29" s="1855"/>
      <c r="R29" s="1854" t="s">
        <v>352</v>
      </c>
      <c r="S29" s="1855">
        <f>SL2Height</f>
        <v>47.5</v>
      </c>
      <c r="T29" s="1854" t="s">
        <v>366</v>
      </c>
      <c r="U29" s="1853"/>
      <c r="V29" s="1856" t="s">
        <v>369</v>
      </c>
      <c r="W29" s="1854" t="s">
        <v>370</v>
      </c>
      <c r="X29" s="1856" t="s">
        <v>369</v>
      </c>
      <c r="Y29" s="1857" t="s">
        <v>2355</v>
      </c>
      <c r="Z29" s="1858"/>
      <c r="AA29" s="1853"/>
      <c r="AB29" s="1854"/>
      <c r="AC29" s="1854">
        <v>2</v>
      </c>
      <c r="AD29" s="1855">
        <f>AC29*S29/12</f>
        <v>7.916666666666667</v>
      </c>
      <c r="AE29" s="1854" t="s">
        <v>367</v>
      </c>
      <c r="AF29" s="1856"/>
      <c r="AG29" s="1856"/>
      <c r="AH29" s="1859">
        <f>0.018669</f>
        <v>1.8669000000000002E-2</v>
      </c>
      <c r="AI29" s="1860"/>
      <c r="AJ29" s="1860"/>
      <c r="AK29" s="1860"/>
      <c r="AL29" s="1860">
        <f>AH29*AD29</f>
        <v>0.14779625000000002</v>
      </c>
      <c r="AM29" s="1854" t="s">
        <v>371</v>
      </c>
      <c r="AN29" s="1854" t="s">
        <v>371</v>
      </c>
      <c r="AO29" s="1854" t="s">
        <v>371</v>
      </c>
      <c r="AP29" s="1854" t="s">
        <v>81</v>
      </c>
      <c r="AQ29" s="1854"/>
      <c r="AR29" s="140"/>
      <c r="AS29" s="139"/>
      <c r="AT29" s="139"/>
      <c r="AU29" s="139"/>
    </row>
    <row r="30" spans="1:47" ht="15" customHeight="1" x14ac:dyDescent="0.4">
      <c r="A30" s="3" t="s">
        <v>376</v>
      </c>
      <c r="B30" s="3"/>
      <c r="C30" s="7" t="s">
        <v>377</v>
      </c>
      <c r="D30" s="3"/>
      <c r="E30" s="3"/>
      <c r="F30" s="47" t="s">
        <v>364</v>
      </c>
      <c r="G30" s="7"/>
      <c r="H30" s="20"/>
      <c r="I30" s="3" t="s">
        <v>365</v>
      </c>
      <c r="L30" s="3" t="s">
        <v>348</v>
      </c>
      <c r="M30" s="5">
        <v>5.3129999999999997</v>
      </c>
      <c r="N30" s="5" t="s">
        <v>348</v>
      </c>
      <c r="O30" s="5">
        <v>0.125</v>
      </c>
      <c r="P30" s="24"/>
      <c r="Q30" s="24"/>
      <c r="R30" s="3" t="s">
        <v>352</v>
      </c>
      <c r="S30" s="5">
        <f>SL2Height+M30+O30</f>
        <v>52.938000000000002</v>
      </c>
      <c r="T30" s="3" t="s">
        <v>366</v>
      </c>
      <c r="U30" s="20"/>
      <c r="V30" s="7"/>
      <c r="W30" s="7"/>
      <c r="X30" s="7"/>
      <c r="Y30" s="1443"/>
      <c r="Z30" s="1443"/>
      <c r="AA30" s="20"/>
      <c r="AB30" s="3">
        <v>45</v>
      </c>
      <c r="AC30" s="3">
        <v>2</v>
      </c>
      <c r="AD30" s="5">
        <f>AC30*S30/12</f>
        <v>8.8230000000000004</v>
      </c>
      <c r="AE30" s="3" t="s">
        <v>367</v>
      </c>
      <c r="AF30" s="38">
        <v>1.0449999999999999</v>
      </c>
      <c r="AG30" s="5">
        <f>AF30*AtolbperftSL2</f>
        <v>0.6609624999999999</v>
      </c>
      <c r="AH30" s="39"/>
      <c r="AI30" s="39"/>
      <c r="AJ30" s="39"/>
      <c r="AK30" s="39"/>
      <c r="AM30" s="3" t="s">
        <v>371</v>
      </c>
      <c r="AN30" s="3" t="s">
        <v>371</v>
      </c>
      <c r="AO30" s="3" t="s">
        <v>371</v>
      </c>
      <c r="AP30" s="3" t="s">
        <v>371</v>
      </c>
      <c r="AR30" s="139"/>
      <c r="AS30" s="139"/>
      <c r="AT30" s="139"/>
      <c r="AU30" s="139"/>
    </row>
    <row r="31" spans="1:47" ht="15" customHeight="1" x14ac:dyDescent="0.4">
      <c r="A31" s="3" t="s">
        <v>378</v>
      </c>
      <c r="B31" s="3"/>
      <c r="C31" s="36"/>
      <c r="D31" s="7"/>
      <c r="E31" s="3"/>
      <c r="F31" s="47" t="s">
        <v>379</v>
      </c>
      <c r="G31" s="7"/>
      <c r="H31" s="20"/>
      <c r="I31" s="3" t="s">
        <v>365</v>
      </c>
      <c r="L31" s="3" t="s">
        <v>348</v>
      </c>
      <c r="M31" s="5">
        <v>1.5629999999999999</v>
      </c>
      <c r="N31" s="5" t="s">
        <v>348</v>
      </c>
      <c r="O31" s="5">
        <v>0.125</v>
      </c>
      <c r="R31" s="3" t="s">
        <v>352</v>
      </c>
      <c r="S31" s="5">
        <f>SL2Height+M31+O31</f>
        <v>49.188000000000002</v>
      </c>
      <c r="T31" s="3" t="s">
        <v>366</v>
      </c>
      <c r="U31" s="20"/>
      <c r="V31" s="38" t="s">
        <v>369</v>
      </c>
      <c r="W31" s="3" t="s">
        <v>370</v>
      </c>
      <c r="X31" s="38" t="s">
        <v>369</v>
      </c>
      <c r="Y31" s="1443">
        <v>200175003</v>
      </c>
      <c r="Z31" s="1443"/>
      <c r="AA31" s="20"/>
      <c r="AE31" s="3"/>
      <c r="AF31" s="38"/>
      <c r="AH31" s="51">
        <f>'Single Hung'!AI41</f>
        <v>0.62360000000000004</v>
      </c>
      <c r="AI31" s="39"/>
      <c r="AJ31" s="39"/>
      <c r="AK31" s="39"/>
      <c r="AL31" s="39">
        <f>AD$30*AH31+SUM(AI31:AK31)</f>
        <v>5.5020228000000007</v>
      </c>
      <c r="AM31" s="3" t="s">
        <v>371</v>
      </c>
      <c r="AN31" s="3" t="s">
        <v>371</v>
      </c>
      <c r="AO31" s="3" t="s">
        <v>371</v>
      </c>
      <c r="AP31" s="3" t="s">
        <v>92</v>
      </c>
      <c r="AR31" s="139"/>
      <c r="AS31" s="139"/>
      <c r="AT31" s="139"/>
      <c r="AU31" s="139"/>
    </row>
    <row r="32" spans="1:47" ht="15" customHeight="1" x14ac:dyDescent="0.4">
      <c r="B32" s="3"/>
      <c r="C32" s="36"/>
      <c r="D32" s="36"/>
      <c r="E32" s="155"/>
      <c r="F32" s="155" t="s">
        <v>380</v>
      </c>
      <c r="G32" s="7"/>
      <c r="H32" s="20"/>
      <c r="I32" s="3" t="s">
        <v>365</v>
      </c>
      <c r="L32" s="3" t="s">
        <v>348</v>
      </c>
      <c r="M32" s="5">
        <f>M31</f>
        <v>1.5629999999999999</v>
      </c>
      <c r="N32" s="5" t="s">
        <v>348</v>
      </c>
      <c r="O32" s="5">
        <v>0</v>
      </c>
      <c r="P32" s="24"/>
      <c r="Q32" s="24"/>
      <c r="R32" s="3" t="s">
        <v>352</v>
      </c>
      <c r="S32" s="5">
        <f>SL2Height+M32+O32</f>
        <v>49.063000000000002</v>
      </c>
      <c r="T32" s="3" t="s">
        <v>366</v>
      </c>
      <c r="U32" s="20"/>
      <c r="V32" s="38" t="s">
        <v>369</v>
      </c>
      <c r="W32" s="3" t="s">
        <v>372</v>
      </c>
      <c r="X32" s="38" t="s">
        <v>369</v>
      </c>
      <c r="Y32" s="1443">
        <v>200175021</v>
      </c>
      <c r="Z32" s="1443"/>
      <c r="AA32" s="20"/>
      <c r="AE32" s="3"/>
      <c r="AF32" s="3"/>
      <c r="AH32" s="51">
        <f>'Single Hung'!AI42</f>
        <v>0.66090000000000004</v>
      </c>
      <c r="AL32" s="39">
        <f t="shared" ref="AL32:AL36" si="2">AD$30*AH32+SUM(AI32:AK32)</f>
        <v>5.8311207000000005</v>
      </c>
      <c r="AM32" s="3" t="s">
        <v>371</v>
      </c>
      <c r="AN32" s="3" t="s">
        <v>371</v>
      </c>
      <c r="AO32" s="3" t="s">
        <v>371</v>
      </c>
      <c r="AP32" s="3" t="s">
        <v>92</v>
      </c>
      <c r="AR32" s="139"/>
      <c r="AS32" s="139"/>
      <c r="AT32" s="139"/>
      <c r="AU32" s="139"/>
    </row>
    <row r="33" spans="2:47" ht="15" customHeight="1" x14ac:dyDescent="0.4">
      <c r="B33" s="3"/>
      <c r="C33" s="36"/>
      <c r="D33" s="36"/>
      <c r="E33" s="155"/>
      <c r="F33" s="155"/>
      <c r="G33" s="7"/>
      <c r="H33" s="20"/>
      <c r="P33" s="24"/>
      <c r="Q33" s="24"/>
      <c r="U33" s="20"/>
      <c r="V33" s="38" t="s">
        <v>369</v>
      </c>
      <c r="W33" s="3" t="s">
        <v>373</v>
      </c>
      <c r="X33" s="38" t="s">
        <v>369</v>
      </c>
      <c r="Y33" s="1443">
        <v>200175033</v>
      </c>
      <c r="Z33" s="1443"/>
      <c r="AA33" s="20"/>
      <c r="AE33" s="3"/>
      <c r="AF33" s="3"/>
      <c r="AH33" s="51">
        <f>'Single Hung'!AI43</f>
        <v>0.71260000000000001</v>
      </c>
      <c r="AI33" s="39"/>
      <c r="AJ33" s="39"/>
      <c r="AK33" s="39"/>
      <c r="AL33" s="39">
        <f t="shared" si="2"/>
        <v>6.2872698000000007</v>
      </c>
      <c r="AM33" s="3" t="s">
        <v>371</v>
      </c>
      <c r="AN33" s="3" t="s">
        <v>371</v>
      </c>
      <c r="AO33" s="3" t="s">
        <v>371</v>
      </c>
      <c r="AP33" s="3" t="s">
        <v>92</v>
      </c>
      <c r="AR33" s="139"/>
      <c r="AS33" s="139"/>
      <c r="AT33" s="139"/>
      <c r="AU33" s="139"/>
    </row>
    <row r="34" spans="2:47" ht="15" customHeight="1" x14ac:dyDescent="0.4">
      <c r="B34" s="3"/>
      <c r="C34" s="36"/>
      <c r="D34" s="36"/>
      <c r="E34" s="155"/>
      <c r="F34" s="155"/>
      <c r="G34" s="7"/>
      <c r="H34" s="20"/>
      <c r="P34" s="24"/>
      <c r="Q34" s="24"/>
      <c r="U34" s="20"/>
      <c r="V34" s="3" t="s">
        <v>2363</v>
      </c>
      <c r="W34" s="3" t="s">
        <v>370</v>
      </c>
      <c r="X34" s="38" t="s">
        <v>369</v>
      </c>
      <c r="Y34" s="1443">
        <v>200175127</v>
      </c>
      <c r="Z34" s="1443"/>
      <c r="AA34" s="20"/>
      <c r="AE34" s="3"/>
      <c r="AF34" s="3"/>
      <c r="AH34" s="51">
        <f>'Single Hung'!AI44</f>
        <v>0.83289999999999997</v>
      </c>
      <c r="AI34" s="39"/>
      <c r="AJ34" s="39"/>
      <c r="AK34" s="39"/>
      <c r="AL34" s="39">
        <f>AD$30*AH34+SUM(AI34:AK34)</f>
        <v>7.3486767000000004</v>
      </c>
      <c r="AM34" s="3" t="s">
        <v>371</v>
      </c>
      <c r="AN34" s="3" t="s">
        <v>371</v>
      </c>
      <c r="AO34" s="3" t="s">
        <v>371</v>
      </c>
      <c r="AP34" s="3" t="s">
        <v>92</v>
      </c>
      <c r="AR34" s="139"/>
      <c r="AS34" s="139"/>
      <c r="AT34" s="139"/>
      <c r="AU34" s="139"/>
    </row>
    <row r="35" spans="2:47" ht="15" customHeight="1" x14ac:dyDescent="0.4">
      <c r="B35" s="3"/>
      <c r="C35" s="36"/>
      <c r="D35" s="36"/>
      <c r="E35" s="155"/>
      <c r="F35" s="155"/>
      <c r="G35" s="7"/>
      <c r="H35" s="20"/>
      <c r="P35" s="24"/>
      <c r="Q35" s="24"/>
      <c r="U35" s="20"/>
      <c r="V35" s="38" t="s">
        <v>2365</v>
      </c>
      <c r="W35" s="3" t="s">
        <v>370</v>
      </c>
      <c r="X35" s="38" t="s">
        <v>369</v>
      </c>
      <c r="Y35" s="1443">
        <v>200175180</v>
      </c>
      <c r="Z35" s="1443"/>
      <c r="AA35" s="20"/>
      <c r="AE35" s="3"/>
      <c r="AF35" s="3"/>
      <c r="AH35" s="844">
        <f>'Single Hung'!AI45</f>
        <v>0.89339999999999997</v>
      </c>
      <c r="AI35" s="39"/>
      <c r="AJ35" s="39"/>
      <c r="AK35" s="39"/>
      <c r="AL35" s="39">
        <f t="shared" ref="AL35" si="3">AD$30*AH35+SUM(AI35:AK35)</f>
        <v>7.8824681999999999</v>
      </c>
      <c r="AM35" s="3" t="s">
        <v>371</v>
      </c>
      <c r="AN35" s="3" t="s">
        <v>371</v>
      </c>
      <c r="AO35" s="3" t="s">
        <v>371</v>
      </c>
      <c r="AP35" s="3" t="s">
        <v>371</v>
      </c>
      <c r="AR35" s="139"/>
      <c r="AS35" s="139"/>
      <c r="AT35" s="139"/>
      <c r="AU35" s="139"/>
    </row>
    <row r="36" spans="2:47" ht="15" customHeight="1" x14ac:dyDescent="0.4">
      <c r="B36" s="3"/>
      <c r="C36" s="36"/>
      <c r="D36" s="622"/>
      <c r="E36" s="623"/>
      <c r="F36" s="623"/>
      <c r="G36" s="221"/>
      <c r="H36" s="624"/>
      <c r="I36" s="577"/>
      <c r="J36" s="577"/>
      <c r="K36" s="577"/>
      <c r="L36" s="577"/>
      <c r="M36" s="575"/>
      <c r="N36" s="575"/>
      <c r="O36" s="575"/>
      <c r="P36" s="625"/>
      <c r="Q36" s="625"/>
      <c r="R36" s="577"/>
      <c r="S36" s="575"/>
      <c r="T36" s="577"/>
      <c r="U36" s="624"/>
      <c r="V36" s="1873" t="s">
        <v>2367</v>
      </c>
      <c r="W36" s="1873" t="s">
        <v>370</v>
      </c>
      <c r="X36" s="1874" t="s">
        <v>369</v>
      </c>
      <c r="Y36" s="1875">
        <v>200175152</v>
      </c>
      <c r="Z36" s="1446"/>
      <c r="AA36" s="624"/>
      <c r="AB36" s="577"/>
      <c r="AC36" s="577"/>
      <c r="AD36" s="575"/>
      <c r="AE36" s="577"/>
      <c r="AF36" s="577"/>
      <c r="AG36" s="575"/>
      <c r="AH36" s="626">
        <v>0</v>
      </c>
      <c r="AI36" s="581"/>
      <c r="AJ36" s="581"/>
      <c r="AK36" s="581"/>
      <c r="AL36" s="581">
        <f t="shared" si="2"/>
        <v>0</v>
      </c>
      <c r="AM36" s="577" t="s">
        <v>371</v>
      </c>
      <c r="AN36" s="577" t="s">
        <v>371</v>
      </c>
      <c r="AO36" s="577" t="s">
        <v>371</v>
      </c>
      <c r="AP36" s="577" t="s">
        <v>92</v>
      </c>
      <c r="AQ36" s="577"/>
      <c r="AR36" s="139"/>
      <c r="AS36" s="139"/>
      <c r="AT36" s="139"/>
      <c r="AU36" s="139"/>
    </row>
    <row r="37" spans="2:47" ht="15" customHeight="1" thickBot="1" x14ac:dyDescent="0.45">
      <c r="B37" s="3"/>
      <c r="C37" s="36"/>
      <c r="D37" s="36" t="s">
        <v>381</v>
      </c>
      <c r="E37" s="155"/>
      <c r="F37" s="925"/>
      <c r="G37" s="7"/>
      <c r="H37" s="20"/>
      <c r="I37" s="3" t="s">
        <v>365</v>
      </c>
      <c r="L37" s="3" t="s">
        <v>348</v>
      </c>
      <c r="M37" s="5">
        <f>M30</f>
        <v>5.3129999999999997</v>
      </c>
      <c r="N37" s="5" t="s">
        <v>348</v>
      </c>
      <c r="O37" s="5">
        <f>O30</f>
        <v>0.125</v>
      </c>
      <c r="P37" s="24"/>
      <c r="Q37" s="24"/>
      <c r="R37" s="3" t="s">
        <v>352</v>
      </c>
      <c r="S37" s="5">
        <f>SL2Height+M37+O37</f>
        <v>52.938000000000002</v>
      </c>
      <c r="T37" s="3" t="s">
        <v>366</v>
      </c>
      <c r="U37" s="20"/>
      <c r="V37" s="38"/>
      <c r="X37" s="38"/>
      <c r="Y37" s="1443">
        <v>610025061</v>
      </c>
      <c r="Z37" s="41">
        <v>251882</v>
      </c>
      <c r="AA37" s="20"/>
      <c r="AC37" s="3">
        <v>2</v>
      </c>
      <c r="AD37" s="5">
        <f>AC37*S37/12</f>
        <v>8.8230000000000004</v>
      </c>
      <c r="AE37" s="3" t="s">
        <v>367</v>
      </c>
      <c r="AF37" s="3"/>
      <c r="AH37" s="937">
        <f>'Single Hung'!AI47</f>
        <v>1.8599999999999998E-2</v>
      </c>
      <c r="AI37" s="947"/>
      <c r="AJ37" s="947"/>
      <c r="AK37" s="947"/>
      <c r="AL37" s="947">
        <f>AD37*AH37+SUM(AI37:AK37)</f>
        <v>0.1641078</v>
      </c>
      <c r="AM37" s="889" t="s">
        <v>371</v>
      </c>
      <c r="AN37" s="889" t="s">
        <v>371</v>
      </c>
      <c r="AO37" s="889" t="s">
        <v>371</v>
      </c>
      <c r="AP37" s="889" t="s">
        <v>371</v>
      </c>
      <c r="AQ37" s="889"/>
      <c r="AR37" s="139"/>
      <c r="AS37" s="139"/>
      <c r="AT37" s="139"/>
      <c r="AU37" s="139"/>
    </row>
    <row r="38" spans="2:47" ht="15" customHeight="1" x14ac:dyDescent="0.4">
      <c r="B38" s="3"/>
      <c r="C38" s="173" t="s">
        <v>382</v>
      </c>
      <c r="D38" s="181"/>
      <c r="E38" s="182"/>
      <c r="G38" s="430" t="s">
        <v>383</v>
      </c>
      <c r="H38" s="175"/>
      <c r="I38" s="116" t="s">
        <v>365</v>
      </c>
      <c r="J38" s="116"/>
      <c r="K38" s="116"/>
      <c r="L38" s="116" t="s">
        <v>348</v>
      </c>
      <c r="M38" s="177">
        <v>3</v>
      </c>
      <c r="N38" s="177" t="s">
        <v>348</v>
      </c>
      <c r="O38" s="177">
        <f>0.25</f>
        <v>0.25</v>
      </c>
      <c r="P38" s="178"/>
      <c r="Q38" s="178"/>
      <c r="R38" s="116" t="s">
        <v>352</v>
      </c>
      <c r="S38" s="177">
        <f>SL2Height+M38+O38</f>
        <v>50.75</v>
      </c>
      <c r="T38" s="116" t="s">
        <v>366</v>
      </c>
      <c r="U38" s="175"/>
      <c r="V38" s="179"/>
      <c r="W38" s="116"/>
      <c r="X38" s="179"/>
      <c r="Y38" s="184"/>
      <c r="Z38" s="184"/>
      <c r="AA38" s="175"/>
      <c r="AB38" s="116">
        <v>45</v>
      </c>
      <c r="AC38" s="116">
        <v>2</v>
      </c>
      <c r="AD38" s="177">
        <f>AC38*S38/12</f>
        <v>8.4583333333333339</v>
      </c>
      <c r="AE38" s="116" t="s">
        <v>367</v>
      </c>
      <c r="AF38" s="116">
        <v>0.10199999999999999</v>
      </c>
      <c r="AG38" s="177">
        <f>AF38*AtolbperftSL2</f>
        <v>6.4514999999999989E-2</v>
      </c>
      <c r="AH38" s="185"/>
      <c r="AI38" s="185"/>
      <c r="AJ38" s="185"/>
      <c r="AK38" s="185"/>
      <c r="AM38" s="3" t="s">
        <v>371</v>
      </c>
      <c r="AN38" s="3" t="s">
        <v>371</v>
      </c>
      <c r="AO38" s="3" t="s">
        <v>81</v>
      </c>
      <c r="AP38" s="3" t="s">
        <v>371</v>
      </c>
      <c r="AR38" s="139"/>
      <c r="AS38" s="139"/>
      <c r="AT38" s="139"/>
      <c r="AU38" s="139"/>
    </row>
    <row r="39" spans="2:47" ht="15" customHeight="1" x14ac:dyDescent="0.4">
      <c r="B39" s="36"/>
      <c r="C39" s="36"/>
      <c r="D39" s="155"/>
      <c r="E39" s="155"/>
      <c r="F39" s="155"/>
      <c r="G39" s="7"/>
      <c r="H39" s="20"/>
      <c r="P39" s="24"/>
      <c r="Q39" s="24"/>
      <c r="U39" s="20"/>
      <c r="V39" s="38" t="s">
        <v>369</v>
      </c>
      <c r="W39" s="3" t="s">
        <v>370</v>
      </c>
      <c r="X39" s="38" t="s">
        <v>369</v>
      </c>
      <c r="Y39" s="1443">
        <v>200169003</v>
      </c>
      <c r="Z39" s="1443"/>
      <c r="AA39" s="20"/>
      <c r="AE39" s="3"/>
      <c r="AF39" s="38"/>
      <c r="AH39" s="51">
        <f>'Single Hung'!AI49</f>
        <v>0.11799999999999999</v>
      </c>
      <c r="AI39" s="39"/>
      <c r="AJ39" s="39"/>
      <c r="AK39" s="39"/>
      <c r="AL39" s="39">
        <f>AD$38*AH39+SUM(AI39:AK39)</f>
        <v>0.99808333333333332</v>
      </c>
      <c r="AM39" s="3" t="s">
        <v>371</v>
      </c>
      <c r="AN39" s="3" t="s">
        <v>371</v>
      </c>
      <c r="AO39" s="3" t="s">
        <v>371</v>
      </c>
      <c r="AP39" s="3" t="s">
        <v>92</v>
      </c>
      <c r="AR39" s="139"/>
      <c r="AS39" s="139"/>
      <c r="AT39" s="139"/>
      <c r="AU39" s="139"/>
    </row>
    <row r="40" spans="2:47" ht="15" customHeight="1" x14ac:dyDescent="0.4">
      <c r="B40" s="36"/>
      <c r="C40" s="36"/>
      <c r="D40" s="155"/>
      <c r="E40" s="155"/>
      <c r="F40" s="155"/>
      <c r="G40" s="7"/>
      <c r="H40" s="20"/>
      <c r="P40" s="24"/>
      <c r="Q40" s="24"/>
      <c r="U40" s="20"/>
      <c r="V40" s="38" t="s">
        <v>369</v>
      </c>
      <c r="W40" s="3" t="s">
        <v>372</v>
      </c>
      <c r="X40" s="38" t="s">
        <v>369</v>
      </c>
      <c r="Y40" s="1443">
        <v>200169021</v>
      </c>
      <c r="Z40" s="1443"/>
      <c r="AA40" s="20"/>
      <c r="AE40" s="3"/>
      <c r="AF40" s="3"/>
      <c r="AH40" s="51">
        <f>'Single Hung'!AI50</f>
        <v>0.12640000000000001</v>
      </c>
      <c r="AI40" s="39"/>
      <c r="AJ40" s="39"/>
      <c r="AK40" s="39"/>
      <c r="AL40" s="39">
        <f t="shared" ref="AL40:AL41" si="4">AD$38*AH40+SUM(AI40:AK40)</f>
        <v>1.0691333333333335</v>
      </c>
      <c r="AM40" s="3" t="s">
        <v>371</v>
      </c>
      <c r="AN40" s="3" t="s">
        <v>371</v>
      </c>
      <c r="AO40" s="3" t="s">
        <v>371</v>
      </c>
      <c r="AP40" s="3" t="s">
        <v>92</v>
      </c>
      <c r="AR40" s="139"/>
      <c r="AS40" s="139"/>
      <c r="AT40" s="139"/>
      <c r="AU40" s="139"/>
    </row>
    <row r="41" spans="2:47" ht="15" customHeight="1" x14ac:dyDescent="0.4">
      <c r="B41" s="36"/>
      <c r="C41" s="36"/>
      <c r="D41" s="155"/>
      <c r="E41" s="155"/>
      <c r="F41" s="155"/>
      <c r="G41" s="7"/>
      <c r="H41" s="20"/>
      <c r="P41" s="24"/>
      <c r="Q41" s="24"/>
      <c r="U41" s="20"/>
      <c r="V41" s="38" t="s">
        <v>369</v>
      </c>
      <c r="W41" s="3" t="s">
        <v>373</v>
      </c>
      <c r="X41" s="38" t="s">
        <v>369</v>
      </c>
      <c r="Y41" s="1443">
        <v>200169033</v>
      </c>
      <c r="Z41" s="1443"/>
      <c r="AA41" s="20"/>
      <c r="AE41" s="3"/>
      <c r="AF41" s="3"/>
      <c r="AH41" s="51">
        <f>'Single Hung'!AI51</f>
        <v>0.1283</v>
      </c>
      <c r="AI41" s="39"/>
      <c r="AJ41" s="39"/>
      <c r="AK41" s="39"/>
      <c r="AL41" s="39">
        <f t="shared" si="4"/>
        <v>1.0852041666666667</v>
      </c>
      <c r="AM41" s="3" t="s">
        <v>371</v>
      </c>
      <c r="AN41" s="3" t="s">
        <v>371</v>
      </c>
      <c r="AO41" s="3" t="s">
        <v>371</v>
      </c>
      <c r="AP41" s="3" t="s">
        <v>92</v>
      </c>
      <c r="AR41" s="139"/>
      <c r="AS41" s="139"/>
      <c r="AT41" s="139"/>
      <c r="AU41" s="139"/>
    </row>
    <row r="42" spans="2:47" ht="15" customHeight="1" x14ac:dyDescent="0.4">
      <c r="B42" s="36"/>
      <c r="C42" s="36"/>
      <c r="D42" s="155"/>
      <c r="E42" s="155"/>
      <c r="F42" s="155"/>
      <c r="G42" s="7"/>
      <c r="H42" s="20"/>
      <c r="P42" s="24"/>
      <c r="Q42" s="24"/>
      <c r="U42" s="20"/>
      <c r="V42" s="38" t="s">
        <v>369</v>
      </c>
      <c r="W42" s="3" t="s">
        <v>374</v>
      </c>
      <c r="X42" s="38" t="s">
        <v>369</v>
      </c>
      <c r="Y42" s="1443">
        <v>200169090</v>
      </c>
      <c r="Z42" s="1443"/>
      <c r="AA42" s="20"/>
      <c r="AE42" s="3"/>
      <c r="AF42" s="3"/>
      <c r="AH42" s="51">
        <f>'Single Hung'!AI52</f>
        <v>0.22900000000000001</v>
      </c>
      <c r="AI42" s="39"/>
      <c r="AJ42" s="39"/>
      <c r="AK42" s="39"/>
      <c r="AL42" s="39">
        <f>AD$38*AH42+SUM(AI42:AK42)</f>
        <v>1.9369583333333336</v>
      </c>
      <c r="AM42" s="3" t="s">
        <v>371</v>
      </c>
      <c r="AN42" s="3" t="s">
        <v>371</v>
      </c>
      <c r="AO42" s="3" t="s">
        <v>81</v>
      </c>
      <c r="AP42" s="3" t="s">
        <v>92</v>
      </c>
      <c r="AR42" s="139"/>
      <c r="AS42" s="139"/>
      <c r="AT42" s="139"/>
      <c r="AU42" s="139"/>
    </row>
    <row r="43" spans="2:47" ht="15" customHeight="1" x14ac:dyDescent="0.4">
      <c r="B43" s="36"/>
      <c r="C43" s="36"/>
      <c r="D43" s="155"/>
      <c r="E43" s="155"/>
      <c r="F43" s="155"/>
      <c r="G43" s="7"/>
      <c r="H43" s="20"/>
      <c r="P43" s="24"/>
      <c r="Q43" s="24"/>
      <c r="U43" s="20"/>
      <c r="V43" s="38" t="s">
        <v>369</v>
      </c>
      <c r="W43" s="3" t="s">
        <v>375</v>
      </c>
      <c r="X43" s="38" t="s">
        <v>369</v>
      </c>
      <c r="Y43" s="1443">
        <v>200169133</v>
      </c>
      <c r="Z43" s="1443"/>
      <c r="AA43" s="20"/>
      <c r="AE43" s="3"/>
      <c r="AF43" s="3"/>
      <c r="AH43" s="844">
        <f>'Single Hung'!AI53</f>
        <v>0.2414</v>
      </c>
      <c r="AI43" s="39"/>
      <c r="AJ43" s="39"/>
      <c r="AK43" s="39"/>
      <c r="AL43" s="39">
        <f t="shared" ref="AL43" si="5">AD$38*AH43+SUM(AI43:AK43)</f>
        <v>2.041841666666667</v>
      </c>
      <c r="AM43" s="3" t="s">
        <v>371</v>
      </c>
      <c r="AN43" s="3" t="s">
        <v>371</v>
      </c>
      <c r="AO43" s="3" t="s">
        <v>371</v>
      </c>
      <c r="AP43" s="3" t="s">
        <v>371</v>
      </c>
      <c r="AR43" s="139"/>
      <c r="AS43" s="139"/>
      <c r="AT43" s="139"/>
      <c r="AU43" s="139"/>
    </row>
    <row r="44" spans="2:47" ht="15" customHeight="1" thickBot="1" x14ac:dyDescent="0.45">
      <c r="B44" s="36"/>
      <c r="C44" s="36"/>
      <c r="D44" s="155"/>
      <c r="E44" s="155"/>
      <c r="F44" s="155"/>
      <c r="G44" s="7"/>
      <c r="H44" s="20"/>
      <c r="I44" s="889"/>
      <c r="J44" s="889"/>
      <c r="K44" s="889"/>
      <c r="L44" s="889"/>
      <c r="M44" s="945"/>
      <c r="N44" s="945"/>
      <c r="O44" s="945"/>
      <c r="P44" s="1020"/>
      <c r="Q44" s="1020"/>
      <c r="R44" s="889"/>
      <c r="S44" s="945"/>
      <c r="T44" s="889"/>
      <c r="U44" s="887"/>
      <c r="V44" s="1876" t="s">
        <v>369</v>
      </c>
      <c r="W44" s="1877" t="s">
        <v>1849</v>
      </c>
      <c r="X44" s="1876" t="s">
        <v>369</v>
      </c>
      <c r="Y44" s="1878">
        <v>200169148</v>
      </c>
      <c r="Z44" s="1444"/>
      <c r="AA44" s="887"/>
      <c r="AB44" s="889"/>
      <c r="AC44" s="889"/>
      <c r="AD44" s="945"/>
      <c r="AE44" s="889"/>
      <c r="AF44" s="889"/>
      <c r="AG44" s="945"/>
      <c r="AH44" s="937">
        <v>0</v>
      </c>
      <c r="AI44" s="947"/>
      <c r="AJ44" s="947"/>
      <c r="AK44" s="947"/>
      <c r="AL44" s="947">
        <f t="shared" ref="AL44" si="6">AD$38*AH44+SUM(AI44:AK44)</f>
        <v>0</v>
      </c>
      <c r="AM44" s="889" t="s">
        <v>371</v>
      </c>
      <c r="AN44" s="889" t="s">
        <v>371</v>
      </c>
      <c r="AO44" s="889" t="s">
        <v>81</v>
      </c>
      <c r="AP44" s="889" t="s">
        <v>92</v>
      </c>
      <c r="AQ44" s="889"/>
      <c r="AR44" s="139"/>
      <c r="AS44" s="139"/>
      <c r="AT44" s="139"/>
      <c r="AU44" s="139"/>
    </row>
    <row r="45" spans="2:47" ht="15" customHeight="1" x14ac:dyDescent="0.4">
      <c r="B45" s="3"/>
      <c r="C45" s="173" t="s">
        <v>384</v>
      </c>
      <c r="D45" s="181"/>
      <c r="E45" s="182"/>
      <c r="F45" s="182"/>
      <c r="G45" s="173"/>
      <c r="H45" s="175"/>
      <c r="P45" s="24"/>
      <c r="Q45" s="24"/>
      <c r="S45" s="56">
        <v>1</v>
      </c>
      <c r="T45" s="3" t="s">
        <v>385</v>
      </c>
      <c r="U45" s="20"/>
      <c r="V45" s="38"/>
      <c r="X45" s="38"/>
      <c r="Y45" s="1443"/>
      <c r="Z45" s="1443"/>
      <c r="AA45" s="20"/>
      <c r="AB45" s="3">
        <v>45</v>
      </c>
      <c r="AC45" s="3">
        <v>2</v>
      </c>
      <c r="AD45" s="56">
        <f>S45*AC45</f>
        <v>2</v>
      </c>
      <c r="AE45" s="3" t="s">
        <v>385</v>
      </c>
      <c r="AF45" s="3">
        <v>0.19800000000000001</v>
      </c>
      <c r="AG45" s="5">
        <f>AF45*AtolbperftSL2</f>
        <v>0.12523499999999999</v>
      </c>
      <c r="AM45" s="3" t="s">
        <v>81</v>
      </c>
      <c r="AN45" s="3" t="s">
        <v>81</v>
      </c>
      <c r="AO45" s="3" t="s">
        <v>81</v>
      </c>
      <c r="AP45" s="3" t="s">
        <v>81</v>
      </c>
      <c r="AR45" s="139"/>
      <c r="AS45" s="139"/>
      <c r="AT45" s="139"/>
      <c r="AU45" s="139"/>
    </row>
    <row r="46" spans="2:47" ht="15" customHeight="1" x14ac:dyDescent="0.4">
      <c r="B46" s="36"/>
      <c r="C46" s="36"/>
      <c r="D46" s="155"/>
      <c r="E46" s="155"/>
      <c r="F46" s="155"/>
      <c r="G46" s="7"/>
      <c r="H46" s="20"/>
      <c r="P46" s="24"/>
      <c r="Q46" s="24"/>
      <c r="U46" s="20"/>
      <c r="V46" s="38" t="s">
        <v>369</v>
      </c>
      <c r="W46" s="3" t="s">
        <v>386</v>
      </c>
      <c r="X46" s="38" t="s">
        <v>369</v>
      </c>
      <c r="Y46" s="1443">
        <v>200162008</v>
      </c>
      <c r="Z46" s="1443"/>
      <c r="AA46" s="20"/>
      <c r="AE46" s="3"/>
      <c r="AF46" s="38"/>
      <c r="AH46" s="51">
        <f>'Single Hung'!AI56</f>
        <v>7.0099999999999996E-2</v>
      </c>
      <c r="AI46" s="39"/>
      <c r="AJ46" s="39"/>
      <c r="AK46" s="39"/>
      <c r="AL46" s="39">
        <f>AD$45*AH46+SUM(AI46:AK46)</f>
        <v>0.14019999999999999</v>
      </c>
      <c r="AM46" s="3" t="s">
        <v>81</v>
      </c>
      <c r="AN46" s="3" t="s">
        <v>81</v>
      </c>
      <c r="AO46" s="3" t="s">
        <v>81</v>
      </c>
      <c r="AP46" s="3" t="s">
        <v>81</v>
      </c>
      <c r="AR46" s="139"/>
      <c r="AS46" s="139"/>
      <c r="AT46" s="139"/>
      <c r="AU46" s="139"/>
    </row>
    <row r="47" spans="2:47" ht="15" customHeight="1" x14ac:dyDescent="0.4">
      <c r="B47" s="36"/>
      <c r="C47" s="36"/>
      <c r="D47" s="155"/>
      <c r="E47" s="155"/>
      <c r="F47" s="155"/>
      <c r="G47" s="7"/>
      <c r="H47" s="20"/>
      <c r="P47" s="24"/>
      <c r="Q47" s="24"/>
      <c r="U47" s="20"/>
      <c r="V47" s="571"/>
      <c r="W47" s="572"/>
      <c r="X47" s="571"/>
      <c r="Y47" s="1447"/>
      <c r="Z47" s="1447"/>
      <c r="AA47" s="20"/>
      <c r="AE47" s="3"/>
      <c r="AF47" s="3"/>
      <c r="AI47" s="39"/>
      <c r="AJ47" s="39"/>
      <c r="AK47" s="39"/>
      <c r="AR47" s="139"/>
      <c r="AS47" s="139"/>
      <c r="AT47" s="139"/>
      <c r="AU47" s="139"/>
    </row>
    <row r="48" spans="2:47" ht="15" customHeight="1" thickBot="1" x14ac:dyDescent="0.45">
      <c r="B48" s="36"/>
      <c r="C48" s="943"/>
      <c r="D48" s="925"/>
      <c r="E48" s="925"/>
      <c r="F48" s="925"/>
      <c r="G48" s="924"/>
      <c r="H48" s="887"/>
      <c r="I48" s="889"/>
      <c r="J48" s="889"/>
      <c r="K48" s="889"/>
      <c r="L48" s="889"/>
      <c r="M48" s="945"/>
      <c r="N48" s="945"/>
      <c r="O48" s="945"/>
      <c r="P48" s="1020"/>
      <c r="Q48" s="1020"/>
      <c r="R48" s="889"/>
      <c r="S48" s="945"/>
      <c r="T48" s="889"/>
      <c r="U48" s="887"/>
      <c r="V48" s="888"/>
      <c r="W48" s="889"/>
      <c r="X48" s="888"/>
      <c r="Y48" s="1444"/>
      <c r="Z48" s="1444"/>
      <c r="AA48" s="887"/>
      <c r="AB48" s="889"/>
      <c r="AC48" s="889"/>
      <c r="AD48" s="945"/>
      <c r="AE48" s="889"/>
      <c r="AF48" s="889"/>
      <c r="AG48" s="945"/>
      <c r="AH48" s="947"/>
      <c r="AI48" s="947"/>
      <c r="AJ48" s="947"/>
      <c r="AK48" s="947"/>
      <c r="AL48" s="947"/>
      <c r="AM48" s="889"/>
      <c r="AN48" s="889"/>
      <c r="AO48" s="889"/>
      <c r="AP48" s="889"/>
      <c r="AQ48" s="889"/>
      <c r="AR48" s="139"/>
      <c r="AS48" s="139"/>
      <c r="AT48" s="139"/>
      <c r="AU48" s="139"/>
    </row>
    <row r="49" spans="1:47" ht="15" customHeight="1" x14ac:dyDescent="0.4">
      <c r="B49" s="3"/>
      <c r="C49" s="173" t="s">
        <v>387</v>
      </c>
      <c r="D49" s="181"/>
      <c r="E49" s="182"/>
      <c r="F49" s="182"/>
      <c r="G49" s="173"/>
      <c r="H49" s="175"/>
      <c r="I49" s="116" t="s">
        <v>365</v>
      </c>
      <c r="J49" s="116"/>
      <c r="K49" s="116"/>
      <c r="L49" s="116" t="s">
        <v>348</v>
      </c>
      <c r="M49" s="177">
        <v>0.438</v>
      </c>
      <c r="N49" s="177"/>
      <c r="O49" s="177"/>
      <c r="P49" s="178"/>
      <c r="Q49" s="178"/>
      <c r="R49" s="116" t="s">
        <v>352</v>
      </c>
      <c r="S49" s="177">
        <f>SL2Height+M49+O49</f>
        <v>47.938000000000002</v>
      </c>
      <c r="T49" s="116" t="s">
        <v>366</v>
      </c>
      <c r="U49" s="175"/>
      <c r="V49" s="179"/>
      <c r="W49" s="116"/>
      <c r="X49" s="179"/>
      <c r="Y49" s="1449"/>
      <c r="Z49" s="1449"/>
      <c r="AA49" s="175"/>
      <c r="AB49" s="116">
        <v>45</v>
      </c>
      <c r="AC49" s="116">
        <v>2</v>
      </c>
      <c r="AD49" s="177">
        <f>AC49*S49/12</f>
        <v>7.9896666666666674</v>
      </c>
      <c r="AE49" s="116" t="s">
        <v>367</v>
      </c>
      <c r="AF49" s="116">
        <v>9.4E-2</v>
      </c>
      <c r="AG49" s="177">
        <f>AF49*AtolbperftSL2</f>
        <v>5.9454999999999994E-2</v>
      </c>
      <c r="AH49" s="185"/>
      <c r="AI49" s="39"/>
      <c r="AJ49" s="39"/>
      <c r="AK49" s="39"/>
      <c r="AL49" s="180"/>
      <c r="AM49" s="3" t="s">
        <v>371</v>
      </c>
      <c r="AN49" s="3" t="s">
        <v>371</v>
      </c>
      <c r="AO49" s="3" t="s">
        <v>371</v>
      </c>
      <c r="AP49" s="3" t="s">
        <v>371</v>
      </c>
      <c r="AR49" s="139"/>
      <c r="AS49" s="139"/>
      <c r="AT49" s="139"/>
      <c r="AU49" s="139"/>
    </row>
    <row r="50" spans="1:47" ht="15" customHeight="1" x14ac:dyDescent="0.4">
      <c r="B50" s="36"/>
      <c r="C50" s="36"/>
      <c r="D50" s="155"/>
      <c r="E50" s="155"/>
      <c r="F50" s="155"/>
      <c r="G50" s="7"/>
      <c r="H50" s="20"/>
      <c r="P50" s="24"/>
      <c r="Q50" s="24"/>
      <c r="U50" s="20"/>
      <c r="V50" s="38" t="s">
        <v>369</v>
      </c>
      <c r="W50" s="3" t="s">
        <v>370</v>
      </c>
      <c r="X50" s="38" t="s">
        <v>369</v>
      </c>
      <c r="Y50" s="1443">
        <v>200178003</v>
      </c>
      <c r="Z50" s="1443"/>
      <c r="AA50" s="20"/>
      <c r="AE50" s="3"/>
      <c r="AF50" s="38"/>
      <c r="AH50" s="51">
        <f>'Single Hung'!AI60</f>
        <v>0.10290000000000001</v>
      </c>
      <c r="AI50" s="39"/>
      <c r="AJ50" s="39"/>
      <c r="AK50" s="39"/>
      <c r="AL50" s="39">
        <f>AD$49*AH50+SUM(AI50:AK50)</f>
        <v>0.82213670000000016</v>
      </c>
      <c r="AM50" s="3" t="s">
        <v>371</v>
      </c>
      <c r="AN50" s="3" t="s">
        <v>371</v>
      </c>
      <c r="AO50" s="3" t="s">
        <v>371</v>
      </c>
      <c r="AP50" s="3" t="s">
        <v>92</v>
      </c>
      <c r="AR50" s="139"/>
      <c r="AS50" s="139"/>
      <c r="AT50" s="139"/>
      <c r="AU50" s="139"/>
    </row>
    <row r="51" spans="1:47" ht="15" customHeight="1" x14ac:dyDescent="0.4">
      <c r="B51" s="36"/>
      <c r="C51" s="36"/>
      <c r="D51" s="155"/>
      <c r="E51" s="155"/>
      <c r="F51" s="155"/>
      <c r="G51" s="7"/>
      <c r="H51" s="20"/>
      <c r="P51" s="24"/>
      <c r="Q51" s="24"/>
      <c r="U51" s="20"/>
      <c r="V51" s="38" t="s">
        <v>369</v>
      </c>
      <c r="W51" s="3" t="s">
        <v>372</v>
      </c>
      <c r="X51" s="38" t="s">
        <v>369</v>
      </c>
      <c r="Y51" s="1443">
        <v>200178021</v>
      </c>
      <c r="Z51" s="1443"/>
      <c r="AA51" s="20"/>
      <c r="AE51" s="3"/>
      <c r="AF51" s="3"/>
      <c r="AH51" s="51">
        <f>'Single Hung'!AI61</f>
        <v>0.112</v>
      </c>
      <c r="AL51" s="39">
        <f t="shared" ref="AL51:AL52" si="7">AD$49*AH51+SUM(AI51:AK51)</f>
        <v>0.89484266666666679</v>
      </c>
      <c r="AM51" s="3" t="s">
        <v>371</v>
      </c>
      <c r="AN51" s="3" t="s">
        <v>371</v>
      </c>
      <c r="AO51" s="3" t="s">
        <v>371</v>
      </c>
      <c r="AP51" s="3" t="s">
        <v>92</v>
      </c>
      <c r="AR51" s="139"/>
      <c r="AS51" s="139"/>
      <c r="AT51" s="139"/>
      <c r="AU51" s="139"/>
    </row>
    <row r="52" spans="1:47" ht="15" customHeight="1" x14ac:dyDescent="0.4">
      <c r="B52" s="36"/>
      <c r="C52" s="36"/>
      <c r="D52" s="155"/>
      <c r="E52" s="155"/>
      <c r="F52" s="155"/>
      <c r="G52" s="7"/>
      <c r="H52" s="20"/>
      <c r="P52" s="24"/>
      <c r="Q52" s="24"/>
      <c r="U52" s="20"/>
      <c r="V52" s="38" t="s">
        <v>369</v>
      </c>
      <c r="W52" s="3" t="s">
        <v>373</v>
      </c>
      <c r="X52" s="38" t="s">
        <v>369</v>
      </c>
      <c r="Y52" s="1443">
        <v>200178033</v>
      </c>
      <c r="Z52" s="1443"/>
      <c r="AA52" s="20"/>
      <c r="AE52" s="3"/>
      <c r="AF52" s="3"/>
      <c r="AH52" s="51">
        <f>'Single Hung'!AI62</f>
        <v>0.1135</v>
      </c>
      <c r="AI52" s="39"/>
      <c r="AJ52" s="39"/>
      <c r="AK52" s="39"/>
      <c r="AL52" s="39">
        <f t="shared" si="7"/>
        <v>0.90682716666666674</v>
      </c>
      <c r="AM52" s="3" t="s">
        <v>371</v>
      </c>
      <c r="AN52" s="3" t="s">
        <v>371</v>
      </c>
      <c r="AO52" s="3" t="s">
        <v>371</v>
      </c>
      <c r="AP52" s="3" t="s">
        <v>92</v>
      </c>
      <c r="AR52" s="139"/>
      <c r="AS52" s="139"/>
      <c r="AT52" s="139"/>
      <c r="AU52" s="139"/>
    </row>
    <row r="53" spans="1:47" ht="15" customHeight="1" x14ac:dyDescent="0.4">
      <c r="B53" s="36"/>
      <c r="C53" s="36"/>
      <c r="D53" s="155"/>
      <c r="E53" s="155"/>
      <c r="F53" s="155"/>
      <c r="G53" s="7"/>
      <c r="H53" s="20"/>
      <c r="P53" s="24"/>
      <c r="Q53" s="24"/>
      <c r="U53" s="20"/>
      <c r="V53" s="38" t="s">
        <v>369</v>
      </c>
      <c r="W53" s="3" t="s">
        <v>374</v>
      </c>
      <c r="X53" s="38" t="s">
        <v>369</v>
      </c>
      <c r="Y53" s="1443">
        <v>200178090</v>
      </c>
      <c r="Z53" s="1443"/>
      <c r="AA53" s="20"/>
      <c r="AE53" s="3"/>
      <c r="AF53" s="3"/>
      <c r="AH53" s="51">
        <f>'Single Hung'!AI63</f>
        <v>0.22839999999999999</v>
      </c>
      <c r="AI53" s="39"/>
      <c r="AJ53" s="39"/>
      <c r="AK53" s="39"/>
      <c r="AL53" s="39">
        <f>AD$49*AH53+SUM(AI53:AK53)</f>
        <v>1.8248398666666668</v>
      </c>
      <c r="AM53" s="3" t="s">
        <v>371</v>
      </c>
      <c r="AN53" s="3" t="s">
        <v>371</v>
      </c>
      <c r="AO53" s="3" t="s">
        <v>371</v>
      </c>
      <c r="AP53" s="3" t="s">
        <v>92</v>
      </c>
      <c r="AR53" s="139"/>
      <c r="AS53" s="139"/>
      <c r="AT53" s="139"/>
      <c r="AU53" s="139"/>
    </row>
    <row r="54" spans="1:47" ht="15" customHeight="1" x14ac:dyDescent="0.4">
      <c r="B54" s="36"/>
      <c r="C54" s="36"/>
      <c r="D54" s="155"/>
      <c r="E54" s="155"/>
      <c r="F54" s="155"/>
      <c r="G54" s="7"/>
      <c r="H54" s="20"/>
      <c r="P54" s="24"/>
      <c r="Q54" s="24"/>
      <c r="U54" s="20"/>
      <c r="V54" s="38" t="s">
        <v>369</v>
      </c>
      <c r="W54" s="3" t="s">
        <v>375</v>
      </c>
      <c r="X54" s="38" t="s">
        <v>369</v>
      </c>
      <c r="Y54" s="1443">
        <v>200178133</v>
      </c>
      <c r="Z54" s="1443"/>
      <c r="AA54" s="20"/>
      <c r="AE54" s="3"/>
      <c r="AF54" s="3"/>
      <c r="AH54" s="844">
        <f>'Single Hung'!AI64</f>
        <v>0.254</v>
      </c>
      <c r="AI54" s="39"/>
      <c r="AJ54" s="39"/>
      <c r="AK54" s="39"/>
      <c r="AL54" s="39">
        <f t="shared" ref="AL54" si="8">AD$49*AH54+SUM(AI54:AK54)</f>
        <v>2.0293753333333338</v>
      </c>
      <c r="AM54" s="3" t="s">
        <v>371</v>
      </c>
      <c r="AN54" s="3" t="s">
        <v>371</v>
      </c>
      <c r="AO54" s="3" t="s">
        <v>371</v>
      </c>
      <c r="AP54" s="3" t="s">
        <v>371</v>
      </c>
      <c r="AR54" s="139"/>
      <c r="AS54" s="139"/>
      <c r="AT54" s="139"/>
      <c r="AU54" s="139"/>
    </row>
    <row r="55" spans="1:47" ht="15" customHeight="1" thickBot="1" x14ac:dyDescent="0.45">
      <c r="B55" s="36"/>
      <c r="C55" s="36"/>
      <c r="D55" s="155"/>
      <c r="E55" s="155"/>
      <c r="F55" s="155"/>
      <c r="G55" s="7"/>
      <c r="H55" s="20"/>
      <c r="P55" s="24"/>
      <c r="Q55" s="24"/>
      <c r="U55" s="20"/>
      <c r="V55" s="279" t="s">
        <v>369</v>
      </c>
      <c r="W55" s="112" t="s">
        <v>1849</v>
      </c>
      <c r="X55" s="279" t="s">
        <v>369</v>
      </c>
      <c r="Y55" s="1871">
        <v>200178148</v>
      </c>
      <c r="Z55" s="1443"/>
      <c r="AA55" s="20"/>
      <c r="AE55" s="3"/>
      <c r="AF55" s="3"/>
      <c r="AH55" s="937">
        <v>0</v>
      </c>
      <c r="AI55" s="947"/>
      <c r="AJ55" s="947"/>
      <c r="AK55" s="947"/>
      <c r="AL55" s="947">
        <f t="shared" ref="AL55" si="9">AD$49*AH55+SUM(AI55:AK55)</f>
        <v>0</v>
      </c>
      <c r="AM55" s="889" t="s">
        <v>371</v>
      </c>
      <c r="AN55" s="889" t="s">
        <v>371</v>
      </c>
      <c r="AO55" s="889" t="s">
        <v>371</v>
      </c>
      <c r="AP55" s="889" t="s">
        <v>92</v>
      </c>
      <c r="AQ55" s="889"/>
      <c r="AR55" s="139"/>
      <c r="AS55" s="139"/>
      <c r="AT55" s="139"/>
      <c r="AU55" s="139"/>
    </row>
    <row r="56" spans="1:47" ht="15" customHeight="1" thickBot="1" x14ac:dyDescent="0.45">
      <c r="B56" s="173" t="s">
        <v>388</v>
      </c>
      <c r="C56" s="173"/>
      <c r="D56" s="116"/>
      <c r="E56" s="116"/>
      <c r="F56" s="174"/>
      <c r="G56" s="173"/>
      <c r="H56" s="175"/>
      <c r="I56" s="116"/>
      <c r="J56" s="116"/>
      <c r="K56" s="116"/>
      <c r="L56" s="116"/>
      <c r="M56" s="116"/>
      <c r="N56" s="177"/>
      <c r="O56" s="177"/>
      <c r="P56" s="177"/>
      <c r="Q56" s="177"/>
      <c r="R56" s="116"/>
      <c r="S56" s="177"/>
      <c r="T56" s="116"/>
      <c r="U56" s="175"/>
      <c r="V56" s="173"/>
      <c r="W56" s="173"/>
      <c r="X56" s="173"/>
      <c r="Y56" s="1449"/>
      <c r="Z56" s="1449"/>
      <c r="AA56" s="175"/>
      <c r="AB56" s="116"/>
      <c r="AC56" s="116"/>
      <c r="AD56" s="177"/>
      <c r="AE56" s="116"/>
      <c r="AF56" s="179"/>
      <c r="AG56" s="177"/>
      <c r="AH56" s="185"/>
      <c r="AI56" s="137"/>
      <c r="AJ56" s="137"/>
      <c r="AK56" s="137"/>
      <c r="AL56" s="180"/>
      <c r="AM56" s="136" t="s">
        <v>81</v>
      </c>
      <c r="AN56" s="136" t="s">
        <v>81</v>
      </c>
      <c r="AO56" s="136" t="s">
        <v>81</v>
      </c>
      <c r="AP56" s="136" t="s">
        <v>81</v>
      </c>
      <c r="AQ56" s="136"/>
      <c r="AR56" s="139"/>
      <c r="AS56" s="139"/>
      <c r="AT56" s="139"/>
      <c r="AU56" s="139"/>
    </row>
    <row r="57" spans="1:47" ht="15" customHeight="1" x14ac:dyDescent="0.4">
      <c r="A57" s="3" t="s">
        <v>389</v>
      </c>
      <c r="B57" s="173"/>
      <c r="C57" s="173" t="s">
        <v>390</v>
      </c>
      <c r="D57" s="116"/>
      <c r="E57" s="182"/>
      <c r="F57" s="182" t="s">
        <v>438</v>
      </c>
      <c r="G57" s="173"/>
      <c r="H57" s="175"/>
      <c r="I57" s="116" t="s">
        <v>392</v>
      </c>
      <c r="J57" s="116"/>
      <c r="K57" s="116"/>
      <c r="L57" s="116" t="s">
        <v>348</v>
      </c>
      <c r="M57" s="177">
        <f>1.375*2</f>
        <v>2.75</v>
      </c>
      <c r="N57" s="177" t="s">
        <v>348</v>
      </c>
      <c r="O57" s="177">
        <f>0.25</f>
        <v>0.25</v>
      </c>
      <c r="P57" s="177"/>
      <c r="Q57" s="177"/>
      <c r="R57" s="116" t="s">
        <v>352</v>
      </c>
      <c r="S57" s="177">
        <f>SL2Width+M57+O57</f>
        <v>50.5</v>
      </c>
      <c r="T57" s="116" t="s">
        <v>366</v>
      </c>
      <c r="U57" s="175"/>
      <c r="V57" s="179"/>
      <c r="W57" s="116"/>
      <c r="X57" s="179"/>
      <c r="Y57" s="1449"/>
      <c r="Z57" s="1449"/>
      <c r="AA57" s="175"/>
      <c r="AB57" s="116">
        <v>45</v>
      </c>
      <c r="AC57" s="116">
        <v>1</v>
      </c>
      <c r="AD57" s="177">
        <f>AC57*S57/12</f>
        <v>4.208333333333333</v>
      </c>
      <c r="AE57" s="116" t="s">
        <v>367</v>
      </c>
      <c r="AF57" s="179">
        <f>AF17</f>
        <v>1.212</v>
      </c>
      <c r="AG57" s="177">
        <f>AF57*AtolbperftSL2</f>
        <v>0.76658999999999988</v>
      </c>
      <c r="AH57" s="185"/>
      <c r="AI57" s="180"/>
      <c r="AJ57" s="180"/>
      <c r="AK57" s="180"/>
      <c r="AL57" s="180"/>
      <c r="AM57" s="39" t="s">
        <v>81</v>
      </c>
      <c r="AN57" s="39" t="s">
        <v>81</v>
      </c>
      <c r="AO57" s="39" t="s">
        <v>81</v>
      </c>
      <c r="AP57" s="39" t="s">
        <v>81</v>
      </c>
      <c r="AQ57" s="39"/>
      <c r="AR57" s="139"/>
      <c r="AS57" s="139"/>
      <c r="AT57" s="139"/>
      <c r="AU57" s="139"/>
    </row>
    <row r="58" spans="1:47" ht="15" customHeight="1" x14ac:dyDescent="0.4">
      <c r="B58" s="3"/>
      <c r="C58" s="36"/>
      <c r="D58" s="155"/>
      <c r="E58" s="155"/>
      <c r="F58" s="47" t="s">
        <v>393</v>
      </c>
      <c r="G58" s="7"/>
      <c r="H58" s="20"/>
      <c r="I58" s="3" t="s">
        <v>392</v>
      </c>
      <c r="L58" s="3" t="s">
        <v>348</v>
      </c>
      <c r="M58" s="5">
        <v>0</v>
      </c>
      <c r="N58" s="5" t="s">
        <v>348</v>
      </c>
      <c r="O58" s="5">
        <v>0.25</v>
      </c>
      <c r="R58" s="3" t="s">
        <v>352</v>
      </c>
      <c r="S58" s="5">
        <f>SL2Width+M58+O58</f>
        <v>47.75</v>
      </c>
      <c r="T58" s="3" t="s">
        <v>366</v>
      </c>
      <c r="U58" s="20"/>
      <c r="V58" s="38" t="s">
        <v>369</v>
      </c>
      <c r="W58" s="3" t="s">
        <v>370</v>
      </c>
      <c r="X58" s="38" t="s">
        <v>369</v>
      </c>
      <c r="Y58" s="1443">
        <v>200153003</v>
      </c>
      <c r="Z58" s="1443"/>
      <c r="AA58" s="20"/>
      <c r="AE58" s="3"/>
      <c r="AF58" s="38"/>
      <c r="AH58" s="51">
        <f t="shared" ref="AH58:AH64" si="10">AH18</f>
        <v>0.60570000000000002</v>
      </c>
      <c r="AL58" s="39">
        <f>AD$57*AH58+SUM(AI58:AK58)</f>
        <v>2.5489875</v>
      </c>
      <c r="AM58" s="3" t="s">
        <v>81</v>
      </c>
      <c r="AN58" s="3" t="s">
        <v>81</v>
      </c>
      <c r="AO58" s="3" t="s">
        <v>371</v>
      </c>
      <c r="AP58" s="3" t="s">
        <v>92</v>
      </c>
      <c r="AR58" s="139"/>
      <c r="AS58" s="139"/>
      <c r="AT58" s="139"/>
      <c r="AU58" s="139"/>
    </row>
    <row r="59" spans="1:47" ht="15" customHeight="1" x14ac:dyDescent="0.4">
      <c r="B59" s="3"/>
      <c r="C59" s="36"/>
      <c r="D59" s="155"/>
      <c r="E59" s="155"/>
      <c r="F59" s="155"/>
      <c r="G59" s="7"/>
      <c r="H59" s="20"/>
      <c r="U59" s="20"/>
      <c r="V59" s="38" t="s">
        <v>369</v>
      </c>
      <c r="W59" s="3" t="s">
        <v>372</v>
      </c>
      <c r="X59" s="38" t="s">
        <v>369</v>
      </c>
      <c r="Y59" s="1443">
        <v>200153021</v>
      </c>
      <c r="Z59" s="1443"/>
      <c r="AA59" s="20"/>
      <c r="AE59" s="3"/>
      <c r="AF59" s="38"/>
      <c r="AH59" s="51">
        <f t="shared" si="10"/>
        <v>0.65820000000000001</v>
      </c>
      <c r="AL59" s="39">
        <f t="shared" ref="AL59:AL65" si="11">AD$57*AH59+SUM(AI59:AK59)</f>
        <v>2.7699249999999997</v>
      </c>
      <c r="AM59" s="3" t="s">
        <v>371</v>
      </c>
      <c r="AN59" s="3" t="s">
        <v>371</v>
      </c>
      <c r="AO59" s="3" t="s">
        <v>371</v>
      </c>
      <c r="AP59" s="3" t="s">
        <v>92</v>
      </c>
      <c r="AR59" s="139"/>
      <c r="AS59" s="139"/>
      <c r="AT59" s="139"/>
      <c r="AU59" s="139"/>
    </row>
    <row r="60" spans="1:47" ht="15" customHeight="1" x14ac:dyDescent="0.4">
      <c r="B60" s="3"/>
      <c r="C60" s="36"/>
      <c r="D60" s="155"/>
      <c r="E60" s="155"/>
      <c r="F60" s="155"/>
      <c r="G60" s="7"/>
      <c r="H60" s="20"/>
      <c r="U60" s="20"/>
      <c r="V60" s="38" t="s">
        <v>369</v>
      </c>
      <c r="W60" s="3" t="s">
        <v>373</v>
      </c>
      <c r="X60" s="38" t="s">
        <v>369</v>
      </c>
      <c r="Y60" s="1443">
        <v>200153033</v>
      </c>
      <c r="Z60" s="1443"/>
      <c r="AA60" s="20"/>
      <c r="AE60" s="3"/>
      <c r="AF60" s="38"/>
      <c r="AH60" s="51">
        <f t="shared" si="10"/>
        <v>0.73070000000000002</v>
      </c>
      <c r="AI60" s="39"/>
      <c r="AJ60" s="39"/>
      <c r="AK60" s="39"/>
      <c r="AL60" s="39">
        <f t="shared" si="11"/>
        <v>3.0750291666666665</v>
      </c>
      <c r="AM60" s="3" t="s">
        <v>371</v>
      </c>
      <c r="AN60" s="3" t="s">
        <v>371</v>
      </c>
      <c r="AO60" s="3" t="s">
        <v>371</v>
      </c>
      <c r="AP60" s="3" t="s">
        <v>92</v>
      </c>
      <c r="AR60" s="139"/>
      <c r="AS60" s="139"/>
      <c r="AT60" s="139"/>
      <c r="AU60" s="139"/>
    </row>
    <row r="61" spans="1:47" ht="15" customHeight="1" x14ac:dyDescent="0.4">
      <c r="B61" s="3"/>
      <c r="C61" s="36"/>
      <c r="D61" s="155"/>
      <c r="E61" s="155"/>
      <c r="F61" s="155"/>
      <c r="G61" s="7"/>
      <c r="H61" s="20"/>
      <c r="U61" s="20"/>
      <c r="V61" s="3" t="s">
        <v>2363</v>
      </c>
      <c r="W61" s="3" t="s">
        <v>370</v>
      </c>
      <c r="X61" s="38" t="s">
        <v>369</v>
      </c>
      <c r="Y61" s="1443">
        <v>200153127</v>
      </c>
      <c r="Z61" s="1443"/>
      <c r="AA61" s="20"/>
      <c r="AE61" s="3"/>
      <c r="AF61" s="38"/>
      <c r="AH61" s="51">
        <f t="shared" si="10"/>
        <v>0.94010000000000005</v>
      </c>
      <c r="AI61" s="39"/>
      <c r="AJ61" s="39"/>
      <c r="AK61" s="39"/>
      <c r="AL61" s="39">
        <f t="shared" si="11"/>
        <v>3.9562541666666666</v>
      </c>
      <c r="AM61" s="3" t="s">
        <v>371</v>
      </c>
      <c r="AN61" s="3" t="s">
        <v>371</v>
      </c>
      <c r="AO61" s="3" t="s">
        <v>81</v>
      </c>
      <c r="AP61" s="3" t="s">
        <v>92</v>
      </c>
      <c r="AR61" s="139"/>
      <c r="AS61" s="139"/>
      <c r="AT61" s="139"/>
      <c r="AU61" s="139"/>
    </row>
    <row r="62" spans="1:47" ht="15" customHeight="1" x14ac:dyDescent="0.4">
      <c r="B62" s="3"/>
      <c r="C62" s="36"/>
      <c r="D62" s="155"/>
      <c r="E62" s="155"/>
      <c r="F62" s="155"/>
      <c r="G62" s="7"/>
      <c r="H62" s="20"/>
      <c r="U62" s="20"/>
      <c r="V62" s="572" t="s">
        <v>2366</v>
      </c>
      <c r="W62" s="572" t="s">
        <v>370</v>
      </c>
      <c r="X62" s="571" t="s">
        <v>369</v>
      </c>
      <c r="Y62" s="1447">
        <v>200153128</v>
      </c>
      <c r="Z62" s="1443"/>
      <c r="AA62" s="20"/>
      <c r="AE62" s="3"/>
      <c r="AF62" s="38"/>
      <c r="AH62" s="51">
        <f t="shared" si="10"/>
        <v>0.77329999999999999</v>
      </c>
      <c r="AI62" s="39"/>
      <c r="AJ62" s="39"/>
      <c r="AK62" s="39"/>
      <c r="AL62" s="39">
        <f t="shared" si="11"/>
        <v>3.2543041666666666</v>
      </c>
      <c r="AM62" s="3" t="s">
        <v>371</v>
      </c>
      <c r="AN62" s="3" t="s">
        <v>371</v>
      </c>
      <c r="AO62" s="3" t="s">
        <v>371</v>
      </c>
      <c r="AP62" s="3" t="s">
        <v>92</v>
      </c>
      <c r="AR62" s="139"/>
      <c r="AS62" s="139"/>
      <c r="AT62" s="139"/>
      <c r="AU62" s="139"/>
    </row>
    <row r="63" spans="1:47" ht="15" customHeight="1" x14ac:dyDescent="0.4">
      <c r="B63" s="3"/>
      <c r="C63" s="36"/>
      <c r="D63" s="155"/>
      <c r="E63" s="155"/>
      <c r="F63" s="155"/>
      <c r="G63" s="7"/>
      <c r="H63" s="20"/>
      <c r="U63" s="20"/>
      <c r="V63" s="3" t="s">
        <v>2364</v>
      </c>
      <c r="W63" s="3" t="s">
        <v>370</v>
      </c>
      <c r="X63" s="38" t="s">
        <v>369</v>
      </c>
      <c r="Y63" s="1443">
        <v>200153129</v>
      </c>
      <c r="Z63" s="1443"/>
      <c r="AA63" s="20"/>
      <c r="AE63" s="3"/>
      <c r="AF63" s="38"/>
      <c r="AH63" s="51">
        <f t="shared" si="10"/>
        <v>0.77329999999999999</v>
      </c>
      <c r="AI63" s="39"/>
      <c r="AJ63" s="39"/>
      <c r="AK63" s="39"/>
      <c r="AL63" s="39">
        <f>AD$57*AH63+SUM(AI63:AK63)</f>
        <v>3.2543041666666666</v>
      </c>
      <c r="AM63" s="3" t="s">
        <v>371</v>
      </c>
      <c r="AN63" s="3" t="s">
        <v>371</v>
      </c>
      <c r="AO63" s="3" t="s">
        <v>371</v>
      </c>
      <c r="AP63" s="3" t="s">
        <v>92</v>
      </c>
      <c r="AR63" s="139"/>
      <c r="AS63" s="139"/>
      <c r="AT63" s="139"/>
      <c r="AU63" s="139"/>
    </row>
    <row r="64" spans="1:47" ht="15" customHeight="1" x14ac:dyDescent="0.4">
      <c r="B64" s="3"/>
      <c r="C64" s="36"/>
      <c r="D64" s="155"/>
      <c r="E64" s="155"/>
      <c r="F64" s="155"/>
      <c r="G64" s="7"/>
      <c r="H64" s="20"/>
      <c r="U64" s="20"/>
      <c r="V64" s="3" t="s">
        <v>2365</v>
      </c>
      <c r="W64" s="3" t="s">
        <v>370</v>
      </c>
      <c r="X64" s="38" t="s">
        <v>369</v>
      </c>
      <c r="Y64" s="1443">
        <v>200153180</v>
      </c>
      <c r="Z64" s="1443"/>
      <c r="AA64" s="20"/>
      <c r="AE64" s="3"/>
      <c r="AF64" s="38"/>
      <c r="AH64" s="844">
        <f t="shared" si="10"/>
        <v>0</v>
      </c>
      <c r="AI64" s="39"/>
      <c r="AJ64" s="39"/>
      <c r="AK64" s="39"/>
      <c r="AL64" s="39">
        <f t="shared" ref="AL64" si="12">AD$57*AH64+SUM(AI64:AK64)</f>
        <v>0</v>
      </c>
      <c r="AM64" s="3" t="s">
        <v>371</v>
      </c>
      <c r="AN64" s="3" t="s">
        <v>371</v>
      </c>
      <c r="AO64" s="3" t="s">
        <v>371</v>
      </c>
      <c r="AP64" s="3" t="s">
        <v>92</v>
      </c>
      <c r="AR64" s="139"/>
      <c r="AS64" s="139"/>
      <c r="AT64" s="139"/>
      <c r="AU64" s="139"/>
    </row>
    <row r="65" spans="1:47" ht="15" customHeight="1" x14ac:dyDescent="0.4">
      <c r="B65" s="3"/>
      <c r="C65" s="36"/>
      <c r="D65" s="155"/>
      <c r="E65" s="155"/>
      <c r="F65" s="155"/>
      <c r="G65" s="7"/>
      <c r="H65" s="20"/>
      <c r="U65" s="20"/>
      <c r="V65" s="112" t="s">
        <v>2367</v>
      </c>
      <c r="W65" s="112" t="s">
        <v>370</v>
      </c>
      <c r="X65" s="279" t="s">
        <v>369</v>
      </c>
      <c r="Y65" s="1871">
        <v>200153152</v>
      </c>
      <c r="Z65" s="1443"/>
      <c r="AA65" s="20"/>
      <c r="AE65" s="3"/>
      <c r="AF65" s="38"/>
      <c r="AH65" s="51">
        <v>0</v>
      </c>
      <c r="AI65" s="39"/>
      <c r="AJ65" s="39"/>
      <c r="AK65" s="39"/>
      <c r="AL65" s="39">
        <f t="shared" si="11"/>
        <v>0</v>
      </c>
      <c r="AM65" s="3" t="s">
        <v>371</v>
      </c>
      <c r="AN65" s="3" t="s">
        <v>371</v>
      </c>
      <c r="AO65" s="3" t="s">
        <v>371</v>
      </c>
      <c r="AP65" s="3" t="s">
        <v>92</v>
      </c>
      <c r="AR65" s="139"/>
      <c r="AS65" s="139"/>
      <c r="AT65" s="139"/>
      <c r="AU65" s="139"/>
    </row>
    <row r="66" spans="1:47" ht="15" customHeight="1" x14ac:dyDescent="0.4">
      <c r="B66" s="3"/>
      <c r="C66" s="36"/>
      <c r="D66" s="155"/>
      <c r="E66" s="623"/>
      <c r="F66" s="623"/>
      <c r="G66" s="221"/>
      <c r="H66" s="624"/>
      <c r="I66" s="577"/>
      <c r="J66" s="577"/>
      <c r="K66" s="577"/>
      <c r="L66" s="577"/>
      <c r="M66" s="575"/>
      <c r="N66" s="575"/>
      <c r="O66" s="575"/>
      <c r="P66" s="575"/>
      <c r="Q66" s="575"/>
      <c r="R66" s="577"/>
      <c r="S66" s="575"/>
      <c r="T66" s="577"/>
      <c r="U66" s="624"/>
      <c r="V66" s="577" t="s">
        <v>2365</v>
      </c>
      <c r="W66" s="577" t="s">
        <v>370</v>
      </c>
      <c r="X66" s="579" t="s">
        <v>2365</v>
      </c>
      <c r="Y66" s="1446">
        <v>200153181</v>
      </c>
      <c r="Z66" s="1446"/>
      <c r="AA66" s="624"/>
      <c r="AB66" s="577"/>
      <c r="AC66" s="577"/>
      <c r="AD66" s="575"/>
      <c r="AE66" s="577"/>
      <c r="AF66" s="579"/>
      <c r="AG66" s="575"/>
      <c r="AH66" s="626">
        <v>1</v>
      </c>
      <c r="AI66" s="581"/>
      <c r="AJ66" s="581"/>
      <c r="AK66" s="581"/>
      <c r="AL66" s="581">
        <f t="shared" ref="AL66" si="13">AD$57*AH66+SUM(AI66:AK66)</f>
        <v>4.208333333333333</v>
      </c>
      <c r="AM66" s="577" t="s">
        <v>92</v>
      </c>
      <c r="AN66" s="577" t="s">
        <v>92</v>
      </c>
      <c r="AO66" s="577" t="s">
        <v>92</v>
      </c>
      <c r="AP66" s="577" t="s">
        <v>81</v>
      </c>
      <c r="AQ66" s="577"/>
      <c r="AR66" s="139"/>
      <c r="AS66" s="139"/>
      <c r="AT66" s="139"/>
      <c r="AU66" s="139"/>
    </row>
    <row r="67" spans="1:47" ht="15" customHeight="1" x14ac:dyDescent="0.4">
      <c r="C67" s="36"/>
      <c r="D67" s="36"/>
      <c r="E67" s="447" t="s">
        <v>1220</v>
      </c>
      <c r="F67" s="155"/>
      <c r="G67" s="7"/>
      <c r="H67" s="20"/>
      <c r="I67" s="3" t="s">
        <v>392</v>
      </c>
      <c r="L67" s="3" t="s">
        <v>348</v>
      </c>
      <c r="M67" s="5">
        <v>0</v>
      </c>
      <c r="R67" s="3" t="s">
        <v>352</v>
      </c>
      <c r="S67" s="5">
        <f>SL2Width+M67</f>
        <v>47.5</v>
      </c>
      <c r="T67" s="3" t="s">
        <v>366</v>
      </c>
      <c r="U67" s="20"/>
      <c r="V67" s="38" t="s">
        <v>369</v>
      </c>
      <c r="W67" s="3" t="s">
        <v>405</v>
      </c>
      <c r="X67" s="38" t="s">
        <v>369</v>
      </c>
      <c r="Y67" s="1443">
        <v>600042010</v>
      </c>
      <c r="Z67" s="1443"/>
      <c r="AA67" s="20"/>
      <c r="AB67" s="3">
        <v>45</v>
      </c>
      <c r="AC67" s="3">
        <v>1</v>
      </c>
      <c r="AD67" s="5">
        <f>S67*AC67/12</f>
        <v>3.9583333333333335</v>
      </c>
      <c r="AE67" s="3" t="s">
        <v>367</v>
      </c>
      <c r="AF67" s="38" t="s">
        <v>369</v>
      </c>
      <c r="AG67" s="38" t="s">
        <v>369</v>
      </c>
      <c r="AH67" s="51">
        <f>AH27</f>
        <v>1.9E-2</v>
      </c>
      <c r="AI67" s="39"/>
      <c r="AJ67" s="39"/>
      <c r="AK67" s="39"/>
      <c r="AL67" s="39">
        <f>AD$67*AH67+SUM(AI67:AK67)</f>
        <v>7.5208333333333335E-2</v>
      </c>
      <c r="AM67" s="3" t="s">
        <v>81</v>
      </c>
      <c r="AN67" s="3" t="s">
        <v>81</v>
      </c>
      <c r="AO67" s="3" t="s">
        <v>81</v>
      </c>
      <c r="AP67" s="3" t="s">
        <v>81</v>
      </c>
      <c r="AR67" s="140"/>
      <c r="AS67" s="139"/>
      <c r="AT67" s="139"/>
      <c r="AU67" s="139"/>
    </row>
    <row r="68" spans="1:47" ht="15" customHeight="1" x14ac:dyDescent="0.4">
      <c r="C68" s="36"/>
      <c r="D68" s="36"/>
      <c r="E68" s="447" t="s">
        <v>1221</v>
      </c>
      <c r="F68" s="155"/>
      <c r="G68" s="7"/>
      <c r="H68" s="20"/>
      <c r="I68" s="3" t="s">
        <v>392</v>
      </c>
      <c r="L68" s="3" t="s">
        <v>348</v>
      </c>
      <c r="M68" s="5">
        <v>0</v>
      </c>
      <c r="R68" s="3" t="s">
        <v>352</v>
      </c>
      <c r="S68" s="5">
        <f>SL2Width+M68</f>
        <v>47.5</v>
      </c>
      <c r="T68" s="3" t="s">
        <v>366</v>
      </c>
      <c r="U68" s="20"/>
      <c r="V68" s="38" t="s">
        <v>369</v>
      </c>
      <c r="W68" s="3" t="s">
        <v>405</v>
      </c>
      <c r="X68" s="38" t="s">
        <v>369</v>
      </c>
      <c r="Y68" s="1443">
        <v>600050010</v>
      </c>
      <c r="Z68" s="1443"/>
      <c r="AA68" s="20"/>
      <c r="AB68" s="3">
        <v>45</v>
      </c>
      <c r="AE68" s="3"/>
      <c r="AF68" s="38"/>
      <c r="AG68" s="38"/>
      <c r="AH68" s="844">
        <f>AH28</f>
        <v>0</v>
      </c>
      <c r="AI68" s="39"/>
      <c r="AJ68" s="39"/>
      <c r="AK68" s="39"/>
      <c r="AM68" s="3" t="s">
        <v>371</v>
      </c>
      <c r="AN68" s="3" t="s">
        <v>371</v>
      </c>
      <c r="AO68" s="3" t="s">
        <v>371</v>
      </c>
      <c r="AP68" s="3" t="s">
        <v>371</v>
      </c>
      <c r="AR68" s="140"/>
      <c r="AS68" s="139"/>
      <c r="AT68" s="139"/>
      <c r="AU68" s="139"/>
    </row>
    <row r="69" spans="1:47" ht="15" customHeight="1" thickBot="1" x14ac:dyDescent="0.25">
      <c r="C69" s="1849"/>
      <c r="D69" s="1849"/>
      <c r="E69" s="1850" t="s">
        <v>2352</v>
      </c>
      <c r="F69" s="1851"/>
      <c r="G69" s="1852"/>
      <c r="H69" s="1853"/>
      <c r="I69" s="1854" t="s">
        <v>392</v>
      </c>
      <c r="J69" s="1854"/>
      <c r="K69" s="1854"/>
      <c r="L69" s="1854"/>
      <c r="M69" s="1855"/>
      <c r="N69" s="1855"/>
      <c r="O69" s="1855"/>
      <c r="P69" s="1855"/>
      <c r="Q69" s="1855"/>
      <c r="R69" s="1854" t="s">
        <v>352</v>
      </c>
      <c r="S69" s="1855">
        <f>SL2Width</f>
        <v>47.5</v>
      </c>
      <c r="T69" s="1854" t="s">
        <v>366</v>
      </c>
      <c r="U69" s="1853"/>
      <c r="V69" s="1856" t="s">
        <v>369</v>
      </c>
      <c r="W69" s="1854" t="s">
        <v>370</v>
      </c>
      <c r="X69" s="1856" t="s">
        <v>369</v>
      </c>
      <c r="Y69" s="1857" t="s">
        <v>2355</v>
      </c>
      <c r="Z69" s="1858"/>
      <c r="AA69" s="1853"/>
      <c r="AB69" s="1854"/>
      <c r="AC69" s="1854">
        <v>1</v>
      </c>
      <c r="AD69" s="1855">
        <f>AC69*S69/12</f>
        <v>3.9583333333333335</v>
      </c>
      <c r="AE69" s="1854" t="s">
        <v>367</v>
      </c>
      <c r="AF69" s="1856" t="s">
        <v>369</v>
      </c>
      <c r="AG69" s="1856" t="s">
        <v>369</v>
      </c>
      <c r="AH69" s="1859">
        <f>0.018669</f>
        <v>1.8669000000000002E-2</v>
      </c>
      <c r="AI69" s="1860"/>
      <c r="AJ69" s="1860"/>
      <c r="AK69" s="1860"/>
      <c r="AL69" s="1860">
        <f>AH69*AD69</f>
        <v>7.3898125000000009E-2</v>
      </c>
      <c r="AM69" s="1854" t="s">
        <v>92</v>
      </c>
      <c r="AN69" s="1854" t="s">
        <v>92</v>
      </c>
      <c r="AO69" s="1854" t="s">
        <v>81</v>
      </c>
      <c r="AP69" s="1854" t="s">
        <v>81</v>
      </c>
      <c r="AQ69" s="1854"/>
      <c r="AR69" s="140"/>
      <c r="AS69" s="139"/>
      <c r="AT69" s="139"/>
      <c r="AU69" s="139"/>
    </row>
    <row r="70" spans="1:47" ht="15" customHeight="1" x14ac:dyDescent="0.4">
      <c r="A70" s="3" t="s">
        <v>394</v>
      </c>
      <c r="B70" s="3"/>
      <c r="C70" s="7" t="s">
        <v>395</v>
      </c>
      <c r="D70" s="3"/>
      <c r="E70" s="3"/>
      <c r="F70" s="47" t="s">
        <v>391</v>
      </c>
      <c r="G70" s="7"/>
      <c r="H70" s="20"/>
      <c r="I70" s="3" t="s">
        <v>392</v>
      </c>
      <c r="L70" s="3" t="s">
        <v>348</v>
      </c>
      <c r="M70" s="5">
        <v>6.1879999999999997</v>
      </c>
      <c r="N70" s="5" t="s">
        <v>348</v>
      </c>
      <c r="O70" s="5">
        <f>0.125*2</f>
        <v>0.25</v>
      </c>
      <c r="R70" s="3" t="s">
        <v>352</v>
      </c>
      <c r="S70" s="5">
        <f>SL2Width+M70+O70</f>
        <v>53.938000000000002</v>
      </c>
      <c r="T70" s="3" t="s">
        <v>366</v>
      </c>
      <c r="U70" s="20"/>
      <c r="V70" s="7"/>
      <c r="W70" s="7"/>
      <c r="X70" s="7"/>
      <c r="Y70" s="1443"/>
      <c r="Z70" s="1443"/>
      <c r="AA70" s="20"/>
      <c r="AB70" s="3">
        <v>45</v>
      </c>
      <c r="AC70" s="3">
        <v>1</v>
      </c>
      <c r="AD70" s="5">
        <f>AC70*S70/12</f>
        <v>4.4948333333333332</v>
      </c>
      <c r="AE70" s="3" t="s">
        <v>367</v>
      </c>
      <c r="AF70" s="38">
        <f>AF30</f>
        <v>1.0449999999999999</v>
      </c>
      <c r="AG70" s="5">
        <f>AF70*AtolbperftSL2</f>
        <v>0.6609624999999999</v>
      </c>
      <c r="AM70" s="3" t="s">
        <v>371</v>
      </c>
      <c r="AN70" s="3" t="s">
        <v>371</v>
      </c>
      <c r="AO70" s="3" t="s">
        <v>371</v>
      </c>
      <c r="AP70" s="3" t="s">
        <v>371</v>
      </c>
      <c r="AR70" s="139"/>
      <c r="AS70" s="139"/>
      <c r="AT70" s="139"/>
      <c r="AU70" s="139"/>
    </row>
    <row r="71" spans="1:47" ht="15" customHeight="1" x14ac:dyDescent="0.4">
      <c r="B71" s="3"/>
      <c r="C71" s="36"/>
      <c r="D71" s="36"/>
      <c r="E71" s="155"/>
      <c r="F71" s="155" t="s">
        <v>396</v>
      </c>
      <c r="G71" s="7"/>
      <c r="H71" s="20"/>
      <c r="I71" s="3" t="s">
        <v>392</v>
      </c>
      <c r="L71" s="3" t="s">
        <v>348</v>
      </c>
      <c r="M71" s="5">
        <f>M70-1.125*2</f>
        <v>3.9379999999999997</v>
      </c>
      <c r="N71" s="5" t="s">
        <v>348</v>
      </c>
      <c r="O71" s="5">
        <f>0.125*2</f>
        <v>0.25</v>
      </c>
      <c r="P71" s="24"/>
      <c r="Q71" s="24"/>
      <c r="R71" s="3" t="s">
        <v>352</v>
      </c>
      <c r="S71" s="5">
        <f>SL2Width+M71+O71</f>
        <v>51.688000000000002</v>
      </c>
      <c r="T71" s="3" t="s">
        <v>366</v>
      </c>
      <c r="U71" s="20"/>
      <c r="V71" s="38" t="s">
        <v>369</v>
      </c>
      <c r="W71" s="3" t="s">
        <v>370</v>
      </c>
      <c r="X71" s="38" t="s">
        <v>369</v>
      </c>
      <c r="Y71" s="1443">
        <v>200175003</v>
      </c>
      <c r="Z71" s="1443"/>
      <c r="AA71" s="20"/>
      <c r="AE71" s="3"/>
      <c r="AF71" s="38"/>
      <c r="AH71" s="51">
        <f>AH31</f>
        <v>0.62360000000000004</v>
      </c>
      <c r="AI71" s="39"/>
      <c r="AJ71" s="39"/>
      <c r="AK71" s="39"/>
      <c r="AL71" s="39">
        <f>AD$70*AH71+SUM(AI71:AK71)</f>
        <v>2.8029780666666668</v>
      </c>
      <c r="AM71" s="3" t="s">
        <v>371</v>
      </c>
      <c r="AN71" s="3" t="s">
        <v>371</v>
      </c>
      <c r="AO71" s="3" t="s">
        <v>371</v>
      </c>
      <c r="AP71" s="3" t="s">
        <v>92</v>
      </c>
      <c r="AR71" s="139"/>
      <c r="AS71" s="139"/>
      <c r="AT71" s="139"/>
      <c r="AU71" s="139"/>
    </row>
    <row r="72" spans="1:47" ht="15" customHeight="1" x14ac:dyDescent="0.4">
      <c r="B72" s="3"/>
      <c r="C72" s="36"/>
      <c r="D72" s="36"/>
      <c r="E72" s="155"/>
      <c r="F72" s="155" t="s">
        <v>380</v>
      </c>
      <c r="G72" s="7"/>
      <c r="H72" s="20"/>
      <c r="I72" s="3" t="s">
        <v>392</v>
      </c>
      <c r="L72" s="3" t="s">
        <v>348</v>
      </c>
      <c r="M72" s="5">
        <f>M71</f>
        <v>3.9379999999999997</v>
      </c>
      <c r="N72" s="5" t="s">
        <v>348</v>
      </c>
      <c r="O72" s="5">
        <v>0</v>
      </c>
      <c r="P72" s="24"/>
      <c r="Q72" s="24"/>
      <c r="R72" s="3" t="s">
        <v>352</v>
      </c>
      <c r="S72" s="5">
        <f>SL2Width+M72+O72</f>
        <v>51.438000000000002</v>
      </c>
      <c r="T72" s="3" t="s">
        <v>366</v>
      </c>
      <c r="U72" s="20"/>
      <c r="V72" s="38" t="s">
        <v>369</v>
      </c>
      <c r="W72" s="3" t="s">
        <v>372</v>
      </c>
      <c r="X72" s="38" t="s">
        <v>369</v>
      </c>
      <c r="Y72" s="1443">
        <v>200175021</v>
      </c>
      <c r="Z72" s="1443"/>
      <c r="AA72" s="20"/>
      <c r="AE72" s="3"/>
      <c r="AF72" s="3"/>
      <c r="AH72" s="51">
        <f>AH32</f>
        <v>0.66090000000000004</v>
      </c>
      <c r="AI72" s="39"/>
      <c r="AJ72" s="39"/>
      <c r="AK72" s="39"/>
      <c r="AL72" s="39">
        <f t="shared" ref="AL72:AL76" si="14">AD$70*AH72+SUM(AI72:AK72)</f>
        <v>2.9706353500000002</v>
      </c>
      <c r="AM72" s="3" t="s">
        <v>371</v>
      </c>
      <c r="AN72" s="3" t="s">
        <v>371</v>
      </c>
      <c r="AO72" s="3" t="s">
        <v>371</v>
      </c>
      <c r="AP72" s="3" t="s">
        <v>92</v>
      </c>
      <c r="AR72" s="139"/>
      <c r="AS72" s="139"/>
      <c r="AT72" s="139"/>
      <c r="AU72" s="139"/>
    </row>
    <row r="73" spans="1:47" ht="15" customHeight="1" x14ac:dyDescent="0.4">
      <c r="B73" s="3"/>
      <c r="C73" s="36"/>
      <c r="D73" s="36"/>
      <c r="E73" s="155"/>
      <c r="F73" s="155"/>
      <c r="G73" s="7"/>
      <c r="H73" s="20"/>
      <c r="P73" s="24"/>
      <c r="Q73" s="24"/>
      <c r="U73" s="20"/>
      <c r="V73" s="38" t="s">
        <v>369</v>
      </c>
      <c r="W73" s="3" t="s">
        <v>373</v>
      </c>
      <c r="X73" s="38" t="s">
        <v>369</v>
      </c>
      <c r="Y73" s="1443">
        <v>200175033</v>
      </c>
      <c r="Z73" s="1443"/>
      <c r="AA73" s="20"/>
      <c r="AE73" s="3"/>
      <c r="AF73" s="3"/>
      <c r="AH73" s="51">
        <f>AH33</f>
        <v>0.71260000000000001</v>
      </c>
      <c r="AI73" s="39"/>
      <c r="AJ73" s="39"/>
      <c r="AK73" s="39"/>
      <c r="AL73" s="39">
        <f t="shared" si="14"/>
        <v>3.2030182333333332</v>
      </c>
      <c r="AM73" s="3" t="s">
        <v>371</v>
      </c>
      <c r="AN73" s="3" t="s">
        <v>371</v>
      </c>
      <c r="AO73" s="3" t="s">
        <v>371</v>
      </c>
      <c r="AP73" s="3" t="s">
        <v>92</v>
      </c>
      <c r="AR73" s="139"/>
      <c r="AS73" s="139"/>
      <c r="AT73" s="139"/>
      <c r="AU73" s="139"/>
    </row>
    <row r="74" spans="1:47" ht="15" customHeight="1" x14ac:dyDescent="0.4">
      <c r="B74" s="3"/>
      <c r="C74" s="36"/>
      <c r="D74" s="36"/>
      <c r="E74" s="155"/>
      <c r="F74" s="155"/>
      <c r="G74" s="7"/>
      <c r="H74" s="20"/>
      <c r="P74" s="24"/>
      <c r="Q74" s="24"/>
      <c r="U74" s="20"/>
      <c r="V74" s="3" t="s">
        <v>374</v>
      </c>
      <c r="W74" s="3" t="s">
        <v>370</v>
      </c>
      <c r="X74" s="38" t="s">
        <v>369</v>
      </c>
      <c r="Y74" s="1443">
        <v>200175127</v>
      </c>
      <c r="Z74" s="1443"/>
      <c r="AA74" s="20"/>
      <c r="AE74" s="3"/>
      <c r="AF74" s="3"/>
      <c r="AH74" s="51">
        <f>AH34</f>
        <v>0.83289999999999997</v>
      </c>
      <c r="AI74" s="39"/>
      <c r="AJ74" s="39"/>
      <c r="AK74" s="39"/>
      <c r="AL74" s="39">
        <f>AD$70*AH74+SUM(AI74:AK74)</f>
        <v>3.7437466833333333</v>
      </c>
      <c r="AM74" s="3" t="s">
        <v>371</v>
      </c>
      <c r="AN74" s="3" t="s">
        <v>371</v>
      </c>
      <c r="AO74" s="3" t="s">
        <v>371</v>
      </c>
      <c r="AP74" s="3" t="s">
        <v>92</v>
      </c>
      <c r="AR74" s="139"/>
      <c r="AS74" s="139"/>
      <c r="AT74" s="139"/>
      <c r="AU74" s="139"/>
    </row>
    <row r="75" spans="1:47" ht="15" customHeight="1" x14ac:dyDescent="0.4">
      <c r="B75" s="3"/>
      <c r="C75" s="36"/>
      <c r="D75" s="36"/>
      <c r="E75" s="155"/>
      <c r="F75" s="155"/>
      <c r="G75" s="7"/>
      <c r="H75" s="20"/>
      <c r="P75" s="24"/>
      <c r="Q75" s="24"/>
      <c r="U75" s="20"/>
      <c r="V75" s="38" t="s">
        <v>375</v>
      </c>
      <c r="W75" s="3" t="s">
        <v>370</v>
      </c>
      <c r="X75" s="38" t="s">
        <v>369</v>
      </c>
      <c r="Y75" s="1443">
        <v>200175180</v>
      </c>
      <c r="Z75" s="1443"/>
      <c r="AA75" s="20"/>
      <c r="AE75" s="3"/>
      <c r="AF75" s="3"/>
      <c r="AH75" s="844">
        <f>AH35</f>
        <v>0.89339999999999997</v>
      </c>
      <c r="AI75" s="39"/>
      <c r="AJ75" s="39"/>
      <c r="AK75" s="39"/>
      <c r="AL75" s="39">
        <f t="shared" ref="AL75" si="15">AD$70*AH75+SUM(AI75:AK75)</f>
        <v>4.0156840999999996</v>
      </c>
      <c r="AM75" s="3" t="s">
        <v>371</v>
      </c>
      <c r="AN75" s="3" t="s">
        <v>371</v>
      </c>
      <c r="AO75" s="3" t="s">
        <v>371</v>
      </c>
      <c r="AP75" s="3" t="s">
        <v>371</v>
      </c>
      <c r="AR75" s="139"/>
      <c r="AS75" s="139"/>
      <c r="AT75" s="139"/>
      <c r="AU75" s="139"/>
    </row>
    <row r="76" spans="1:47" ht="15" customHeight="1" x14ac:dyDescent="0.4">
      <c r="B76" s="3"/>
      <c r="C76" s="36"/>
      <c r="D76" s="36"/>
      <c r="E76" s="623"/>
      <c r="F76" s="623"/>
      <c r="G76" s="221"/>
      <c r="H76" s="624"/>
      <c r="I76" s="577"/>
      <c r="J76" s="577"/>
      <c r="K76" s="577"/>
      <c r="L76" s="577"/>
      <c r="M76" s="575"/>
      <c r="N76" s="575"/>
      <c r="O76" s="575"/>
      <c r="P76" s="625"/>
      <c r="Q76" s="625"/>
      <c r="R76" s="577"/>
      <c r="S76" s="575"/>
      <c r="T76" s="577"/>
      <c r="U76" s="624"/>
      <c r="V76" s="1873" t="s">
        <v>1849</v>
      </c>
      <c r="W76" s="1873" t="s">
        <v>370</v>
      </c>
      <c r="X76" s="1874" t="s">
        <v>369</v>
      </c>
      <c r="Y76" s="1875">
        <v>200175152</v>
      </c>
      <c r="Z76" s="1446"/>
      <c r="AA76" s="624"/>
      <c r="AB76" s="577"/>
      <c r="AC76" s="577"/>
      <c r="AD76" s="575"/>
      <c r="AE76" s="577"/>
      <c r="AF76" s="577"/>
      <c r="AG76" s="575"/>
      <c r="AH76" s="626">
        <v>0</v>
      </c>
      <c r="AI76" s="581"/>
      <c r="AJ76" s="581"/>
      <c r="AK76" s="581"/>
      <c r="AL76" s="581">
        <f t="shared" si="14"/>
        <v>0</v>
      </c>
      <c r="AM76" s="577" t="s">
        <v>371</v>
      </c>
      <c r="AN76" s="577" t="s">
        <v>371</v>
      </c>
      <c r="AO76" s="577" t="s">
        <v>371</v>
      </c>
      <c r="AP76" s="577" t="s">
        <v>92</v>
      </c>
      <c r="AQ76" s="577"/>
      <c r="AR76" s="139"/>
      <c r="AS76" s="139"/>
      <c r="AT76" s="139"/>
      <c r="AU76" s="139"/>
    </row>
    <row r="77" spans="1:47" ht="15" customHeight="1" thickBot="1" x14ac:dyDescent="0.45">
      <c r="B77" s="3"/>
      <c r="C77" s="36"/>
      <c r="D77" s="36" t="s">
        <v>381</v>
      </c>
      <c r="E77" s="155"/>
      <c r="F77" s="925"/>
      <c r="G77" s="7"/>
      <c r="H77" s="20"/>
      <c r="I77" s="3" t="s">
        <v>392</v>
      </c>
      <c r="L77" s="3" t="s">
        <v>348</v>
      </c>
      <c r="M77" s="5">
        <f>M70</f>
        <v>6.1879999999999997</v>
      </c>
      <c r="N77" s="5" t="s">
        <v>348</v>
      </c>
      <c r="O77" s="5">
        <f>O70</f>
        <v>0.25</v>
      </c>
      <c r="P77" s="24"/>
      <c r="Q77" s="24"/>
      <c r="R77" s="3" t="s">
        <v>352</v>
      </c>
      <c r="S77" s="5">
        <f>SL2Width+M77+O77</f>
        <v>53.938000000000002</v>
      </c>
      <c r="T77" s="3" t="s">
        <v>366</v>
      </c>
      <c r="U77" s="20"/>
      <c r="V77" s="38"/>
      <c r="X77" s="38"/>
      <c r="Y77" s="1443">
        <v>610025061</v>
      </c>
      <c r="Z77" s="41">
        <v>251882</v>
      </c>
      <c r="AA77" s="20"/>
      <c r="AC77" s="3">
        <v>2</v>
      </c>
      <c r="AD77" s="5">
        <f>AC77*S77/12</f>
        <v>8.9896666666666665</v>
      </c>
      <c r="AE77" s="3" t="s">
        <v>367</v>
      </c>
      <c r="AF77" s="3"/>
      <c r="AH77" s="51">
        <f>AH37</f>
        <v>1.8599999999999998E-2</v>
      </c>
      <c r="AI77" s="39"/>
      <c r="AJ77" s="39"/>
      <c r="AK77" s="39"/>
      <c r="AL77" s="39">
        <f>AD$77*AH77+SUM(AI77:AK77)</f>
        <v>0.16720779999999999</v>
      </c>
      <c r="AM77" s="889" t="s">
        <v>371</v>
      </c>
      <c r="AN77" s="889" t="s">
        <v>371</v>
      </c>
      <c r="AO77" s="889" t="s">
        <v>371</v>
      </c>
      <c r="AP77" s="889" t="s">
        <v>371</v>
      </c>
      <c r="AQ77" s="889"/>
      <c r="AR77" s="139"/>
      <c r="AS77" s="139"/>
      <c r="AT77" s="139"/>
      <c r="AU77" s="139"/>
    </row>
    <row r="78" spans="1:47" ht="15" customHeight="1" x14ac:dyDescent="0.4">
      <c r="B78" s="3"/>
      <c r="C78" s="173" t="s">
        <v>397</v>
      </c>
      <c r="D78" s="181"/>
      <c r="E78" s="182"/>
      <c r="G78" s="430" t="s">
        <v>383</v>
      </c>
      <c r="H78" s="175"/>
      <c r="I78" s="116" t="s">
        <v>392</v>
      </c>
      <c r="J78" s="116"/>
      <c r="K78" s="116"/>
      <c r="L78" s="116" t="s">
        <v>348</v>
      </c>
      <c r="M78" s="177">
        <v>3</v>
      </c>
      <c r="N78" s="177" t="s">
        <v>348</v>
      </c>
      <c r="O78" s="177">
        <f>0.25</f>
        <v>0.25</v>
      </c>
      <c r="P78" s="178"/>
      <c r="Q78" s="178"/>
      <c r="R78" s="116" t="s">
        <v>352</v>
      </c>
      <c r="S78" s="177">
        <f>SL2Width+M78+O78</f>
        <v>50.75</v>
      </c>
      <c r="T78" s="116" t="s">
        <v>366</v>
      </c>
      <c r="U78" s="175"/>
      <c r="V78" s="179"/>
      <c r="W78" s="116"/>
      <c r="X78" s="179"/>
      <c r="Y78" s="184"/>
      <c r="Z78" s="184"/>
      <c r="AA78" s="175"/>
      <c r="AB78" s="116">
        <v>45</v>
      </c>
      <c r="AC78" s="116">
        <v>1</v>
      </c>
      <c r="AD78" s="177">
        <f>AC78*S78/12</f>
        <v>4.229166666666667</v>
      </c>
      <c r="AE78" s="116" t="s">
        <v>367</v>
      </c>
      <c r="AF78" s="116">
        <f>AF38</f>
        <v>0.10199999999999999</v>
      </c>
      <c r="AG78" s="177">
        <f>AF78*AtolbperftSL2</f>
        <v>6.4514999999999989E-2</v>
      </c>
      <c r="AH78" s="185"/>
      <c r="AI78" s="185"/>
      <c r="AJ78" s="185"/>
      <c r="AK78" s="185"/>
      <c r="AL78" s="180"/>
      <c r="AM78" s="3" t="s">
        <v>371</v>
      </c>
      <c r="AN78" s="3" t="s">
        <v>371</v>
      </c>
      <c r="AO78" s="3" t="s">
        <v>81</v>
      </c>
      <c r="AP78" s="3" t="s">
        <v>371</v>
      </c>
      <c r="AR78" s="139"/>
      <c r="AS78" s="139"/>
      <c r="AT78" s="139"/>
      <c r="AU78" s="139"/>
    </row>
    <row r="79" spans="1:47" ht="15" customHeight="1" x14ac:dyDescent="0.4">
      <c r="B79" s="36"/>
      <c r="C79" s="155"/>
      <c r="D79" s="155"/>
      <c r="E79" s="155"/>
      <c r="F79" s="155"/>
      <c r="G79" s="7"/>
      <c r="H79" s="20"/>
      <c r="P79" s="24"/>
      <c r="Q79" s="24"/>
      <c r="U79" s="20"/>
      <c r="V79" s="38" t="s">
        <v>369</v>
      </c>
      <c r="W79" s="3" t="s">
        <v>370</v>
      </c>
      <c r="X79" s="38" t="s">
        <v>369</v>
      </c>
      <c r="Y79" s="1443">
        <v>200169003</v>
      </c>
      <c r="Z79" s="1443"/>
      <c r="AA79" s="20"/>
      <c r="AE79" s="3"/>
      <c r="AF79" s="38"/>
      <c r="AH79" s="51">
        <f>AH39</f>
        <v>0.11799999999999999</v>
      </c>
      <c r="AI79" s="39"/>
      <c r="AJ79" s="39"/>
      <c r="AK79" s="39"/>
      <c r="AL79" s="39">
        <f>AD$78*AH79+SUM(AI79:AK79)</f>
        <v>0.49904166666666666</v>
      </c>
      <c r="AM79" s="3" t="s">
        <v>371</v>
      </c>
      <c r="AN79" s="3" t="s">
        <v>371</v>
      </c>
      <c r="AO79" s="3" t="s">
        <v>371</v>
      </c>
      <c r="AP79" s="3" t="s">
        <v>92</v>
      </c>
      <c r="AR79" s="139"/>
      <c r="AS79" s="139"/>
      <c r="AT79" s="139"/>
      <c r="AU79" s="139"/>
    </row>
    <row r="80" spans="1:47" ht="15" customHeight="1" x14ac:dyDescent="0.4">
      <c r="B80" s="36"/>
      <c r="C80" s="155"/>
      <c r="D80" s="155"/>
      <c r="E80" s="155"/>
      <c r="F80" s="155"/>
      <c r="G80" s="7"/>
      <c r="H80" s="20"/>
      <c r="P80" s="24"/>
      <c r="Q80" s="24"/>
      <c r="U80" s="20"/>
      <c r="V80" s="38" t="s">
        <v>369</v>
      </c>
      <c r="W80" s="3" t="s">
        <v>372</v>
      </c>
      <c r="X80" s="38" t="s">
        <v>369</v>
      </c>
      <c r="Y80" s="1443">
        <v>200169021</v>
      </c>
      <c r="Z80" s="1443"/>
      <c r="AA80" s="20"/>
      <c r="AE80" s="3"/>
      <c r="AF80" s="3"/>
      <c r="AH80" s="51">
        <f>AH40</f>
        <v>0.12640000000000001</v>
      </c>
      <c r="AI80" s="39"/>
      <c r="AJ80" s="39"/>
      <c r="AK80" s="39"/>
      <c r="AL80" s="39">
        <f t="shared" ref="AL80:AL81" si="16">AD$78*AH80+SUM(AI80:AK80)</f>
        <v>0.53456666666666675</v>
      </c>
      <c r="AM80" s="3" t="s">
        <v>371</v>
      </c>
      <c r="AN80" s="3" t="s">
        <v>371</v>
      </c>
      <c r="AO80" s="3" t="s">
        <v>371</v>
      </c>
      <c r="AP80" s="3" t="s">
        <v>92</v>
      </c>
      <c r="AR80" s="139"/>
      <c r="AS80" s="139"/>
      <c r="AT80" s="139"/>
      <c r="AU80" s="139"/>
    </row>
    <row r="81" spans="1:47" ht="15" customHeight="1" x14ac:dyDescent="0.4">
      <c r="B81" s="36"/>
      <c r="C81" s="155"/>
      <c r="D81" s="155"/>
      <c r="E81" s="155"/>
      <c r="F81" s="155"/>
      <c r="G81" s="7"/>
      <c r="H81" s="20"/>
      <c r="P81" s="24"/>
      <c r="Q81" s="24"/>
      <c r="U81" s="20"/>
      <c r="V81" s="38" t="s">
        <v>369</v>
      </c>
      <c r="W81" s="3" t="s">
        <v>373</v>
      </c>
      <c r="X81" s="38" t="s">
        <v>369</v>
      </c>
      <c r="Y81" s="1443">
        <v>200169033</v>
      </c>
      <c r="Z81" s="1443"/>
      <c r="AA81" s="20"/>
      <c r="AE81" s="3"/>
      <c r="AF81" s="3"/>
      <c r="AH81" s="51">
        <f>AH41</f>
        <v>0.1283</v>
      </c>
      <c r="AI81" s="39"/>
      <c r="AJ81" s="39"/>
      <c r="AK81" s="39"/>
      <c r="AL81" s="39">
        <f t="shared" si="16"/>
        <v>0.54260208333333337</v>
      </c>
      <c r="AM81" s="3" t="s">
        <v>371</v>
      </c>
      <c r="AN81" s="3" t="s">
        <v>371</v>
      </c>
      <c r="AO81" s="3" t="s">
        <v>371</v>
      </c>
      <c r="AP81" s="3" t="s">
        <v>92</v>
      </c>
      <c r="AR81" s="139"/>
      <c r="AS81" s="139"/>
      <c r="AT81" s="139"/>
      <c r="AU81" s="139"/>
    </row>
    <row r="82" spans="1:47" ht="15" customHeight="1" x14ac:dyDescent="0.4">
      <c r="B82" s="36"/>
      <c r="C82" s="155"/>
      <c r="D82" s="155"/>
      <c r="E82" s="155"/>
      <c r="F82" s="155"/>
      <c r="G82" s="7"/>
      <c r="H82" s="20"/>
      <c r="P82" s="24"/>
      <c r="Q82" s="24"/>
      <c r="U82" s="20"/>
      <c r="V82" s="38" t="s">
        <v>369</v>
      </c>
      <c r="W82" s="3" t="s">
        <v>374</v>
      </c>
      <c r="X82" s="38" t="s">
        <v>369</v>
      </c>
      <c r="Y82" s="1443">
        <v>200169090</v>
      </c>
      <c r="Z82" s="1443"/>
      <c r="AA82" s="20"/>
      <c r="AE82" s="3"/>
      <c r="AF82" s="3"/>
      <c r="AH82" s="51">
        <f>AH42</f>
        <v>0.22900000000000001</v>
      </c>
      <c r="AI82" s="39"/>
      <c r="AJ82" s="39"/>
      <c r="AK82" s="39"/>
      <c r="AL82" s="39">
        <f>AD$78*AH82+SUM(AI82:AK82)</f>
        <v>0.96847916666666678</v>
      </c>
      <c r="AM82" s="3" t="s">
        <v>371</v>
      </c>
      <c r="AN82" s="3" t="s">
        <v>371</v>
      </c>
      <c r="AO82" s="3" t="s">
        <v>81</v>
      </c>
      <c r="AP82" s="3" t="s">
        <v>92</v>
      </c>
      <c r="AR82" s="139"/>
      <c r="AS82" s="139"/>
      <c r="AT82" s="139"/>
      <c r="AU82" s="139"/>
    </row>
    <row r="83" spans="1:47" ht="15" customHeight="1" x14ac:dyDescent="0.4">
      <c r="B83" s="36"/>
      <c r="C83" s="155"/>
      <c r="D83" s="155"/>
      <c r="E83" s="155"/>
      <c r="F83" s="155"/>
      <c r="G83" s="7"/>
      <c r="H83" s="20"/>
      <c r="P83" s="24"/>
      <c r="Q83" s="24"/>
      <c r="U83" s="20"/>
      <c r="V83" s="38" t="s">
        <v>369</v>
      </c>
      <c r="W83" s="3" t="s">
        <v>375</v>
      </c>
      <c r="X83" s="38" t="s">
        <v>369</v>
      </c>
      <c r="Y83" s="1443">
        <v>200169133</v>
      </c>
      <c r="Z83" s="1443"/>
      <c r="AA83" s="20"/>
      <c r="AE83" s="3"/>
      <c r="AF83" s="3"/>
      <c r="AH83" s="844">
        <f>AH43</f>
        <v>0.2414</v>
      </c>
      <c r="AI83" s="39"/>
      <c r="AJ83" s="39"/>
      <c r="AK83" s="39"/>
      <c r="AL83" s="39">
        <f t="shared" ref="AL83" si="17">AD$78*AH83+SUM(AI83:AK83)</f>
        <v>1.0209208333333335</v>
      </c>
      <c r="AM83" s="3" t="s">
        <v>371</v>
      </c>
      <c r="AN83" s="3" t="s">
        <v>371</v>
      </c>
      <c r="AO83" s="3" t="s">
        <v>371</v>
      </c>
      <c r="AP83" s="3" t="s">
        <v>371</v>
      </c>
      <c r="AR83" s="139"/>
      <c r="AS83" s="139"/>
      <c r="AT83" s="139"/>
      <c r="AU83" s="139"/>
    </row>
    <row r="84" spans="1:47" ht="15" customHeight="1" thickBot="1" x14ac:dyDescent="0.45">
      <c r="B84" s="36"/>
      <c r="C84" s="155"/>
      <c r="D84" s="155"/>
      <c r="E84" s="155"/>
      <c r="F84" s="155"/>
      <c r="G84" s="7"/>
      <c r="H84" s="20"/>
      <c r="P84" s="24"/>
      <c r="Q84" s="24"/>
      <c r="U84" s="20"/>
      <c r="V84" s="279" t="s">
        <v>369</v>
      </c>
      <c r="W84" s="112" t="s">
        <v>1849</v>
      </c>
      <c r="X84" s="279" t="s">
        <v>369</v>
      </c>
      <c r="Y84" s="1871">
        <v>200169148</v>
      </c>
      <c r="Z84" s="1443"/>
      <c r="AA84" s="20"/>
      <c r="AE84" s="3"/>
      <c r="AF84" s="3"/>
      <c r="AH84" s="51">
        <v>0</v>
      </c>
      <c r="AI84" s="39"/>
      <c r="AJ84" s="39"/>
      <c r="AK84" s="39"/>
      <c r="AL84" s="39">
        <f t="shared" ref="AL84" si="18">AD$78*AH84+SUM(AI84:AK84)</f>
        <v>0</v>
      </c>
      <c r="AM84" s="889" t="s">
        <v>371</v>
      </c>
      <c r="AN84" s="889" t="s">
        <v>371</v>
      </c>
      <c r="AO84" s="889" t="s">
        <v>81</v>
      </c>
      <c r="AP84" s="889" t="s">
        <v>92</v>
      </c>
      <c r="AQ84" s="889"/>
      <c r="AR84" s="139"/>
      <c r="AS84" s="139"/>
      <c r="AT84" s="139"/>
      <c r="AU84" s="139"/>
    </row>
    <row r="85" spans="1:47" ht="15" customHeight="1" x14ac:dyDescent="0.4">
      <c r="B85" s="3"/>
      <c r="C85" s="173" t="s">
        <v>398</v>
      </c>
      <c r="D85" s="181"/>
      <c r="E85" s="182"/>
      <c r="F85" s="182"/>
      <c r="G85" s="173"/>
      <c r="H85" s="175"/>
      <c r="I85" s="116" t="s">
        <v>392</v>
      </c>
      <c r="J85" s="116"/>
      <c r="K85" s="116"/>
      <c r="L85" s="116" t="s">
        <v>348</v>
      </c>
      <c r="M85" s="177">
        <v>0.438</v>
      </c>
      <c r="N85" s="177"/>
      <c r="O85" s="177"/>
      <c r="P85" s="178"/>
      <c r="Q85" s="178"/>
      <c r="R85" s="116" t="s">
        <v>352</v>
      </c>
      <c r="S85" s="177">
        <f>SL2Width+M85+O85</f>
        <v>47.938000000000002</v>
      </c>
      <c r="T85" s="116" t="s">
        <v>366</v>
      </c>
      <c r="U85" s="175"/>
      <c r="V85" s="179"/>
      <c r="W85" s="116"/>
      <c r="X85" s="179"/>
      <c r="Y85" s="1449"/>
      <c r="Z85" s="1449"/>
      <c r="AA85" s="175"/>
      <c r="AB85" s="116">
        <v>45</v>
      </c>
      <c r="AC85" s="116">
        <v>1</v>
      </c>
      <c r="AD85" s="177">
        <f>AC85*S85/12</f>
        <v>3.9948333333333337</v>
      </c>
      <c r="AE85" s="116" t="s">
        <v>367</v>
      </c>
      <c r="AF85" s="116">
        <f>AF49</f>
        <v>9.4E-2</v>
      </c>
      <c r="AG85" s="177">
        <f>AF85*AtolbperftSL2</f>
        <v>5.9454999999999994E-2</v>
      </c>
      <c r="AH85" s="185"/>
      <c r="AI85" s="185"/>
      <c r="AJ85" s="185"/>
      <c r="AK85" s="185"/>
      <c r="AL85" s="180"/>
      <c r="AM85" s="3" t="s">
        <v>371</v>
      </c>
      <c r="AN85" s="3" t="s">
        <v>371</v>
      </c>
      <c r="AO85" s="3" t="s">
        <v>371</v>
      </c>
      <c r="AP85" s="3" t="s">
        <v>371</v>
      </c>
      <c r="AR85" s="139"/>
      <c r="AS85" s="139"/>
      <c r="AT85" s="139"/>
      <c r="AU85" s="139"/>
    </row>
    <row r="86" spans="1:47" ht="15" customHeight="1" x14ac:dyDescent="0.4">
      <c r="B86" s="36"/>
      <c r="C86" s="36"/>
      <c r="D86" s="155"/>
      <c r="E86" s="155"/>
      <c r="F86" s="155"/>
      <c r="G86" s="7"/>
      <c r="H86" s="20"/>
      <c r="P86" s="24"/>
      <c r="Q86" s="24"/>
      <c r="U86" s="20"/>
      <c r="V86" s="38" t="s">
        <v>369</v>
      </c>
      <c r="W86" s="3" t="s">
        <v>370</v>
      </c>
      <c r="X86" s="38" t="s">
        <v>369</v>
      </c>
      <c r="Y86" s="1443">
        <v>200178003</v>
      </c>
      <c r="Z86" s="1443"/>
      <c r="AA86" s="20"/>
      <c r="AE86" s="3"/>
      <c r="AF86" s="38"/>
      <c r="AH86" s="51">
        <f>AH50</f>
        <v>0.10290000000000001</v>
      </c>
      <c r="AI86" s="39"/>
      <c r="AJ86" s="39"/>
      <c r="AK86" s="39"/>
      <c r="AL86" s="39">
        <f>AD$85*AH86+SUM(AI86:AK86)</f>
        <v>0.41106835000000008</v>
      </c>
      <c r="AM86" s="3" t="s">
        <v>371</v>
      </c>
      <c r="AN86" s="3" t="s">
        <v>371</v>
      </c>
      <c r="AO86" s="3" t="s">
        <v>371</v>
      </c>
      <c r="AP86" s="3" t="s">
        <v>92</v>
      </c>
      <c r="AR86" s="139"/>
      <c r="AS86" s="139"/>
      <c r="AT86" s="139"/>
      <c r="AU86" s="139"/>
    </row>
    <row r="87" spans="1:47" ht="15" customHeight="1" x14ac:dyDescent="0.4">
      <c r="B87" s="36"/>
      <c r="C87" s="36"/>
      <c r="D87" s="155"/>
      <c r="E87" s="155"/>
      <c r="F87" s="155"/>
      <c r="G87" s="7"/>
      <c r="H87" s="20"/>
      <c r="P87" s="24"/>
      <c r="Q87" s="24"/>
      <c r="U87" s="20"/>
      <c r="V87" s="38" t="s">
        <v>369</v>
      </c>
      <c r="W87" s="3" t="s">
        <v>372</v>
      </c>
      <c r="X87" s="38" t="s">
        <v>369</v>
      </c>
      <c r="Y87" s="1443">
        <v>200178021</v>
      </c>
      <c r="Z87" s="1443"/>
      <c r="AA87" s="20"/>
      <c r="AE87" s="3"/>
      <c r="AF87" s="3"/>
      <c r="AH87" s="51">
        <f>AH51</f>
        <v>0.112</v>
      </c>
      <c r="AI87" s="39"/>
      <c r="AJ87" s="39"/>
      <c r="AK87" s="39"/>
      <c r="AL87" s="39">
        <f t="shared" ref="AL87:AL88" si="19">AD$85*AH87+SUM(AI87:AK87)</f>
        <v>0.44742133333333339</v>
      </c>
      <c r="AM87" s="3" t="s">
        <v>371</v>
      </c>
      <c r="AN87" s="3" t="s">
        <v>371</v>
      </c>
      <c r="AO87" s="3" t="s">
        <v>371</v>
      </c>
      <c r="AP87" s="3" t="s">
        <v>92</v>
      </c>
      <c r="AR87" s="139"/>
      <c r="AS87" s="139"/>
      <c r="AT87" s="139"/>
      <c r="AU87" s="139"/>
    </row>
    <row r="88" spans="1:47" ht="15" customHeight="1" x14ac:dyDescent="0.4">
      <c r="B88" s="36"/>
      <c r="C88" s="36"/>
      <c r="D88" s="155"/>
      <c r="E88" s="155"/>
      <c r="F88" s="155"/>
      <c r="G88" s="7"/>
      <c r="H88" s="20"/>
      <c r="P88" s="24"/>
      <c r="Q88" s="24"/>
      <c r="U88" s="20"/>
      <c r="V88" s="38" t="s">
        <v>369</v>
      </c>
      <c r="W88" s="3" t="s">
        <v>373</v>
      </c>
      <c r="X88" s="38" t="s">
        <v>369</v>
      </c>
      <c r="Y88" s="1443">
        <v>200178033</v>
      </c>
      <c r="Z88" s="1443"/>
      <c r="AA88" s="20"/>
      <c r="AE88" s="3"/>
      <c r="AF88" s="3"/>
      <c r="AH88" s="51">
        <f>AH52</f>
        <v>0.1135</v>
      </c>
      <c r="AI88" s="39"/>
      <c r="AJ88" s="39"/>
      <c r="AK88" s="39"/>
      <c r="AL88" s="39">
        <f t="shared" si="19"/>
        <v>0.45341358333333337</v>
      </c>
      <c r="AM88" s="3" t="s">
        <v>371</v>
      </c>
      <c r="AN88" s="3" t="s">
        <v>371</v>
      </c>
      <c r="AO88" s="3" t="s">
        <v>371</v>
      </c>
      <c r="AP88" s="3" t="s">
        <v>92</v>
      </c>
      <c r="AR88" s="139"/>
      <c r="AS88" s="139"/>
      <c r="AT88" s="139"/>
      <c r="AU88" s="139"/>
    </row>
    <row r="89" spans="1:47" ht="15" customHeight="1" x14ac:dyDescent="0.4">
      <c r="B89" s="36"/>
      <c r="C89" s="36"/>
      <c r="D89" s="155"/>
      <c r="E89" s="155"/>
      <c r="F89" s="155"/>
      <c r="G89" s="7"/>
      <c r="H89" s="20"/>
      <c r="P89" s="24"/>
      <c r="Q89" s="24"/>
      <c r="U89" s="20"/>
      <c r="V89" s="38" t="s">
        <v>369</v>
      </c>
      <c r="W89" s="3" t="s">
        <v>374</v>
      </c>
      <c r="X89" s="38" t="s">
        <v>369</v>
      </c>
      <c r="Y89" s="1443">
        <v>200178090</v>
      </c>
      <c r="Z89" s="1443"/>
      <c r="AA89" s="20"/>
      <c r="AE89" s="3"/>
      <c r="AF89" s="3"/>
      <c r="AH89" s="51">
        <f>AH53</f>
        <v>0.22839999999999999</v>
      </c>
      <c r="AI89" s="39"/>
      <c r="AJ89" s="39"/>
      <c r="AK89" s="39"/>
      <c r="AL89" s="39">
        <f>AD$85*AH89+SUM(AI89:AK89)</f>
        <v>0.91241993333333338</v>
      </c>
      <c r="AM89" s="3" t="s">
        <v>371</v>
      </c>
      <c r="AN89" s="3" t="s">
        <v>371</v>
      </c>
      <c r="AO89" s="3" t="s">
        <v>371</v>
      </c>
      <c r="AP89" s="3" t="s">
        <v>92</v>
      </c>
      <c r="AR89" s="139"/>
      <c r="AS89" s="139"/>
      <c r="AT89" s="139"/>
      <c r="AU89" s="139"/>
    </row>
    <row r="90" spans="1:47" ht="15" customHeight="1" x14ac:dyDescent="0.4">
      <c r="B90" s="36"/>
      <c r="C90" s="36"/>
      <c r="D90" s="155"/>
      <c r="E90" s="155"/>
      <c r="F90" s="155"/>
      <c r="G90" s="7"/>
      <c r="H90" s="20"/>
      <c r="P90" s="24"/>
      <c r="Q90" s="24"/>
      <c r="U90" s="20"/>
      <c r="V90" s="38" t="s">
        <v>369</v>
      </c>
      <c r="W90" s="3" t="s">
        <v>375</v>
      </c>
      <c r="X90" s="38" t="s">
        <v>369</v>
      </c>
      <c r="Y90" s="1443">
        <v>200178133</v>
      </c>
      <c r="Z90" s="1443"/>
      <c r="AA90" s="20"/>
      <c r="AE90" s="3"/>
      <c r="AF90" s="3"/>
      <c r="AH90" s="844">
        <f>AH54</f>
        <v>0.254</v>
      </c>
      <c r="AI90" s="39"/>
      <c r="AJ90" s="39"/>
      <c r="AK90" s="39"/>
      <c r="AL90" s="39">
        <f t="shared" ref="AL90" si="20">AD$85*AH90+SUM(AI90:AK90)</f>
        <v>1.0146876666666669</v>
      </c>
      <c r="AM90" s="3" t="s">
        <v>371</v>
      </c>
      <c r="AN90" s="3" t="s">
        <v>371</v>
      </c>
      <c r="AO90" s="3" t="s">
        <v>371</v>
      </c>
      <c r="AP90" s="3" t="s">
        <v>371</v>
      </c>
      <c r="AR90" s="139"/>
      <c r="AS90" s="139"/>
      <c r="AT90" s="139"/>
      <c r="AU90" s="139"/>
    </row>
    <row r="91" spans="1:47" ht="15" customHeight="1" thickBot="1" x14ac:dyDescent="0.45">
      <c r="B91" s="36"/>
      <c r="C91" s="36"/>
      <c r="D91" s="155"/>
      <c r="E91" s="155"/>
      <c r="F91" s="155"/>
      <c r="G91" s="7"/>
      <c r="H91" s="20"/>
      <c r="P91" s="24"/>
      <c r="Q91" s="24"/>
      <c r="U91" s="20"/>
      <c r="V91" s="279" t="s">
        <v>369</v>
      </c>
      <c r="W91" s="112" t="s">
        <v>1849</v>
      </c>
      <c r="X91" s="279" t="s">
        <v>369</v>
      </c>
      <c r="Y91" s="1871">
        <v>200178148</v>
      </c>
      <c r="Z91" s="1443"/>
      <c r="AA91" s="20"/>
      <c r="AE91" s="3"/>
      <c r="AF91" s="3"/>
      <c r="AH91" s="51">
        <v>0</v>
      </c>
      <c r="AI91" s="39"/>
      <c r="AJ91" s="39"/>
      <c r="AK91" s="39"/>
      <c r="AL91" s="39">
        <f t="shared" ref="AL91" si="21">AD$85*AH91+SUM(AI91:AK91)</f>
        <v>0</v>
      </c>
      <c r="AM91" s="889" t="s">
        <v>371</v>
      </c>
      <c r="AN91" s="889" t="s">
        <v>371</v>
      </c>
      <c r="AO91" s="889" t="s">
        <v>371</v>
      </c>
      <c r="AP91" s="889" t="s">
        <v>92</v>
      </c>
      <c r="AQ91" s="889"/>
      <c r="AR91" s="139"/>
      <c r="AS91" s="139"/>
      <c r="AT91" s="139"/>
      <c r="AU91" s="139"/>
    </row>
    <row r="92" spans="1:47" ht="15" customHeight="1" thickBot="1" x14ac:dyDescent="0.45">
      <c r="B92" s="7" t="s">
        <v>401</v>
      </c>
      <c r="C92" s="173"/>
      <c r="D92" s="116"/>
      <c r="E92" s="116"/>
      <c r="F92" s="174"/>
      <c r="G92" s="173"/>
      <c r="H92" s="175"/>
      <c r="I92" s="116"/>
      <c r="J92" s="116"/>
      <c r="K92" s="116"/>
      <c r="L92" s="116"/>
      <c r="M92" s="116"/>
      <c r="N92" s="177"/>
      <c r="O92" s="177"/>
      <c r="P92" s="177"/>
      <c r="Q92" s="177"/>
      <c r="R92" s="116"/>
      <c r="S92" s="177"/>
      <c r="T92" s="116"/>
      <c r="U92" s="175"/>
      <c r="V92" s="173"/>
      <c r="W92" s="173"/>
      <c r="X92" s="173"/>
      <c r="Y92" s="1449"/>
      <c r="Z92" s="1449"/>
      <c r="AA92" s="175"/>
      <c r="AB92" s="116"/>
      <c r="AC92" s="116"/>
      <c r="AD92" s="177"/>
      <c r="AE92" s="116"/>
      <c r="AF92" s="179"/>
      <c r="AG92" s="177"/>
      <c r="AH92" s="185"/>
      <c r="AI92" s="185"/>
      <c r="AJ92" s="185"/>
      <c r="AK92" s="185"/>
      <c r="AL92" s="180"/>
      <c r="AM92" s="136" t="s">
        <v>81</v>
      </c>
      <c r="AN92" s="136" t="s">
        <v>81</v>
      </c>
      <c r="AO92" s="136" t="s">
        <v>81</v>
      </c>
      <c r="AP92" s="136" t="s">
        <v>81</v>
      </c>
      <c r="AQ92" s="136"/>
      <c r="AR92" s="139"/>
      <c r="AS92" s="139"/>
      <c r="AT92" s="139"/>
      <c r="AU92" s="139"/>
    </row>
    <row r="93" spans="1:47" ht="15" customHeight="1" x14ac:dyDescent="0.4">
      <c r="A93" s="3" t="s">
        <v>402</v>
      </c>
      <c r="B93" s="173"/>
      <c r="C93" s="173" t="s">
        <v>403</v>
      </c>
      <c r="D93" s="182"/>
      <c r="E93" s="182" t="s">
        <v>1222</v>
      </c>
      <c r="F93" s="173"/>
      <c r="G93" s="173"/>
      <c r="H93" s="175"/>
      <c r="I93" s="116" t="s">
        <v>392</v>
      </c>
      <c r="J93" s="116"/>
      <c r="K93" s="116"/>
      <c r="L93" s="116" t="s">
        <v>348</v>
      </c>
      <c r="M93" s="177">
        <f>1.375*2</f>
        <v>2.75</v>
      </c>
      <c r="N93" s="177" t="s">
        <v>348</v>
      </c>
      <c r="O93" s="177">
        <f>0.25</f>
        <v>0.25</v>
      </c>
      <c r="P93" s="177"/>
      <c r="Q93" s="177"/>
      <c r="R93" s="116" t="s">
        <v>352</v>
      </c>
      <c r="S93" s="177">
        <f>SL2Width+M93+O93</f>
        <v>50.5</v>
      </c>
      <c r="T93" s="116" t="s">
        <v>366</v>
      </c>
      <c r="U93" s="175"/>
      <c r="V93" s="179"/>
      <c r="W93" s="116"/>
      <c r="X93" s="179"/>
      <c r="Y93" s="1449"/>
      <c r="Z93" s="1449"/>
      <c r="AA93" s="175"/>
      <c r="AB93" s="116">
        <v>45</v>
      </c>
      <c r="AC93" s="116">
        <v>1</v>
      </c>
      <c r="AD93" s="177">
        <f>AC93*S93/12</f>
        <v>4.208333333333333</v>
      </c>
      <c r="AE93" s="116" t="s">
        <v>367</v>
      </c>
      <c r="AF93" s="179">
        <f>AF57</f>
        <v>1.212</v>
      </c>
      <c r="AG93" s="177">
        <f>AF93*AtolbperftSL2</f>
        <v>0.76658999999999988</v>
      </c>
      <c r="AH93" s="185"/>
      <c r="AI93" s="185"/>
      <c r="AJ93" s="185"/>
      <c r="AK93" s="185"/>
      <c r="AL93" s="180"/>
      <c r="AM93" s="3" t="s">
        <v>81</v>
      </c>
      <c r="AN93" s="3" t="s">
        <v>81</v>
      </c>
      <c r="AO93" s="3" t="s">
        <v>81</v>
      </c>
      <c r="AP93" s="3" t="s">
        <v>81</v>
      </c>
      <c r="AR93" s="139"/>
      <c r="AS93" s="139"/>
      <c r="AT93" s="139"/>
      <c r="AU93" s="139"/>
    </row>
    <row r="94" spans="1:47" ht="15" customHeight="1" x14ac:dyDescent="0.4">
      <c r="C94" s="36"/>
      <c r="D94" s="7"/>
      <c r="E94" s="47" t="s">
        <v>393</v>
      </c>
      <c r="F94" s="3"/>
      <c r="G94" s="7"/>
      <c r="H94" s="20"/>
      <c r="I94" s="3" t="s">
        <v>392</v>
      </c>
      <c r="L94" s="3" t="s">
        <v>348</v>
      </c>
      <c r="M94" s="5">
        <v>0</v>
      </c>
      <c r="N94" s="5" t="s">
        <v>348</v>
      </c>
      <c r="O94" s="5">
        <v>0.25</v>
      </c>
      <c r="R94" s="3" t="s">
        <v>352</v>
      </c>
      <c r="S94" s="5">
        <f>SL2Width+M94+O94</f>
        <v>47.75</v>
      </c>
      <c r="T94" s="3" t="s">
        <v>366</v>
      </c>
      <c r="U94" s="20"/>
      <c r="V94" s="38" t="s">
        <v>369</v>
      </c>
      <c r="W94" s="3" t="s">
        <v>370</v>
      </c>
      <c r="X94" s="38" t="s">
        <v>369</v>
      </c>
      <c r="Y94" s="1443">
        <v>200153003</v>
      </c>
      <c r="Z94" s="1443"/>
      <c r="AA94" s="20"/>
      <c r="AE94" s="3"/>
      <c r="AF94" s="38"/>
      <c r="AH94" s="51">
        <f t="shared" ref="AH94:AH100" si="22">AH58</f>
        <v>0.60570000000000002</v>
      </c>
      <c r="AI94" s="39"/>
      <c r="AJ94" s="39"/>
      <c r="AK94" s="39"/>
      <c r="AL94" s="39">
        <f>AD$93*AH94+SUM(AI94:AK94)</f>
        <v>2.5489875</v>
      </c>
      <c r="AM94" s="3" t="s">
        <v>81</v>
      </c>
      <c r="AN94" s="3" t="s">
        <v>81</v>
      </c>
      <c r="AO94" s="3" t="s">
        <v>371</v>
      </c>
      <c r="AP94" s="3" t="s">
        <v>92</v>
      </c>
      <c r="AR94" s="444"/>
      <c r="AS94" s="139"/>
      <c r="AT94" s="139"/>
      <c r="AU94" s="139"/>
    </row>
    <row r="95" spans="1:47" ht="15" customHeight="1" x14ac:dyDescent="0.4">
      <c r="C95" s="36"/>
      <c r="D95" s="7"/>
      <c r="E95" s="155"/>
      <c r="F95" s="155"/>
      <c r="G95" s="7"/>
      <c r="H95" s="20"/>
      <c r="U95" s="20"/>
      <c r="V95" s="38" t="s">
        <v>369</v>
      </c>
      <c r="W95" s="3" t="s">
        <v>372</v>
      </c>
      <c r="X95" s="38" t="s">
        <v>369</v>
      </c>
      <c r="Y95" s="1443">
        <v>200153021</v>
      </c>
      <c r="Z95" s="1443"/>
      <c r="AA95" s="20"/>
      <c r="AE95" s="3"/>
      <c r="AF95" s="38"/>
      <c r="AH95" s="51">
        <f t="shared" si="22"/>
        <v>0.65820000000000001</v>
      </c>
      <c r="AI95" s="39"/>
      <c r="AJ95" s="39"/>
      <c r="AK95" s="39"/>
      <c r="AL95" s="39">
        <f t="shared" ref="AL95:AL101" si="23">AD$93*AH95+SUM(AI95:AK95)</f>
        <v>2.7699249999999997</v>
      </c>
      <c r="AM95" s="3" t="s">
        <v>371</v>
      </c>
      <c r="AN95" s="3" t="s">
        <v>371</v>
      </c>
      <c r="AO95" s="3" t="s">
        <v>371</v>
      </c>
      <c r="AP95" s="3" t="s">
        <v>92</v>
      </c>
      <c r="AR95" s="444"/>
      <c r="AS95" s="139"/>
      <c r="AT95" s="139"/>
      <c r="AU95" s="139"/>
    </row>
    <row r="96" spans="1:47" ht="15" customHeight="1" x14ac:dyDescent="0.4">
      <c r="C96" s="36"/>
      <c r="D96" s="7"/>
      <c r="E96" s="155"/>
      <c r="F96" s="155"/>
      <c r="G96" s="7"/>
      <c r="H96" s="20"/>
      <c r="U96" s="20"/>
      <c r="V96" s="38" t="s">
        <v>369</v>
      </c>
      <c r="W96" s="3" t="s">
        <v>373</v>
      </c>
      <c r="X96" s="38" t="s">
        <v>369</v>
      </c>
      <c r="Y96" s="1443">
        <v>200153033</v>
      </c>
      <c r="Z96" s="1443"/>
      <c r="AA96" s="20"/>
      <c r="AE96" s="3"/>
      <c r="AF96" s="38"/>
      <c r="AH96" s="51">
        <f t="shared" si="22"/>
        <v>0.73070000000000002</v>
      </c>
      <c r="AI96" s="39"/>
      <c r="AJ96" s="39"/>
      <c r="AK96" s="39"/>
      <c r="AL96" s="39">
        <f t="shared" si="23"/>
        <v>3.0750291666666665</v>
      </c>
      <c r="AM96" s="3" t="s">
        <v>371</v>
      </c>
      <c r="AN96" s="3" t="s">
        <v>371</v>
      </c>
      <c r="AO96" s="3" t="s">
        <v>371</v>
      </c>
      <c r="AP96" s="3" t="s">
        <v>92</v>
      </c>
      <c r="AR96" s="446"/>
      <c r="AS96" s="139"/>
      <c r="AT96" s="139"/>
      <c r="AU96" s="139"/>
    </row>
    <row r="97" spans="2:47" ht="15" customHeight="1" x14ac:dyDescent="0.4">
      <c r="C97" s="36"/>
      <c r="D97" s="7"/>
      <c r="E97" s="155"/>
      <c r="F97" s="155"/>
      <c r="G97" s="7"/>
      <c r="H97" s="20"/>
      <c r="U97" s="20"/>
      <c r="V97" s="3" t="s">
        <v>2363</v>
      </c>
      <c r="W97" s="3" t="s">
        <v>370</v>
      </c>
      <c r="X97" s="38" t="s">
        <v>369</v>
      </c>
      <c r="Y97" s="1443">
        <v>200153127</v>
      </c>
      <c r="Z97" s="1443"/>
      <c r="AA97" s="20"/>
      <c r="AE97" s="3"/>
      <c r="AF97" s="38"/>
      <c r="AH97" s="51">
        <f t="shared" si="22"/>
        <v>0.94010000000000005</v>
      </c>
      <c r="AI97" s="39"/>
      <c r="AJ97" s="39"/>
      <c r="AK97" s="39"/>
      <c r="AL97" s="39">
        <f t="shared" si="23"/>
        <v>3.9562541666666666</v>
      </c>
      <c r="AM97" s="3" t="s">
        <v>371</v>
      </c>
      <c r="AN97" s="3" t="s">
        <v>371</v>
      </c>
      <c r="AO97" s="3" t="s">
        <v>81</v>
      </c>
      <c r="AP97" s="3" t="s">
        <v>92</v>
      </c>
      <c r="AR97" s="446"/>
      <c r="AS97" s="139"/>
      <c r="AT97" s="139"/>
      <c r="AU97" s="139"/>
    </row>
    <row r="98" spans="2:47" ht="15" customHeight="1" x14ac:dyDescent="0.4">
      <c r="C98" s="36"/>
      <c r="D98" s="7"/>
      <c r="E98" s="155"/>
      <c r="F98" s="155"/>
      <c r="G98" s="7"/>
      <c r="H98" s="20"/>
      <c r="U98" s="20"/>
      <c r="V98" s="572" t="s">
        <v>2366</v>
      </c>
      <c r="W98" s="572" t="s">
        <v>370</v>
      </c>
      <c r="X98" s="571" t="s">
        <v>369</v>
      </c>
      <c r="Y98" s="1447">
        <v>200153128</v>
      </c>
      <c r="Z98" s="1443"/>
      <c r="AA98" s="20"/>
      <c r="AE98" s="3"/>
      <c r="AF98" s="38"/>
      <c r="AH98" s="51">
        <f t="shared" si="22"/>
        <v>0.77329999999999999</v>
      </c>
      <c r="AI98" s="39"/>
      <c r="AJ98" s="39"/>
      <c r="AK98" s="39"/>
      <c r="AL98" s="39">
        <f t="shared" si="23"/>
        <v>3.2543041666666666</v>
      </c>
      <c r="AM98" s="3" t="s">
        <v>371</v>
      </c>
      <c r="AN98" s="3" t="s">
        <v>371</v>
      </c>
      <c r="AO98" s="3" t="s">
        <v>371</v>
      </c>
      <c r="AP98" s="3" t="s">
        <v>92</v>
      </c>
      <c r="AR98" s="446"/>
      <c r="AS98" s="139"/>
      <c r="AT98" s="139"/>
      <c r="AU98" s="139"/>
    </row>
    <row r="99" spans="2:47" ht="15" customHeight="1" x14ac:dyDescent="0.4">
      <c r="C99" s="36"/>
      <c r="D99" s="7"/>
      <c r="E99" s="155"/>
      <c r="F99" s="155"/>
      <c r="G99" s="7"/>
      <c r="H99" s="20"/>
      <c r="U99" s="20"/>
      <c r="V99" s="3" t="s">
        <v>2364</v>
      </c>
      <c r="W99" s="3" t="s">
        <v>370</v>
      </c>
      <c r="X99" s="38" t="s">
        <v>369</v>
      </c>
      <c r="Y99" s="1443">
        <v>200153129</v>
      </c>
      <c r="Z99" s="1443"/>
      <c r="AA99" s="20"/>
      <c r="AE99" s="3"/>
      <c r="AF99" s="38"/>
      <c r="AH99" s="51">
        <f t="shared" si="22"/>
        <v>0.77329999999999999</v>
      </c>
      <c r="AI99" s="39"/>
      <c r="AJ99" s="39"/>
      <c r="AK99" s="39"/>
      <c r="AL99" s="39">
        <f>AD$93*AH99+SUM(AI99:AK99)</f>
        <v>3.2543041666666666</v>
      </c>
      <c r="AM99" s="3" t="s">
        <v>371</v>
      </c>
      <c r="AN99" s="3" t="s">
        <v>371</v>
      </c>
      <c r="AO99" s="3" t="s">
        <v>371</v>
      </c>
      <c r="AP99" s="3" t="s">
        <v>92</v>
      </c>
      <c r="AR99" s="446"/>
      <c r="AS99" s="139"/>
      <c r="AT99" s="139"/>
      <c r="AU99" s="139"/>
    </row>
    <row r="100" spans="2:47" ht="15" customHeight="1" x14ac:dyDescent="0.4">
      <c r="C100" s="36"/>
      <c r="D100" s="7"/>
      <c r="E100" s="155"/>
      <c r="F100" s="155"/>
      <c r="G100" s="7"/>
      <c r="H100" s="20"/>
      <c r="U100" s="20"/>
      <c r="V100" s="3" t="s">
        <v>2365</v>
      </c>
      <c r="W100" s="3" t="s">
        <v>370</v>
      </c>
      <c r="X100" s="38" t="s">
        <v>369</v>
      </c>
      <c r="Y100" s="1443">
        <v>200153180</v>
      </c>
      <c r="Z100" s="1443"/>
      <c r="AA100" s="20"/>
      <c r="AE100" s="3"/>
      <c r="AF100" s="38"/>
      <c r="AH100" s="844">
        <f t="shared" si="22"/>
        <v>0</v>
      </c>
      <c r="AI100" s="39"/>
      <c r="AJ100" s="39"/>
      <c r="AK100" s="39"/>
      <c r="AL100" s="39">
        <f t="shared" ref="AL100" si="24">AD$93*AH100+SUM(AI100:AK100)</f>
        <v>0</v>
      </c>
      <c r="AM100" s="3" t="s">
        <v>371</v>
      </c>
      <c r="AN100" s="3" t="s">
        <v>371</v>
      </c>
      <c r="AO100" s="3" t="s">
        <v>371</v>
      </c>
      <c r="AP100" s="3" t="s">
        <v>92</v>
      </c>
      <c r="AR100" s="446"/>
      <c r="AS100" s="139"/>
      <c r="AT100" s="139"/>
      <c r="AU100" s="139"/>
    </row>
    <row r="101" spans="2:47" ht="15" customHeight="1" x14ac:dyDescent="0.4">
      <c r="C101" s="36"/>
      <c r="D101" s="7"/>
      <c r="E101" s="155"/>
      <c r="F101" s="155"/>
      <c r="G101" s="7"/>
      <c r="H101" s="20"/>
      <c r="U101" s="20"/>
      <c r="V101" s="112" t="s">
        <v>2367</v>
      </c>
      <c r="W101" s="112" t="s">
        <v>370</v>
      </c>
      <c r="X101" s="279" t="s">
        <v>369</v>
      </c>
      <c r="Y101" s="1871">
        <v>200153152</v>
      </c>
      <c r="Z101" s="1443"/>
      <c r="AA101" s="20"/>
      <c r="AE101" s="3"/>
      <c r="AF101" s="38"/>
      <c r="AH101" s="51">
        <v>0</v>
      </c>
      <c r="AI101" s="39"/>
      <c r="AJ101" s="39"/>
      <c r="AK101" s="39"/>
      <c r="AL101" s="39">
        <f t="shared" si="23"/>
        <v>0</v>
      </c>
      <c r="AM101" s="3" t="s">
        <v>371</v>
      </c>
      <c r="AN101" s="3" t="s">
        <v>371</v>
      </c>
      <c r="AO101" s="3" t="s">
        <v>371</v>
      </c>
      <c r="AP101" s="3" t="s">
        <v>92</v>
      </c>
      <c r="AR101" s="446"/>
      <c r="AS101" s="139"/>
      <c r="AT101" s="139"/>
      <c r="AU101" s="139"/>
    </row>
    <row r="102" spans="2:47" ht="15" customHeight="1" x14ac:dyDescent="0.4">
      <c r="C102" s="36"/>
      <c r="D102" s="7"/>
      <c r="E102" s="623"/>
      <c r="F102" s="623"/>
      <c r="G102" s="221"/>
      <c r="H102" s="624"/>
      <c r="I102" s="577"/>
      <c r="J102" s="577"/>
      <c r="K102" s="577"/>
      <c r="L102" s="577"/>
      <c r="M102" s="575"/>
      <c r="N102" s="575"/>
      <c r="O102" s="575"/>
      <c r="P102" s="575"/>
      <c r="Q102" s="575"/>
      <c r="R102" s="577"/>
      <c r="S102" s="575"/>
      <c r="T102" s="577"/>
      <c r="U102" s="624"/>
      <c r="V102" s="577" t="s">
        <v>2365</v>
      </c>
      <c r="W102" s="577" t="s">
        <v>370</v>
      </c>
      <c r="X102" s="579" t="s">
        <v>2365</v>
      </c>
      <c r="Y102" s="1446">
        <v>200153181</v>
      </c>
      <c r="Z102" s="1446"/>
      <c r="AA102" s="624"/>
      <c r="AB102" s="577"/>
      <c r="AC102" s="577"/>
      <c r="AD102" s="575"/>
      <c r="AE102" s="577"/>
      <c r="AF102" s="579"/>
      <c r="AG102" s="575"/>
      <c r="AH102" s="626">
        <v>1</v>
      </c>
      <c r="AI102" s="581"/>
      <c r="AJ102" s="581"/>
      <c r="AK102" s="581"/>
      <c r="AL102" s="581">
        <f t="shared" ref="AL102" si="25">AD$93*AH102+SUM(AI102:AK102)</f>
        <v>4.208333333333333</v>
      </c>
      <c r="AM102" s="577" t="s">
        <v>92</v>
      </c>
      <c r="AN102" s="577" t="s">
        <v>92</v>
      </c>
      <c r="AO102" s="577" t="s">
        <v>92</v>
      </c>
      <c r="AP102" s="577" t="s">
        <v>81</v>
      </c>
      <c r="AQ102" s="577"/>
      <c r="AR102" s="446"/>
      <c r="AS102" s="139"/>
      <c r="AT102" s="139"/>
      <c r="AU102" s="139"/>
    </row>
    <row r="103" spans="2:47" ht="15" customHeight="1" x14ac:dyDescent="0.4">
      <c r="C103" s="36"/>
      <c r="D103" s="36"/>
      <c r="E103" s="447" t="s">
        <v>1220</v>
      </c>
      <c r="F103" s="155"/>
      <c r="G103" s="7"/>
      <c r="H103" s="20"/>
      <c r="I103" s="3" t="s">
        <v>392</v>
      </c>
      <c r="L103" s="3" t="s">
        <v>348</v>
      </c>
      <c r="M103" s="5">
        <v>0</v>
      </c>
      <c r="R103" s="3" t="s">
        <v>352</v>
      </c>
      <c r="S103" s="5">
        <f>SL2Width+M103</f>
        <v>47.5</v>
      </c>
      <c r="T103" s="3" t="s">
        <v>366</v>
      </c>
      <c r="U103" s="20"/>
      <c r="V103" s="38" t="s">
        <v>369</v>
      </c>
      <c r="W103" s="3" t="s">
        <v>405</v>
      </c>
      <c r="X103" s="38" t="s">
        <v>369</v>
      </c>
      <c r="Y103" s="1443">
        <v>600042010</v>
      </c>
      <c r="Z103" s="1443"/>
      <c r="AA103" s="20"/>
      <c r="AB103" s="3">
        <v>45</v>
      </c>
      <c r="AC103" s="3">
        <v>1</v>
      </c>
      <c r="AD103" s="5">
        <f>S103*AC103/12</f>
        <v>3.9583333333333335</v>
      </c>
      <c r="AE103" s="3" t="s">
        <v>367</v>
      </c>
      <c r="AF103" s="38" t="s">
        <v>369</v>
      </c>
      <c r="AG103" s="38" t="s">
        <v>369</v>
      </c>
      <c r="AH103" s="51">
        <f>AH67</f>
        <v>1.9E-2</v>
      </c>
      <c r="AI103" s="39"/>
      <c r="AJ103" s="39"/>
      <c r="AK103" s="39"/>
      <c r="AL103" s="39">
        <f>AD$103*AH103+SUM(AI103:AK103)</f>
        <v>7.5208333333333335E-2</v>
      </c>
      <c r="AM103" s="3" t="s">
        <v>81</v>
      </c>
      <c r="AN103" s="3" t="s">
        <v>81</v>
      </c>
      <c r="AO103" s="3" t="s">
        <v>81</v>
      </c>
      <c r="AP103" s="3" t="s">
        <v>81</v>
      </c>
      <c r="AR103" s="140"/>
      <c r="AS103" s="139"/>
      <c r="AT103" s="139"/>
      <c r="AU103" s="139"/>
    </row>
    <row r="104" spans="2:47" ht="15" customHeight="1" x14ac:dyDescent="0.4">
      <c r="C104" s="36"/>
      <c r="D104" s="36"/>
      <c r="E104" s="447" t="s">
        <v>1221</v>
      </c>
      <c r="F104" s="155"/>
      <c r="G104" s="7"/>
      <c r="H104" s="20"/>
      <c r="I104" s="3" t="s">
        <v>392</v>
      </c>
      <c r="L104" s="3" t="s">
        <v>348</v>
      </c>
      <c r="M104" s="5">
        <v>0</v>
      </c>
      <c r="R104" s="3" t="s">
        <v>352</v>
      </c>
      <c r="S104" s="5">
        <f>SL2Width+M104</f>
        <v>47.5</v>
      </c>
      <c r="T104" s="3" t="s">
        <v>366</v>
      </c>
      <c r="U104" s="20"/>
      <c r="V104" s="38" t="s">
        <v>369</v>
      </c>
      <c r="W104" s="3" t="s">
        <v>405</v>
      </c>
      <c r="X104" s="38" t="s">
        <v>369</v>
      </c>
      <c r="Y104" s="1443">
        <v>600050010</v>
      </c>
      <c r="Z104" s="1443"/>
      <c r="AA104" s="20"/>
      <c r="AB104" s="3">
        <v>45</v>
      </c>
      <c r="AE104" s="3"/>
      <c r="AF104" s="38"/>
      <c r="AG104" s="38"/>
      <c r="AH104" s="844">
        <f>AH68</f>
        <v>0</v>
      </c>
      <c r="AI104" s="39"/>
      <c r="AJ104" s="39"/>
      <c r="AK104" s="39"/>
      <c r="AM104" s="3" t="s">
        <v>371</v>
      </c>
      <c r="AN104" s="3" t="s">
        <v>371</v>
      </c>
      <c r="AO104" s="3" t="s">
        <v>371</v>
      </c>
      <c r="AP104" s="3" t="s">
        <v>371</v>
      </c>
      <c r="AR104" s="140"/>
      <c r="AS104" s="139"/>
      <c r="AT104" s="139"/>
      <c r="AU104" s="139"/>
    </row>
    <row r="105" spans="2:47" ht="15" customHeight="1" thickBot="1" x14ac:dyDescent="0.25">
      <c r="C105" s="1849"/>
      <c r="D105" s="1849"/>
      <c r="E105" s="1850" t="s">
        <v>2352</v>
      </c>
      <c r="F105" s="1851"/>
      <c r="G105" s="1852"/>
      <c r="H105" s="1853"/>
      <c r="I105" s="1854" t="s">
        <v>392</v>
      </c>
      <c r="J105" s="1854"/>
      <c r="K105" s="1854"/>
      <c r="L105" s="1854"/>
      <c r="M105" s="1855"/>
      <c r="N105" s="1855"/>
      <c r="O105" s="1855"/>
      <c r="P105" s="1855"/>
      <c r="Q105" s="1855"/>
      <c r="R105" s="1854" t="s">
        <v>352</v>
      </c>
      <c r="S105" s="1855">
        <f>SL2Width</f>
        <v>47.5</v>
      </c>
      <c r="T105" s="1854" t="s">
        <v>366</v>
      </c>
      <c r="U105" s="1853"/>
      <c r="V105" s="1856" t="s">
        <v>369</v>
      </c>
      <c r="W105" s="1854" t="s">
        <v>370</v>
      </c>
      <c r="X105" s="1856" t="s">
        <v>369</v>
      </c>
      <c r="Y105" s="1857" t="s">
        <v>2355</v>
      </c>
      <c r="Z105" s="1858"/>
      <c r="AA105" s="1853"/>
      <c r="AB105" s="1854"/>
      <c r="AC105" s="1854">
        <v>1</v>
      </c>
      <c r="AD105" s="1855">
        <f>AC105*S105/12</f>
        <v>3.9583333333333335</v>
      </c>
      <c r="AE105" s="1854" t="s">
        <v>367</v>
      </c>
      <c r="AF105" s="1856" t="s">
        <v>369</v>
      </c>
      <c r="AG105" s="1856" t="s">
        <v>369</v>
      </c>
      <c r="AH105" s="1859">
        <f>0.018669</f>
        <v>1.8669000000000002E-2</v>
      </c>
      <c r="AI105" s="1860"/>
      <c r="AJ105" s="1860"/>
      <c r="AK105" s="1860"/>
      <c r="AL105" s="1860">
        <f>AH105*AD105</f>
        <v>7.3898125000000009E-2</v>
      </c>
      <c r="AM105" s="1854" t="s">
        <v>92</v>
      </c>
      <c r="AN105" s="1854" t="s">
        <v>92</v>
      </c>
      <c r="AO105" s="1854" t="s">
        <v>81</v>
      </c>
      <c r="AP105" s="1854" t="s">
        <v>81</v>
      </c>
      <c r="AQ105" s="1854"/>
      <c r="AR105" s="140"/>
      <c r="AS105" s="139"/>
      <c r="AT105" s="139"/>
      <c r="AU105" s="139"/>
    </row>
    <row r="106" spans="2:47" ht="15" customHeight="1" x14ac:dyDescent="0.4">
      <c r="B106" s="3"/>
      <c r="C106" s="7" t="s">
        <v>407</v>
      </c>
      <c r="D106" s="36"/>
      <c r="E106" s="155"/>
      <c r="G106" s="434" t="s">
        <v>383</v>
      </c>
      <c r="H106" s="20"/>
      <c r="I106" s="3" t="s">
        <v>392</v>
      </c>
      <c r="L106" s="3" t="s">
        <v>348</v>
      </c>
      <c r="M106" s="5">
        <v>3</v>
      </c>
      <c r="N106" s="5" t="s">
        <v>348</v>
      </c>
      <c r="O106" s="5">
        <f>0.25</f>
        <v>0.25</v>
      </c>
      <c r="P106" s="24"/>
      <c r="Q106" s="24"/>
      <c r="R106" s="3" t="s">
        <v>352</v>
      </c>
      <c r="S106" s="5">
        <f>SL2Width+M106+O106</f>
        <v>50.75</v>
      </c>
      <c r="T106" s="3" t="s">
        <v>366</v>
      </c>
      <c r="U106" s="20"/>
      <c r="V106" s="38"/>
      <c r="X106" s="38"/>
      <c r="Y106" s="1443"/>
      <c r="Z106" s="1443"/>
      <c r="AA106" s="20"/>
      <c r="AB106" s="3">
        <v>45</v>
      </c>
      <c r="AC106" s="3">
        <v>1</v>
      </c>
      <c r="AD106" s="5">
        <f>AC106*S106/12</f>
        <v>4.229166666666667</v>
      </c>
      <c r="AE106" s="3" t="s">
        <v>367</v>
      </c>
      <c r="AF106" s="3">
        <f>AF78</f>
        <v>0.10199999999999999</v>
      </c>
      <c r="AG106" s="5">
        <f>AF106*AtolbperftSL2</f>
        <v>6.4514999999999989E-2</v>
      </c>
      <c r="AM106" s="3" t="s">
        <v>371</v>
      </c>
      <c r="AN106" s="3" t="s">
        <v>371</v>
      </c>
      <c r="AO106" s="3" t="s">
        <v>81</v>
      </c>
      <c r="AP106" s="3" t="s">
        <v>371</v>
      </c>
      <c r="AR106" s="139"/>
      <c r="AS106" s="139"/>
      <c r="AT106" s="139"/>
      <c r="AU106" s="139"/>
    </row>
    <row r="107" spans="2:47" ht="15" customHeight="1" x14ac:dyDescent="0.4">
      <c r="B107" s="36"/>
      <c r="C107" s="155"/>
      <c r="D107" s="155"/>
      <c r="E107" s="155"/>
      <c r="F107" s="155"/>
      <c r="G107" s="7"/>
      <c r="H107" s="20"/>
      <c r="P107" s="24"/>
      <c r="Q107" s="24"/>
      <c r="U107" s="20"/>
      <c r="V107" s="38" t="s">
        <v>369</v>
      </c>
      <c r="W107" s="3" t="s">
        <v>370</v>
      </c>
      <c r="X107" s="38" t="s">
        <v>369</v>
      </c>
      <c r="Y107" s="1443">
        <v>200169003</v>
      </c>
      <c r="Z107" s="1443"/>
      <c r="AA107" s="20"/>
      <c r="AE107" s="3"/>
      <c r="AF107" s="38"/>
      <c r="AH107" s="51">
        <f>AH79</f>
        <v>0.11799999999999999</v>
      </c>
      <c r="AI107" s="39"/>
      <c r="AJ107" s="39"/>
      <c r="AK107" s="39"/>
      <c r="AL107" s="39">
        <f>AD$106*AH107+SUM(AI107:AK107)</f>
        <v>0.49904166666666666</v>
      </c>
      <c r="AM107" s="3" t="s">
        <v>371</v>
      </c>
      <c r="AN107" s="3" t="s">
        <v>371</v>
      </c>
      <c r="AO107" s="3" t="s">
        <v>371</v>
      </c>
      <c r="AP107" s="3" t="s">
        <v>92</v>
      </c>
      <c r="AR107" s="139"/>
      <c r="AS107" s="139"/>
      <c r="AT107" s="139"/>
      <c r="AU107" s="139"/>
    </row>
    <row r="108" spans="2:47" ht="15" customHeight="1" x14ac:dyDescent="0.4">
      <c r="B108" s="36"/>
      <c r="C108" s="155"/>
      <c r="D108" s="155"/>
      <c r="E108" s="155"/>
      <c r="F108" s="155"/>
      <c r="G108" s="7"/>
      <c r="H108" s="20"/>
      <c r="P108" s="24"/>
      <c r="Q108" s="24"/>
      <c r="U108" s="20"/>
      <c r="V108" s="38" t="s">
        <v>369</v>
      </c>
      <c r="W108" s="3" t="s">
        <v>372</v>
      </c>
      <c r="X108" s="38" t="s">
        <v>369</v>
      </c>
      <c r="Y108" s="1443">
        <v>200169021</v>
      </c>
      <c r="Z108" s="1443"/>
      <c r="AA108" s="20"/>
      <c r="AE108" s="3"/>
      <c r="AF108" s="3"/>
      <c r="AH108" s="51">
        <f>AH80</f>
        <v>0.12640000000000001</v>
      </c>
      <c r="AI108" s="39"/>
      <c r="AJ108" s="39"/>
      <c r="AK108" s="39"/>
      <c r="AL108" s="39">
        <f t="shared" ref="AL108:AL109" si="26">AD$106*AH108+SUM(AI108:AK108)</f>
        <v>0.53456666666666675</v>
      </c>
      <c r="AM108" s="3" t="s">
        <v>371</v>
      </c>
      <c r="AN108" s="3" t="s">
        <v>371</v>
      </c>
      <c r="AO108" s="3" t="s">
        <v>371</v>
      </c>
      <c r="AP108" s="3" t="s">
        <v>92</v>
      </c>
      <c r="AR108" s="139"/>
      <c r="AS108" s="139"/>
      <c r="AT108" s="139"/>
      <c r="AU108" s="139"/>
    </row>
    <row r="109" spans="2:47" ht="15" customHeight="1" x14ac:dyDescent="0.4">
      <c r="B109" s="36"/>
      <c r="C109" s="155"/>
      <c r="D109" s="155"/>
      <c r="E109" s="155"/>
      <c r="F109" s="155"/>
      <c r="G109" s="7"/>
      <c r="H109" s="20"/>
      <c r="P109" s="24"/>
      <c r="Q109" s="24"/>
      <c r="U109" s="20"/>
      <c r="V109" s="38" t="s">
        <v>369</v>
      </c>
      <c r="W109" s="3" t="s">
        <v>373</v>
      </c>
      <c r="X109" s="38" t="s">
        <v>369</v>
      </c>
      <c r="Y109" s="1443">
        <v>200169033</v>
      </c>
      <c r="Z109" s="1443"/>
      <c r="AA109" s="20"/>
      <c r="AE109" s="3"/>
      <c r="AF109" s="3"/>
      <c r="AH109" s="51">
        <f>AH81</f>
        <v>0.1283</v>
      </c>
      <c r="AI109" s="39"/>
      <c r="AJ109" s="39"/>
      <c r="AK109" s="39"/>
      <c r="AL109" s="39">
        <f t="shared" si="26"/>
        <v>0.54260208333333337</v>
      </c>
      <c r="AM109" s="3" t="s">
        <v>371</v>
      </c>
      <c r="AN109" s="3" t="s">
        <v>371</v>
      </c>
      <c r="AO109" s="3" t="s">
        <v>371</v>
      </c>
      <c r="AP109" s="3" t="s">
        <v>92</v>
      </c>
      <c r="AR109" s="139"/>
      <c r="AS109" s="139"/>
      <c r="AT109" s="139"/>
      <c r="AU109" s="139"/>
    </row>
    <row r="110" spans="2:47" ht="15" customHeight="1" x14ac:dyDescent="0.4">
      <c r="B110" s="36"/>
      <c r="C110" s="155"/>
      <c r="D110" s="155"/>
      <c r="E110" s="155"/>
      <c r="F110" s="155"/>
      <c r="G110" s="7"/>
      <c r="H110" s="20"/>
      <c r="P110" s="24"/>
      <c r="Q110" s="24"/>
      <c r="U110" s="20"/>
      <c r="V110" s="38" t="s">
        <v>369</v>
      </c>
      <c r="W110" s="3" t="s">
        <v>374</v>
      </c>
      <c r="X110" s="38" t="s">
        <v>369</v>
      </c>
      <c r="Y110" s="1443">
        <v>200169090</v>
      </c>
      <c r="Z110" s="1443"/>
      <c r="AA110" s="20"/>
      <c r="AE110" s="3"/>
      <c r="AF110" s="3"/>
      <c r="AH110" s="51">
        <f>AH82</f>
        <v>0.22900000000000001</v>
      </c>
      <c r="AI110" s="39"/>
      <c r="AJ110" s="39"/>
      <c r="AK110" s="39"/>
      <c r="AL110" s="39">
        <f>AD$106*AH110+SUM(AI110:AK110)</f>
        <v>0.96847916666666678</v>
      </c>
      <c r="AM110" s="3" t="s">
        <v>371</v>
      </c>
      <c r="AN110" s="3" t="s">
        <v>371</v>
      </c>
      <c r="AO110" s="3" t="s">
        <v>81</v>
      </c>
      <c r="AP110" s="3" t="s">
        <v>92</v>
      </c>
      <c r="AR110" s="139"/>
      <c r="AS110" s="139"/>
      <c r="AT110" s="139"/>
      <c r="AU110" s="139"/>
    </row>
    <row r="111" spans="2:47" ht="15" customHeight="1" x14ac:dyDescent="0.4">
      <c r="B111" s="36"/>
      <c r="C111" s="155"/>
      <c r="D111" s="155"/>
      <c r="E111" s="155"/>
      <c r="F111" s="155"/>
      <c r="G111" s="7"/>
      <c r="H111" s="20"/>
      <c r="P111" s="24"/>
      <c r="Q111" s="24"/>
      <c r="U111" s="20"/>
      <c r="V111" s="38" t="s">
        <v>369</v>
      </c>
      <c r="W111" s="3" t="s">
        <v>375</v>
      </c>
      <c r="X111" s="38" t="s">
        <v>369</v>
      </c>
      <c r="Y111" s="1443">
        <v>200169133</v>
      </c>
      <c r="Z111" s="1443"/>
      <c r="AA111" s="20"/>
      <c r="AE111" s="3"/>
      <c r="AF111" s="3"/>
      <c r="AH111" s="844">
        <f>AH83</f>
        <v>0.2414</v>
      </c>
      <c r="AI111" s="39"/>
      <c r="AJ111" s="39"/>
      <c r="AK111" s="39"/>
      <c r="AL111" s="39">
        <f t="shared" ref="AL111" si="27">AD$106*AH111+SUM(AI111:AK111)</f>
        <v>1.0209208333333335</v>
      </c>
      <c r="AM111" s="3" t="s">
        <v>371</v>
      </c>
      <c r="AN111" s="3" t="s">
        <v>371</v>
      </c>
      <c r="AO111" s="3" t="s">
        <v>371</v>
      </c>
      <c r="AP111" s="3" t="s">
        <v>371</v>
      </c>
      <c r="AR111" s="139"/>
      <c r="AS111" s="139"/>
      <c r="AT111" s="139"/>
      <c r="AU111" s="139"/>
    </row>
    <row r="112" spans="2:47" ht="15" customHeight="1" thickBot="1" x14ac:dyDescent="0.45">
      <c r="B112" s="36"/>
      <c r="C112" s="155"/>
      <c r="D112" s="155"/>
      <c r="E112" s="155"/>
      <c r="F112" s="155"/>
      <c r="G112" s="7"/>
      <c r="H112" s="20"/>
      <c r="P112" s="24"/>
      <c r="Q112" s="24"/>
      <c r="U112" s="20"/>
      <c r="V112" s="279" t="s">
        <v>369</v>
      </c>
      <c r="W112" s="112" t="s">
        <v>1849</v>
      </c>
      <c r="X112" s="279" t="s">
        <v>369</v>
      </c>
      <c r="Y112" s="1871">
        <v>200169148</v>
      </c>
      <c r="Z112" s="1443"/>
      <c r="AA112" s="20"/>
      <c r="AE112" s="3"/>
      <c r="AF112" s="3"/>
      <c r="AH112" s="51">
        <v>0</v>
      </c>
      <c r="AI112" s="39"/>
      <c r="AJ112" s="39"/>
      <c r="AK112" s="39"/>
      <c r="AL112" s="39">
        <f t="shared" ref="AL112" si="28">AD$106*AH112+SUM(AI112:AK112)</f>
        <v>0</v>
      </c>
      <c r="AM112" s="889" t="s">
        <v>371</v>
      </c>
      <c r="AN112" s="889" t="s">
        <v>371</v>
      </c>
      <c r="AO112" s="889" t="s">
        <v>81</v>
      </c>
      <c r="AP112" s="889" t="s">
        <v>92</v>
      </c>
      <c r="AQ112" s="889"/>
      <c r="AR112" s="139"/>
      <c r="AS112" s="139"/>
      <c r="AT112" s="139"/>
      <c r="AU112" s="139"/>
    </row>
    <row r="113" spans="1:47" ht="15" customHeight="1" x14ac:dyDescent="0.4">
      <c r="B113" s="3"/>
      <c r="C113" s="173" t="s">
        <v>408</v>
      </c>
      <c r="D113" s="181"/>
      <c r="E113" s="182"/>
      <c r="F113" s="182"/>
      <c r="G113" s="173"/>
      <c r="H113" s="175"/>
      <c r="I113" s="116" t="s">
        <v>392</v>
      </c>
      <c r="J113" s="116"/>
      <c r="K113" s="116"/>
      <c r="L113" s="116" t="s">
        <v>348</v>
      </c>
      <c r="M113" s="177">
        <v>0.438</v>
      </c>
      <c r="N113" s="177"/>
      <c r="O113" s="177"/>
      <c r="P113" s="178"/>
      <c r="Q113" s="178"/>
      <c r="R113" s="116" t="s">
        <v>352</v>
      </c>
      <c r="S113" s="177">
        <f>SL2Width+M113+O113</f>
        <v>47.938000000000002</v>
      </c>
      <c r="T113" s="116" t="s">
        <v>366</v>
      </c>
      <c r="U113" s="175"/>
      <c r="V113" s="179"/>
      <c r="W113" s="116"/>
      <c r="X113" s="179"/>
      <c r="Y113" s="1449"/>
      <c r="Z113" s="1449"/>
      <c r="AA113" s="175"/>
      <c r="AB113" s="116">
        <v>45</v>
      </c>
      <c r="AC113" s="116">
        <v>1</v>
      </c>
      <c r="AD113" s="177">
        <f>AC113*S113/12</f>
        <v>3.9948333333333337</v>
      </c>
      <c r="AE113" s="116" t="s">
        <v>367</v>
      </c>
      <c r="AF113" s="116">
        <f>AF85</f>
        <v>9.4E-2</v>
      </c>
      <c r="AG113" s="177">
        <f>AF113*AtolbperftSL2</f>
        <v>5.9454999999999994E-2</v>
      </c>
      <c r="AH113" s="185"/>
      <c r="AI113" s="185"/>
      <c r="AJ113" s="185"/>
      <c r="AK113" s="185"/>
      <c r="AL113" s="180"/>
      <c r="AM113" s="3" t="s">
        <v>371</v>
      </c>
      <c r="AN113" s="3" t="s">
        <v>371</v>
      </c>
      <c r="AO113" s="3" t="s">
        <v>371</v>
      </c>
      <c r="AP113" s="3" t="s">
        <v>371</v>
      </c>
      <c r="AR113" s="139"/>
      <c r="AS113" s="139"/>
      <c r="AT113" s="139"/>
      <c r="AU113" s="139"/>
    </row>
    <row r="114" spans="1:47" ht="15" customHeight="1" x14ac:dyDescent="0.4">
      <c r="B114" s="36"/>
      <c r="C114" s="36"/>
      <c r="D114" s="155"/>
      <c r="E114" s="155"/>
      <c r="F114" s="155"/>
      <c r="G114" s="7"/>
      <c r="H114" s="20"/>
      <c r="P114" s="24"/>
      <c r="Q114" s="24"/>
      <c r="U114" s="20"/>
      <c r="V114" s="38" t="s">
        <v>369</v>
      </c>
      <c r="W114" s="3" t="s">
        <v>370</v>
      </c>
      <c r="X114" s="38" t="s">
        <v>369</v>
      </c>
      <c r="Y114" s="1443">
        <v>200178003</v>
      </c>
      <c r="Z114" s="1443"/>
      <c r="AA114" s="20"/>
      <c r="AE114" s="3"/>
      <c r="AF114" s="38"/>
      <c r="AH114" s="51">
        <f>AH86</f>
        <v>0.10290000000000001</v>
      </c>
      <c r="AI114" s="39"/>
      <c r="AJ114" s="39"/>
      <c r="AK114" s="39"/>
      <c r="AL114" s="39">
        <f>AD$113*AH114+SUM(AI114:AK114)</f>
        <v>0.41106835000000008</v>
      </c>
      <c r="AM114" s="3" t="s">
        <v>371</v>
      </c>
      <c r="AN114" s="3" t="s">
        <v>371</v>
      </c>
      <c r="AO114" s="3" t="s">
        <v>371</v>
      </c>
      <c r="AP114" s="3" t="s">
        <v>92</v>
      </c>
      <c r="AR114" s="139"/>
      <c r="AS114" s="139"/>
      <c r="AT114" s="139"/>
      <c r="AU114" s="139"/>
    </row>
    <row r="115" spans="1:47" ht="15" customHeight="1" x14ac:dyDescent="0.4">
      <c r="B115" s="36"/>
      <c r="C115" s="36"/>
      <c r="D115" s="155"/>
      <c r="E115" s="155"/>
      <c r="F115" s="155"/>
      <c r="G115" s="7"/>
      <c r="H115" s="20"/>
      <c r="P115" s="24"/>
      <c r="Q115" s="24"/>
      <c r="U115" s="20"/>
      <c r="V115" s="38" t="s">
        <v>369</v>
      </c>
      <c r="W115" s="3" t="s">
        <v>372</v>
      </c>
      <c r="X115" s="38" t="s">
        <v>369</v>
      </c>
      <c r="Y115" s="1443">
        <v>200178021</v>
      </c>
      <c r="Z115" s="1443"/>
      <c r="AA115" s="20"/>
      <c r="AE115" s="3"/>
      <c r="AF115" s="3"/>
      <c r="AH115" s="51">
        <f>AH87</f>
        <v>0.112</v>
      </c>
      <c r="AI115" s="39"/>
      <c r="AJ115" s="39"/>
      <c r="AK115" s="39"/>
      <c r="AL115" s="39">
        <f t="shared" ref="AL115:AL116" si="29">AD$113*AH115+SUM(AI115:AK115)</f>
        <v>0.44742133333333339</v>
      </c>
      <c r="AM115" s="3" t="s">
        <v>371</v>
      </c>
      <c r="AN115" s="3" t="s">
        <v>371</v>
      </c>
      <c r="AO115" s="3" t="s">
        <v>371</v>
      </c>
      <c r="AP115" s="3" t="s">
        <v>92</v>
      </c>
      <c r="AR115" s="139"/>
      <c r="AS115" s="139"/>
      <c r="AT115" s="139"/>
      <c r="AU115" s="139"/>
    </row>
    <row r="116" spans="1:47" ht="15" customHeight="1" x14ac:dyDescent="0.4">
      <c r="B116" s="36"/>
      <c r="C116" s="36"/>
      <c r="D116" s="155"/>
      <c r="E116" s="155"/>
      <c r="F116" s="155"/>
      <c r="G116" s="7"/>
      <c r="H116" s="20"/>
      <c r="P116" s="24"/>
      <c r="Q116" s="24"/>
      <c r="U116" s="20"/>
      <c r="V116" s="38" t="s">
        <v>369</v>
      </c>
      <c r="W116" s="3" t="s">
        <v>373</v>
      </c>
      <c r="X116" s="38" t="s">
        <v>369</v>
      </c>
      <c r="Y116" s="1443">
        <v>200178033</v>
      </c>
      <c r="Z116" s="1443"/>
      <c r="AA116" s="20"/>
      <c r="AE116" s="3"/>
      <c r="AF116" s="3"/>
      <c r="AH116" s="51">
        <f>AH88</f>
        <v>0.1135</v>
      </c>
      <c r="AI116" s="39"/>
      <c r="AJ116" s="39"/>
      <c r="AK116" s="39"/>
      <c r="AL116" s="39">
        <f t="shared" si="29"/>
        <v>0.45341358333333337</v>
      </c>
      <c r="AM116" s="3" t="s">
        <v>371</v>
      </c>
      <c r="AN116" s="3" t="s">
        <v>371</v>
      </c>
      <c r="AO116" s="3" t="s">
        <v>371</v>
      </c>
      <c r="AP116" s="3" t="s">
        <v>92</v>
      </c>
      <c r="AR116" s="139"/>
      <c r="AS116" s="139"/>
      <c r="AT116" s="139"/>
      <c r="AU116" s="139"/>
    </row>
    <row r="117" spans="1:47" ht="15" customHeight="1" x14ac:dyDescent="0.4">
      <c r="B117" s="36"/>
      <c r="C117" s="36"/>
      <c r="D117" s="155"/>
      <c r="E117" s="155"/>
      <c r="F117" s="155"/>
      <c r="G117" s="7"/>
      <c r="H117" s="20"/>
      <c r="P117" s="24"/>
      <c r="Q117" s="24"/>
      <c r="U117" s="20"/>
      <c r="V117" s="38" t="s">
        <v>369</v>
      </c>
      <c r="W117" s="3" t="s">
        <v>374</v>
      </c>
      <c r="X117" s="38" t="s">
        <v>369</v>
      </c>
      <c r="Y117" s="1443">
        <v>200178090</v>
      </c>
      <c r="Z117" s="1443"/>
      <c r="AA117" s="20"/>
      <c r="AE117" s="3"/>
      <c r="AF117" s="3"/>
      <c r="AH117" s="51">
        <f>AH89</f>
        <v>0.22839999999999999</v>
      </c>
      <c r="AI117" s="39"/>
      <c r="AJ117" s="39"/>
      <c r="AK117" s="39"/>
      <c r="AL117" s="39">
        <f>AD$113*AH117+SUM(AI117:AK117)</f>
        <v>0.91241993333333338</v>
      </c>
      <c r="AM117" s="3" t="s">
        <v>371</v>
      </c>
      <c r="AN117" s="3" t="s">
        <v>371</v>
      </c>
      <c r="AO117" s="3" t="s">
        <v>371</v>
      </c>
      <c r="AP117" s="3" t="s">
        <v>92</v>
      </c>
      <c r="AR117" s="139"/>
      <c r="AS117" s="139"/>
      <c r="AT117" s="139"/>
      <c r="AU117" s="139"/>
    </row>
    <row r="118" spans="1:47" ht="15" customHeight="1" x14ac:dyDescent="0.4">
      <c r="B118" s="36"/>
      <c r="C118" s="36"/>
      <c r="D118" s="155"/>
      <c r="E118" s="155"/>
      <c r="F118" s="155"/>
      <c r="G118" s="7"/>
      <c r="H118" s="20"/>
      <c r="P118" s="24"/>
      <c r="Q118" s="24"/>
      <c r="U118" s="20"/>
      <c r="V118" s="38" t="s">
        <v>369</v>
      </c>
      <c r="W118" s="3" t="s">
        <v>375</v>
      </c>
      <c r="X118" s="38" t="s">
        <v>369</v>
      </c>
      <c r="Y118" s="1443">
        <v>200178133</v>
      </c>
      <c r="Z118" s="1443"/>
      <c r="AA118" s="20"/>
      <c r="AE118" s="3"/>
      <c r="AF118" s="3"/>
      <c r="AH118" s="844">
        <f>AH90</f>
        <v>0.254</v>
      </c>
      <c r="AI118" s="39"/>
      <c r="AJ118" s="39"/>
      <c r="AK118" s="39"/>
      <c r="AL118" s="39">
        <f t="shared" ref="AL118" si="30">AD$113*AH118+SUM(AI118:AK118)</f>
        <v>1.0146876666666669</v>
      </c>
      <c r="AM118" s="3" t="s">
        <v>371</v>
      </c>
      <c r="AN118" s="3" t="s">
        <v>371</v>
      </c>
      <c r="AO118" s="3" t="s">
        <v>371</v>
      </c>
      <c r="AP118" s="3" t="s">
        <v>371</v>
      </c>
      <c r="AR118" s="139"/>
      <c r="AS118" s="139"/>
      <c r="AT118" s="139"/>
      <c r="AU118" s="139"/>
    </row>
    <row r="119" spans="1:47" ht="15" customHeight="1" thickBot="1" x14ac:dyDescent="0.45">
      <c r="B119" s="36"/>
      <c r="C119" s="36"/>
      <c r="D119" s="155"/>
      <c r="E119" s="155"/>
      <c r="F119" s="155"/>
      <c r="G119" s="7"/>
      <c r="H119" s="20"/>
      <c r="P119" s="24"/>
      <c r="Q119" s="24"/>
      <c r="U119" s="20"/>
      <c r="V119" s="279" t="s">
        <v>369</v>
      </c>
      <c r="W119" s="112" t="s">
        <v>1849</v>
      </c>
      <c r="X119" s="279" t="s">
        <v>369</v>
      </c>
      <c r="Y119" s="1871">
        <v>200178148</v>
      </c>
      <c r="Z119" s="1443"/>
      <c r="AA119" s="20"/>
      <c r="AE119" s="3"/>
      <c r="AF119" s="3"/>
      <c r="AH119" s="51">
        <v>0</v>
      </c>
      <c r="AI119" s="39"/>
      <c r="AJ119" s="39"/>
      <c r="AK119" s="39"/>
      <c r="AL119" s="39">
        <f t="shared" ref="AL119" si="31">AD$113*AH119+SUM(AI119:AK119)</f>
        <v>0</v>
      </c>
      <c r="AM119" s="889" t="s">
        <v>371</v>
      </c>
      <c r="AN119" s="889" t="s">
        <v>371</v>
      </c>
      <c r="AO119" s="889" t="s">
        <v>371</v>
      </c>
      <c r="AP119" s="889" t="s">
        <v>92</v>
      </c>
      <c r="AQ119" s="889"/>
      <c r="AR119" s="139"/>
      <c r="AS119" s="139"/>
      <c r="AT119" s="139"/>
      <c r="AU119" s="139"/>
    </row>
    <row r="120" spans="1:47" ht="15" customHeight="1" x14ac:dyDescent="0.4">
      <c r="A120" s="3" t="s">
        <v>409</v>
      </c>
      <c r="B120" s="36"/>
      <c r="C120" s="173" t="s">
        <v>410</v>
      </c>
      <c r="D120" s="116"/>
      <c r="E120" s="116"/>
      <c r="F120" s="174"/>
      <c r="G120" s="173"/>
      <c r="H120" s="175"/>
      <c r="I120" s="116" t="s">
        <v>392</v>
      </c>
      <c r="J120" s="116"/>
      <c r="K120" s="116"/>
      <c r="L120" s="116" t="s">
        <v>348</v>
      </c>
      <c r="M120" s="177">
        <v>3.9375</v>
      </c>
      <c r="N120" s="177"/>
      <c r="O120" s="177"/>
      <c r="P120" s="177"/>
      <c r="Q120" s="177"/>
      <c r="R120" s="116" t="s">
        <v>352</v>
      </c>
      <c r="S120" s="177">
        <f>SL2Width+M120+O120</f>
        <v>51.4375</v>
      </c>
      <c r="T120" s="116" t="s">
        <v>366</v>
      </c>
      <c r="U120" s="175"/>
      <c r="V120" s="173"/>
      <c r="W120" s="173"/>
      <c r="X120" s="173"/>
      <c r="Y120" s="1449"/>
      <c r="Z120" s="1449"/>
      <c r="AA120" s="175"/>
      <c r="AB120" s="116">
        <v>45</v>
      </c>
      <c r="AC120" s="116">
        <v>1</v>
      </c>
      <c r="AD120" s="177">
        <f>AC120*S120/12</f>
        <v>4.286458333333333</v>
      </c>
      <c r="AE120" s="116" t="s">
        <v>367</v>
      </c>
      <c r="AF120" s="179">
        <f>'Single Hung'!AG167</f>
        <v>0.34599999999999997</v>
      </c>
      <c r="AG120" s="177">
        <f>AF120*AtolbperftSL2</f>
        <v>0.21884499999999996</v>
      </c>
      <c r="AH120" s="185"/>
      <c r="AI120" s="185"/>
      <c r="AJ120" s="185"/>
      <c r="AK120" s="185"/>
      <c r="AL120" s="180"/>
      <c r="AM120" s="3" t="s">
        <v>371</v>
      </c>
      <c r="AN120" s="3" t="s">
        <v>371</v>
      </c>
      <c r="AO120" s="3" t="s">
        <v>371</v>
      </c>
      <c r="AP120" s="3" t="s">
        <v>371</v>
      </c>
      <c r="AR120" s="139"/>
      <c r="AS120" s="139"/>
      <c r="AT120" s="139"/>
      <c r="AU120" s="139"/>
    </row>
    <row r="121" spans="1:47" ht="15" customHeight="1" x14ac:dyDescent="0.4">
      <c r="B121" s="36"/>
      <c r="C121" s="36"/>
      <c r="D121" s="36"/>
      <c r="E121" s="155"/>
      <c r="F121" s="155"/>
      <c r="G121" s="7"/>
      <c r="H121" s="20"/>
      <c r="P121" s="24"/>
      <c r="Q121" s="24"/>
      <c r="U121" s="20"/>
      <c r="V121" s="38" t="s">
        <v>369</v>
      </c>
      <c r="W121" s="3" t="s">
        <v>370</v>
      </c>
      <c r="X121" s="38" t="s">
        <v>369</v>
      </c>
      <c r="Y121" s="1443">
        <v>200174003</v>
      </c>
      <c r="Z121" s="1443"/>
      <c r="AA121" s="20"/>
      <c r="AE121" s="3"/>
      <c r="AF121" s="38"/>
      <c r="AH121" s="51">
        <f>'Single Hung'!AI168</f>
        <v>0.25740000000000002</v>
      </c>
      <c r="AI121" s="39"/>
      <c r="AJ121" s="39"/>
      <c r="AK121" s="39"/>
      <c r="AL121" s="39">
        <f>AD$120*AH121+SUM(AI121:AK121)</f>
        <v>1.103334375</v>
      </c>
      <c r="AM121" s="3" t="s">
        <v>371</v>
      </c>
      <c r="AN121" s="3" t="s">
        <v>371</v>
      </c>
      <c r="AO121" s="3" t="s">
        <v>371</v>
      </c>
      <c r="AP121" s="3" t="s">
        <v>92</v>
      </c>
      <c r="AR121" s="139"/>
      <c r="AS121" s="139"/>
      <c r="AT121" s="139"/>
      <c r="AU121" s="139"/>
    </row>
    <row r="122" spans="1:47" ht="15" customHeight="1" x14ac:dyDescent="0.4">
      <c r="C122" s="36"/>
      <c r="D122" s="36"/>
      <c r="E122" s="155"/>
      <c r="F122" s="155"/>
      <c r="G122" s="7"/>
      <c r="H122" s="20"/>
      <c r="P122" s="24"/>
      <c r="Q122" s="24"/>
      <c r="U122" s="20"/>
      <c r="V122" s="38" t="s">
        <v>369</v>
      </c>
      <c r="W122" s="3" t="s">
        <v>372</v>
      </c>
      <c r="X122" s="38" t="s">
        <v>369</v>
      </c>
      <c r="Y122" s="1443">
        <v>200174021</v>
      </c>
      <c r="Z122" s="1443"/>
      <c r="AA122" s="20"/>
      <c r="AE122" s="3"/>
      <c r="AF122" s="3"/>
      <c r="AH122" s="51">
        <f>'Single Hung'!AI169</f>
        <v>0.24299999999999999</v>
      </c>
      <c r="AI122" s="39"/>
      <c r="AJ122" s="39"/>
      <c r="AK122" s="39"/>
      <c r="AL122" s="39">
        <f t="shared" ref="AL122:AL126" si="32">AD$120*AH122+SUM(AI122:AK122)</f>
        <v>1.0416093749999999</v>
      </c>
      <c r="AM122" s="3" t="s">
        <v>371</v>
      </c>
      <c r="AN122" s="3" t="s">
        <v>371</v>
      </c>
      <c r="AO122" s="3" t="s">
        <v>371</v>
      </c>
      <c r="AP122" s="3" t="s">
        <v>92</v>
      </c>
      <c r="AR122" s="139"/>
      <c r="AS122" s="139"/>
      <c r="AT122" s="139"/>
      <c r="AU122" s="139"/>
    </row>
    <row r="123" spans="1:47" ht="15" customHeight="1" x14ac:dyDescent="0.4">
      <c r="C123" s="36"/>
      <c r="D123" s="36"/>
      <c r="E123" s="155"/>
      <c r="F123" s="155"/>
      <c r="G123" s="7"/>
      <c r="H123" s="20"/>
      <c r="P123" s="24"/>
      <c r="Q123" s="24"/>
      <c r="U123" s="20"/>
      <c r="V123" s="38" t="s">
        <v>369</v>
      </c>
      <c r="W123" s="3" t="s">
        <v>373</v>
      </c>
      <c r="X123" s="38" t="s">
        <v>369</v>
      </c>
      <c r="Y123" s="1443">
        <v>200174033</v>
      </c>
      <c r="Z123" s="1443"/>
      <c r="AA123" s="20"/>
      <c r="AE123" s="3"/>
      <c r="AF123" s="3"/>
      <c r="AH123" s="51">
        <f>'Single Hung'!AI170</f>
        <v>0.26300000000000001</v>
      </c>
      <c r="AI123" s="39"/>
      <c r="AJ123" s="39"/>
      <c r="AK123" s="39"/>
      <c r="AL123" s="39">
        <f t="shared" si="32"/>
        <v>1.1273385416666666</v>
      </c>
      <c r="AM123" s="3" t="s">
        <v>371</v>
      </c>
      <c r="AN123" s="3" t="s">
        <v>371</v>
      </c>
      <c r="AO123" s="3" t="s">
        <v>371</v>
      </c>
      <c r="AP123" s="3" t="s">
        <v>92</v>
      </c>
      <c r="AR123" s="139"/>
      <c r="AS123" s="139"/>
      <c r="AT123" s="139"/>
      <c r="AU123" s="139"/>
    </row>
    <row r="124" spans="1:47" ht="15" customHeight="1" x14ac:dyDescent="0.4">
      <c r="C124" s="36"/>
      <c r="D124" s="36"/>
      <c r="E124" s="155"/>
      <c r="F124" s="155"/>
      <c r="G124" s="7"/>
      <c r="H124" s="20"/>
      <c r="P124" s="24"/>
      <c r="Q124" s="24"/>
      <c r="U124" s="20"/>
      <c r="V124" s="3" t="s">
        <v>374</v>
      </c>
      <c r="W124" s="3" t="s">
        <v>370</v>
      </c>
      <c r="X124" s="38" t="s">
        <v>369</v>
      </c>
      <c r="Y124" s="1443">
        <v>200174127</v>
      </c>
      <c r="Z124" s="1443"/>
      <c r="AA124" s="20"/>
      <c r="AE124" s="3"/>
      <c r="AF124" s="3"/>
      <c r="AH124" s="51">
        <f>'Single Hung'!AI171</f>
        <v>0.35270000000000001</v>
      </c>
      <c r="AI124" s="39"/>
      <c r="AJ124" s="39"/>
      <c r="AK124" s="39"/>
      <c r="AL124" s="39">
        <f>AD$120*AH124+SUM(AI124:AK124)</f>
        <v>1.5118338541666667</v>
      </c>
      <c r="AM124" s="3" t="s">
        <v>371</v>
      </c>
      <c r="AN124" s="3" t="s">
        <v>371</v>
      </c>
      <c r="AO124" s="3" t="s">
        <v>371</v>
      </c>
      <c r="AP124" s="3" t="s">
        <v>92</v>
      </c>
      <c r="AR124" s="139"/>
      <c r="AS124" s="139"/>
      <c r="AT124" s="139"/>
      <c r="AU124" s="139"/>
    </row>
    <row r="125" spans="1:47" ht="15" customHeight="1" x14ac:dyDescent="0.4">
      <c r="C125" s="36"/>
      <c r="D125" s="36"/>
      <c r="E125" s="155"/>
      <c r="F125" s="155"/>
      <c r="G125" s="7"/>
      <c r="H125" s="20"/>
      <c r="P125" s="24"/>
      <c r="Q125" s="24"/>
      <c r="U125" s="20"/>
      <c r="V125" s="38" t="s">
        <v>375</v>
      </c>
      <c r="W125" s="3" t="s">
        <v>370</v>
      </c>
      <c r="X125" s="38" t="s">
        <v>369</v>
      </c>
      <c r="Y125" s="1443">
        <v>200174180</v>
      </c>
      <c r="Z125" s="1443"/>
      <c r="AA125" s="20"/>
      <c r="AE125" s="3"/>
      <c r="AF125" s="3"/>
      <c r="AH125" s="844">
        <f>'Single Hung'!AI172</f>
        <v>0.36459999999999998</v>
      </c>
      <c r="AI125" s="39"/>
      <c r="AJ125" s="39"/>
      <c r="AK125" s="39"/>
      <c r="AL125" s="39">
        <f t="shared" ref="AL125" si="33">AD$120*AH125+SUM(AI125:AK125)</f>
        <v>1.5628427083333332</v>
      </c>
      <c r="AM125" s="3" t="s">
        <v>371</v>
      </c>
      <c r="AN125" s="3" t="s">
        <v>371</v>
      </c>
      <c r="AO125" s="3" t="s">
        <v>371</v>
      </c>
      <c r="AP125" s="3" t="s">
        <v>371</v>
      </c>
      <c r="AR125" s="139"/>
      <c r="AS125" s="139"/>
      <c r="AT125" s="139"/>
      <c r="AU125" s="139"/>
    </row>
    <row r="126" spans="1:47" ht="15" customHeight="1" thickBot="1" x14ac:dyDescent="0.45">
      <c r="C126" s="943"/>
      <c r="D126" s="943"/>
      <c r="E126" s="925"/>
      <c r="F126" s="925"/>
      <c r="G126" s="924"/>
      <c r="H126" s="887"/>
      <c r="I126" s="889"/>
      <c r="J126" s="889"/>
      <c r="K126" s="889"/>
      <c r="L126" s="889"/>
      <c r="M126" s="945"/>
      <c r="N126" s="945"/>
      <c r="O126" s="945"/>
      <c r="P126" s="1020"/>
      <c r="Q126" s="1020"/>
      <c r="R126" s="889"/>
      <c r="S126" s="945"/>
      <c r="T126" s="889"/>
      <c r="U126" s="887"/>
      <c r="V126" s="112" t="s">
        <v>1849</v>
      </c>
      <c r="W126" s="112" t="s">
        <v>370</v>
      </c>
      <c r="X126" s="279" t="s">
        <v>369</v>
      </c>
      <c r="Y126" s="1871">
        <v>200174152</v>
      </c>
      <c r="Z126" s="1443"/>
      <c r="AA126" s="20"/>
      <c r="AD126" s="945"/>
      <c r="AE126" s="3"/>
      <c r="AF126" s="3"/>
      <c r="AH126" s="51">
        <v>0</v>
      </c>
      <c r="AI126" s="39"/>
      <c r="AJ126" s="39"/>
      <c r="AK126" s="39"/>
      <c r="AL126" s="39">
        <f t="shared" si="32"/>
        <v>0</v>
      </c>
      <c r="AM126" s="889" t="s">
        <v>371</v>
      </c>
      <c r="AN126" s="889" t="s">
        <v>371</v>
      </c>
      <c r="AO126" s="889" t="s">
        <v>371</v>
      </c>
      <c r="AP126" s="889" t="s">
        <v>92</v>
      </c>
      <c r="AQ126" s="889"/>
      <c r="AR126" s="139"/>
      <c r="AS126" s="139"/>
      <c r="AT126" s="139"/>
      <c r="AU126" s="139"/>
    </row>
    <row r="127" spans="1:47" ht="15" customHeight="1" x14ac:dyDescent="0.4">
      <c r="C127" s="36" t="s">
        <v>411</v>
      </c>
      <c r="D127" s="36"/>
      <c r="E127" s="447"/>
      <c r="F127" s="155"/>
      <c r="G127" s="7"/>
      <c r="H127" s="20"/>
      <c r="S127" s="5">
        <v>1</v>
      </c>
      <c r="T127" s="3" t="s">
        <v>385</v>
      </c>
      <c r="U127" s="20"/>
      <c r="V127" s="173"/>
      <c r="W127" s="173"/>
      <c r="X127" s="173"/>
      <c r="Y127" s="1449"/>
      <c r="Z127" s="1449"/>
      <c r="AA127" s="175"/>
      <c r="AB127" s="116">
        <v>45</v>
      </c>
      <c r="AC127" s="116">
        <v>2</v>
      </c>
      <c r="AD127" s="56">
        <f>AC127*S127</f>
        <v>2</v>
      </c>
      <c r="AE127" s="116" t="s">
        <v>385</v>
      </c>
      <c r="AF127" s="179" t="s">
        <v>369</v>
      </c>
      <c r="AG127" s="627" t="s">
        <v>369</v>
      </c>
      <c r="AH127" s="185"/>
      <c r="AI127" s="185"/>
      <c r="AJ127" s="185"/>
      <c r="AK127" s="185"/>
      <c r="AL127" s="180"/>
      <c r="AM127" s="3" t="s">
        <v>371</v>
      </c>
      <c r="AN127" s="3" t="s">
        <v>371</v>
      </c>
      <c r="AO127" s="3" t="s">
        <v>371</v>
      </c>
      <c r="AP127" s="3" t="s">
        <v>371</v>
      </c>
      <c r="AR127" s="140"/>
      <c r="AS127" s="139"/>
      <c r="AT127" s="139"/>
      <c r="AU127" s="139"/>
    </row>
    <row r="128" spans="1:47" ht="15" customHeight="1" x14ac:dyDescent="0.4">
      <c r="C128" s="36"/>
      <c r="D128" s="36"/>
      <c r="E128" s="447"/>
      <c r="F128" s="155"/>
      <c r="G128" s="7"/>
      <c r="H128" s="20"/>
      <c r="U128" s="20"/>
      <c r="V128" s="38" t="s">
        <v>369</v>
      </c>
      <c r="W128" s="3" t="s">
        <v>370</v>
      </c>
      <c r="X128" s="38" t="s">
        <v>369</v>
      </c>
      <c r="Y128" s="1443">
        <v>430027003</v>
      </c>
      <c r="Z128" s="1443"/>
      <c r="AA128" s="20"/>
      <c r="AE128" s="3"/>
      <c r="AF128" s="38"/>
      <c r="AH128" s="51">
        <f>'Single Hung'!AI175</f>
        <v>7.5800000000000006E-2</v>
      </c>
      <c r="AI128" s="39"/>
      <c r="AJ128" s="39"/>
      <c r="AK128" s="39"/>
      <c r="AL128" s="39">
        <f>AD$127*AH128+SUM(AI128:AK128)</f>
        <v>0.15160000000000001</v>
      </c>
      <c r="AM128" s="3" t="s">
        <v>371</v>
      </c>
      <c r="AN128" s="3" t="s">
        <v>371</v>
      </c>
      <c r="AO128" s="3" t="s">
        <v>371</v>
      </c>
      <c r="AP128" s="3" t="s">
        <v>92</v>
      </c>
      <c r="AR128" s="140"/>
      <c r="AS128" s="139"/>
      <c r="AT128" s="139"/>
      <c r="AU128" s="139"/>
    </row>
    <row r="129" spans="2:47" ht="15" customHeight="1" x14ac:dyDescent="0.4">
      <c r="C129" s="36"/>
      <c r="D129" s="36"/>
      <c r="E129" s="447"/>
      <c r="F129" s="155"/>
      <c r="G129" s="7"/>
      <c r="H129" s="20"/>
      <c r="U129" s="20"/>
      <c r="V129" s="38" t="s">
        <v>369</v>
      </c>
      <c r="W129" s="3" t="s">
        <v>372</v>
      </c>
      <c r="X129" s="38" t="s">
        <v>369</v>
      </c>
      <c r="Y129" s="1443">
        <v>430027021</v>
      </c>
      <c r="Z129" s="1443"/>
      <c r="AA129" s="20"/>
      <c r="AE129" s="3"/>
      <c r="AF129" s="3"/>
      <c r="AH129" s="51">
        <f>'Single Hung'!AI176</f>
        <v>8.1500000000000003E-2</v>
      </c>
      <c r="AI129" s="39"/>
      <c r="AJ129" s="39"/>
      <c r="AK129" s="39"/>
      <c r="AL129" s="39">
        <f t="shared" ref="AL129:AL130" si="34">AD$127*AH129+SUM(AI129:AK129)</f>
        <v>0.16300000000000001</v>
      </c>
      <c r="AM129" s="3" t="s">
        <v>371</v>
      </c>
      <c r="AN129" s="3" t="s">
        <v>371</v>
      </c>
      <c r="AO129" s="3" t="s">
        <v>371</v>
      </c>
      <c r="AP129" s="3" t="s">
        <v>92</v>
      </c>
      <c r="AR129" s="140"/>
      <c r="AS129" s="139"/>
      <c r="AT129" s="139"/>
      <c r="AU129" s="139"/>
    </row>
    <row r="130" spans="2:47" ht="15" customHeight="1" x14ac:dyDescent="0.4">
      <c r="C130" s="36"/>
      <c r="D130" s="36"/>
      <c r="E130" s="447"/>
      <c r="F130" s="155"/>
      <c r="G130" s="7"/>
      <c r="H130" s="20"/>
      <c r="U130" s="20"/>
      <c r="V130" s="38" t="s">
        <v>369</v>
      </c>
      <c r="W130" s="3" t="s">
        <v>373</v>
      </c>
      <c r="X130" s="38" t="s">
        <v>369</v>
      </c>
      <c r="Y130" s="1443">
        <v>430027033</v>
      </c>
      <c r="Z130" s="1443"/>
      <c r="AA130" s="20"/>
      <c r="AE130" s="3"/>
      <c r="AF130" s="3"/>
      <c r="AH130" s="51">
        <f>'Single Hung'!AI177</f>
        <v>7.5800000000000006E-2</v>
      </c>
      <c r="AI130" s="39"/>
      <c r="AJ130" s="39"/>
      <c r="AK130" s="39"/>
      <c r="AL130" s="39">
        <f t="shared" si="34"/>
        <v>0.15160000000000001</v>
      </c>
      <c r="AM130" s="3" t="s">
        <v>371</v>
      </c>
      <c r="AN130" s="3" t="s">
        <v>371</v>
      </c>
      <c r="AO130" s="3" t="s">
        <v>371</v>
      </c>
      <c r="AP130" s="3" t="s">
        <v>92</v>
      </c>
      <c r="AR130" s="140"/>
      <c r="AS130" s="139"/>
      <c r="AT130" s="139"/>
      <c r="AU130" s="139"/>
    </row>
    <row r="131" spans="2:47" ht="15" customHeight="1" x14ac:dyDescent="0.4">
      <c r="C131" s="36"/>
      <c r="D131" s="36"/>
      <c r="E131" s="447"/>
      <c r="F131" s="155"/>
      <c r="G131" s="7"/>
      <c r="H131" s="20"/>
      <c r="U131" s="20"/>
      <c r="V131" s="38" t="s">
        <v>369</v>
      </c>
      <c r="W131" s="3" t="s">
        <v>374</v>
      </c>
      <c r="X131" s="38" t="s">
        <v>369</v>
      </c>
      <c r="Y131" s="1443">
        <v>430027090</v>
      </c>
      <c r="Z131" s="1443"/>
      <c r="AA131" s="20"/>
      <c r="AE131" s="3"/>
      <c r="AF131" s="3"/>
      <c r="AH131" s="51">
        <f>'Single Hung'!AI178</f>
        <v>7.5800000000000006E-2</v>
      </c>
      <c r="AI131" s="39"/>
      <c r="AJ131" s="39"/>
      <c r="AK131" s="39"/>
      <c r="AL131" s="39">
        <f>AD$127*AH131+SUM(AI131:AK131)</f>
        <v>0.15160000000000001</v>
      </c>
      <c r="AM131" s="3" t="s">
        <v>371</v>
      </c>
      <c r="AN131" s="3" t="s">
        <v>371</v>
      </c>
      <c r="AO131" s="3" t="s">
        <v>371</v>
      </c>
      <c r="AP131" s="3" t="s">
        <v>92</v>
      </c>
      <c r="AR131" s="140"/>
      <c r="AS131" s="139"/>
      <c r="AT131" s="139"/>
      <c r="AU131" s="139"/>
    </row>
    <row r="132" spans="2:47" ht="15" customHeight="1" x14ac:dyDescent="0.4">
      <c r="C132" s="36"/>
      <c r="D132" s="36"/>
      <c r="E132" s="447"/>
      <c r="F132" s="155"/>
      <c r="G132" s="7"/>
      <c r="H132" s="20"/>
      <c r="U132" s="20"/>
      <c r="V132" s="38" t="s">
        <v>369</v>
      </c>
      <c r="W132" s="3" t="s">
        <v>375</v>
      </c>
      <c r="X132" s="38" t="s">
        <v>369</v>
      </c>
      <c r="Y132" s="1443">
        <v>430027133</v>
      </c>
      <c r="Z132" s="1443"/>
      <c r="AA132" s="20"/>
      <c r="AE132" s="3"/>
      <c r="AF132" s="3"/>
      <c r="AH132" s="844">
        <f>'Single Hung'!AI179</f>
        <v>3.1E-2</v>
      </c>
      <c r="AI132" s="39"/>
      <c r="AJ132" s="39"/>
      <c r="AK132" s="39"/>
      <c r="AL132" s="39">
        <f t="shared" ref="AL132" si="35">AD$127*AH132+SUM(AI132:AK132)</f>
        <v>6.2E-2</v>
      </c>
      <c r="AM132" s="3" t="s">
        <v>371</v>
      </c>
      <c r="AN132" s="3" t="s">
        <v>371</v>
      </c>
      <c r="AO132" s="3" t="s">
        <v>371</v>
      </c>
      <c r="AP132" s="3" t="s">
        <v>371</v>
      </c>
      <c r="AR132" s="140"/>
      <c r="AS132" s="139"/>
      <c r="AT132" s="139"/>
      <c r="AU132" s="139"/>
    </row>
    <row r="133" spans="2:47" ht="15" customHeight="1" thickBot="1" x14ac:dyDescent="0.45">
      <c r="C133" s="36"/>
      <c r="D133" s="36"/>
      <c r="E133" s="447"/>
      <c r="F133" s="155"/>
      <c r="G133" s="7"/>
      <c r="H133" s="20"/>
      <c r="U133" s="20"/>
      <c r="V133" s="279" t="s">
        <v>369</v>
      </c>
      <c r="W133" s="112" t="s">
        <v>1849</v>
      </c>
      <c r="X133" s="279" t="s">
        <v>369</v>
      </c>
      <c r="Y133" s="1871">
        <v>430027148</v>
      </c>
      <c r="Z133" s="1444"/>
      <c r="AA133" s="887"/>
      <c r="AB133" s="889"/>
      <c r="AC133" s="889"/>
      <c r="AD133" s="945"/>
      <c r="AE133" s="889"/>
      <c r="AF133" s="889"/>
      <c r="AG133" s="945"/>
      <c r="AH133" s="937">
        <v>0</v>
      </c>
      <c r="AI133" s="947"/>
      <c r="AJ133" s="947"/>
      <c r="AK133" s="947"/>
      <c r="AL133" s="947">
        <f t="shared" ref="AL133" si="36">AD$127*AH133+SUM(AI133:AK133)</f>
        <v>0</v>
      </c>
      <c r="AM133" s="889" t="s">
        <v>371</v>
      </c>
      <c r="AN133" s="889" t="s">
        <v>371</v>
      </c>
      <c r="AO133" s="889" t="s">
        <v>371</v>
      </c>
      <c r="AP133" s="889" t="s">
        <v>92</v>
      </c>
      <c r="AQ133" s="889"/>
      <c r="AR133" s="140"/>
      <c r="AS133" s="139"/>
      <c r="AT133" s="139"/>
      <c r="AU133" s="139"/>
    </row>
    <row r="134" spans="2:47" ht="15" customHeight="1" x14ac:dyDescent="0.4">
      <c r="C134" s="476" t="s">
        <v>1140</v>
      </c>
      <c r="D134" s="116"/>
      <c r="E134" s="116"/>
      <c r="F134" s="173"/>
      <c r="G134" s="173"/>
      <c r="H134" s="193"/>
      <c r="I134" s="114"/>
      <c r="J134" s="116"/>
      <c r="K134" s="116"/>
      <c r="L134" s="116"/>
      <c r="M134" s="177"/>
      <c r="N134" s="177"/>
      <c r="O134" s="177"/>
      <c r="P134" s="177"/>
      <c r="Q134" s="177"/>
      <c r="R134" s="116"/>
      <c r="S134" s="198">
        <v>1</v>
      </c>
      <c r="T134" s="116" t="s">
        <v>385</v>
      </c>
      <c r="U134" s="193"/>
      <c r="V134" s="179"/>
      <c r="W134" s="116"/>
      <c r="X134" s="179"/>
      <c r="Y134" s="1449"/>
      <c r="Z134" s="1443"/>
      <c r="AB134" s="3">
        <v>45</v>
      </c>
      <c r="AC134" s="3">
        <v>2</v>
      </c>
      <c r="AD134" s="56">
        <f>AC134*S134</f>
        <v>2</v>
      </c>
      <c r="AE134" s="3" t="s">
        <v>385</v>
      </c>
      <c r="AF134" s="38" t="s">
        <v>369</v>
      </c>
      <c r="AG134" s="930" t="s">
        <v>369</v>
      </c>
      <c r="AH134" s="477"/>
      <c r="AI134" s="477"/>
      <c r="AJ134" s="477"/>
      <c r="AK134" s="477"/>
      <c r="AM134" s="3" t="s">
        <v>371</v>
      </c>
      <c r="AN134" s="3" t="s">
        <v>371</v>
      </c>
      <c r="AO134" s="3" t="s">
        <v>371</v>
      </c>
      <c r="AP134" s="3" t="s">
        <v>371</v>
      </c>
      <c r="AR134" s="139"/>
      <c r="AS134" s="139"/>
      <c r="AT134" s="139"/>
      <c r="AU134" s="139"/>
    </row>
    <row r="135" spans="2:47" ht="15" customHeight="1" x14ac:dyDescent="0.4">
      <c r="B135" s="36"/>
      <c r="C135" s="7"/>
      <c r="D135" s="7"/>
      <c r="E135" s="7"/>
      <c r="F135" s="7"/>
      <c r="G135" s="7"/>
      <c r="I135" s="8"/>
      <c r="S135" s="56"/>
      <c r="V135" s="38" t="s">
        <v>369</v>
      </c>
      <c r="W135" s="3" t="s">
        <v>370</v>
      </c>
      <c r="X135" s="38" t="s">
        <v>369</v>
      </c>
      <c r="Y135" s="1443">
        <v>440029003</v>
      </c>
      <c r="Z135" s="1443"/>
      <c r="AD135" s="56"/>
      <c r="AE135" s="3"/>
      <c r="AF135" s="38"/>
      <c r="AG135" s="38"/>
      <c r="AH135" s="492">
        <f>'Single Hung'!AI182</f>
        <v>7.0000000000000001E-3</v>
      </c>
      <c r="AI135" s="477"/>
      <c r="AJ135" s="477"/>
      <c r="AK135" s="477"/>
      <c r="AL135" s="39">
        <f>AD$134*AH135+SUM(AI135:AK135)</f>
        <v>1.4E-2</v>
      </c>
      <c r="AM135" s="3" t="s">
        <v>371</v>
      </c>
      <c r="AN135" s="3" t="s">
        <v>371</v>
      </c>
      <c r="AO135" s="3" t="s">
        <v>371</v>
      </c>
      <c r="AP135" s="3" t="s">
        <v>92</v>
      </c>
      <c r="AR135" s="139"/>
      <c r="AS135" s="139"/>
      <c r="AT135" s="139"/>
      <c r="AU135" s="139"/>
    </row>
    <row r="136" spans="2:47" ht="15" customHeight="1" x14ac:dyDescent="0.4">
      <c r="B136" s="36"/>
      <c r="C136" s="7"/>
      <c r="D136" s="7"/>
      <c r="E136" s="7"/>
      <c r="F136" s="7"/>
      <c r="G136" s="7"/>
      <c r="I136" s="8"/>
      <c r="S136" s="56"/>
      <c r="V136" s="38" t="s">
        <v>369</v>
      </c>
      <c r="W136" s="3" t="s">
        <v>372</v>
      </c>
      <c r="X136" s="38" t="s">
        <v>369</v>
      </c>
      <c r="Y136" s="1443">
        <v>440029021</v>
      </c>
      <c r="Z136" s="1443"/>
      <c r="AD136" s="56"/>
      <c r="AE136" s="3"/>
      <c r="AF136" s="38"/>
      <c r="AG136" s="38"/>
      <c r="AH136" s="492">
        <f>'Single Hung'!AI183</f>
        <v>7.0000000000000001E-3</v>
      </c>
      <c r="AI136" s="477"/>
      <c r="AJ136" s="477"/>
      <c r="AK136" s="477"/>
      <c r="AL136" s="39">
        <f t="shared" ref="AL136:AL137" si="37">AD$134*AH136+SUM(AI136:AK136)</f>
        <v>1.4E-2</v>
      </c>
      <c r="AM136" s="3" t="s">
        <v>371</v>
      </c>
      <c r="AN136" s="3" t="s">
        <v>371</v>
      </c>
      <c r="AO136" s="3" t="s">
        <v>371</v>
      </c>
      <c r="AP136" s="3" t="s">
        <v>92</v>
      </c>
      <c r="AR136" s="139"/>
      <c r="AS136" s="139"/>
      <c r="AT136" s="139"/>
      <c r="AU136" s="139"/>
    </row>
    <row r="137" spans="2:47" ht="15" customHeight="1" x14ac:dyDescent="0.4">
      <c r="B137" s="36"/>
      <c r="C137" s="7"/>
      <c r="D137" s="7"/>
      <c r="E137" s="7"/>
      <c r="F137" s="7"/>
      <c r="G137" s="7"/>
      <c r="I137" s="8"/>
      <c r="S137" s="56"/>
      <c r="V137" s="38" t="s">
        <v>369</v>
      </c>
      <c r="W137" s="3" t="s">
        <v>373</v>
      </c>
      <c r="X137" s="38" t="s">
        <v>369</v>
      </c>
      <c r="Y137" s="1443">
        <v>440029033</v>
      </c>
      <c r="Z137" s="1443"/>
      <c r="AD137" s="56"/>
      <c r="AE137" s="3"/>
      <c r="AF137" s="38"/>
      <c r="AG137" s="38"/>
      <c r="AH137" s="492">
        <f>'Single Hung'!AI184</f>
        <v>6.7000000000000002E-3</v>
      </c>
      <c r="AI137" s="477"/>
      <c r="AJ137" s="477"/>
      <c r="AK137" s="477"/>
      <c r="AL137" s="39">
        <f t="shared" si="37"/>
        <v>1.34E-2</v>
      </c>
      <c r="AM137" s="3" t="s">
        <v>371</v>
      </c>
      <c r="AN137" s="3" t="s">
        <v>371</v>
      </c>
      <c r="AO137" s="3" t="s">
        <v>371</v>
      </c>
      <c r="AP137" s="3" t="s">
        <v>92</v>
      </c>
      <c r="AR137" s="139"/>
      <c r="AS137" s="139"/>
      <c r="AT137" s="139"/>
      <c r="AU137" s="139"/>
    </row>
    <row r="138" spans="2:47" ht="15" customHeight="1" x14ac:dyDescent="0.4">
      <c r="B138" s="36"/>
      <c r="C138" s="7"/>
      <c r="D138" s="7"/>
      <c r="E138" s="7"/>
      <c r="F138" s="7"/>
      <c r="G138" s="7"/>
      <c r="I138" s="8"/>
      <c r="S138" s="56"/>
      <c r="V138" s="38" t="s">
        <v>369</v>
      </c>
      <c r="W138" s="3" t="s">
        <v>374</v>
      </c>
      <c r="X138" s="38" t="s">
        <v>369</v>
      </c>
      <c r="Y138" s="1443">
        <v>440029090</v>
      </c>
      <c r="Z138" s="1443"/>
      <c r="AD138" s="56"/>
      <c r="AE138" s="3"/>
      <c r="AF138" s="38"/>
      <c r="AG138" s="38"/>
      <c r="AH138" s="492">
        <f>'Single Hung'!AI185</f>
        <v>8.9999999999999993E-3</v>
      </c>
      <c r="AI138" s="477"/>
      <c r="AJ138" s="477"/>
      <c r="AK138" s="477"/>
      <c r="AL138" s="39">
        <f>AD$134*AH138+SUM(AI138:AK138)</f>
        <v>1.7999999999999999E-2</v>
      </c>
      <c r="AM138" s="3" t="s">
        <v>371</v>
      </c>
      <c r="AN138" s="3" t="s">
        <v>371</v>
      </c>
      <c r="AO138" s="3" t="s">
        <v>371</v>
      </c>
      <c r="AP138" s="3" t="s">
        <v>92</v>
      </c>
      <c r="AR138" s="139"/>
      <c r="AS138" s="139"/>
      <c r="AT138" s="139"/>
      <c r="AU138" s="139"/>
    </row>
    <row r="139" spans="2:47" ht="15" customHeight="1" x14ac:dyDescent="0.4">
      <c r="B139" s="36"/>
      <c r="C139" s="7"/>
      <c r="D139" s="7"/>
      <c r="E139" s="7"/>
      <c r="F139" s="7"/>
      <c r="G139" s="7"/>
      <c r="I139" s="8"/>
      <c r="S139" s="56"/>
      <c r="V139" s="38" t="s">
        <v>369</v>
      </c>
      <c r="W139" s="3" t="s">
        <v>375</v>
      </c>
      <c r="X139" s="38" t="s">
        <v>369</v>
      </c>
      <c r="Y139" s="1443">
        <v>440029133</v>
      </c>
      <c r="Z139" s="1443"/>
      <c r="AD139" s="56"/>
      <c r="AE139" s="3"/>
      <c r="AF139" s="38"/>
      <c r="AG139" s="38"/>
      <c r="AH139" s="1030">
        <f>'Single Hung'!AI186</f>
        <v>7.0000000000000001E-3</v>
      </c>
      <c r="AI139" s="477"/>
      <c r="AJ139" s="477"/>
      <c r="AK139" s="477"/>
      <c r="AL139" s="39">
        <f t="shared" ref="AL139" si="38">AD$134*AH139+SUM(AI139:AK139)</f>
        <v>1.4E-2</v>
      </c>
      <c r="AM139" s="3" t="s">
        <v>371</v>
      </c>
      <c r="AN139" s="3" t="s">
        <v>371</v>
      </c>
      <c r="AO139" s="3" t="s">
        <v>371</v>
      </c>
      <c r="AP139" s="3" t="s">
        <v>92</v>
      </c>
      <c r="AR139" s="139"/>
      <c r="AS139" s="139"/>
      <c r="AT139" s="139"/>
      <c r="AU139" s="139"/>
    </row>
    <row r="140" spans="2:47" ht="15" customHeight="1" thickBot="1" x14ac:dyDescent="0.45">
      <c r="B140" s="36"/>
      <c r="C140" s="7"/>
      <c r="D140" s="7"/>
      <c r="E140" s="7"/>
      <c r="F140" s="7"/>
      <c r="G140" s="7"/>
      <c r="I140" s="8"/>
      <c r="S140" s="56"/>
      <c r="V140" s="279" t="s">
        <v>369</v>
      </c>
      <c r="W140" s="112" t="s">
        <v>1849</v>
      </c>
      <c r="X140" s="279" t="s">
        <v>369</v>
      </c>
      <c r="Y140" s="1871">
        <v>440029148</v>
      </c>
      <c r="Z140" s="1444"/>
      <c r="AA140" s="948"/>
      <c r="AB140" s="889"/>
      <c r="AC140" s="889"/>
      <c r="AD140" s="1156"/>
      <c r="AE140" s="889"/>
      <c r="AF140" s="888"/>
      <c r="AG140" s="888"/>
      <c r="AH140" s="942">
        <v>0</v>
      </c>
      <c r="AI140" s="1157"/>
      <c r="AJ140" s="1157"/>
      <c r="AK140" s="1157"/>
      <c r="AL140" s="947">
        <f t="shared" ref="AL140" si="39">AD$134*AH140+SUM(AI140:AK140)</f>
        <v>0</v>
      </c>
      <c r="AM140" s="889" t="s">
        <v>371</v>
      </c>
      <c r="AN140" s="889" t="s">
        <v>371</v>
      </c>
      <c r="AO140" s="889" t="s">
        <v>371</v>
      </c>
      <c r="AP140" s="889" t="s">
        <v>371</v>
      </c>
      <c r="AQ140" s="889"/>
      <c r="AR140" s="139"/>
      <c r="AS140" s="139"/>
      <c r="AT140" s="139"/>
      <c r="AU140" s="139"/>
    </row>
    <row r="141" spans="2:47" ht="15" customHeight="1" x14ac:dyDescent="0.4">
      <c r="C141" s="476" t="s">
        <v>416</v>
      </c>
      <c r="D141" s="116"/>
      <c r="E141" s="116"/>
      <c r="F141" s="173"/>
      <c r="G141" s="173"/>
      <c r="H141" s="193"/>
      <c r="I141" s="114"/>
      <c r="J141" s="116"/>
      <c r="K141" s="116"/>
      <c r="L141" s="116"/>
      <c r="M141" s="177"/>
      <c r="N141" s="177"/>
      <c r="O141" s="177"/>
      <c r="P141" s="177"/>
      <c r="Q141" s="177"/>
      <c r="R141" s="116"/>
      <c r="S141" s="198">
        <v>1</v>
      </c>
      <c r="T141" s="116" t="s">
        <v>385</v>
      </c>
      <c r="U141" s="193"/>
      <c r="V141" s="179"/>
      <c r="W141" s="116"/>
      <c r="X141" s="179"/>
      <c r="Y141" s="1449"/>
      <c r="Z141" s="1443"/>
      <c r="AB141" s="3">
        <v>45</v>
      </c>
      <c r="AC141" s="3">
        <v>4</v>
      </c>
      <c r="AD141" s="56">
        <f>AC141*S141</f>
        <v>4</v>
      </c>
      <c r="AE141" s="3" t="s">
        <v>385</v>
      </c>
      <c r="AF141" s="38" t="s">
        <v>369</v>
      </c>
      <c r="AG141" s="930" t="s">
        <v>369</v>
      </c>
      <c r="AH141" s="477"/>
      <c r="AI141" s="477"/>
      <c r="AJ141" s="477"/>
      <c r="AK141" s="477"/>
      <c r="AM141" s="3" t="s">
        <v>371</v>
      </c>
      <c r="AN141" s="3" t="s">
        <v>371</v>
      </c>
      <c r="AO141" s="3" t="s">
        <v>371</v>
      </c>
      <c r="AP141" s="3" t="s">
        <v>371</v>
      </c>
      <c r="AR141" s="139"/>
      <c r="AS141" s="139"/>
      <c r="AT141" s="139"/>
      <c r="AU141" s="139"/>
    </row>
    <row r="142" spans="2:47" ht="15" customHeight="1" x14ac:dyDescent="0.4">
      <c r="B142" s="36"/>
      <c r="C142" s="7"/>
      <c r="D142" s="7"/>
      <c r="E142" s="7"/>
      <c r="F142" s="7"/>
      <c r="G142" s="7"/>
      <c r="I142" s="8"/>
      <c r="S142" s="56"/>
      <c r="V142" s="38" t="s">
        <v>369</v>
      </c>
      <c r="W142" s="3" t="s">
        <v>370</v>
      </c>
      <c r="X142" s="38" t="s">
        <v>369</v>
      </c>
      <c r="Y142" s="1443">
        <v>440016006</v>
      </c>
      <c r="Z142" s="1443"/>
      <c r="AD142" s="56"/>
      <c r="AE142" s="3"/>
      <c r="AF142" s="38"/>
      <c r="AG142" s="38"/>
      <c r="AH142" s="492">
        <f>'Single Hung'!AI189</f>
        <v>2.29E-2</v>
      </c>
      <c r="AI142" s="477"/>
      <c r="AJ142" s="477"/>
      <c r="AK142" s="477"/>
      <c r="AL142" s="39">
        <f>AD$141*AH142+SUM(AI142:AK142)</f>
        <v>9.1600000000000001E-2</v>
      </c>
      <c r="AM142" s="3" t="s">
        <v>371</v>
      </c>
      <c r="AN142" s="3" t="s">
        <v>371</v>
      </c>
      <c r="AO142" s="3" t="s">
        <v>371</v>
      </c>
      <c r="AP142" s="3" t="s">
        <v>92</v>
      </c>
      <c r="AR142" s="139"/>
      <c r="AS142" s="139"/>
      <c r="AT142" s="139"/>
      <c r="AU142" s="139"/>
    </row>
    <row r="143" spans="2:47" ht="15" customHeight="1" x14ac:dyDescent="0.4">
      <c r="B143" s="36"/>
      <c r="C143" s="7"/>
      <c r="D143" s="7"/>
      <c r="E143" s="7"/>
      <c r="F143" s="7"/>
      <c r="G143" s="7"/>
      <c r="I143" s="8"/>
      <c r="S143" s="56"/>
      <c r="V143" s="38" t="s">
        <v>369</v>
      </c>
      <c r="W143" s="3" t="s">
        <v>372</v>
      </c>
      <c r="X143" s="38" t="s">
        <v>369</v>
      </c>
      <c r="Y143" s="1443">
        <v>440016021</v>
      </c>
      <c r="Z143" s="1443"/>
      <c r="AD143" s="56"/>
      <c r="AE143" s="3"/>
      <c r="AF143" s="38"/>
      <c r="AG143" s="38"/>
      <c r="AH143" s="492">
        <f>'Single Hung'!AI190</f>
        <v>2.29E-2</v>
      </c>
      <c r="AI143" s="477"/>
      <c r="AJ143" s="477"/>
      <c r="AK143" s="477"/>
      <c r="AL143" s="39">
        <f t="shared" ref="AL143:AL144" si="40">AD$141*AH143+SUM(AI143:AK143)</f>
        <v>9.1600000000000001E-2</v>
      </c>
      <c r="AM143" s="3" t="s">
        <v>371</v>
      </c>
      <c r="AN143" s="3" t="s">
        <v>371</v>
      </c>
      <c r="AO143" s="3" t="s">
        <v>371</v>
      </c>
      <c r="AP143" s="3" t="s">
        <v>92</v>
      </c>
      <c r="AR143" s="139"/>
      <c r="AS143" s="139"/>
      <c r="AT143" s="139"/>
      <c r="AU143" s="139"/>
    </row>
    <row r="144" spans="2:47" ht="12.75" customHeight="1" x14ac:dyDescent="0.4">
      <c r="B144" s="36"/>
      <c r="C144" s="7"/>
      <c r="D144" s="7"/>
      <c r="E144" s="7"/>
      <c r="F144" s="7"/>
      <c r="G144" s="7"/>
      <c r="I144" s="8"/>
      <c r="S144" s="56"/>
      <c r="V144" s="38" t="s">
        <v>369</v>
      </c>
      <c r="W144" s="3" t="s">
        <v>373</v>
      </c>
      <c r="X144" s="38" t="s">
        <v>369</v>
      </c>
      <c r="Y144" s="1443">
        <v>440016033</v>
      </c>
      <c r="Z144" s="1443"/>
      <c r="AD144" s="56"/>
      <c r="AE144" s="3"/>
      <c r="AF144" s="38"/>
      <c r="AG144" s="38"/>
      <c r="AH144" s="492">
        <f>'Single Hung'!AI191</f>
        <v>2.2800000000000001E-2</v>
      </c>
      <c r="AI144" s="477"/>
      <c r="AJ144" s="477"/>
      <c r="AK144" s="477"/>
      <c r="AL144" s="39">
        <f t="shared" si="40"/>
        <v>9.1200000000000003E-2</v>
      </c>
      <c r="AM144" s="3" t="s">
        <v>371</v>
      </c>
      <c r="AN144" s="3" t="s">
        <v>371</v>
      </c>
      <c r="AO144" s="3" t="s">
        <v>371</v>
      </c>
      <c r="AP144" s="3" t="s">
        <v>92</v>
      </c>
      <c r="AR144" s="139"/>
      <c r="AS144" s="139"/>
      <c r="AT144" s="139"/>
      <c r="AU144" s="139"/>
    </row>
    <row r="145" spans="2:47" ht="12.75" customHeight="1" x14ac:dyDescent="0.4">
      <c r="B145" s="36"/>
      <c r="C145" s="7"/>
      <c r="D145" s="7"/>
      <c r="E145" s="7"/>
      <c r="F145" s="7"/>
      <c r="G145" s="7"/>
      <c r="I145" s="8"/>
      <c r="S145" s="56"/>
      <c r="V145" s="38" t="s">
        <v>369</v>
      </c>
      <c r="W145" s="3" t="s">
        <v>374</v>
      </c>
      <c r="X145" s="38" t="s">
        <v>369</v>
      </c>
      <c r="Y145" s="1443">
        <v>440016090</v>
      </c>
      <c r="Z145" s="1443"/>
      <c r="AD145" s="56"/>
      <c r="AE145" s="3"/>
      <c r="AF145" s="38"/>
      <c r="AG145" s="38"/>
      <c r="AH145" s="492">
        <f>'Single Hung'!AI192</f>
        <v>2.3E-2</v>
      </c>
      <c r="AI145" s="477"/>
      <c r="AJ145" s="477"/>
      <c r="AK145" s="477"/>
      <c r="AL145" s="39">
        <f>AD$141*AH145+SUM(AI145:AK145)</f>
        <v>9.1999999999999998E-2</v>
      </c>
      <c r="AM145" s="3" t="s">
        <v>371</v>
      </c>
      <c r="AN145" s="3" t="s">
        <v>371</v>
      </c>
      <c r="AO145" s="3" t="s">
        <v>371</v>
      </c>
      <c r="AP145" s="3" t="s">
        <v>92</v>
      </c>
      <c r="AR145" s="139"/>
      <c r="AS145" s="139"/>
      <c r="AT145" s="139"/>
      <c r="AU145" s="139"/>
    </row>
    <row r="146" spans="2:47" ht="12.75" customHeight="1" thickBot="1" x14ac:dyDescent="0.45">
      <c r="B146" s="36"/>
      <c r="C146" s="7"/>
      <c r="D146" s="7"/>
      <c r="E146" s="7"/>
      <c r="F146" s="7"/>
      <c r="G146" s="7"/>
      <c r="I146" s="8"/>
      <c r="S146" s="56"/>
      <c r="V146" s="38" t="s">
        <v>369</v>
      </c>
      <c r="W146" s="3" t="s">
        <v>375</v>
      </c>
      <c r="X146" s="38" t="s">
        <v>369</v>
      </c>
      <c r="Y146" s="1443">
        <v>440016133</v>
      </c>
      <c r="Z146" s="1443"/>
      <c r="AD146" s="56"/>
      <c r="AE146" s="3"/>
      <c r="AF146" s="38"/>
      <c r="AG146" s="38"/>
      <c r="AH146" s="1030">
        <f>'Single Hung'!AI193</f>
        <v>2.3E-2</v>
      </c>
      <c r="AI146" s="477"/>
      <c r="AJ146" s="477"/>
      <c r="AK146" s="477"/>
      <c r="AL146" s="39">
        <f t="shared" ref="AL146" si="41">AD$141*AH146+SUM(AI146:AK146)</f>
        <v>9.1999999999999998E-2</v>
      </c>
      <c r="AM146" s="889" t="s">
        <v>371</v>
      </c>
      <c r="AN146" s="889" t="s">
        <v>371</v>
      </c>
      <c r="AO146" s="889" t="s">
        <v>371</v>
      </c>
      <c r="AP146" s="889" t="s">
        <v>371</v>
      </c>
      <c r="AQ146" s="889"/>
      <c r="AR146" s="139"/>
      <c r="AS146" s="139"/>
      <c r="AT146" s="139"/>
      <c r="AU146" s="139"/>
    </row>
    <row r="147" spans="2:47" ht="15" customHeight="1" x14ac:dyDescent="0.4">
      <c r="B147" s="3"/>
      <c r="C147" s="448"/>
      <c r="D147" s="449" t="s">
        <v>1141</v>
      </c>
      <c r="E147" s="182"/>
      <c r="F147" s="430" t="s">
        <v>418</v>
      </c>
      <c r="G147" s="431">
        <v>3</v>
      </c>
      <c r="H147" s="175"/>
      <c r="I147" s="432" t="str">
        <f xml:space="preserve"> "Length = INT ( ( UW - " &amp;FIXED(G148,2)&amp;") / "&amp;FIXED(G147,2)&amp;" ) *"&amp;FIXED(G147,2)</f>
        <v>Length = INT ( ( UW - 2.00) / 3.00 ) *3.00</v>
      </c>
      <c r="J147" s="116"/>
      <c r="K147" s="116"/>
      <c r="L147" s="116"/>
      <c r="M147" s="177"/>
      <c r="N147" s="177"/>
      <c r="O147" s="177"/>
      <c r="P147" s="178"/>
      <c r="Q147" s="178"/>
      <c r="R147" s="116" t="s">
        <v>352</v>
      </c>
      <c r="S147" s="177">
        <f>INT((SL2Width-G148)/G147)*G147</f>
        <v>45</v>
      </c>
      <c r="T147" s="116" t="s">
        <v>366</v>
      </c>
      <c r="U147" s="175"/>
      <c r="V147" s="179"/>
      <c r="W147" s="116"/>
      <c r="X147" s="179"/>
      <c r="Y147" s="1449"/>
      <c r="Z147" s="1449"/>
      <c r="AA147" s="175"/>
      <c r="AB147" s="116">
        <v>45</v>
      </c>
      <c r="AC147" s="116">
        <v>1</v>
      </c>
      <c r="AD147" s="177">
        <f>AC147*S147/12</f>
        <v>3.75</v>
      </c>
      <c r="AE147" s="116" t="s">
        <v>367</v>
      </c>
      <c r="AF147" s="116">
        <f>'Single Hung'!AG194</f>
        <v>0.13900000000000001</v>
      </c>
      <c r="AG147" s="177">
        <f>AF147*AtolbperftSL2</f>
        <v>8.7917499999999996E-2</v>
      </c>
      <c r="AH147" s="185"/>
      <c r="AI147" s="185"/>
      <c r="AJ147" s="185"/>
      <c r="AK147" s="185"/>
      <c r="AL147" s="180"/>
      <c r="AM147" s="3" t="s">
        <v>371</v>
      </c>
      <c r="AN147" s="3" t="s">
        <v>371</v>
      </c>
      <c r="AO147" s="3" t="s">
        <v>371</v>
      </c>
      <c r="AP147" s="3" t="s">
        <v>371</v>
      </c>
      <c r="AR147" s="139"/>
      <c r="AS147" s="139"/>
      <c r="AT147" s="139"/>
      <c r="AU147" s="139"/>
    </row>
    <row r="148" spans="2:47" ht="15" customHeight="1" x14ac:dyDescent="0.4">
      <c r="B148" s="36"/>
      <c r="C148" s="155"/>
      <c r="D148" s="155"/>
      <c r="E148" s="155"/>
      <c r="F148" s="434" t="s">
        <v>1223</v>
      </c>
      <c r="G148" s="435">
        <v>2</v>
      </c>
      <c r="H148" s="20"/>
      <c r="P148" s="24"/>
      <c r="Q148" s="24"/>
      <c r="U148" s="20"/>
      <c r="V148" s="38" t="s">
        <v>369</v>
      </c>
      <c r="W148" s="3" t="s">
        <v>370</v>
      </c>
      <c r="X148" s="38" t="s">
        <v>369</v>
      </c>
      <c r="Y148" s="1443">
        <v>200143003</v>
      </c>
      <c r="Z148" s="1443"/>
      <c r="AA148" s="20"/>
      <c r="AE148" s="3"/>
      <c r="AF148" s="38"/>
      <c r="AH148" s="51">
        <f>'Single Hung'!AI195</f>
        <v>0.1434</v>
      </c>
      <c r="AI148" s="39"/>
      <c r="AJ148" s="39"/>
      <c r="AK148" s="39"/>
      <c r="AL148" s="39">
        <f>AD$147*AH148+SUM(AI148:AK148)</f>
        <v>0.53774999999999995</v>
      </c>
      <c r="AM148" s="3" t="s">
        <v>371</v>
      </c>
      <c r="AN148" s="3" t="s">
        <v>371</v>
      </c>
      <c r="AO148" s="3" t="s">
        <v>371</v>
      </c>
      <c r="AP148" s="3" t="s">
        <v>92</v>
      </c>
      <c r="AR148" s="139"/>
      <c r="AS148" s="139"/>
      <c r="AT148" s="139"/>
      <c r="AU148" s="139"/>
    </row>
    <row r="149" spans="2:47" ht="15" customHeight="1" x14ac:dyDescent="0.4">
      <c r="B149" s="36"/>
      <c r="C149" s="155"/>
      <c r="D149" s="155"/>
      <c r="E149" s="155"/>
      <c r="F149" s="155"/>
      <c r="G149" s="7"/>
      <c r="H149" s="20"/>
      <c r="P149" s="24"/>
      <c r="Q149" s="24"/>
      <c r="U149" s="20"/>
      <c r="V149" s="38" t="s">
        <v>369</v>
      </c>
      <c r="W149" s="3" t="s">
        <v>372</v>
      </c>
      <c r="X149" s="38" t="s">
        <v>369</v>
      </c>
      <c r="Y149" s="1443">
        <v>200143021</v>
      </c>
      <c r="Z149" s="1443"/>
      <c r="AA149" s="20"/>
      <c r="AE149" s="3"/>
      <c r="AF149" s="3"/>
      <c r="AH149" s="51">
        <f>'Single Hung'!AI196</f>
        <v>0.182</v>
      </c>
      <c r="AI149" s="39"/>
      <c r="AJ149" s="39"/>
      <c r="AK149" s="39"/>
      <c r="AL149" s="39">
        <f t="shared" ref="AL149:AL150" si="42">AD$147*AH149+SUM(AI149:AK149)</f>
        <v>0.6825</v>
      </c>
      <c r="AM149" s="3" t="s">
        <v>371</v>
      </c>
      <c r="AN149" s="3" t="s">
        <v>371</v>
      </c>
      <c r="AO149" s="3" t="s">
        <v>371</v>
      </c>
      <c r="AP149" s="3" t="s">
        <v>92</v>
      </c>
      <c r="AR149" s="139"/>
      <c r="AS149" s="139"/>
      <c r="AT149" s="139"/>
      <c r="AU149" s="139"/>
    </row>
    <row r="150" spans="2:47" ht="15" customHeight="1" x14ac:dyDescent="0.4">
      <c r="B150" s="36"/>
      <c r="C150" s="155"/>
      <c r="D150" s="155"/>
      <c r="E150" s="155"/>
      <c r="F150" s="155"/>
      <c r="G150" s="7"/>
      <c r="H150" s="20"/>
      <c r="P150" s="24"/>
      <c r="Q150" s="24"/>
      <c r="U150" s="20"/>
      <c r="V150" s="38" t="s">
        <v>369</v>
      </c>
      <c r="W150" s="3" t="s">
        <v>373</v>
      </c>
      <c r="X150" s="38" t="s">
        <v>369</v>
      </c>
      <c r="Y150" s="1443">
        <v>200143033</v>
      </c>
      <c r="Z150" s="1443"/>
      <c r="AA150" s="20"/>
      <c r="AE150" s="3"/>
      <c r="AF150" s="3"/>
      <c r="AH150" s="51">
        <f>'Single Hung'!AI197</f>
        <v>0.16950000000000001</v>
      </c>
      <c r="AI150" s="39"/>
      <c r="AJ150" s="39"/>
      <c r="AK150" s="39"/>
      <c r="AL150" s="39">
        <f t="shared" si="42"/>
        <v>0.635625</v>
      </c>
      <c r="AM150" s="3" t="s">
        <v>371</v>
      </c>
      <c r="AN150" s="3" t="s">
        <v>371</v>
      </c>
      <c r="AO150" s="3" t="s">
        <v>371</v>
      </c>
      <c r="AP150" s="3" t="s">
        <v>92</v>
      </c>
      <c r="AR150" s="139"/>
      <c r="AS150" s="139"/>
      <c r="AT150" s="139"/>
      <c r="AU150" s="139"/>
    </row>
    <row r="151" spans="2:47" ht="15" customHeight="1" x14ac:dyDescent="0.4">
      <c r="B151" s="36"/>
      <c r="C151" s="155"/>
      <c r="D151" s="155"/>
      <c r="E151" s="155"/>
      <c r="F151" s="155"/>
      <c r="G151" s="7"/>
      <c r="H151" s="20"/>
      <c r="P151" s="24"/>
      <c r="Q151" s="24"/>
      <c r="U151" s="20"/>
      <c r="V151" s="38" t="s">
        <v>369</v>
      </c>
      <c r="W151" s="3" t="s">
        <v>374</v>
      </c>
      <c r="X151" s="38" t="s">
        <v>369</v>
      </c>
      <c r="Y151" s="1443">
        <v>200143090</v>
      </c>
      <c r="Z151" s="1443"/>
      <c r="AA151" s="20"/>
      <c r="AE151" s="3"/>
      <c r="AF151" s="3"/>
      <c r="AH151" s="51">
        <f>'Single Hung'!AI198</f>
        <v>0.43090000000000001</v>
      </c>
      <c r="AI151" s="39"/>
      <c r="AJ151" s="39"/>
      <c r="AK151" s="39"/>
      <c r="AL151" s="39">
        <f>AD$147*AH151+SUM(AI151:AK151)</f>
        <v>1.615875</v>
      </c>
      <c r="AM151" s="3" t="s">
        <v>371</v>
      </c>
      <c r="AN151" s="3" t="s">
        <v>371</v>
      </c>
      <c r="AO151" s="3" t="s">
        <v>371</v>
      </c>
      <c r="AP151" s="3" t="s">
        <v>92</v>
      </c>
      <c r="AR151" s="139"/>
      <c r="AS151" s="139"/>
      <c r="AT151" s="139"/>
      <c r="AU151" s="139"/>
    </row>
    <row r="152" spans="2:47" ht="15" customHeight="1" x14ac:dyDescent="0.4">
      <c r="B152" s="36"/>
      <c r="C152" s="155"/>
      <c r="D152" s="155"/>
      <c r="E152" s="155"/>
      <c r="F152" s="155"/>
      <c r="G152" s="7"/>
      <c r="H152" s="20"/>
      <c r="P152" s="24"/>
      <c r="Q152" s="24"/>
      <c r="U152" s="20"/>
      <c r="V152" s="38" t="s">
        <v>369</v>
      </c>
      <c r="W152" s="3" t="s">
        <v>375</v>
      </c>
      <c r="X152" s="38" t="s">
        <v>369</v>
      </c>
      <c r="Y152" s="1443">
        <v>200143133</v>
      </c>
      <c r="Z152" s="1443"/>
      <c r="AA152" s="20"/>
      <c r="AE152" s="3"/>
      <c r="AF152" s="3"/>
      <c r="AH152" s="844">
        <f>'Single Hung'!AI199</f>
        <v>0.37780000000000002</v>
      </c>
      <c r="AI152" s="39"/>
      <c r="AJ152" s="39"/>
      <c r="AK152" s="39"/>
      <c r="AL152" s="39">
        <f t="shared" ref="AL152" si="43">AD$147*AH152+SUM(AI152:AK152)</f>
        <v>1.4167500000000002</v>
      </c>
      <c r="AM152" s="3" t="s">
        <v>371</v>
      </c>
      <c r="AN152" s="3" t="s">
        <v>371</v>
      </c>
      <c r="AO152" s="3" t="s">
        <v>371</v>
      </c>
      <c r="AP152" s="3" t="s">
        <v>371</v>
      </c>
      <c r="AR152" s="139"/>
      <c r="AS152" s="139"/>
      <c r="AT152" s="139"/>
      <c r="AU152" s="139"/>
    </row>
    <row r="153" spans="2:47" ht="15" customHeight="1" thickBot="1" x14ac:dyDescent="0.45">
      <c r="B153" s="36"/>
      <c r="C153" s="155"/>
      <c r="D153" s="155"/>
      <c r="E153" s="155"/>
      <c r="F153" s="155"/>
      <c r="G153" s="7"/>
      <c r="H153" s="20"/>
      <c r="P153" s="24"/>
      <c r="Q153" s="24"/>
      <c r="U153" s="20"/>
      <c r="V153" s="1876" t="s">
        <v>369</v>
      </c>
      <c r="W153" s="1877" t="s">
        <v>1849</v>
      </c>
      <c r="X153" s="1876" t="s">
        <v>369</v>
      </c>
      <c r="Y153" s="1878">
        <v>200143148</v>
      </c>
      <c r="Z153" s="1444"/>
      <c r="AA153" s="887"/>
      <c r="AB153" s="889"/>
      <c r="AC153" s="889"/>
      <c r="AD153" s="945"/>
      <c r="AE153" s="889"/>
      <c r="AF153" s="889"/>
      <c r="AG153" s="945"/>
      <c r="AH153" s="937">
        <v>0</v>
      </c>
      <c r="AI153" s="947"/>
      <c r="AJ153" s="947"/>
      <c r="AK153" s="947"/>
      <c r="AL153" s="947">
        <f t="shared" ref="AL153" si="44">AD$147*AH153+SUM(AI153:AK153)</f>
        <v>0</v>
      </c>
      <c r="AM153" s="889" t="s">
        <v>371</v>
      </c>
      <c r="AN153" s="889" t="s">
        <v>371</v>
      </c>
      <c r="AO153" s="889" t="s">
        <v>371</v>
      </c>
      <c r="AP153" s="889" t="s">
        <v>92</v>
      </c>
      <c r="AQ153" s="889"/>
      <c r="AR153" s="139"/>
      <c r="AS153" s="139"/>
      <c r="AT153" s="139"/>
      <c r="AU153" s="139"/>
    </row>
    <row r="154" spans="2:47" ht="15" customHeight="1" thickBot="1" x14ac:dyDescent="0.45">
      <c r="B154" s="135" t="s">
        <v>420</v>
      </c>
      <c r="C154" s="827"/>
      <c r="D154" s="827"/>
      <c r="E154" s="827"/>
      <c r="F154" s="827"/>
      <c r="G154" s="135"/>
      <c r="H154" s="828"/>
      <c r="I154" s="136"/>
      <c r="J154" s="136"/>
      <c r="K154" s="136"/>
      <c r="L154" s="136"/>
      <c r="M154" s="506"/>
      <c r="N154" s="506"/>
      <c r="O154" s="506"/>
      <c r="P154" s="496"/>
      <c r="Q154" s="496"/>
      <c r="R154" s="136"/>
      <c r="S154" s="506"/>
      <c r="T154" s="136"/>
      <c r="U154" s="828"/>
      <c r="V154" s="557"/>
      <c r="W154" s="136"/>
      <c r="X154" s="557"/>
      <c r="Y154" s="829"/>
      <c r="Z154" s="829"/>
      <c r="AA154" s="828"/>
      <c r="AB154" s="136"/>
      <c r="AC154" s="136"/>
      <c r="AD154" s="506"/>
      <c r="AE154" s="136"/>
      <c r="AF154" s="136"/>
      <c r="AG154" s="506"/>
      <c r="AH154" s="475"/>
      <c r="AI154" s="137"/>
      <c r="AJ154" s="137"/>
      <c r="AK154" s="137"/>
      <c r="AL154" s="137"/>
      <c r="AM154" s="136" t="s">
        <v>371</v>
      </c>
      <c r="AN154" s="136" t="s">
        <v>371</v>
      </c>
      <c r="AO154" s="136" t="s">
        <v>371</v>
      </c>
      <c r="AP154" s="136" t="s">
        <v>371</v>
      </c>
      <c r="AQ154" s="136"/>
      <c r="AR154" s="139"/>
      <c r="AS154" s="139"/>
      <c r="AT154" s="139"/>
      <c r="AU154" s="139"/>
    </row>
    <row r="155" spans="2:47" ht="15" customHeight="1" x14ac:dyDescent="0.4">
      <c r="B155" s="36"/>
      <c r="C155" s="476" t="s">
        <v>421</v>
      </c>
      <c r="G155" s="7"/>
      <c r="H155" s="20"/>
      <c r="P155" s="24"/>
      <c r="Q155" s="24"/>
      <c r="S155" s="5">
        <v>1</v>
      </c>
      <c r="U155" s="20"/>
      <c r="V155" s="38" t="s">
        <v>369</v>
      </c>
      <c r="W155" s="3" t="s">
        <v>422</v>
      </c>
      <c r="X155" s="38" t="s">
        <v>369</v>
      </c>
      <c r="Y155" s="1443">
        <v>120032000</v>
      </c>
      <c r="Z155" s="41">
        <v>251334</v>
      </c>
      <c r="AA155" s="20"/>
      <c r="AB155" s="3">
        <v>45</v>
      </c>
      <c r="AC155" s="3">
        <v>1</v>
      </c>
      <c r="AD155" s="177">
        <f>S155*AC155</f>
        <v>1</v>
      </c>
      <c r="AE155" s="3"/>
      <c r="AF155" s="3"/>
      <c r="AH155" s="51">
        <f>'Single Hung'!AI210</f>
        <v>7.7700000000000005E-2</v>
      </c>
      <c r="AI155" s="39"/>
      <c r="AJ155" s="39"/>
      <c r="AK155" s="39"/>
      <c r="AL155" s="39">
        <f>AD$155*AH155+SUM(AI155:AK155)</f>
        <v>7.7700000000000005E-2</v>
      </c>
      <c r="AM155" s="3" t="s">
        <v>371</v>
      </c>
      <c r="AN155" s="3" t="s">
        <v>371</v>
      </c>
      <c r="AO155" s="3" t="s">
        <v>371</v>
      </c>
      <c r="AP155" s="3" t="s">
        <v>371</v>
      </c>
      <c r="AR155" s="139"/>
      <c r="AS155" s="139"/>
      <c r="AT155" s="139"/>
      <c r="AU155" s="139"/>
    </row>
    <row r="156" spans="2:47" ht="15" customHeight="1" thickBot="1" x14ac:dyDescent="0.45">
      <c r="B156" s="36"/>
      <c r="C156" s="1191"/>
      <c r="D156" s="968"/>
      <c r="E156" s="968"/>
      <c r="F156" s="968"/>
      <c r="G156" s="924"/>
      <c r="H156" s="887"/>
      <c r="I156" s="889"/>
      <c r="J156" s="889"/>
      <c r="K156" s="889"/>
      <c r="L156" s="889"/>
      <c r="M156" s="945"/>
      <c r="N156" s="945"/>
      <c r="O156" s="945"/>
      <c r="P156" s="1020"/>
      <c r="Q156" s="1020"/>
      <c r="R156" s="889"/>
      <c r="S156" s="945"/>
      <c r="T156" s="889"/>
      <c r="U156" s="887"/>
      <c r="V156" s="888"/>
      <c r="W156" s="889"/>
      <c r="X156" s="888"/>
      <c r="Y156" s="946"/>
      <c r="Z156" s="946"/>
      <c r="AA156" s="887"/>
      <c r="AB156" s="889"/>
      <c r="AC156" s="889"/>
      <c r="AD156" s="945"/>
      <c r="AE156" s="889"/>
      <c r="AF156" s="889"/>
      <c r="AG156" s="945"/>
      <c r="AH156" s="937"/>
      <c r="AI156" s="947"/>
      <c r="AJ156" s="947"/>
      <c r="AK156" s="947"/>
      <c r="AL156" s="947"/>
      <c r="AM156" s="889" t="s">
        <v>371</v>
      </c>
      <c r="AN156" s="889" t="s">
        <v>371</v>
      </c>
      <c r="AO156" s="889" t="s">
        <v>371</v>
      </c>
      <c r="AP156" s="889" t="s">
        <v>371</v>
      </c>
      <c r="AQ156" s="889"/>
      <c r="AR156" s="139"/>
      <c r="AS156" s="139"/>
      <c r="AT156" s="139"/>
      <c r="AU156" s="139"/>
    </row>
    <row r="157" spans="2:47" ht="15" customHeight="1" x14ac:dyDescent="0.4">
      <c r="B157" s="36"/>
      <c r="C157" s="7" t="s">
        <v>423</v>
      </c>
      <c r="G157" s="7"/>
      <c r="H157" s="20"/>
      <c r="P157" s="24"/>
      <c r="Q157" s="24"/>
      <c r="S157" s="5">
        <v>1</v>
      </c>
      <c r="U157" s="20"/>
      <c r="V157" s="38" t="s">
        <v>369</v>
      </c>
      <c r="X157" s="38" t="s">
        <v>369</v>
      </c>
      <c r="Y157" s="1443">
        <v>170243000</v>
      </c>
      <c r="Z157" s="41" t="s">
        <v>424</v>
      </c>
      <c r="AA157" s="20"/>
      <c r="AB157" s="3">
        <v>42</v>
      </c>
      <c r="AC157" s="3">
        <v>1</v>
      </c>
      <c r="AD157" s="5">
        <f>S157*AC157</f>
        <v>1</v>
      </c>
      <c r="AE157" s="3"/>
      <c r="AF157" s="3"/>
      <c r="AH157" s="844">
        <f>'Single Hung'!AI212</f>
        <v>0</v>
      </c>
      <c r="AI157" s="39"/>
      <c r="AJ157" s="39"/>
      <c r="AK157" s="39"/>
      <c r="AL157" s="39">
        <f>AD$157*AH157+SUM(AI157:AK157)</f>
        <v>0</v>
      </c>
      <c r="AM157" s="3" t="s">
        <v>371</v>
      </c>
      <c r="AN157" s="3" t="s">
        <v>371</v>
      </c>
      <c r="AO157" s="3" t="s">
        <v>371</v>
      </c>
      <c r="AP157" s="3" t="s">
        <v>371</v>
      </c>
      <c r="AR157" s="139"/>
      <c r="AS157" s="139"/>
      <c r="AT157" s="139"/>
      <c r="AU157" s="139"/>
    </row>
    <row r="158" spans="2:47" ht="15" customHeight="1" thickBot="1" x14ac:dyDescent="0.45">
      <c r="B158" s="36"/>
      <c r="C158" s="924"/>
      <c r="D158" s="968"/>
      <c r="E158" s="968"/>
      <c r="F158" s="968"/>
      <c r="G158" s="924"/>
      <c r="H158" s="887"/>
      <c r="I158" s="889"/>
      <c r="J158" s="889"/>
      <c r="K158" s="889"/>
      <c r="L158" s="889"/>
      <c r="M158" s="945"/>
      <c r="N158" s="945"/>
      <c r="O158" s="945"/>
      <c r="P158" s="1020"/>
      <c r="Q158" s="1020"/>
      <c r="R158" s="889"/>
      <c r="S158" s="945"/>
      <c r="T158" s="889"/>
      <c r="U158" s="887"/>
      <c r="V158" s="888"/>
      <c r="W158" s="889"/>
      <c r="X158" s="888"/>
      <c r="Y158" s="946"/>
      <c r="Z158" s="946"/>
      <c r="AA158" s="887"/>
      <c r="AB158" s="889"/>
      <c r="AC158" s="889"/>
      <c r="AD158" s="945"/>
      <c r="AE158" s="889"/>
      <c r="AF158" s="889"/>
      <c r="AG158" s="945"/>
      <c r="AH158" s="937"/>
      <c r="AI158" s="947"/>
      <c r="AJ158" s="947"/>
      <c r="AK158" s="947"/>
      <c r="AL158" s="947"/>
      <c r="AM158" s="889" t="s">
        <v>371</v>
      </c>
      <c r="AN158" s="889" t="s">
        <v>371</v>
      </c>
      <c r="AO158" s="889" t="s">
        <v>371</v>
      </c>
      <c r="AP158" s="889" t="s">
        <v>371</v>
      </c>
      <c r="AQ158" s="889"/>
      <c r="AR158" s="139"/>
      <c r="AS158" s="139"/>
      <c r="AT158" s="139"/>
      <c r="AU158" s="139"/>
    </row>
    <row r="159" spans="2:47" ht="15" customHeight="1" x14ac:dyDescent="0.4">
      <c r="B159" s="36"/>
      <c r="C159" s="7" t="s">
        <v>425</v>
      </c>
      <c r="G159" s="7"/>
      <c r="H159" s="20"/>
      <c r="M159" s="5" t="s">
        <v>426</v>
      </c>
      <c r="P159" s="24"/>
      <c r="Q159" s="24"/>
      <c r="S159" s="5">
        <v>1</v>
      </c>
      <c r="U159" s="20"/>
      <c r="V159" s="38" t="s">
        <v>369</v>
      </c>
      <c r="X159" s="38" t="s">
        <v>369</v>
      </c>
      <c r="Y159" s="1443">
        <v>440121000</v>
      </c>
      <c r="Z159" s="41">
        <v>254058</v>
      </c>
      <c r="AA159" s="20"/>
      <c r="AB159" s="3">
        <v>45</v>
      </c>
      <c r="AC159" s="3">
        <v>6</v>
      </c>
      <c r="AD159" s="5">
        <f>S159*AC159</f>
        <v>6</v>
      </c>
      <c r="AE159" s="3"/>
      <c r="AF159" s="3"/>
      <c r="AH159" s="51">
        <f>'Single Hung'!AI214</f>
        <v>1.67E-2</v>
      </c>
      <c r="AI159" s="39"/>
      <c r="AJ159" s="39"/>
      <c r="AK159" s="39"/>
      <c r="AL159" s="39">
        <f>AD$159*AH159+SUM(AI159:AK159)</f>
        <v>0.1002</v>
      </c>
      <c r="AM159" s="3" t="s">
        <v>371</v>
      </c>
      <c r="AN159" s="3" t="s">
        <v>371</v>
      </c>
      <c r="AO159" s="3" t="s">
        <v>371</v>
      </c>
      <c r="AP159" s="3" t="s">
        <v>371</v>
      </c>
      <c r="AR159" s="139"/>
      <c r="AS159" s="139"/>
      <c r="AT159" s="139"/>
      <c r="AU159" s="139"/>
    </row>
    <row r="160" spans="2:47" ht="15" customHeight="1" x14ac:dyDescent="0.4">
      <c r="B160" s="36"/>
      <c r="C160" s="4"/>
      <c r="G160" s="7"/>
      <c r="H160" s="20"/>
      <c r="P160" s="24"/>
      <c r="Q160" s="24"/>
      <c r="U160" s="20"/>
      <c r="V160" s="38"/>
      <c r="X160" s="38"/>
      <c r="Y160" s="41"/>
      <c r="Z160" s="41"/>
      <c r="AA160" s="20"/>
      <c r="AE160" s="3"/>
      <c r="AF160" s="3"/>
      <c r="AI160" s="39"/>
      <c r="AJ160" s="39"/>
      <c r="AK160" s="39"/>
      <c r="AR160" s="139"/>
      <c r="AS160" s="139"/>
      <c r="AT160" s="139"/>
      <c r="AU160" s="139"/>
    </row>
    <row r="161" spans="1:47" ht="15" customHeight="1" thickBot="1" x14ac:dyDescent="0.45">
      <c r="B161" s="36"/>
      <c r="C161" s="4"/>
      <c r="G161" s="7"/>
      <c r="H161" s="20"/>
      <c r="P161" s="24"/>
      <c r="Q161" s="24"/>
      <c r="U161" s="20"/>
      <c r="V161" s="38"/>
      <c r="X161" s="38"/>
      <c r="Y161" s="41"/>
      <c r="Z161" s="41"/>
      <c r="AA161" s="20"/>
      <c r="AE161" s="3"/>
      <c r="AF161" s="3"/>
      <c r="AI161" s="39"/>
      <c r="AJ161" s="39"/>
      <c r="AK161" s="39"/>
      <c r="AM161" s="889"/>
      <c r="AN161" s="889"/>
      <c r="AO161" s="889"/>
      <c r="AP161" s="889"/>
      <c r="AQ161" s="889"/>
      <c r="AR161" s="139"/>
      <c r="AS161" s="139"/>
      <c r="AT161" s="139"/>
      <c r="AU161" s="139"/>
    </row>
    <row r="162" spans="1:47" ht="15" customHeight="1" thickBot="1" x14ac:dyDescent="0.45">
      <c r="B162" s="629" t="s">
        <v>427</v>
      </c>
      <c r="C162" s="630"/>
      <c r="D162" s="631"/>
      <c r="E162" s="631"/>
      <c r="F162" s="631"/>
      <c r="G162" s="631"/>
      <c r="H162" s="632"/>
      <c r="I162" s="632"/>
      <c r="J162" s="632"/>
      <c r="K162" s="632"/>
      <c r="L162" s="632"/>
      <c r="M162" s="633"/>
      <c r="N162" s="633"/>
      <c r="O162" s="633"/>
      <c r="P162" s="633"/>
      <c r="Q162" s="633"/>
      <c r="R162" s="632"/>
      <c r="S162" s="633"/>
      <c r="T162" s="632"/>
      <c r="U162" s="632"/>
      <c r="V162" s="631"/>
      <c r="W162" s="631"/>
      <c r="X162" s="631"/>
      <c r="Y162" s="634"/>
      <c r="Z162" s="634"/>
      <c r="AA162" s="632"/>
      <c r="AB162" s="635"/>
      <c r="AC162" s="632"/>
      <c r="AD162" s="633"/>
      <c r="AE162" s="632"/>
      <c r="AF162" s="632"/>
      <c r="AG162" s="632"/>
      <c r="AH162" s="636"/>
      <c r="AI162" s="636"/>
      <c r="AJ162" s="636"/>
      <c r="AK162" s="637" t="s">
        <v>2229</v>
      </c>
      <c r="AL162" s="638">
        <f>SUBTOTAL(109,AL163:AL245)</f>
        <v>154.67451666666673</v>
      </c>
      <c r="AM162" s="618" t="s">
        <v>92</v>
      </c>
      <c r="AN162" s="618" t="s">
        <v>92</v>
      </c>
      <c r="AO162" s="618" t="s">
        <v>92</v>
      </c>
      <c r="AP162" s="618"/>
      <c r="AQ162" s="618"/>
      <c r="AR162" s="139"/>
      <c r="AS162" s="139"/>
      <c r="AT162" s="139"/>
      <c r="AU162" s="139"/>
    </row>
    <row r="163" spans="1:47" ht="15" customHeight="1" thickBot="1" x14ac:dyDescent="0.45">
      <c r="B163" s="173" t="s">
        <v>429</v>
      </c>
      <c r="C163" s="173"/>
      <c r="D163" s="116"/>
      <c r="E163" s="116"/>
      <c r="F163" s="174"/>
      <c r="G163" s="173"/>
      <c r="H163" s="175"/>
      <c r="I163" s="116"/>
      <c r="J163" s="116"/>
      <c r="K163" s="116"/>
      <c r="L163" s="116"/>
      <c r="M163" s="177"/>
      <c r="N163" s="177"/>
      <c r="O163" s="177"/>
      <c r="P163" s="177"/>
      <c r="Q163" s="177"/>
      <c r="R163" s="116"/>
      <c r="S163" s="177"/>
      <c r="T163" s="116"/>
      <c r="U163" s="175"/>
      <c r="V163" s="173"/>
      <c r="W163" s="173"/>
      <c r="X163" s="173"/>
      <c r="Y163" s="116"/>
      <c r="Z163" s="116"/>
      <c r="AA163" s="175"/>
      <c r="AB163" s="116"/>
      <c r="AC163" s="116"/>
      <c r="AD163" s="177"/>
      <c r="AE163" s="116"/>
      <c r="AF163" s="179"/>
      <c r="AG163" s="177"/>
      <c r="AH163" s="185"/>
      <c r="AI163" s="185"/>
      <c r="AJ163" s="185"/>
      <c r="AK163" s="185"/>
      <c r="AL163" s="180"/>
      <c r="AM163" s="180" t="s">
        <v>92</v>
      </c>
      <c r="AN163" s="180" t="s">
        <v>92</v>
      </c>
      <c r="AO163" s="180" t="s">
        <v>92</v>
      </c>
      <c r="AP163" s="180" t="s">
        <v>92</v>
      </c>
      <c r="AQ163" s="180"/>
      <c r="AR163" s="139"/>
      <c r="AS163" s="139"/>
      <c r="AT163" s="139"/>
      <c r="AU163" s="139"/>
    </row>
    <row r="164" spans="1:47" ht="15" customHeight="1" x14ac:dyDescent="0.4">
      <c r="A164" s="3" t="s">
        <v>362</v>
      </c>
      <c r="B164" s="173"/>
      <c r="C164" s="173" t="s">
        <v>430</v>
      </c>
      <c r="D164" s="116"/>
      <c r="E164" s="116"/>
      <c r="F164" s="174" t="s">
        <v>431</v>
      </c>
      <c r="G164" s="173"/>
      <c r="H164" s="175"/>
      <c r="I164" s="116" t="s">
        <v>365</v>
      </c>
      <c r="J164" s="116"/>
      <c r="K164" s="116"/>
      <c r="L164" s="116" t="s">
        <v>348</v>
      </c>
      <c r="M164" s="177">
        <v>3</v>
      </c>
      <c r="N164" s="177" t="s">
        <v>348</v>
      </c>
      <c r="O164" s="177">
        <f>0.25</f>
        <v>0.25</v>
      </c>
      <c r="P164" s="177"/>
      <c r="Q164" s="177"/>
      <c r="R164" s="116" t="s">
        <v>352</v>
      </c>
      <c r="S164" s="177">
        <f>SL2Height+M164+O164</f>
        <v>50.75</v>
      </c>
      <c r="T164" s="116" t="s">
        <v>366</v>
      </c>
      <c r="U164" s="175"/>
      <c r="V164" s="173"/>
      <c r="W164" s="173"/>
      <c r="X164" s="173"/>
      <c r="Y164" s="116"/>
      <c r="Z164" s="116"/>
      <c r="AA164" s="175"/>
      <c r="AB164" s="116">
        <v>45</v>
      </c>
      <c r="AC164" s="116">
        <v>2</v>
      </c>
      <c r="AD164" s="177">
        <f>AC164*S164/12</f>
        <v>8.4583333333333339</v>
      </c>
      <c r="AE164" s="116" t="s">
        <v>367</v>
      </c>
      <c r="AF164" s="179">
        <v>1.238</v>
      </c>
      <c r="AG164" s="177">
        <f>AF164*AtolbperftSL2</f>
        <v>0.78303499999999993</v>
      </c>
      <c r="AH164" s="185"/>
      <c r="AI164" s="185"/>
      <c r="AJ164" s="185"/>
      <c r="AK164" s="185"/>
      <c r="AL164" s="180"/>
      <c r="AM164" s="180" t="s">
        <v>92</v>
      </c>
      <c r="AN164" s="180" t="s">
        <v>92</v>
      </c>
      <c r="AO164" s="180" t="s">
        <v>92</v>
      </c>
      <c r="AP164" s="180" t="s">
        <v>92</v>
      </c>
      <c r="AQ164" s="180"/>
      <c r="AR164" s="139"/>
      <c r="AS164" s="139"/>
      <c r="AT164" s="139"/>
      <c r="AU164" s="139"/>
    </row>
    <row r="165" spans="1:47" ht="15" customHeight="1" x14ac:dyDescent="0.4">
      <c r="B165" s="36"/>
      <c r="C165" s="36"/>
      <c r="D165" s="155"/>
      <c r="E165" s="155" t="s">
        <v>439</v>
      </c>
      <c r="F165" s="155"/>
      <c r="G165" s="7"/>
      <c r="H165" s="20"/>
      <c r="I165" s="3" t="s">
        <v>365</v>
      </c>
      <c r="L165" s="3" t="s">
        <v>348</v>
      </c>
      <c r="M165" s="5">
        <v>0</v>
      </c>
      <c r="N165" s="5" t="s">
        <v>348</v>
      </c>
      <c r="O165" s="5">
        <f>0.25</f>
        <v>0.25</v>
      </c>
      <c r="P165" s="24"/>
      <c r="Q165" s="24"/>
      <c r="R165" s="3" t="s">
        <v>352</v>
      </c>
      <c r="S165" s="5">
        <f>SL2Height+M165+O165</f>
        <v>47.75</v>
      </c>
      <c r="T165" s="3" t="s">
        <v>366</v>
      </c>
      <c r="U165" s="20"/>
      <c r="V165" s="38" t="s">
        <v>369</v>
      </c>
      <c r="W165" s="3" t="s">
        <v>370</v>
      </c>
      <c r="X165" s="38" t="s">
        <v>369</v>
      </c>
      <c r="Y165" s="1443">
        <v>200152003</v>
      </c>
      <c r="Z165" s="1443"/>
      <c r="AA165" s="20"/>
      <c r="AE165" s="3"/>
      <c r="AF165" s="38"/>
      <c r="AH165" s="51">
        <v>0.67030000000000001</v>
      </c>
      <c r="AI165" s="39"/>
      <c r="AJ165" s="39"/>
      <c r="AK165" s="39"/>
      <c r="AL165" s="39">
        <f>AD$164*AH165+SUM(AI165:AK165)</f>
        <v>5.669620833333334</v>
      </c>
      <c r="AM165" s="3" t="s">
        <v>92</v>
      </c>
      <c r="AN165" s="3" t="s">
        <v>92</v>
      </c>
      <c r="AO165" s="3" t="s">
        <v>92</v>
      </c>
      <c r="AP165" s="3" t="s">
        <v>92</v>
      </c>
      <c r="AR165" s="139"/>
      <c r="AS165" s="139"/>
      <c r="AT165" s="139"/>
      <c r="AU165" s="139"/>
    </row>
    <row r="166" spans="1:47" ht="15" customHeight="1" x14ac:dyDescent="0.4">
      <c r="B166" s="36"/>
      <c r="C166" s="36"/>
      <c r="D166" s="155"/>
      <c r="E166" s="155"/>
      <c r="F166" s="155"/>
      <c r="G166" s="7"/>
      <c r="H166" s="20"/>
      <c r="P166" s="24"/>
      <c r="Q166" s="24"/>
      <c r="U166" s="20"/>
      <c r="V166" s="38" t="s">
        <v>369</v>
      </c>
      <c r="W166" s="3" t="s">
        <v>372</v>
      </c>
      <c r="X166" s="38" t="s">
        <v>369</v>
      </c>
      <c r="Y166" s="1443">
        <v>200152021</v>
      </c>
      <c r="Z166" s="1443"/>
      <c r="AA166" s="20"/>
      <c r="AE166" s="3"/>
      <c r="AF166" s="3"/>
      <c r="AH166" s="51">
        <v>0.72709999999999997</v>
      </c>
      <c r="AI166" s="39"/>
      <c r="AJ166" s="39"/>
      <c r="AK166" s="39"/>
      <c r="AL166" s="39">
        <f t="shared" ref="AL166:AL169" si="45">AD$164*AH166+SUM(AI166:AK166)</f>
        <v>6.150054166666667</v>
      </c>
      <c r="AM166" s="3" t="s">
        <v>92</v>
      </c>
      <c r="AN166" s="3" t="s">
        <v>92</v>
      </c>
      <c r="AO166" s="3" t="s">
        <v>92</v>
      </c>
      <c r="AP166" s="3" t="s">
        <v>92</v>
      </c>
      <c r="AR166" s="139"/>
      <c r="AS166" s="139"/>
      <c r="AT166" s="139"/>
      <c r="AU166" s="139"/>
    </row>
    <row r="167" spans="1:47" ht="15.75" customHeight="1" x14ac:dyDescent="0.4">
      <c r="C167" s="36"/>
      <c r="D167" s="155"/>
      <c r="E167" s="155"/>
      <c r="F167" s="155"/>
      <c r="G167" s="7"/>
      <c r="H167" s="20"/>
      <c r="P167" s="24"/>
      <c r="Q167" s="24"/>
      <c r="U167" s="20"/>
      <c r="V167" s="38" t="s">
        <v>369</v>
      </c>
      <c r="W167" s="3" t="s">
        <v>373</v>
      </c>
      <c r="X167" s="38" t="s">
        <v>369</v>
      </c>
      <c r="Y167" s="1443">
        <v>200152033</v>
      </c>
      <c r="Z167" s="1443"/>
      <c r="AA167" s="20"/>
      <c r="AE167" s="3"/>
      <c r="AF167" s="3"/>
      <c r="AH167" s="51">
        <v>0.8054</v>
      </c>
      <c r="AI167" s="39"/>
      <c r="AJ167" s="39"/>
      <c r="AK167" s="39"/>
      <c r="AL167" s="39">
        <f t="shared" si="45"/>
        <v>6.8123416666666676</v>
      </c>
      <c r="AM167" s="3" t="s">
        <v>92</v>
      </c>
      <c r="AN167" s="3" t="s">
        <v>92</v>
      </c>
      <c r="AO167" s="3" t="s">
        <v>92</v>
      </c>
      <c r="AP167" s="3" t="s">
        <v>92</v>
      </c>
      <c r="AR167" s="139"/>
      <c r="AS167" s="139"/>
      <c r="AT167" s="139"/>
      <c r="AU167" s="139"/>
    </row>
    <row r="168" spans="1:47" ht="15.75" customHeight="1" x14ac:dyDescent="0.4">
      <c r="C168" s="36"/>
      <c r="D168" s="155"/>
      <c r="E168" s="155"/>
      <c r="F168" s="155"/>
      <c r="G168" s="7"/>
      <c r="H168" s="20"/>
      <c r="P168" s="24"/>
      <c r="Q168" s="24"/>
      <c r="U168" s="20"/>
      <c r="V168" s="3" t="s">
        <v>2363</v>
      </c>
      <c r="W168" s="3" t="s">
        <v>370</v>
      </c>
      <c r="X168" s="38" t="s">
        <v>369</v>
      </c>
      <c r="Y168" s="1443">
        <v>200152127</v>
      </c>
      <c r="Z168" s="1443"/>
      <c r="AA168" s="20"/>
      <c r="AE168" s="3"/>
      <c r="AF168" s="3"/>
      <c r="AH168" s="51">
        <v>0.88829999999999998</v>
      </c>
      <c r="AI168" s="39"/>
      <c r="AJ168" s="39"/>
      <c r="AK168" s="39"/>
      <c r="AL168" s="39">
        <f t="shared" si="45"/>
        <v>7.5135375</v>
      </c>
      <c r="AM168" s="3" t="s">
        <v>92</v>
      </c>
      <c r="AN168" s="3" t="s">
        <v>92</v>
      </c>
      <c r="AO168" s="3" t="s">
        <v>92</v>
      </c>
      <c r="AP168" s="3" t="s">
        <v>92</v>
      </c>
      <c r="AR168" s="139"/>
      <c r="AS168" s="139"/>
      <c r="AT168" s="139"/>
      <c r="AU168" s="139"/>
    </row>
    <row r="169" spans="1:47" ht="15.75" customHeight="1" x14ac:dyDescent="0.4">
      <c r="C169" s="36"/>
      <c r="D169" s="623"/>
      <c r="E169" s="623"/>
      <c r="F169" s="623"/>
      <c r="G169" s="221"/>
      <c r="H169" s="624"/>
      <c r="I169" s="577"/>
      <c r="J169" s="577"/>
      <c r="K169" s="577"/>
      <c r="L169" s="577"/>
      <c r="M169" s="575"/>
      <c r="N169" s="575"/>
      <c r="O169" s="575"/>
      <c r="P169" s="625"/>
      <c r="Q169" s="625"/>
      <c r="R169" s="577"/>
      <c r="S169" s="575"/>
      <c r="T169" s="577"/>
      <c r="U169" s="624"/>
      <c r="V169" s="577" t="s">
        <v>2365</v>
      </c>
      <c r="W169" s="577" t="s">
        <v>370</v>
      </c>
      <c r="X169" s="579" t="s">
        <v>369</v>
      </c>
      <c r="Y169" s="1446">
        <v>200152180</v>
      </c>
      <c r="Z169" s="1446"/>
      <c r="AA169" s="624"/>
      <c r="AB169" s="577"/>
      <c r="AC169" s="577"/>
      <c r="AD169" s="575"/>
      <c r="AE169" s="577"/>
      <c r="AF169" s="577"/>
      <c r="AG169" s="575"/>
      <c r="AH169" s="626">
        <v>0.95860000000000001</v>
      </c>
      <c r="AI169" s="581"/>
      <c r="AJ169" s="581"/>
      <c r="AK169" s="581"/>
      <c r="AL169" s="39">
        <f t="shared" si="45"/>
        <v>8.1081583333333338</v>
      </c>
      <c r="AM169" s="3" t="s">
        <v>92</v>
      </c>
      <c r="AN169" s="3" t="s">
        <v>92</v>
      </c>
      <c r="AO169" s="3" t="s">
        <v>92</v>
      </c>
      <c r="AP169" s="577" t="s">
        <v>92</v>
      </c>
      <c r="AQ169" s="577"/>
      <c r="AR169" s="139"/>
      <c r="AS169" s="139"/>
      <c r="AT169" s="139"/>
      <c r="AU169" s="139"/>
    </row>
    <row r="170" spans="1:47" ht="15" customHeight="1" x14ac:dyDescent="0.4">
      <c r="C170" s="36"/>
      <c r="D170" s="1487"/>
      <c r="E170" s="1031" t="s">
        <v>1220</v>
      </c>
      <c r="F170" s="951"/>
      <c r="G170" s="454"/>
      <c r="H170" s="1032"/>
      <c r="I170" s="130" t="s">
        <v>365</v>
      </c>
      <c r="J170" s="130"/>
      <c r="K170" s="130"/>
      <c r="L170" s="130" t="s">
        <v>348</v>
      </c>
      <c r="M170" s="584">
        <v>0</v>
      </c>
      <c r="N170" s="584"/>
      <c r="O170" s="584"/>
      <c r="P170" s="584"/>
      <c r="Q170" s="584"/>
      <c r="R170" s="130" t="s">
        <v>352</v>
      </c>
      <c r="S170" s="584">
        <f>SL2Height+M170+O170</f>
        <v>47.5</v>
      </c>
      <c r="T170" s="130" t="s">
        <v>366</v>
      </c>
      <c r="U170" s="1032"/>
      <c r="V170" s="587" t="s">
        <v>369</v>
      </c>
      <c r="W170" s="130" t="s">
        <v>405</v>
      </c>
      <c r="X170" s="587" t="s">
        <v>369</v>
      </c>
      <c r="Y170" s="1452">
        <v>600042010</v>
      </c>
      <c r="Z170" s="1452"/>
      <c r="AA170" s="1032"/>
      <c r="AB170" s="130">
        <v>45</v>
      </c>
      <c r="AC170" s="130">
        <v>1</v>
      </c>
      <c r="AD170" s="584">
        <f>S170*AC170/12</f>
        <v>3.9583333333333335</v>
      </c>
      <c r="AE170" s="130" t="s">
        <v>367</v>
      </c>
      <c r="AF170" s="587" t="s">
        <v>369</v>
      </c>
      <c r="AG170" s="587" t="s">
        <v>369</v>
      </c>
      <c r="AH170" s="1046">
        <f>AH103</f>
        <v>1.9E-2</v>
      </c>
      <c r="AI170" s="589"/>
      <c r="AJ170" s="589"/>
      <c r="AK170" s="589"/>
      <c r="AL170" s="589">
        <f>AD$27*AH170+SUM(AI170:AK170)</f>
        <v>7.5208333333333335E-2</v>
      </c>
      <c r="AM170" s="130" t="s">
        <v>92</v>
      </c>
      <c r="AN170" s="130" t="s">
        <v>92</v>
      </c>
      <c r="AO170" s="130" t="s">
        <v>92</v>
      </c>
      <c r="AP170" s="130" t="s">
        <v>92</v>
      </c>
      <c r="AQ170" s="130"/>
      <c r="AR170" s="140"/>
      <c r="AS170" s="139"/>
      <c r="AT170" s="139"/>
      <c r="AU170" s="139"/>
    </row>
    <row r="171" spans="1:47" ht="15" customHeight="1" x14ac:dyDescent="0.4">
      <c r="C171" s="36"/>
      <c r="D171" s="36"/>
      <c r="E171" s="447" t="s">
        <v>1221</v>
      </c>
      <c r="F171" s="155"/>
      <c r="G171" s="7"/>
      <c r="H171" s="20"/>
      <c r="I171" s="3" t="s">
        <v>365</v>
      </c>
      <c r="L171" s="3" t="s">
        <v>348</v>
      </c>
      <c r="M171" s="5">
        <v>0</v>
      </c>
      <c r="R171" s="3" t="s">
        <v>352</v>
      </c>
      <c r="S171" s="5">
        <f>SL2Height+M171+O171</f>
        <v>47.5</v>
      </c>
      <c r="T171" s="3" t="s">
        <v>366</v>
      </c>
      <c r="U171" s="20"/>
      <c r="V171" s="38" t="s">
        <v>369</v>
      </c>
      <c r="W171" s="3" t="s">
        <v>405</v>
      </c>
      <c r="X171" s="38" t="s">
        <v>369</v>
      </c>
      <c r="Y171" s="1443">
        <v>600050010</v>
      </c>
      <c r="Z171" s="1443"/>
      <c r="AA171" s="20"/>
      <c r="AB171" s="3">
        <v>45</v>
      </c>
      <c r="AE171" s="3"/>
      <c r="AF171" s="38"/>
      <c r="AG171" s="38"/>
      <c r="AH171" s="844">
        <f>AH104</f>
        <v>0</v>
      </c>
      <c r="AI171" s="39"/>
      <c r="AJ171" s="39"/>
      <c r="AK171" s="39"/>
      <c r="AM171" s="3" t="s">
        <v>92</v>
      </c>
      <c r="AN171" s="3" t="s">
        <v>92</v>
      </c>
      <c r="AO171" s="3" t="s">
        <v>92</v>
      </c>
      <c r="AP171" s="3" t="s">
        <v>92</v>
      </c>
      <c r="AR171" s="140"/>
      <c r="AS171" s="139"/>
      <c r="AT171" s="139"/>
      <c r="AU171" s="139"/>
    </row>
    <row r="172" spans="1:47" ht="15" customHeight="1" thickBot="1" x14ac:dyDescent="0.25">
      <c r="C172" s="1849"/>
      <c r="D172" s="1849"/>
      <c r="E172" s="1850" t="s">
        <v>2353</v>
      </c>
      <c r="F172" s="1851"/>
      <c r="G172" s="1852"/>
      <c r="H172" s="1853"/>
      <c r="I172" s="1854" t="s">
        <v>365</v>
      </c>
      <c r="J172" s="1854"/>
      <c r="K172" s="1854"/>
      <c r="L172" s="1854"/>
      <c r="M172" s="1855"/>
      <c r="N172" s="1855"/>
      <c r="O172" s="1855"/>
      <c r="P172" s="1855"/>
      <c r="Q172" s="1855"/>
      <c r="R172" s="1854" t="s">
        <v>352</v>
      </c>
      <c r="S172" s="1855">
        <f>SL2Height</f>
        <v>47.5</v>
      </c>
      <c r="T172" s="1854" t="s">
        <v>366</v>
      </c>
      <c r="U172" s="1853"/>
      <c r="V172" s="1856" t="s">
        <v>369</v>
      </c>
      <c r="W172" s="1854" t="s">
        <v>370</v>
      </c>
      <c r="X172" s="1856" t="s">
        <v>369</v>
      </c>
      <c r="Y172" s="1863">
        <v>120074014938</v>
      </c>
      <c r="Z172" s="1858"/>
      <c r="AA172" s="1853"/>
      <c r="AB172" s="1854"/>
      <c r="AC172" s="1854">
        <v>2</v>
      </c>
      <c r="AD172" s="1855">
        <f>AC172*S172/12</f>
        <v>7.916666666666667</v>
      </c>
      <c r="AE172" s="1854" t="s">
        <v>367</v>
      </c>
      <c r="AF172" s="1856" t="s">
        <v>369</v>
      </c>
      <c r="AG172" s="1856" t="s">
        <v>369</v>
      </c>
      <c r="AH172" s="1859">
        <f>0.00877</f>
        <v>8.77E-3</v>
      </c>
      <c r="AI172" s="1860"/>
      <c r="AJ172" s="1860"/>
      <c r="AK172" s="1860"/>
      <c r="AL172" s="1860">
        <f>AH172*AD172</f>
        <v>6.9429166666666667E-2</v>
      </c>
      <c r="AM172" s="1854" t="s">
        <v>92</v>
      </c>
      <c r="AN172" s="1854" t="s">
        <v>92</v>
      </c>
      <c r="AO172" s="1854" t="s">
        <v>81</v>
      </c>
      <c r="AP172" s="1854" t="s">
        <v>92</v>
      </c>
      <c r="AQ172" s="1854"/>
      <c r="AR172" s="140"/>
      <c r="AS172" s="139"/>
      <c r="AT172" s="139"/>
      <c r="AU172" s="139"/>
    </row>
    <row r="173" spans="1:47" ht="15" customHeight="1" x14ac:dyDescent="0.4">
      <c r="C173" s="173" t="s">
        <v>2308</v>
      </c>
      <c r="D173" s="116"/>
      <c r="E173" s="116"/>
      <c r="F173" s="174" t="s">
        <v>431</v>
      </c>
      <c r="G173" s="173"/>
      <c r="H173" s="175"/>
      <c r="I173" s="116" t="s">
        <v>365</v>
      </c>
      <c r="J173" s="116"/>
      <c r="K173" s="116"/>
      <c r="L173" s="116" t="s">
        <v>348</v>
      </c>
      <c r="M173" s="177">
        <v>3</v>
      </c>
      <c r="N173" s="177" t="s">
        <v>348</v>
      </c>
      <c r="O173" s="177">
        <f>0.25</f>
        <v>0.25</v>
      </c>
      <c r="P173" s="177"/>
      <c r="Q173" s="177"/>
      <c r="R173" s="116" t="s">
        <v>352</v>
      </c>
      <c r="S173" s="177">
        <f>SL2Height+M173+O173</f>
        <v>50.75</v>
      </c>
      <c r="T173" s="116" t="s">
        <v>366</v>
      </c>
      <c r="U173" s="175"/>
      <c r="V173" s="173"/>
      <c r="W173" s="173"/>
      <c r="X173" s="173"/>
      <c r="Y173" s="1449"/>
      <c r="Z173" s="1449"/>
      <c r="AA173" s="175"/>
      <c r="AB173" s="116">
        <v>45</v>
      </c>
      <c r="AC173" s="116">
        <v>2</v>
      </c>
      <c r="AD173" s="177">
        <f>AC173*S173/12</f>
        <v>8.4583333333333339</v>
      </c>
      <c r="AE173" s="116" t="s">
        <v>367</v>
      </c>
      <c r="AF173" s="627">
        <v>1.18</v>
      </c>
      <c r="AG173" s="177">
        <f>AF173*AtolbperftSL2</f>
        <v>0.74634999999999996</v>
      </c>
      <c r="AH173" s="185"/>
      <c r="AI173" s="180"/>
      <c r="AJ173" s="180"/>
      <c r="AK173" s="180"/>
      <c r="AL173" s="180"/>
      <c r="AM173" s="180" t="s">
        <v>92</v>
      </c>
      <c r="AN173" s="180" t="s">
        <v>92</v>
      </c>
      <c r="AO173" s="180" t="s">
        <v>92</v>
      </c>
      <c r="AP173" s="180" t="s">
        <v>92</v>
      </c>
      <c r="AQ173" s="180"/>
      <c r="AR173" s="139"/>
      <c r="AS173" s="139"/>
      <c r="AT173" s="139"/>
      <c r="AU173" s="139"/>
    </row>
    <row r="174" spans="1:47" ht="15" customHeight="1" x14ac:dyDescent="0.4">
      <c r="B174" s="36"/>
      <c r="C174" s="36"/>
      <c r="D174" s="155"/>
      <c r="E174" s="155" t="s">
        <v>439</v>
      </c>
      <c r="F174" s="155"/>
      <c r="G174" s="7"/>
      <c r="H174" s="20"/>
      <c r="I174" s="3" t="s">
        <v>365</v>
      </c>
      <c r="L174" s="3" t="s">
        <v>348</v>
      </c>
      <c r="M174" s="5">
        <v>0</v>
      </c>
      <c r="N174" s="5" t="s">
        <v>348</v>
      </c>
      <c r="O174" s="5">
        <f>0.25</f>
        <v>0.25</v>
      </c>
      <c r="P174" s="24"/>
      <c r="Q174" s="24"/>
      <c r="R174" s="3" t="s">
        <v>352</v>
      </c>
      <c r="S174" s="5">
        <f>SL2Height+M174+O174</f>
        <v>47.75</v>
      </c>
      <c r="T174" s="3" t="s">
        <v>366</v>
      </c>
      <c r="U174" s="20"/>
      <c r="V174" s="38" t="s">
        <v>369</v>
      </c>
      <c r="W174" s="3" t="s">
        <v>370</v>
      </c>
      <c r="X174" s="38" t="s">
        <v>369</v>
      </c>
      <c r="Y174" s="1443">
        <v>200151003</v>
      </c>
      <c r="Z174" s="1443"/>
      <c r="AA174" s="20"/>
      <c r="AE174" s="3"/>
      <c r="AF174" s="38"/>
      <c r="AH174" s="51">
        <f>AH165</f>
        <v>0.67030000000000001</v>
      </c>
      <c r="AI174" s="39"/>
      <c r="AJ174" s="39"/>
      <c r="AK174" s="39"/>
      <c r="AL174" s="39">
        <f>AD$173*AH174+SUM(AI174:AK174)</f>
        <v>5.669620833333334</v>
      </c>
      <c r="AM174" s="3" t="s">
        <v>92</v>
      </c>
      <c r="AN174" s="3" t="s">
        <v>92</v>
      </c>
      <c r="AO174" s="3" t="s">
        <v>92</v>
      </c>
      <c r="AP174" s="3" t="s">
        <v>92</v>
      </c>
      <c r="AR174" s="139"/>
      <c r="AS174" s="139"/>
      <c r="AT174" s="139"/>
      <c r="AU174" s="139"/>
    </row>
    <row r="175" spans="1:47" ht="15" customHeight="1" x14ac:dyDescent="0.4">
      <c r="B175" s="36"/>
      <c r="C175" s="36"/>
      <c r="D175" s="155"/>
      <c r="E175" s="155"/>
      <c r="F175" s="155"/>
      <c r="G175" s="7"/>
      <c r="H175" s="20"/>
      <c r="P175" s="24"/>
      <c r="Q175" s="24"/>
      <c r="U175" s="20"/>
      <c r="V175" s="38" t="s">
        <v>369</v>
      </c>
      <c r="W175" s="3" t="s">
        <v>372</v>
      </c>
      <c r="X175" s="38" t="s">
        <v>369</v>
      </c>
      <c r="Y175" s="1443">
        <v>200151021</v>
      </c>
      <c r="Z175" s="1443"/>
      <c r="AA175" s="20"/>
      <c r="AE175" s="3"/>
      <c r="AF175" s="3"/>
      <c r="AH175" s="51">
        <f>AH166</f>
        <v>0.72709999999999997</v>
      </c>
      <c r="AL175" s="39">
        <f t="shared" ref="AL175:AL178" si="46">AD$173*AH175+SUM(AI175:AK175)</f>
        <v>6.150054166666667</v>
      </c>
      <c r="AM175" s="3" t="s">
        <v>92</v>
      </c>
      <c r="AN175" s="3" t="s">
        <v>92</v>
      </c>
      <c r="AO175" s="3" t="s">
        <v>92</v>
      </c>
      <c r="AP175" s="3" t="s">
        <v>92</v>
      </c>
      <c r="AR175" s="139"/>
      <c r="AS175" s="139"/>
      <c r="AT175" s="139"/>
      <c r="AU175" s="139"/>
    </row>
    <row r="176" spans="1:47" ht="15.75" customHeight="1" x14ac:dyDescent="0.4">
      <c r="B176" s="36"/>
      <c r="C176" s="36"/>
      <c r="D176" s="155"/>
      <c r="E176" s="155"/>
      <c r="F176" s="155"/>
      <c r="G176" s="7"/>
      <c r="H176" s="20"/>
      <c r="P176" s="24"/>
      <c r="Q176" s="24"/>
      <c r="U176" s="20"/>
      <c r="V176" s="38" t="s">
        <v>369</v>
      </c>
      <c r="W176" s="3" t="s">
        <v>373</v>
      </c>
      <c r="X176" s="38" t="s">
        <v>369</v>
      </c>
      <c r="Y176" s="1443">
        <v>200151033</v>
      </c>
      <c r="Z176" s="1443"/>
      <c r="AA176" s="20"/>
      <c r="AE176" s="3"/>
      <c r="AF176" s="3"/>
      <c r="AH176" s="51">
        <f>AH167</f>
        <v>0.8054</v>
      </c>
      <c r="AI176" s="39"/>
      <c r="AJ176" s="39"/>
      <c r="AK176" s="39"/>
      <c r="AL176" s="39">
        <f t="shared" si="46"/>
        <v>6.8123416666666676</v>
      </c>
      <c r="AM176" s="3" t="s">
        <v>92</v>
      </c>
      <c r="AN176" s="3" t="s">
        <v>92</v>
      </c>
      <c r="AO176" s="3" t="s">
        <v>92</v>
      </c>
      <c r="AP176" s="3" t="s">
        <v>92</v>
      </c>
      <c r="AR176" s="139"/>
      <c r="AS176" s="139"/>
      <c r="AT176" s="139"/>
      <c r="AU176" s="139"/>
    </row>
    <row r="177" spans="2:47" ht="15.75" customHeight="1" x14ac:dyDescent="0.4">
      <c r="B177" s="36"/>
      <c r="C177" s="36"/>
      <c r="D177" s="155"/>
      <c r="E177" s="155"/>
      <c r="F177" s="155"/>
      <c r="G177" s="7"/>
      <c r="H177" s="20"/>
      <c r="P177" s="24"/>
      <c r="Q177" s="24"/>
      <c r="U177" s="20"/>
      <c r="V177" s="3" t="s">
        <v>2363</v>
      </c>
      <c r="W177" s="3" t="s">
        <v>370</v>
      </c>
      <c r="X177" s="38" t="s">
        <v>369</v>
      </c>
      <c r="Y177" s="1443">
        <v>200151127</v>
      </c>
      <c r="Z177" s="1443"/>
      <c r="AA177" s="20"/>
      <c r="AE177" s="3"/>
      <c r="AF177" s="3"/>
      <c r="AH177" s="51">
        <v>0.90069999999999995</v>
      </c>
      <c r="AI177" s="39"/>
      <c r="AJ177" s="39"/>
      <c r="AK177" s="39"/>
      <c r="AL177" s="39">
        <f t="shared" si="46"/>
        <v>7.6184208333333334</v>
      </c>
      <c r="AM177" s="3" t="s">
        <v>92</v>
      </c>
      <c r="AN177" s="3" t="s">
        <v>92</v>
      </c>
      <c r="AO177" s="3" t="s">
        <v>92</v>
      </c>
      <c r="AP177" s="3" t="s">
        <v>92</v>
      </c>
      <c r="AR177" s="139"/>
      <c r="AS177" s="139"/>
      <c r="AT177" s="139"/>
      <c r="AU177" s="139"/>
    </row>
    <row r="178" spans="2:47" ht="15.75" customHeight="1" x14ac:dyDescent="0.4">
      <c r="B178" s="36"/>
      <c r="C178" s="36"/>
      <c r="D178" s="155"/>
      <c r="E178" s="623"/>
      <c r="F178" s="623"/>
      <c r="G178" s="221"/>
      <c r="H178" s="624"/>
      <c r="I178" s="577"/>
      <c r="J178" s="577"/>
      <c r="K178" s="577"/>
      <c r="L178" s="577"/>
      <c r="M178" s="575"/>
      <c r="N178" s="575"/>
      <c r="O178" s="575"/>
      <c r="P178" s="625"/>
      <c r="Q178" s="625"/>
      <c r="R178" s="577"/>
      <c r="S178" s="575"/>
      <c r="T178" s="577"/>
      <c r="U178" s="624"/>
      <c r="V178" s="577" t="s">
        <v>2365</v>
      </c>
      <c r="W178" s="577" t="s">
        <v>370</v>
      </c>
      <c r="X178" s="579" t="s">
        <v>369</v>
      </c>
      <c r="Y178" s="1446">
        <v>200151180</v>
      </c>
      <c r="Z178" s="1446"/>
      <c r="AA178" s="624"/>
      <c r="AB178" s="577"/>
      <c r="AC178" s="577"/>
      <c r="AD178" s="575"/>
      <c r="AE178" s="577"/>
      <c r="AF178" s="577"/>
      <c r="AG178" s="575"/>
      <c r="AH178" s="626">
        <v>0.97099999999999997</v>
      </c>
      <c r="AI178" s="581"/>
      <c r="AJ178" s="581"/>
      <c r="AK178" s="581"/>
      <c r="AL178" s="39">
        <f t="shared" si="46"/>
        <v>8.2130416666666672</v>
      </c>
      <c r="AM178" s="577" t="s">
        <v>92</v>
      </c>
      <c r="AN178" s="577" t="s">
        <v>92</v>
      </c>
      <c r="AO178" s="577" t="s">
        <v>92</v>
      </c>
      <c r="AP178" s="577" t="s">
        <v>92</v>
      </c>
      <c r="AQ178" s="577"/>
      <c r="AR178" s="139"/>
      <c r="AS178" s="139"/>
      <c r="AT178" s="139"/>
      <c r="AU178" s="139"/>
    </row>
    <row r="179" spans="2:47" ht="15" customHeight="1" x14ac:dyDescent="0.4">
      <c r="C179" s="36"/>
      <c r="D179" s="36"/>
      <c r="E179" s="1031" t="s">
        <v>1220</v>
      </c>
      <c r="F179" s="951"/>
      <c r="G179" s="454"/>
      <c r="H179" s="1032"/>
      <c r="I179" s="130" t="s">
        <v>365</v>
      </c>
      <c r="J179" s="130"/>
      <c r="K179" s="130"/>
      <c r="L179" s="130" t="s">
        <v>348</v>
      </c>
      <c r="M179" s="584">
        <v>0</v>
      </c>
      <c r="N179" s="584"/>
      <c r="O179" s="584"/>
      <c r="P179" s="584"/>
      <c r="Q179" s="584"/>
      <c r="R179" s="130" t="s">
        <v>352</v>
      </c>
      <c r="S179" s="584">
        <f>SL2Height+M179+O179</f>
        <v>47.5</v>
      </c>
      <c r="T179" s="130" t="s">
        <v>366</v>
      </c>
      <c r="U179" s="1032"/>
      <c r="V179" s="587" t="s">
        <v>369</v>
      </c>
      <c r="W179" s="130" t="s">
        <v>405</v>
      </c>
      <c r="X179" s="587" t="s">
        <v>369</v>
      </c>
      <c r="Y179" s="1452">
        <v>600042010</v>
      </c>
      <c r="Z179" s="1452"/>
      <c r="AA179" s="1032"/>
      <c r="AB179" s="130">
        <v>45</v>
      </c>
      <c r="AC179" s="130">
        <v>1</v>
      </c>
      <c r="AD179" s="584">
        <f>S179*AC179/12</f>
        <v>3.9583333333333335</v>
      </c>
      <c r="AE179" s="130" t="s">
        <v>367</v>
      </c>
      <c r="AF179" s="587" t="s">
        <v>369</v>
      </c>
      <c r="AG179" s="587" t="s">
        <v>369</v>
      </c>
      <c r="AH179" s="1046">
        <f>AH170</f>
        <v>1.9E-2</v>
      </c>
      <c r="AI179" s="589"/>
      <c r="AJ179" s="589"/>
      <c r="AK179" s="589"/>
      <c r="AL179" s="589">
        <f>AD$27*AH179+SUM(AI179:AK179)</f>
        <v>7.5208333333333335E-2</v>
      </c>
      <c r="AM179" s="130" t="s">
        <v>92</v>
      </c>
      <c r="AN179" s="130" t="s">
        <v>92</v>
      </c>
      <c r="AO179" s="130" t="s">
        <v>92</v>
      </c>
      <c r="AP179" s="130" t="s">
        <v>92</v>
      </c>
      <c r="AQ179" s="130"/>
      <c r="AR179" s="140"/>
      <c r="AS179" s="139"/>
      <c r="AT179" s="139"/>
      <c r="AU179" s="139"/>
    </row>
    <row r="180" spans="2:47" ht="15" customHeight="1" x14ac:dyDescent="0.4">
      <c r="C180" s="36"/>
      <c r="D180" s="36"/>
      <c r="E180" s="447" t="s">
        <v>1221</v>
      </c>
      <c r="F180" s="155"/>
      <c r="G180" s="7"/>
      <c r="H180" s="20"/>
      <c r="I180" s="3" t="s">
        <v>365</v>
      </c>
      <c r="L180" s="3" t="s">
        <v>348</v>
      </c>
      <c r="M180" s="5">
        <v>0</v>
      </c>
      <c r="R180" s="3" t="s">
        <v>352</v>
      </c>
      <c r="S180" s="5">
        <f>SL2Height+M180+O180</f>
        <v>47.5</v>
      </c>
      <c r="T180" s="3" t="s">
        <v>366</v>
      </c>
      <c r="U180" s="20"/>
      <c r="V180" s="38" t="s">
        <v>369</v>
      </c>
      <c r="W180" s="3" t="s">
        <v>405</v>
      </c>
      <c r="X180" s="38" t="s">
        <v>369</v>
      </c>
      <c r="Y180" s="1443">
        <v>600050010</v>
      </c>
      <c r="Z180" s="1443"/>
      <c r="AA180" s="20"/>
      <c r="AB180" s="3">
        <v>45</v>
      </c>
      <c r="AE180" s="3"/>
      <c r="AF180" s="38"/>
      <c r="AG180" s="38"/>
      <c r="AH180" s="844">
        <f>AH171</f>
        <v>0</v>
      </c>
      <c r="AI180" s="39"/>
      <c r="AJ180" s="39"/>
      <c r="AK180" s="39"/>
      <c r="AM180" s="3" t="s">
        <v>92</v>
      </c>
      <c r="AN180" s="3" t="s">
        <v>92</v>
      </c>
      <c r="AO180" s="3" t="s">
        <v>92</v>
      </c>
      <c r="AP180" s="3" t="s">
        <v>92</v>
      </c>
      <c r="AR180" s="140"/>
      <c r="AS180" s="139"/>
      <c r="AT180" s="139"/>
      <c r="AU180" s="139"/>
    </row>
    <row r="181" spans="2:47" ht="15" customHeight="1" thickBot="1" x14ac:dyDescent="0.25">
      <c r="C181" s="1849"/>
      <c r="D181" s="1849"/>
      <c r="E181" s="1850" t="s">
        <v>2353</v>
      </c>
      <c r="F181" s="1851"/>
      <c r="G181" s="1852"/>
      <c r="H181" s="1853"/>
      <c r="I181" s="1854" t="s">
        <v>365</v>
      </c>
      <c r="J181" s="1854"/>
      <c r="K181" s="1854"/>
      <c r="L181" s="1854"/>
      <c r="M181" s="1855"/>
      <c r="N181" s="1855"/>
      <c r="O181" s="1855"/>
      <c r="P181" s="1855"/>
      <c r="Q181" s="1855"/>
      <c r="R181" s="1854" t="s">
        <v>352</v>
      </c>
      <c r="S181" s="1855">
        <f>SL2Height</f>
        <v>47.5</v>
      </c>
      <c r="T181" s="1854" t="s">
        <v>366</v>
      </c>
      <c r="U181" s="1853"/>
      <c r="V181" s="1856" t="s">
        <v>369</v>
      </c>
      <c r="W181" s="1854" t="s">
        <v>370</v>
      </c>
      <c r="X181" s="1856" t="s">
        <v>369</v>
      </c>
      <c r="Y181" s="1863">
        <v>120074014938</v>
      </c>
      <c r="Z181" s="1858"/>
      <c r="AA181" s="1853"/>
      <c r="AB181" s="1854"/>
      <c r="AC181" s="1854">
        <v>2</v>
      </c>
      <c r="AD181" s="1855">
        <f>AC181*S181/12</f>
        <v>7.916666666666667</v>
      </c>
      <c r="AE181" s="1854" t="s">
        <v>367</v>
      </c>
      <c r="AF181" s="1856" t="s">
        <v>369</v>
      </c>
      <c r="AG181" s="1856" t="s">
        <v>369</v>
      </c>
      <c r="AH181" s="1859">
        <f>0.00877</f>
        <v>8.77E-3</v>
      </c>
      <c r="AI181" s="1860"/>
      <c r="AJ181" s="1860"/>
      <c r="AK181" s="1860"/>
      <c r="AL181" s="1860">
        <f>AH181*AD181</f>
        <v>6.9429166666666667E-2</v>
      </c>
      <c r="AM181" s="1854" t="s">
        <v>92</v>
      </c>
      <c r="AN181" s="1854" t="s">
        <v>92</v>
      </c>
      <c r="AO181" s="1854" t="s">
        <v>81</v>
      </c>
      <c r="AP181" s="1854" t="s">
        <v>92</v>
      </c>
      <c r="AQ181" s="1854"/>
      <c r="AR181" s="140"/>
      <c r="AS181" s="139"/>
      <c r="AT181" s="139"/>
      <c r="AU181" s="139"/>
    </row>
    <row r="182" spans="2:47" ht="15" customHeight="1" x14ac:dyDescent="0.4">
      <c r="B182" s="3"/>
      <c r="C182" s="173" t="s">
        <v>435</v>
      </c>
      <c r="D182" s="181"/>
      <c r="E182" s="182"/>
      <c r="F182" s="182"/>
      <c r="G182" s="173"/>
      <c r="H182" s="175"/>
      <c r="I182" s="116"/>
      <c r="J182" s="116"/>
      <c r="K182" s="116"/>
      <c r="L182" s="116"/>
      <c r="M182" s="177"/>
      <c r="N182" s="177"/>
      <c r="O182" s="177"/>
      <c r="P182" s="178"/>
      <c r="Q182" s="178"/>
      <c r="R182" s="116"/>
      <c r="S182" s="198">
        <v>1</v>
      </c>
      <c r="T182" s="116" t="s">
        <v>385</v>
      </c>
      <c r="U182" s="175"/>
      <c r="V182" s="179"/>
      <c r="W182" s="116"/>
      <c r="X182" s="179"/>
      <c r="Y182" s="1449"/>
      <c r="Z182" s="1449"/>
      <c r="AA182" s="175"/>
      <c r="AB182" s="116">
        <v>45</v>
      </c>
      <c r="AC182" s="116">
        <v>2</v>
      </c>
      <c r="AD182" s="198">
        <f>S182*AC182</f>
        <v>2</v>
      </c>
      <c r="AE182" s="116" t="s">
        <v>385</v>
      </c>
      <c r="AF182" s="116">
        <v>0.126</v>
      </c>
      <c r="AG182" s="177">
        <f>AF182*AtolbperftSL2</f>
        <v>7.9694999999999988E-2</v>
      </c>
      <c r="AH182" s="185"/>
      <c r="AI182" s="185"/>
      <c r="AJ182" s="185"/>
      <c r="AK182" s="185"/>
      <c r="AL182" s="180"/>
      <c r="AM182" s="3" t="s">
        <v>92</v>
      </c>
      <c r="AN182" s="3" t="s">
        <v>92</v>
      </c>
      <c r="AO182" s="3" t="s">
        <v>92</v>
      </c>
      <c r="AP182" s="3" t="s">
        <v>92</v>
      </c>
      <c r="AR182" s="139"/>
      <c r="AS182" s="139"/>
      <c r="AT182" s="139"/>
      <c r="AU182" s="139"/>
    </row>
    <row r="183" spans="2:47" ht="15" customHeight="1" x14ac:dyDescent="0.4">
      <c r="B183" s="36"/>
      <c r="C183" s="36"/>
      <c r="D183" s="155"/>
      <c r="E183" s="155"/>
      <c r="F183" s="155"/>
      <c r="G183" s="7"/>
      <c r="H183" s="20"/>
      <c r="P183" s="24"/>
      <c r="Q183" s="24"/>
      <c r="U183" s="20"/>
      <c r="V183" s="38" t="s">
        <v>369</v>
      </c>
      <c r="W183" s="3" t="s">
        <v>386</v>
      </c>
      <c r="X183" s="38" t="s">
        <v>369</v>
      </c>
      <c r="Y183" s="1443">
        <v>200161008</v>
      </c>
      <c r="Z183" s="1443"/>
      <c r="AA183" s="20"/>
      <c r="AE183" s="3"/>
      <c r="AF183" s="38"/>
      <c r="AH183" s="51">
        <f>'Single Hung'!AI261</f>
        <v>5.16E-2</v>
      </c>
      <c r="AI183" s="39"/>
      <c r="AJ183" s="39"/>
      <c r="AK183" s="39"/>
      <c r="AL183" s="39">
        <f>AD$182*AH183+SUM(AI183:AK183)</f>
        <v>0.1032</v>
      </c>
      <c r="AM183" s="3" t="s">
        <v>92</v>
      </c>
      <c r="AN183" s="3" t="s">
        <v>92</v>
      </c>
      <c r="AO183" s="3" t="s">
        <v>92</v>
      </c>
      <c r="AP183" s="3" t="s">
        <v>92</v>
      </c>
      <c r="AR183" s="139"/>
      <c r="AS183" s="139"/>
      <c r="AT183" s="139"/>
      <c r="AU183" s="139"/>
    </row>
    <row r="184" spans="2:47" ht="15" customHeight="1" x14ac:dyDescent="0.4">
      <c r="B184" s="36"/>
      <c r="C184" s="36"/>
      <c r="D184" s="155"/>
      <c r="E184" s="155"/>
      <c r="F184" s="155"/>
      <c r="G184" s="7"/>
      <c r="H184" s="20"/>
      <c r="P184" s="24"/>
      <c r="Q184" s="24"/>
      <c r="U184" s="20"/>
      <c r="V184" s="571"/>
      <c r="W184" s="572"/>
      <c r="X184" s="571"/>
      <c r="Y184" s="1447"/>
      <c r="Z184" s="1447"/>
      <c r="AA184" s="20"/>
      <c r="AE184" s="3"/>
      <c r="AF184" s="3"/>
      <c r="AI184" s="39"/>
      <c r="AJ184" s="39"/>
      <c r="AK184" s="39"/>
      <c r="AM184" s="3" t="s">
        <v>92</v>
      </c>
      <c r="AN184" s="3" t="s">
        <v>92</v>
      </c>
      <c r="AO184" s="3" t="s">
        <v>92</v>
      </c>
      <c r="AP184" s="3" t="s">
        <v>92</v>
      </c>
      <c r="AR184" s="139"/>
      <c r="AS184" s="139"/>
      <c r="AT184" s="139"/>
      <c r="AU184" s="139"/>
    </row>
    <row r="185" spans="2:47" ht="15" customHeight="1" thickBot="1" x14ac:dyDescent="0.45">
      <c r="B185" s="36"/>
      <c r="C185" s="943"/>
      <c r="D185" s="925"/>
      <c r="E185" s="925"/>
      <c r="F185" s="925"/>
      <c r="G185" s="924"/>
      <c r="H185" s="887"/>
      <c r="I185" s="889"/>
      <c r="J185" s="889"/>
      <c r="K185" s="889"/>
      <c r="L185" s="889"/>
      <c r="M185" s="945"/>
      <c r="N185" s="945"/>
      <c r="O185" s="945"/>
      <c r="P185" s="1020"/>
      <c r="Q185" s="1020"/>
      <c r="R185" s="889"/>
      <c r="S185" s="945"/>
      <c r="T185" s="889"/>
      <c r="U185" s="887"/>
      <c r="V185" s="888"/>
      <c r="W185" s="889"/>
      <c r="X185" s="888"/>
      <c r="Y185" s="1444"/>
      <c r="Z185" s="1444"/>
      <c r="AA185" s="887"/>
      <c r="AB185" s="889"/>
      <c r="AC185" s="889"/>
      <c r="AD185" s="945"/>
      <c r="AE185" s="889"/>
      <c r="AF185" s="889"/>
      <c r="AG185" s="945"/>
      <c r="AH185" s="947"/>
      <c r="AI185" s="947"/>
      <c r="AJ185" s="947"/>
      <c r="AK185" s="947"/>
      <c r="AM185" s="889" t="s">
        <v>92</v>
      </c>
      <c r="AN185" s="889" t="s">
        <v>92</v>
      </c>
      <c r="AO185" s="889" t="s">
        <v>92</v>
      </c>
      <c r="AP185" s="889" t="s">
        <v>92</v>
      </c>
      <c r="AQ185" s="889"/>
      <c r="AR185" s="139"/>
      <c r="AS185" s="139"/>
      <c r="AT185" s="139"/>
      <c r="AU185" s="139"/>
    </row>
    <row r="186" spans="2:47" ht="15" customHeight="1" x14ac:dyDescent="0.4">
      <c r="C186" s="173" t="s">
        <v>382</v>
      </c>
      <c r="D186" s="182"/>
      <c r="G186" s="430" t="s">
        <v>383</v>
      </c>
      <c r="H186" s="175"/>
      <c r="I186" s="116" t="s">
        <v>365</v>
      </c>
      <c r="J186" s="116"/>
      <c r="K186" s="116"/>
      <c r="L186" s="116" t="s">
        <v>348</v>
      </c>
      <c r="M186" s="177">
        <v>3</v>
      </c>
      <c r="N186" s="177" t="s">
        <v>348</v>
      </c>
      <c r="O186" s="177">
        <f>0.25</f>
        <v>0.25</v>
      </c>
      <c r="P186" s="178"/>
      <c r="Q186" s="178"/>
      <c r="R186" s="116" t="s">
        <v>352</v>
      </c>
      <c r="S186" s="177">
        <f>SL2Height+M186+O186</f>
        <v>50.75</v>
      </c>
      <c r="T186" s="116" t="s">
        <v>366</v>
      </c>
      <c r="U186" s="175"/>
      <c r="V186" s="179"/>
      <c r="W186" s="116"/>
      <c r="X186" s="179"/>
      <c r="Y186" s="1449"/>
      <c r="Z186" s="1449"/>
      <c r="AA186" s="175"/>
      <c r="AB186" s="116">
        <v>45</v>
      </c>
      <c r="AC186" s="116">
        <v>2</v>
      </c>
      <c r="AD186" s="177">
        <f>AC186*S186/12</f>
        <v>8.4583333333333339</v>
      </c>
      <c r="AE186" s="116" t="s">
        <v>367</v>
      </c>
      <c r="AF186" s="116">
        <f>'Single Hung'!AG254</f>
        <v>0.08</v>
      </c>
      <c r="AG186" s="177">
        <f>AF186*AtolbperftSL2</f>
        <v>5.0599999999999999E-2</v>
      </c>
      <c r="AH186" s="185"/>
      <c r="AI186" s="185"/>
      <c r="AJ186" s="185"/>
      <c r="AK186" s="185"/>
      <c r="AL186" s="180"/>
      <c r="AM186" s="3" t="s">
        <v>92</v>
      </c>
      <c r="AN186" s="3" t="s">
        <v>92</v>
      </c>
      <c r="AO186" s="3" t="s">
        <v>92</v>
      </c>
      <c r="AP186" s="3" t="s">
        <v>92</v>
      </c>
      <c r="AR186" s="139"/>
      <c r="AS186" s="139"/>
      <c r="AT186" s="139"/>
      <c r="AU186" s="139"/>
    </row>
    <row r="187" spans="2:47" ht="15" customHeight="1" x14ac:dyDescent="0.4">
      <c r="B187" s="36"/>
      <c r="C187" s="36"/>
      <c r="D187" s="155"/>
      <c r="E187" s="155"/>
      <c r="F187" s="155"/>
      <c r="G187" s="7"/>
      <c r="H187" s="20"/>
      <c r="P187" s="24"/>
      <c r="Q187" s="24"/>
      <c r="U187" s="20"/>
      <c r="V187" s="38" t="s">
        <v>369</v>
      </c>
      <c r="W187" s="3" t="s">
        <v>370</v>
      </c>
      <c r="X187" s="38" t="s">
        <v>369</v>
      </c>
      <c r="Y187" s="1443">
        <v>200114003</v>
      </c>
      <c r="Z187" s="1443"/>
      <c r="AA187" s="20"/>
      <c r="AE187" s="3"/>
      <c r="AF187" s="38"/>
      <c r="AH187" s="51">
        <f>'Single Hung'!AI255</f>
        <v>9.3600000000000003E-2</v>
      </c>
      <c r="AI187" s="39"/>
      <c r="AJ187" s="39"/>
      <c r="AK187" s="39"/>
      <c r="AL187" s="39">
        <f>AD$186*AH187+SUM(AI187:AK187)</f>
        <v>0.79170000000000007</v>
      </c>
      <c r="AM187" s="3" t="s">
        <v>92</v>
      </c>
      <c r="AN187" s="3" t="s">
        <v>92</v>
      </c>
      <c r="AO187" s="3" t="s">
        <v>92</v>
      </c>
      <c r="AP187" s="3" t="s">
        <v>92</v>
      </c>
      <c r="AR187" s="139"/>
      <c r="AS187" s="139"/>
      <c r="AT187" s="139"/>
      <c r="AU187" s="139"/>
    </row>
    <row r="188" spans="2:47" ht="15" customHeight="1" x14ac:dyDescent="0.4">
      <c r="B188" s="36"/>
      <c r="C188" s="36"/>
      <c r="D188" s="155"/>
      <c r="E188" s="155"/>
      <c r="F188" s="155"/>
      <c r="G188" s="7"/>
      <c r="H188" s="20"/>
      <c r="P188" s="24"/>
      <c r="Q188" s="24"/>
      <c r="U188" s="20"/>
      <c r="V188" s="38" t="s">
        <v>369</v>
      </c>
      <c r="W188" s="3" t="s">
        <v>372</v>
      </c>
      <c r="X188" s="38" t="s">
        <v>369</v>
      </c>
      <c r="Y188" s="1443">
        <v>200114021</v>
      </c>
      <c r="Z188" s="1443"/>
      <c r="AA188" s="20"/>
      <c r="AE188" s="3"/>
      <c r="AF188" s="3"/>
      <c r="AH188" s="51">
        <f>'Single Hung'!AI256</f>
        <v>0.10050000000000001</v>
      </c>
      <c r="AI188" s="39"/>
      <c r="AJ188" s="39"/>
      <c r="AK188" s="39"/>
      <c r="AL188" s="39">
        <f t="shared" ref="AL188:AL191" si="47">AD$186*AH188+SUM(AI188:AK188)</f>
        <v>0.85006250000000017</v>
      </c>
      <c r="AM188" s="3" t="s">
        <v>92</v>
      </c>
      <c r="AN188" s="3" t="s">
        <v>92</v>
      </c>
      <c r="AO188" s="3" t="s">
        <v>92</v>
      </c>
      <c r="AP188" s="3" t="s">
        <v>92</v>
      </c>
      <c r="AR188" s="139"/>
      <c r="AS188" s="139"/>
      <c r="AT188" s="139"/>
      <c r="AU188" s="139"/>
    </row>
    <row r="189" spans="2:47" ht="15" customHeight="1" x14ac:dyDescent="0.4">
      <c r="B189" s="36"/>
      <c r="C189" s="36"/>
      <c r="D189" s="155"/>
      <c r="E189" s="155"/>
      <c r="F189" s="155"/>
      <c r="G189" s="7"/>
      <c r="H189" s="20"/>
      <c r="P189" s="24"/>
      <c r="Q189" s="24"/>
      <c r="U189" s="20"/>
      <c r="V189" s="38" t="s">
        <v>369</v>
      </c>
      <c r="W189" s="3" t="s">
        <v>373</v>
      </c>
      <c r="X189" s="38" t="s">
        <v>369</v>
      </c>
      <c r="Y189" s="1443">
        <v>200114033</v>
      </c>
      <c r="Z189" s="1443"/>
      <c r="AA189" s="20"/>
      <c r="AE189" s="3"/>
      <c r="AF189" s="3"/>
      <c r="AH189" s="51">
        <f>'Single Hung'!AI257</f>
        <v>0.1021</v>
      </c>
      <c r="AI189" s="39"/>
      <c r="AJ189" s="39"/>
      <c r="AK189" s="39"/>
      <c r="AL189" s="39">
        <f t="shared" si="47"/>
        <v>0.86359583333333334</v>
      </c>
      <c r="AM189" s="3" t="s">
        <v>92</v>
      </c>
      <c r="AN189" s="3" t="s">
        <v>92</v>
      </c>
      <c r="AO189" s="3" t="s">
        <v>92</v>
      </c>
      <c r="AP189" s="3" t="s">
        <v>92</v>
      </c>
      <c r="AR189" s="139"/>
      <c r="AS189" s="139"/>
      <c r="AT189" s="139"/>
      <c r="AU189" s="139"/>
    </row>
    <row r="190" spans="2:47" ht="15" customHeight="1" x14ac:dyDescent="0.4">
      <c r="B190" s="36"/>
      <c r="C190" s="36"/>
      <c r="D190" s="155"/>
      <c r="E190" s="155"/>
      <c r="F190" s="155"/>
      <c r="G190" s="7"/>
      <c r="H190" s="20"/>
      <c r="P190" s="24"/>
      <c r="Q190" s="24"/>
      <c r="U190" s="20"/>
      <c r="V190" s="38" t="s">
        <v>369</v>
      </c>
      <c r="W190" s="3" t="s">
        <v>374</v>
      </c>
      <c r="X190" s="38" t="s">
        <v>369</v>
      </c>
      <c r="Y190" s="1443">
        <v>200114090</v>
      </c>
      <c r="Z190" s="1443"/>
      <c r="AA190" s="20"/>
      <c r="AE190" s="3"/>
      <c r="AF190" s="3"/>
      <c r="AH190" s="51">
        <v>0.26579999999999998</v>
      </c>
      <c r="AI190" s="39"/>
      <c r="AJ190" s="39"/>
      <c r="AK190" s="39"/>
      <c r="AL190" s="39">
        <f t="shared" si="47"/>
        <v>2.2482250000000001</v>
      </c>
      <c r="AM190" s="3" t="s">
        <v>92</v>
      </c>
      <c r="AN190" s="3" t="s">
        <v>92</v>
      </c>
      <c r="AO190" s="3" t="s">
        <v>92</v>
      </c>
      <c r="AP190" s="3" t="s">
        <v>92</v>
      </c>
      <c r="AR190" s="139"/>
      <c r="AS190" s="139"/>
      <c r="AT190" s="139"/>
      <c r="AU190" s="139"/>
    </row>
    <row r="191" spans="2:47" ht="15" customHeight="1" thickBot="1" x14ac:dyDescent="0.45">
      <c r="B191" s="943"/>
      <c r="C191" s="943"/>
      <c r="D191" s="925"/>
      <c r="E191" s="925"/>
      <c r="F191" s="925"/>
      <c r="G191" s="924"/>
      <c r="H191" s="887"/>
      <c r="I191" s="889"/>
      <c r="J191" s="889"/>
      <c r="K191" s="889"/>
      <c r="L191" s="889"/>
      <c r="M191" s="945"/>
      <c r="N191" s="945"/>
      <c r="O191" s="945"/>
      <c r="P191" s="1020"/>
      <c r="Q191" s="1020"/>
      <c r="R191" s="889"/>
      <c r="S191" s="945"/>
      <c r="T191" s="889"/>
      <c r="U191" s="887"/>
      <c r="V191" s="888" t="s">
        <v>369</v>
      </c>
      <c r="W191" s="889" t="s">
        <v>375</v>
      </c>
      <c r="X191" s="888" t="s">
        <v>369</v>
      </c>
      <c r="Y191" s="1444">
        <v>200114133</v>
      </c>
      <c r="Z191" s="1444"/>
      <c r="AA191" s="887"/>
      <c r="AB191" s="889"/>
      <c r="AC191" s="889"/>
      <c r="AD191" s="945"/>
      <c r="AE191" s="889"/>
      <c r="AF191" s="889"/>
      <c r="AG191" s="945"/>
      <c r="AH191" s="937">
        <v>0.28470000000000001</v>
      </c>
      <c r="AI191" s="947"/>
      <c r="AJ191" s="947"/>
      <c r="AK191" s="947"/>
      <c r="AL191" s="39">
        <f t="shared" si="47"/>
        <v>2.4080875000000002</v>
      </c>
      <c r="AM191" s="889" t="s">
        <v>92</v>
      </c>
      <c r="AN191" s="889" t="s">
        <v>92</v>
      </c>
      <c r="AO191" s="889" t="s">
        <v>92</v>
      </c>
      <c r="AP191" s="889" t="s">
        <v>92</v>
      </c>
      <c r="AQ191" s="889"/>
      <c r="AR191" s="139"/>
      <c r="AS191" s="139"/>
      <c r="AT191" s="139"/>
      <c r="AU191" s="139"/>
    </row>
    <row r="192" spans="2:47" ht="15" customHeight="1" thickBot="1" x14ac:dyDescent="0.45">
      <c r="B192" s="173" t="s">
        <v>436</v>
      </c>
      <c r="C192" s="173"/>
      <c r="D192" s="116"/>
      <c r="E192" s="116"/>
      <c r="F192" s="174"/>
      <c r="G192" s="173"/>
      <c r="H192" s="175"/>
      <c r="I192" s="116"/>
      <c r="J192" s="116"/>
      <c r="K192" s="116"/>
      <c r="L192" s="116"/>
      <c r="M192" s="116"/>
      <c r="N192" s="177"/>
      <c r="O192" s="177"/>
      <c r="P192" s="177"/>
      <c r="Q192" s="177"/>
      <c r="R192" s="116"/>
      <c r="S192" s="177"/>
      <c r="T192" s="116"/>
      <c r="U192" s="175"/>
      <c r="V192" s="173"/>
      <c r="W192" s="173"/>
      <c r="X192" s="173"/>
      <c r="Y192" s="1449"/>
      <c r="Z192" s="1449"/>
      <c r="AA192" s="175"/>
      <c r="AB192" s="116"/>
      <c r="AC192" s="116"/>
      <c r="AD192" s="177"/>
      <c r="AE192" s="116"/>
      <c r="AF192" s="179"/>
      <c r="AG192" s="177"/>
      <c r="AH192" s="185"/>
      <c r="AI192" s="185"/>
      <c r="AJ192" s="185"/>
      <c r="AK192" s="185"/>
      <c r="AL192" s="180"/>
      <c r="AM192" s="137" t="s">
        <v>92</v>
      </c>
      <c r="AN192" s="137" t="s">
        <v>92</v>
      </c>
      <c r="AO192" s="137" t="s">
        <v>92</v>
      </c>
      <c r="AP192" s="137" t="s">
        <v>92</v>
      </c>
      <c r="AQ192" s="137"/>
      <c r="AR192" s="139"/>
      <c r="AS192" s="139"/>
      <c r="AT192" s="139"/>
      <c r="AU192" s="139"/>
    </row>
    <row r="193" spans="1:47" ht="15" customHeight="1" x14ac:dyDescent="0.4">
      <c r="A193" s="3" t="s">
        <v>389</v>
      </c>
      <c r="B193" s="173"/>
      <c r="C193" s="173" t="s">
        <v>437</v>
      </c>
      <c r="D193" s="116"/>
      <c r="E193" s="182"/>
      <c r="F193" s="182" t="s">
        <v>438</v>
      </c>
      <c r="G193" s="173"/>
      <c r="H193" s="175"/>
      <c r="I193" s="116" t="s">
        <v>392</v>
      </c>
      <c r="J193" s="116"/>
      <c r="K193" s="116"/>
      <c r="L193" s="116" t="s">
        <v>348</v>
      </c>
      <c r="M193" s="177">
        <v>3</v>
      </c>
      <c r="N193" s="177" t="s">
        <v>348</v>
      </c>
      <c r="O193" s="177">
        <f>0.25</f>
        <v>0.25</v>
      </c>
      <c r="P193" s="177"/>
      <c r="Q193" s="177"/>
      <c r="R193" s="116" t="s">
        <v>352</v>
      </c>
      <c r="S193" s="177">
        <f>SL2Width+M193+O193</f>
        <v>50.75</v>
      </c>
      <c r="T193" s="116" t="s">
        <v>366</v>
      </c>
      <c r="U193" s="175"/>
      <c r="V193" s="179"/>
      <c r="W193" s="116"/>
      <c r="X193" s="179"/>
      <c r="Y193" s="1449"/>
      <c r="Z193" s="1449"/>
      <c r="AA193" s="175"/>
      <c r="AB193" s="116">
        <v>45</v>
      </c>
      <c r="AC193" s="116">
        <v>1</v>
      </c>
      <c r="AD193" s="177">
        <f>AC193*S193/12</f>
        <v>4.229166666666667</v>
      </c>
      <c r="AE193" s="116" t="s">
        <v>367</v>
      </c>
      <c r="AF193" s="179">
        <f>AF164</f>
        <v>1.238</v>
      </c>
      <c r="AG193" s="177">
        <f>AF193*AtolbperftSL2</f>
        <v>0.78303499999999993</v>
      </c>
      <c r="AH193" s="185"/>
      <c r="AI193" s="185"/>
      <c r="AJ193" s="185"/>
      <c r="AK193" s="185"/>
      <c r="AL193" s="180"/>
      <c r="AM193" s="3" t="s">
        <v>92</v>
      </c>
      <c r="AN193" s="3" t="s">
        <v>92</v>
      </c>
      <c r="AO193" s="3" t="s">
        <v>92</v>
      </c>
      <c r="AP193" s="3" t="s">
        <v>92</v>
      </c>
      <c r="AR193" s="139"/>
      <c r="AS193" s="139"/>
      <c r="AT193" s="139"/>
      <c r="AU193" s="139"/>
    </row>
    <row r="194" spans="1:47" ht="15" customHeight="1" x14ac:dyDescent="0.4">
      <c r="B194" s="36"/>
      <c r="C194" s="155"/>
      <c r="D194" s="155"/>
      <c r="E194" s="155" t="s">
        <v>439</v>
      </c>
      <c r="F194" s="155"/>
      <c r="G194" s="7"/>
      <c r="H194" s="20"/>
      <c r="I194" s="3" t="s">
        <v>392</v>
      </c>
      <c r="L194" s="3" t="s">
        <v>348</v>
      </c>
      <c r="M194" s="5">
        <v>0</v>
      </c>
      <c r="N194" s="5" t="s">
        <v>348</v>
      </c>
      <c r="O194" s="5">
        <f>0.25</f>
        <v>0.25</v>
      </c>
      <c r="P194" s="24"/>
      <c r="Q194" s="24"/>
      <c r="R194" s="3" t="s">
        <v>352</v>
      </c>
      <c r="S194" s="5">
        <f>SL2Width+M194+O194</f>
        <v>47.75</v>
      </c>
      <c r="T194" s="3" t="s">
        <v>366</v>
      </c>
      <c r="U194" s="20"/>
      <c r="V194" s="38" t="s">
        <v>369</v>
      </c>
      <c r="W194" s="3" t="s">
        <v>370</v>
      </c>
      <c r="X194" s="38" t="s">
        <v>369</v>
      </c>
      <c r="Y194" s="1443">
        <v>200152003</v>
      </c>
      <c r="Z194" s="1443"/>
      <c r="AA194" s="20"/>
      <c r="AE194" s="3"/>
      <c r="AF194" s="38"/>
      <c r="AH194" s="51">
        <f>AH165</f>
        <v>0.67030000000000001</v>
      </c>
      <c r="AI194" s="39"/>
      <c r="AJ194" s="39"/>
      <c r="AK194" s="39"/>
      <c r="AL194" s="39">
        <f>AD$193*AH194+SUM(AI194:AK194)</f>
        <v>2.834810416666667</v>
      </c>
      <c r="AM194" s="3" t="s">
        <v>92</v>
      </c>
      <c r="AN194" s="3" t="s">
        <v>92</v>
      </c>
      <c r="AO194" s="3" t="s">
        <v>92</v>
      </c>
      <c r="AP194" s="3" t="s">
        <v>92</v>
      </c>
      <c r="AR194" s="139"/>
      <c r="AS194" s="139"/>
      <c r="AT194" s="139"/>
      <c r="AU194" s="139"/>
    </row>
    <row r="195" spans="1:47" ht="15" customHeight="1" x14ac:dyDescent="0.4">
      <c r="B195" s="36"/>
      <c r="C195" s="155"/>
      <c r="D195" s="155"/>
      <c r="E195" s="155"/>
      <c r="F195" s="155"/>
      <c r="G195" s="7"/>
      <c r="H195" s="20"/>
      <c r="U195" s="20"/>
      <c r="V195" s="38" t="s">
        <v>369</v>
      </c>
      <c r="W195" s="3" t="s">
        <v>372</v>
      </c>
      <c r="X195" s="38" t="s">
        <v>369</v>
      </c>
      <c r="Y195" s="1443">
        <v>200152021</v>
      </c>
      <c r="Z195" s="1443"/>
      <c r="AA195" s="20"/>
      <c r="AE195" s="3"/>
      <c r="AF195" s="38"/>
      <c r="AH195" s="51">
        <f>AH166</f>
        <v>0.72709999999999997</v>
      </c>
      <c r="AI195" s="39"/>
      <c r="AJ195" s="39"/>
      <c r="AK195" s="39"/>
      <c r="AL195" s="39">
        <f t="shared" ref="AL195:AL198" si="48">AD$193*AH195+SUM(AI195:AK195)</f>
        <v>3.0750270833333335</v>
      </c>
      <c r="AM195" s="3" t="s">
        <v>92</v>
      </c>
      <c r="AN195" s="3" t="s">
        <v>92</v>
      </c>
      <c r="AO195" s="3" t="s">
        <v>92</v>
      </c>
      <c r="AP195" s="3" t="s">
        <v>92</v>
      </c>
      <c r="AR195" s="139"/>
      <c r="AS195" s="139"/>
      <c r="AT195" s="139"/>
      <c r="AU195" s="139"/>
    </row>
    <row r="196" spans="1:47" ht="15" customHeight="1" x14ac:dyDescent="0.4">
      <c r="B196" s="3"/>
      <c r="C196" s="36"/>
      <c r="D196" s="155"/>
      <c r="E196" s="155"/>
      <c r="F196" s="155"/>
      <c r="G196" s="7"/>
      <c r="H196" s="20"/>
      <c r="U196" s="20"/>
      <c r="V196" s="38" t="s">
        <v>369</v>
      </c>
      <c r="W196" s="3" t="s">
        <v>373</v>
      </c>
      <c r="X196" s="38" t="s">
        <v>369</v>
      </c>
      <c r="Y196" s="1443">
        <v>200152033</v>
      </c>
      <c r="Z196" s="1443"/>
      <c r="AA196" s="20"/>
      <c r="AE196" s="3"/>
      <c r="AF196" s="38"/>
      <c r="AH196" s="51">
        <f>AH167</f>
        <v>0.8054</v>
      </c>
      <c r="AI196" s="39"/>
      <c r="AJ196" s="39"/>
      <c r="AK196" s="39"/>
      <c r="AL196" s="39">
        <f t="shared" si="48"/>
        <v>3.4061708333333338</v>
      </c>
      <c r="AM196" s="3" t="s">
        <v>92</v>
      </c>
      <c r="AN196" s="3" t="s">
        <v>92</v>
      </c>
      <c r="AO196" s="3" t="s">
        <v>92</v>
      </c>
      <c r="AP196" s="3" t="s">
        <v>92</v>
      </c>
      <c r="AR196" s="139"/>
      <c r="AS196" s="139"/>
      <c r="AT196" s="139"/>
      <c r="AU196" s="139"/>
    </row>
    <row r="197" spans="1:47" ht="15" customHeight="1" x14ac:dyDescent="0.4">
      <c r="B197" s="3"/>
      <c r="C197" s="36"/>
      <c r="D197" s="155"/>
      <c r="E197" s="155"/>
      <c r="F197" s="155"/>
      <c r="G197" s="7"/>
      <c r="H197" s="20"/>
      <c r="U197" s="20"/>
      <c r="V197" s="3" t="s">
        <v>2363</v>
      </c>
      <c r="W197" s="3" t="s">
        <v>370</v>
      </c>
      <c r="X197" s="38" t="s">
        <v>369</v>
      </c>
      <c r="Y197" s="1443">
        <v>200152127</v>
      </c>
      <c r="Z197" s="1443"/>
      <c r="AA197" s="20"/>
      <c r="AE197" s="3"/>
      <c r="AF197" s="38"/>
      <c r="AH197" s="51">
        <v>0.88829999999999998</v>
      </c>
      <c r="AI197" s="39"/>
      <c r="AJ197" s="39"/>
      <c r="AK197" s="39"/>
      <c r="AL197" s="39">
        <f t="shared" si="48"/>
        <v>3.75676875</v>
      </c>
      <c r="AM197" s="3" t="s">
        <v>92</v>
      </c>
      <c r="AN197" s="3" t="s">
        <v>92</v>
      </c>
      <c r="AO197" s="3" t="s">
        <v>92</v>
      </c>
      <c r="AP197" s="3" t="s">
        <v>92</v>
      </c>
      <c r="AR197" s="139"/>
      <c r="AS197" s="139"/>
      <c r="AT197" s="139"/>
      <c r="AU197" s="139"/>
    </row>
    <row r="198" spans="1:47" ht="15" customHeight="1" x14ac:dyDescent="0.4">
      <c r="B198" s="3"/>
      <c r="C198" s="36"/>
      <c r="D198" s="155"/>
      <c r="E198" s="623"/>
      <c r="F198" s="623"/>
      <c r="G198" s="221"/>
      <c r="H198" s="624"/>
      <c r="I198" s="577"/>
      <c r="J198" s="577"/>
      <c r="K198" s="577"/>
      <c r="L198" s="577"/>
      <c r="M198" s="575"/>
      <c r="N198" s="575"/>
      <c r="O198" s="575"/>
      <c r="P198" s="575"/>
      <c r="Q198" s="575"/>
      <c r="R198" s="577"/>
      <c r="S198" s="575"/>
      <c r="T198" s="577"/>
      <c r="U198" s="624"/>
      <c r="V198" s="577" t="s">
        <v>2365</v>
      </c>
      <c r="W198" s="577" t="s">
        <v>370</v>
      </c>
      <c r="X198" s="579" t="s">
        <v>369</v>
      </c>
      <c r="Y198" s="1446">
        <v>200152180</v>
      </c>
      <c r="Z198" s="1446"/>
      <c r="AA198" s="624"/>
      <c r="AB198" s="577"/>
      <c r="AC198" s="577"/>
      <c r="AD198" s="575"/>
      <c r="AE198" s="577"/>
      <c r="AF198" s="579"/>
      <c r="AG198" s="575"/>
      <c r="AH198" s="626">
        <v>0.95860000000000001</v>
      </c>
      <c r="AI198" s="581"/>
      <c r="AJ198" s="581"/>
      <c r="AK198" s="581"/>
      <c r="AL198" s="581">
        <f t="shared" si="48"/>
        <v>4.0540791666666669</v>
      </c>
      <c r="AM198" s="577" t="s">
        <v>92</v>
      </c>
      <c r="AN198" s="577" t="s">
        <v>92</v>
      </c>
      <c r="AO198" s="577" t="s">
        <v>92</v>
      </c>
      <c r="AP198" s="577" t="s">
        <v>92</v>
      </c>
      <c r="AQ198" s="577"/>
      <c r="AR198" s="139"/>
      <c r="AS198" s="139"/>
      <c r="AT198" s="139"/>
      <c r="AU198" s="139"/>
    </row>
    <row r="199" spans="1:47" ht="15" customHeight="1" x14ac:dyDescent="0.4">
      <c r="C199" s="36"/>
      <c r="D199" s="36"/>
      <c r="E199" s="447" t="s">
        <v>1220</v>
      </c>
      <c r="F199" s="155"/>
      <c r="G199" s="7"/>
      <c r="H199" s="20"/>
      <c r="I199" s="3" t="s">
        <v>392</v>
      </c>
      <c r="L199" s="3" t="s">
        <v>348</v>
      </c>
      <c r="M199" s="5">
        <v>0</v>
      </c>
      <c r="R199" s="3" t="s">
        <v>352</v>
      </c>
      <c r="S199" s="5">
        <f>SL2Width+M199</f>
        <v>47.5</v>
      </c>
      <c r="T199" s="3" t="s">
        <v>366</v>
      </c>
      <c r="U199" s="20"/>
      <c r="V199" s="38" t="s">
        <v>369</v>
      </c>
      <c r="W199" s="3" t="s">
        <v>405</v>
      </c>
      <c r="X199" s="38" t="s">
        <v>369</v>
      </c>
      <c r="Y199" s="1443">
        <v>600042010</v>
      </c>
      <c r="Z199" s="1443"/>
      <c r="AA199" s="20"/>
      <c r="AB199" s="3">
        <v>45</v>
      </c>
      <c r="AC199" s="3">
        <v>1</v>
      </c>
      <c r="AD199" s="5">
        <f>S199*AC199/12</f>
        <v>3.9583333333333335</v>
      </c>
      <c r="AE199" s="3" t="s">
        <v>367</v>
      </c>
      <c r="AF199" s="38" t="s">
        <v>369</v>
      </c>
      <c r="AG199" s="38" t="s">
        <v>369</v>
      </c>
      <c r="AH199" s="51">
        <f>AH170</f>
        <v>1.9E-2</v>
      </c>
      <c r="AI199" s="39"/>
      <c r="AJ199" s="39"/>
      <c r="AK199" s="39"/>
      <c r="AL199" s="39">
        <f>AD$27*AH199+SUM(AI199:AK199)</f>
        <v>7.5208333333333335E-2</v>
      </c>
      <c r="AM199" s="3" t="s">
        <v>92</v>
      </c>
      <c r="AN199" s="3" t="s">
        <v>92</v>
      </c>
      <c r="AO199" s="3" t="s">
        <v>92</v>
      </c>
      <c r="AP199" s="3" t="s">
        <v>92</v>
      </c>
      <c r="AR199" s="140"/>
      <c r="AS199" s="139"/>
      <c r="AT199" s="139"/>
      <c r="AU199" s="139"/>
    </row>
    <row r="200" spans="1:47" ht="15" customHeight="1" x14ac:dyDescent="0.4">
      <c r="C200" s="36"/>
      <c r="D200" s="36"/>
      <c r="E200" s="447" t="s">
        <v>1221</v>
      </c>
      <c r="F200" s="155"/>
      <c r="G200" s="7"/>
      <c r="H200" s="20"/>
      <c r="I200" s="3" t="s">
        <v>392</v>
      </c>
      <c r="L200" s="3" t="s">
        <v>348</v>
      </c>
      <c r="M200" s="5">
        <v>0</v>
      </c>
      <c r="R200" s="3" t="s">
        <v>352</v>
      </c>
      <c r="S200" s="5">
        <f>SL2Width+M200</f>
        <v>47.5</v>
      </c>
      <c r="T200" s="3" t="s">
        <v>366</v>
      </c>
      <c r="U200" s="20"/>
      <c r="V200" s="38" t="s">
        <v>369</v>
      </c>
      <c r="W200" s="3" t="s">
        <v>405</v>
      </c>
      <c r="X200" s="38" t="s">
        <v>369</v>
      </c>
      <c r="Y200" s="1443">
        <v>600050010</v>
      </c>
      <c r="Z200" s="1443"/>
      <c r="AA200" s="20"/>
      <c r="AB200" s="3">
        <v>45</v>
      </c>
      <c r="AE200" s="3"/>
      <c r="AF200" s="38"/>
      <c r="AG200" s="38"/>
      <c r="AH200" s="844">
        <f>AH180</f>
        <v>0</v>
      </c>
      <c r="AI200" s="39"/>
      <c r="AJ200" s="39"/>
      <c r="AK200" s="39"/>
      <c r="AM200" s="3" t="s">
        <v>92</v>
      </c>
      <c r="AN200" s="3" t="s">
        <v>92</v>
      </c>
      <c r="AO200" s="3" t="s">
        <v>92</v>
      </c>
      <c r="AP200" s="3" t="s">
        <v>92</v>
      </c>
      <c r="AR200" s="140"/>
      <c r="AS200" s="139"/>
      <c r="AT200" s="139"/>
      <c r="AU200" s="139"/>
    </row>
    <row r="201" spans="1:47" ht="15" customHeight="1" thickBot="1" x14ac:dyDescent="0.25">
      <c r="C201" s="1849"/>
      <c r="D201" s="1849"/>
      <c r="E201" s="1850" t="s">
        <v>2353</v>
      </c>
      <c r="F201" s="1851"/>
      <c r="G201" s="1852"/>
      <c r="H201" s="1853"/>
      <c r="I201" s="1854" t="s">
        <v>392</v>
      </c>
      <c r="J201" s="1854"/>
      <c r="K201" s="1854"/>
      <c r="L201" s="1854"/>
      <c r="M201" s="1855"/>
      <c r="N201" s="1855"/>
      <c r="O201" s="1855"/>
      <c r="P201" s="1855"/>
      <c r="Q201" s="1855"/>
      <c r="R201" s="1854" t="s">
        <v>352</v>
      </c>
      <c r="S201" s="1855">
        <f>SL2Width</f>
        <v>47.5</v>
      </c>
      <c r="T201" s="1854" t="s">
        <v>366</v>
      </c>
      <c r="U201" s="1853"/>
      <c r="V201" s="1856" t="s">
        <v>369</v>
      </c>
      <c r="W201" s="1854" t="s">
        <v>370</v>
      </c>
      <c r="X201" s="1856" t="s">
        <v>369</v>
      </c>
      <c r="Y201" s="1863">
        <v>120074014938</v>
      </c>
      <c r="Z201" s="1858"/>
      <c r="AA201" s="1853"/>
      <c r="AB201" s="1854"/>
      <c r="AC201" s="1854">
        <v>1</v>
      </c>
      <c r="AD201" s="1855">
        <f>AC201*S201/12</f>
        <v>3.9583333333333335</v>
      </c>
      <c r="AE201" s="1854" t="s">
        <v>367</v>
      </c>
      <c r="AF201" s="1856" t="s">
        <v>369</v>
      </c>
      <c r="AG201" s="1856" t="s">
        <v>369</v>
      </c>
      <c r="AH201" s="1859">
        <f>0.00877</f>
        <v>8.77E-3</v>
      </c>
      <c r="AI201" s="1860"/>
      <c r="AJ201" s="1860"/>
      <c r="AK201" s="1860"/>
      <c r="AL201" s="1860">
        <f>AH201*AD201</f>
        <v>3.4714583333333333E-2</v>
      </c>
      <c r="AM201" s="1854" t="s">
        <v>92</v>
      </c>
      <c r="AN201" s="1854" t="s">
        <v>92</v>
      </c>
      <c r="AO201" s="1854" t="s">
        <v>81</v>
      </c>
      <c r="AP201" s="1854" t="s">
        <v>92</v>
      </c>
      <c r="AQ201" s="1854"/>
      <c r="AR201" s="140"/>
      <c r="AS201" s="139"/>
      <c r="AT201" s="139"/>
      <c r="AU201" s="139"/>
    </row>
    <row r="202" spans="1:47" ht="15" customHeight="1" x14ac:dyDescent="0.4">
      <c r="B202" s="3"/>
      <c r="C202" s="173" t="s">
        <v>2309</v>
      </c>
      <c r="D202" s="116"/>
      <c r="E202" s="182"/>
      <c r="F202" s="182" t="s">
        <v>438</v>
      </c>
      <c r="G202" s="173"/>
      <c r="H202" s="175"/>
      <c r="I202" s="116" t="s">
        <v>392</v>
      </c>
      <c r="J202" s="116"/>
      <c r="K202" s="116"/>
      <c r="L202" s="116" t="s">
        <v>348</v>
      </c>
      <c r="M202" s="177">
        <v>3</v>
      </c>
      <c r="N202" s="177" t="s">
        <v>348</v>
      </c>
      <c r="O202" s="177">
        <f>0.25</f>
        <v>0.25</v>
      </c>
      <c r="P202" s="177"/>
      <c r="Q202" s="177"/>
      <c r="R202" s="116" t="s">
        <v>352</v>
      </c>
      <c r="S202" s="177">
        <f>SL2Width+M202+O202</f>
        <v>50.75</v>
      </c>
      <c r="T202" s="116" t="s">
        <v>366</v>
      </c>
      <c r="U202" s="175"/>
      <c r="V202" s="179"/>
      <c r="W202" s="116"/>
      <c r="X202" s="179"/>
      <c r="Y202" s="1449"/>
      <c r="Z202" s="1449"/>
      <c r="AA202" s="175"/>
      <c r="AB202" s="116">
        <v>45</v>
      </c>
      <c r="AC202" s="116">
        <v>1</v>
      </c>
      <c r="AD202" s="177">
        <f>AC202*S202/12</f>
        <v>4.229166666666667</v>
      </c>
      <c r="AE202" s="116" t="s">
        <v>367</v>
      </c>
      <c r="AF202" s="627">
        <f>AF173</f>
        <v>1.18</v>
      </c>
      <c r="AG202" s="177">
        <f>AF202*AtolbperftSL2</f>
        <v>0.74634999999999996</v>
      </c>
      <c r="AH202" s="185"/>
      <c r="AI202" s="180"/>
      <c r="AJ202" s="180"/>
      <c r="AK202" s="180"/>
      <c r="AL202" s="180"/>
      <c r="AM202" s="3" t="s">
        <v>92</v>
      </c>
      <c r="AN202" s="3" t="s">
        <v>92</v>
      </c>
      <c r="AO202" s="3" t="s">
        <v>92</v>
      </c>
      <c r="AP202" s="3" t="s">
        <v>92</v>
      </c>
      <c r="AR202" s="139"/>
      <c r="AS202" s="139"/>
      <c r="AT202" s="139"/>
      <c r="AU202" s="139"/>
    </row>
    <row r="203" spans="1:47" ht="15" customHeight="1" x14ac:dyDescent="0.4">
      <c r="B203" s="36"/>
      <c r="C203" s="155"/>
      <c r="D203" s="155"/>
      <c r="E203" s="155" t="s">
        <v>439</v>
      </c>
      <c r="F203" s="155"/>
      <c r="G203" s="7"/>
      <c r="H203" s="20"/>
      <c r="I203" s="3" t="s">
        <v>392</v>
      </c>
      <c r="L203" s="3" t="s">
        <v>348</v>
      </c>
      <c r="M203" s="5">
        <v>0</v>
      </c>
      <c r="N203" s="5" t="s">
        <v>348</v>
      </c>
      <c r="O203" s="5">
        <f>0.25</f>
        <v>0.25</v>
      </c>
      <c r="P203" s="24"/>
      <c r="Q203" s="24"/>
      <c r="R203" s="3" t="s">
        <v>352</v>
      </c>
      <c r="S203" s="5">
        <f>SL2Width+M203+O203</f>
        <v>47.75</v>
      </c>
      <c r="T203" s="3" t="s">
        <v>366</v>
      </c>
      <c r="U203" s="20"/>
      <c r="V203" s="38" t="s">
        <v>369</v>
      </c>
      <c r="W203" s="3" t="s">
        <v>370</v>
      </c>
      <c r="X203" s="38" t="s">
        <v>369</v>
      </c>
      <c r="Y203" s="1443">
        <v>200151003</v>
      </c>
      <c r="Z203" s="1443"/>
      <c r="AA203" s="20"/>
      <c r="AE203" s="3"/>
      <c r="AF203" s="38"/>
      <c r="AH203" s="51">
        <f>AH194</f>
        <v>0.67030000000000001</v>
      </c>
      <c r="AL203" s="39">
        <f>AD$202*AH203+SUM(AI203:AK203)</f>
        <v>2.834810416666667</v>
      </c>
      <c r="AM203" s="3" t="s">
        <v>92</v>
      </c>
      <c r="AN203" s="3" t="s">
        <v>92</v>
      </c>
      <c r="AO203" s="3" t="s">
        <v>92</v>
      </c>
      <c r="AP203" s="3" t="s">
        <v>92</v>
      </c>
      <c r="AR203" s="139"/>
      <c r="AS203" s="139"/>
      <c r="AT203" s="139"/>
      <c r="AU203" s="139"/>
    </row>
    <row r="204" spans="1:47" ht="15" customHeight="1" x14ac:dyDescent="0.4">
      <c r="B204" s="36"/>
      <c r="C204" s="155"/>
      <c r="D204" s="155"/>
      <c r="E204" s="155"/>
      <c r="F204" s="155"/>
      <c r="G204" s="7"/>
      <c r="H204" s="20"/>
      <c r="U204" s="20"/>
      <c r="V204" s="38" t="s">
        <v>369</v>
      </c>
      <c r="W204" s="3" t="s">
        <v>372</v>
      </c>
      <c r="X204" s="38" t="s">
        <v>369</v>
      </c>
      <c r="Y204" s="1443">
        <v>200151021</v>
      </c>
      <c r="Z204" s="1443"/>
      <c r="AA204" s="20"/>
      <c r="AE204" s="3"/>
      <c r="AF204" s="38"/>
      <c r="AH204" s="51">
        <f>AH195</f>
        <v>0.72709999999999997</v>
      </c>
      <c r="AL204" s="39">
        <f t="shared" ref="AL204:AL207" si="49">AD$202*AH204+SUM(AI204:AK204)</f>
        <v>3.0750270833333335</v>
      </c>
      <c r="AM204" s="3" t="s">
        <v>92</v>
      </c>
      <c r="AN204" s="3" t="s">
        <v>92</v>
      </c>
      <c r="AO204" s="3" t="s">
        <v>92</v>
      </c>
      <c r="AP204" s="3" t="s">
        <v>92</v>
      </c>
      <c r="AR204" s="139"/>
      <c r="AS204" s="139"/>
      <c r="AT204" s="139"/>
      <c r="AU204" s="139"/>
    </row>
    <row r="205" spans="1:47" ht="15" customHeight="1" x14ac:dyDescent="0.4">
      <c r="C205" s="155"/>
      <c r="D205" s="36"/>
      <c r="E205" s="155"/>
      <c r="F205" s="155"/>
      <c r="G205" s="7"/>
      <c r="H205" s="20"/>
      <c r="U205" s="20"/>
      <c r="V205" s="38" t="s">
        <v>369</v>
      </c>
      <c r="W205" s="3" t="s">
        <v>373</v>
      </c>
      <c r="X205" s="38" t="s">
        <v>369</v>
      </c>
      <c r="Y205" s="1443">
        <v>200151033</v>
      </c>
      <c r="Z205" s="1443"/>
      <c r="AA205" s="20"/>
      <c r="AE205" s="3"/>
      <c r="AF205" s="38"/>
      <c r="AH205" s="51">
        <f>AH196</f>
        <v>0.8054</v>
      </c>
      <c r="AI205" s="39"/>
      <c r="AJ205" s="39"/>
      <c r="AK205" s="39"/>
      <c r="AL205" s="39">
        <f t="shared" si="49"/>
        <v>3.4061708333333338</v>
      </c>
      <c r="AM205" s="3" t="s">
        <v>92</v>
      </c>
      <c r="AN205" s="3" t="s">
        <v>92</v>
      </c>
      <c r="AO205" s="3" t="s">
        <v>92</v>
      </c>
      <c r="AP205" s="3" t="s">
        <v>92</v>
      </c>
      <c r="AR205" s="139"/>
      <c r="AS205" s="139"/>
      <c r="AT205" s="139"/>
      <c r="AU205" s="139"/>
    </row>
    <row r="206" spans="1:47" ht="15" customHeight="1" x14ac:dyDescent="0.4">
      <c r="C206" s="155"/>
      <c r="D206" s="36"/>
      <c r="E206" s="155"/>
      <c r="F206" s="155"/>
      <c r="G206" s="7"/>
      <c r="H206" s="20"/>
      <c r="U206" s="20"/>
      <c r="V206" s="3" t="s">
        <v>2363</v>
      </c>
      <c r="W206" s="3" t="s">
        <v>370</v>
      </c>
      <c r="X206" s="38" t="s">
        <v>369</v>
      </c>
      <c r="Y206" s="1443">
        <v>200151127</v>
      </c>
      <c r="Z206" s="1443"/>
      <c r="AA206" s="20"/>
      <c r="AE206" s="3"/>
      <c r="AF206" s="38"/>
      <c r="AH206" s="51">
        <v>0.90069999999999995</v>
      </c>
      <c r="AI206" s="39"/>
      <c r="AJ206" s="39"/>
      <c r="AK206" s="39"/>
      <c r="AL206" s="39">
        <f t="shared" si="49"/>
        <v>3.8092104166666667</v>
      </c>
      <c r="AM206" s="3" t="s">
        <v>92</v>
      </c>
      <c r="AN206" s="3" t="s">
        <v>92</v>
      </c>
      <c r="AO206" s="3" t="s">
        <v>92</v>
      </c>
      <c r="AP206" s="3" t="s">
        <v>92</v>
      </c>
      <c r="AR206" s="139"/>
      <c r="AS206" s="139"/>
      <c r="AT206" s="139"/>
      <c r="AU206" s="139"/>
    </row>
    <row r="207" spans="1:47" ht="15" customHeight="1" x14ac:dyDescent="0.4">
      <c r="C207" s="155"/>
      <c r="D207" s="36"/>
      <c r="E207" s="623"/>
      <c r="F207" s="623"/>
      <c r="G207" s="221"/>
      <c r="H207" s="624"/>
      <c r="I207" s="577"/>
      <c r="J207" s="577"/>
      <c r="K207" s="577"/>
      <c r="L207" s="577"/>
      <c r="M207" s="575"/>
      <c r="N207" s="575"/>
      <c r="O207" s="575"/>
      <c r="P207" s="575"/>
      <c r="Q207" s="575"/>
      <c r="R207" s="577"/>
      <c r="S207" s="575"/>
      <c r="T207" s="577"/>
      <c r="U207" s="624"/>
      <c r="V207" s="577" t="s">
        <v>2365</v>
      </c>
      <c r="W207" s="577" t="s">
        <v>370</v>
      </c>
      <c r="X207" s="579" t="s">
        <v>369</v>
      </c>
      <c r="Y207" s="1446">
        <v>200151180</v>
      </c>
      <c r="Z207" s="1446"/>
      <c r="AA207" s="624"/>
      <c r="AB207" s="577"/>
      <c r="AC207" s="577"/>
      <c r="AD207" s="575"/>
      <c r="AE207" s="577"/>
      <c r="AF207" s="579"/>
      <c r="AG207" s="575"/>
      <c r="AH207" s="626">
        <v>0.97099999999999997</v>
      </c>
      <c r="AI207" s="581"/>
      <c r="AJ207" s="581"/>
      <c r="AK207" s="581"/>
      <c r="AL207" s="581">
        <f t="shared" si="49"/>
        <v>4.1065208333333336</v>
      </c>
      <c r="AM207" s="577" t="s">
        <v>92</v>
      </c>
      <c r="AN207" s="577" t="s">
        <v>92</v>
      </c>
      <c r="AO207" s="577" t="s">
        <v>92</v>
      </c>
      <c r="AP207" s="577" t="s">
        <v>92</v>
      </c>
      <c r="AQ207" s="577"/>
      <c r="AR207" s="139"/>
      <c r="AS207" s="139"/>
      <c r="AT207" s="139"/>
      <c r="AU207" s="139"/>
    </row>
    <row r="208" spans="1:47" ht="15" customHeight="1" x14ac:dyDescent="0.4">
      <c r="C208" s="36"/>
      <c r="D208" s="36"/>
      <c r="E208" s="447" t="s">
        <v>1220</v>
      </c>
      <c r="F208" s="155"/>
      <c r="G208" s="7"/>
      <c r="H208" s="20"/>
      <c r="I208" s="3" t="s">
        <v>392</v>
      </c>
      <c r="L208" s="3" t="s">
        <v>348</v>
      </c>
      <c r="M208" s="5">
        <v>0</v>
      </c>
      <c r="R208" s="3" t="s">
        <v>352</v>
      </c>
      <c r="S208" s="5">
        <f>SL2Width+M208</f>
        <v>47.5</v>
      </c>
      <c r="T208" s="3" t="s">
        <v>366</v>
      </c>
      <c r="U208" s="20"/>
      <c r="V208" s="38" t="s">
        <v>369</v>
      </c>
      <c r="W208" s="3" t="s">
        <v>405</v>
      </c>
      <c r="X208" s="38" t="s">
        <v>369</v>
      </c>
      <c r="Y208" s="1443">
        <v>600042010</v>
      </c>
      <c r="Z208" s="1443"/>
      <c r="AA208" s="20"/>
      <c r="AB208" s="3">
        <v>45</v>
      </c>
      <c r="AC208" s="3">
        <v>1</v>
      </c>
      <c r="AD208" s="5">
        <f>S208*AC208/12</f>
        <v>3.9583333333333335</v>
      </c>
      <c r="AE208" s="3" t="s">
        <v>367</v>
      </c>
      <c r="AF208" s="38" t="s">
        <v>369</v>
      </c>
      <c r="AG208" s="38" t="s">
        <v>369</v>
      </c>
      <c r="AH208" s="51">
        <f>AH199</f>
        <v>1.9E-2</v>
      </c>
      <c r="AI208" s="39"/>
      <c r="AJ208" s="39"/>
      <c r="AK208" s="39"/>
      <c r="AL208" s="39">
        <f>AD$27*AH208+SUM(AI208:AK208)</f>
        <v>7.5208333333333335E-2</v>
      </c>
      <c r="AM208" s="3" t="s">
        <v>92</v>
      </c>
      <c r="AN208" s="3" t="s">
        <v>92</v>
      </c>
      <c r="AO208" s="3" t="s">
        <v>92</v>
      </c>
      <c r="AP208" s="3" t="s">
        <v>92</v>
      </c>
      <c r="AR208" s="140"/>
      <c r="AS208" s="139"/>
      <c r="AT208" s="139"/>
      <c r="AU208" s="139"/>
    </row>
    <row r="209" spans="1:47" ht="15" customHeight="1" x14ac:dyDescent="0.4">
      <c r="C209" s="36"/>
      <c r="D209" s="36"/>
      <c r="E209" s="447" t="s">
        <v>1221</v>
      </c>
      <c r="F209" s="155"/>
      <c r="G209" s="7"/>
      <c r="H209" s="20"/>
      <c r="I209" s="3" t="s">
        <v>392</v>
      </c>
      <c r="L209" s="3" t="s">
        <v>348</v>
      </c>
      <c r="M209" s="5">
        <v>0</v>
      </c>
      <c r="R209" s="3" t="s">
        <v>352</v>
      </c>
      <c r="S209" s="5">
        <f>SL2Width+M209</f>
        <v>47.5</v>
      </c>
      <c r="T209" s="3" t="s">
        <v>366</v>
      </c>
      <c r="U209" s="20"/>
      <c r="V209" s="38" t="s">
        <v>369</v>
      </c>
      <c r="W209" s="3" t="s">
        <v>405</v>
      </c>
      <c r="X209" s="38" t="s">
        <v>369</v>
      </c>
      <c r="Y209" s="1443">
        <v>600050010</v>
      </c>
      <c r="Z209" s="1443"/>
      <c r="AA209" s="20"/>
      <c r="AB209" s="3">
        <v>45</v>
      </c>
      <c r="AE209" s="3"/>
      <c r="AF209" s="38"/>
      <c r="AG209" s="38"/>
      <c r="AH209" s="844">
        <f>AH200</f>
        <v>0</v>
      </c>
      <c r="AI209" s="39"/>
      <c r="AJ209" s="39"/>
      <c r="AK209" s="39"/>
      <c r="AM209" s="3" t="s">
        <v>92</v>
      </c>
      <c r="AN209" s="3" t="s">
        <v>92</v>
      </c>
      <c r="AO209" s="3" t="s">
        <v>92</v>
      </c>
      <c r="AP209" s="3" t="s">
        <v>92</v>
      </c>
      <c r="AR209" s="140"/>
      <c r="AS209" s="139"/>
      <c r="AT209" s="139"/>
      <c r="AU209" s="139"/>
    </row>
    <row r="210" spans="1:47" ht="15" customHeight="1" thickBot="1" x14ac:dyDescent="0.25">
      <c r="C210" s="1849"/>
      <c r="D210" s="1849"/>
      <c r="E210" s="1850" t="s">
        <v>2353</v>
      </c>
      <c r="F210" s="1851"/>
      <c r="G210" s="1852"/>
      <c r="H210" s="1853"/>
      <c r="I210" s="1854" t="s">
        <v>392</v>
      </c>
      <c r="J210" s="1854"/>
      <c r="K210" s="1854"/>
      <c r="L210" s="1854"/>
      <c r="M210" s="1855"/>
      <c r="N210" s="1855"/>
      <c r="O210" s="1855"/>
      <c r="P210" s="1855"/>
      <c r="Q210" s="1855"/>
      <c r="R210" s="1854" t="s">
        <v>352</v>
      </c>
      <c r="S210" s="1855">
        <f>SL2Width</f>
        <v>47.5</v>
      </c>
      <c r="T210" s="1854" t="s">
        <v>366</v>
      </c>
      <c r="U210" s="1853"/>
      <c r="V210" s="1856" t="s">
        <v>369</v>
      </c>
      <c r="W210" s="1854" t="s">
        <v>370</v>
      </c>
      <c r="X210" s="1856" t="s">
        <v>369</v>
      </c>
      <c r="Y210" s="1863">
        <v>120074014938</v>
      </c>
      <c r="Z210" s="1858"/>
      <c r="AA210" s="1853"/>
      <c r="AB210" s="1854"/>
      <c r="AC210" s="1854">
        <v>1</v>
      </c>
      <c r="AD210" s="1855">
        <f>AC210*S210/12</f>
        <v>3.9583333333333335</v>
      </c>
      <c r="AE210" s="1854" t="s">
        <v>367</v>
      </c>
      <c r="AF210" s="1856" t="s">
        <v>369</v>
      </c>
      <c r="AG210" s="1856" t="s">
        <v>369</v>
      </c>
      <c r="AH210" s="1859">
        <f>0.00877</f>
        <v>8.77E-3</v>
      </c>
      <c r="AI210" s="1860"/>
      <c r="AJ210" s="1860"/>
      <c r="AK210" s="1860"/>
      <c r="AL210" s="1860">
        <f>AH210*AD210</f>
        <v>3.4714583333333333E-2</v>
      </c>
      <c r="AM210" s="1854" t="s">
        <v>92</v>
      </c>
      <c r="AN210" s="1854" t="s">
        <v>92</v>
      </c>
      <c r="AO210" s="1854" t="s">
        <v>81</v>
      </c>
      <c r="AP210" s="1854" t="s">
        <v>92</v>
      </c>
      <c r="AQ210" s="1854"/>
      <c r="AR210" s="140"/>
      <c r="AS210" s="139"/>
      <c r="AT210" s="139"/>
      <c r="AU210" s="139"/>
    </row>
    <row r="211" spans="1:47" ht="15" customHeight="1" x14ac:dyDescent="0.4">
      <c r="C211" s="173" t="s">
        <v>397</v>
      </c>
      <c r="D211" s="181"/>
      <c r="E211" s="182"/>
      <c r="G211" s="430" t="s">
        <v>383</v>
      </c>
      <c r="H211" s="175"/>
      <c r="I211" s="116" t="s">
        <v>392</v>
      </c>
      <c r="J211" s="116"/>
      <c r="K211" s="116"/>
      <c r="L211" s="116" t="s">
        <v>348</v>
      </c>
      <c r="M211" s="177">
        <v>3</v>
      </c>
      <c r="N211" s="177" t="s">
        <v>348</v>
      </c>
      <c r="O211" s="177">
        <f>0.25</f>
        <v>0.25</v>
      </c>
      <c r="P211" s="178"/>
      <c r="Q211" s="178"/>
      <c r="R211" s="116" t="s">
        <v>352</v>
      </c>
      <c r="S211" s="177">
        <f>SL2Width+M211+O211</f>
        <v>50.75</v>
      </c>
      <c r="T211" s="116" t="s">
        <v>366</v>
      </c>
      <c r="U211" s="175"/>
      <c r="V211" s="179"/>
      <c r="W211" s="116"/>
      <c r="X211" s="179"/>
      <c r="Y211" s="1449"/>
      <c r="Z211" s="1449"/>
      <c r="AA211" s="175"/>
      <c r="AB211" s="116">
        <v>45</v>
      </c>
      <c r="AC211" s="116">
        <v>1</v>
      </c>
      <c r="AD211" s="177">
        <f>AC211*S211/12</f>
        <v>4.229166666666667</v>
      </c>
      <c r="AE211" s="116" t="s">
        <v>367</v>
      </c>
      <c r="AF211" s="116">
        <f>AF186</f>
        <v>0.08</v>
      </c>
      <c r="AG211" s="177">
        <f>AF211*AtolbperftSL2</f>
        <v>5.0599999999999999E-2</v>
      </c>
      <c r="AH211" s="185"/>
      <c r="AI211" s="185"/>
      <c r="AJ211" s="185"/>
      <c r="AK211" s="185"/>
      <c r="AL211" s="180"/>
      <c r="AM211" s="3" t="s">
        <v>92</v>
      </c>
      <c r="AN211" s="3" t="s">
        <v>92</v>
      </c>
      <c r="AO211" s="3" t="s">
        <v>92</v>
      </c>
      <c r="AP211" s="3" t="s">
        <v>92</v>
      </c>
      <c r="AR211" s="139"/>
      <c r="AS211" s="139"/>
      <c r="AT211" s="139"/>
      <c r="AU211" s="139"/>
    </row>
    <row r="212" spans="1:47" ht="15" customHeight="1" x14ac:dyDescent="0.4">
      <c r="B212" s="36"/>
      <c r="C212" s="36"/>
      <c r="D212" s="155"/>
      <c r="E212" s="155"/>
      <c r="F212" s="155"/>
      <c r="G212" s="7"/>
      <c r="H212" s="20"/>
      <c r="P212" s="24"/>
      <c r="Q212" s="24"/>
      <c r="U212" s="20"/>
      <c r="V212" s="38" t="s">
        <v>369</v>
      </c>
      <c r="W212" s="3" t="s">
        <v>370</v>
      </c>
      <c r="X212" s="38" t="s">
        <v>369</v>
      </c>
      <c r="Y212" s="1443">
        <v>200114003</v>
      </c>
      <c r="Z212" s="1443"/>
      <c r="AA212" s="20"/>
      <c r="AE212" s="3"/>
      <c r="AF212" s="38"/>
      <c r="AH212" s="51">
        <f>AH187</f>
        <v>9.3600000000000003E-2</v>
      </c>
      <c r="AL212" s="39">
        <f>AD$211*AH212+SUM(AI212:AK212)</f>
        <v>0.39585000000000004</v>
      </c>
      <c r="AM212" s="3" t="s">
        <v>92</v>
      </c>
      <c r="AN212" s="3" t="s">
        <v>92</v>
      </c>
      <c r="AO212" s="3" t="s">
        <v>92</v>
      </c>
      <c r="AP212" s="3" t="s">
        <v>92</v>
      </c>
      <c r="AR212" s="139"/>
      <c r="AS212" s="139"/>
      <c r="AT212" s="139"/>
      <c r="AU212" s="139"/>
    </row>
    <row r="213" spans="1:47" ht="15" customHeight="1" x14ac:dyDescent="0.4">
      <c r="B213" s="36"/>
      <c r="C213" s="36"/>
      <c r="D213" s="155"/>
      <c r="E213" s="155"/>
      <c r="F213" s="155"/>
      <c r="G213" s="7"/>
      <c r="H213" s="20"/>
      <c r="P213" s="24"/>
      <c r="Q213" s="24"/>
      <c r="U213" s="20"/>
      <c r="V213" s="38" t="s">
        <v>369</v>
      </c>
      <c r="W213" s="3" t="s">
        <v>372</v>
      </c>
      <c r="X213" s="38" t="s">
        <v>369</v>
      </c>
      <c r="Y213" s="1443">
        <v>200114021</v>
      </c>
      <c r="Z213" s="1443"/>
      <c r="AA213" s="20"/>
      <c r="AE213" s="3"/>
      <c r="AF213" s="3"/>
      <c r="AH213" s="51">
        <f>AH188</f>
        <v>0.10050000000000001</v>
      </c>
      <c r="AI213" s="39"/>
      <c r="AJ213" s="39"/>
      <c r="AK213" s="39"/>
      <c r="AL213" s="39">
        <f t="shared" ref="AL213:AL216" si="50">AD$211*AH213+SUM(AI213:AK213)</f>
        <v>0.42503125000000008</v>
      </c>
      <c r="AM213" s="3" t="s">
        <v>92</v>
      </c>
      <c r="AN213" s="3" t="s">
        <v>92</v>
      </c>
      <c r="AO213" s="3" t="s">
        <v>92</v>
      </c>
      <c r="AP213" s="3" t="s">
        <v>92</v>
      </c>
      <c r="AR213" s="139"/>
      <c r="AS213" s="139"/>
      <c r="AT213" s="139"/>
      <c r="AU213" s="139"/>
    </row>
    <row r="214" spans="1:47" ht="15" customHeight="1" x14ac:dyDescent="0.4">
      <c r="B214" s="36"/>
      <c r="C214" s="36"/>
      <c r="D214" s="155"/>
      <c r="E214" s="155"/>
      <c r="F214" s="155"/>
      <c r="G214" s="7"/>
      <c r="H214" s="20"/>
      <c r="P214" s="24"/>
      <c r="Q214" s="24"/>
      <c r="U214" s="20"/>
      <c r="V214" s="38" t="s">
        <v>369</v>
      </c>
      <c r="W214" s="3" t="s">
        <v>373</v>
      </c>
      <c r="X214" s="38" t="s">
        <v>369</v>
      </c>
      <c r="Y214" s="1443">
        <v>200114033</v>
      </c>
      <c r="Z214" s="1443"/>
      <c r="AA214" s="20"/>
      <c r="AE214" s="3"/>
      <c r="AF214" s="3"/>
      <c r="AH214" s="51">
        <f>AH189</f>
        <v>0.1021</v>
      </c>
      <c r="AI214" s="39"/>
      <c r="AJ214" s="39"/>
      <c r="AK214" s="39"/>
      <c r="AL214" s="39">
        <f t="shared" si="50"/>
        <v>0.43179791666666667</v>
      </c>
      <c r="AM214" s="3" t="s">
        <v>92</v>
      </c>
      <c r="AN214" s="3" t="s">
        <v>92</v>
      </c>
      <c r="AO214" s="3" t="s">
        <v>92</v>
      </c>
      <c r="AP214" s="3" t="s">
        <v>92</v>
      </c>
      <c r="AR214" s="139"/>
      <c r="AS214" s="139"/>
      <c r="AT214" s="139"/>
      <c r="AU214" s="139"/>
    </row>
    <row r="215" spans="1:47" ht="15" customHeight="1" x14ac:dyDescent="0.4">
      <c r="B215" s="36"/>
      <c r="C215" s="36"/>
      <c r="D215" s="155"/>
      <c r="E215" s="155"/>
      <c r="F215" s="155"/>
      <c r="G215" s="7"/>
      <c r="H215" s="20"/>
      <c r="P215" s="24"/>
      <c r="Q215" s="24"/>
      <c r="U215" s="20"/>
      <c r="V215" s="38" t="s">
        <v>369</v>
      </c>
      <c r="W215" s="3" t="s">
        <v>374</v>
      </c>
      <c r="X215" s="38" t="s">
        <v>369</v>
      </c>
      <c r="Y215" s="1443">
        <v>200114090</v>
      </c>
      <c r="Z215" s="1443"/>
      <c r="AA215" s="20"/>
      <c r="AE215" s="3"/>
      <c r="AF215" s="3"/>
      <c r="AH215" s="51">
        <v>0.26579999999999998</v>
      </c>
      <c r="AI215" s="39"/>
      <c r="AJ215" s="39"/>
      <c r="AK215" s="39"/>
      <c r="AL215" s="39">
        <f t="shared" si="50"/>
        <v>1.1241125000000001</v>
      </c>
      <c r="AM215" s="3" t="s">
        <v>92</v>
      </c>
      <c r="AN215" s="3" t="s">
        <v>92</v>
      </c>
      <c r="AO215" s="3" t="s">
        <v>92</v>
      </c>
      <c r="AP215" s="3" t="s">
        <v>92</v>
      </c>
      <c r="AR215" s="139"/>
      <c r="AS215" s="139"/>
      <c r="AT215" s="139"/>
      <c r="AU215" s="139"/>
    </row>
    <row r="216" spans="1:47" ht="15" customHeight="1" thickBot="1" x14ac:dyDescent="0.45">
      <c r="B216" s="943"/>
      <c r="C216" s="943"/>
      <c r="D216" s="925"/>
      <c r="E216" s="925"/>
      <c r="F216" s="925"/>
      <c r="G216" s="924"/>
      <c r="H216" s="887"/>
      <c r="I216" s="889"/>
      <c r="J216" s="889"/>
      <c r="K216" s="889"/>
      <c r="L216" s="889"/>
      <c r="M216" s="945"/>
      <c r="N216" s="945"/>
      <c r="O216" s="945"/>
      <c r="P216" s="1020"/>
      <c r="Q216" s="1020"/>
      <c r="R216" s="889"/>
      <c r="S216" s="945"/>
      <c r="T216" s="889"/>
      <c r="U216" s="887"/>
      <c r="V216" s="888" t="s">
        <v>369</v>
      </c>
      <c r="W216" s="889" t="s">
        <v>375</v>
      </c>
      <c r="X216" s="888" t="s">
        <v>369</v>
      </c>
      <c r="Y216" s="1444">
        <v>200114133</v>
      </c>
      <c r="Z216" s="1444"/>
      <c r="AA216" s="887"/>
      <c r="AB216" s="889"/>
      <c r="AC216" s="889"/>
      <c r="AD216" s="945"/>
      <c r="AE216" s="889"/>
      <c r="AF216" s="889"/>
      <c r="AG216" s="945"/>
      <c r="AH216" s="937">
        <v>0.28470000000000001</v>
      </c>
      <c r="AI216" s="947"/>
      <c r="AJ216" s="947"/>
      <c r="AK216" s="947"/>
      <c r="AL216" s="947">
        <f t="shared" si="50"/>
        <v>1.2040437500000001</v>
      </c>
      <c r="AM216" s="889" t="s">
        <v>92</v>
      </c>
      <c r="AN216" s="889" t="s">
        <v>92</v>
      </c>
      <c r="AO216" s="889" t="s">
        <v>92</v>
      </c>
      <c r="AP216" s="889" t="s">
        <v>92</v>
      </c>
      <c r="AQ216" s="889"/>
      <c r="AR216" s="139"/>
      <c r="AS216" s="139"/>
      <c r="AT216" s="139"/>
      <c r="AU216" s="139"/>
    </row>
    <row r="217" spans="1:47" ht="15" customHeight="1" thickBot="1" x14ac:dyDescent="0.45">
      <c r="B217" s="7" t="s">
        <v>442</v>
      </c>
      <c r="C217" s="7"/>
      <c r="D217" s="3"/>
      <c r="E217" s="3"/>
      <c r="F217" s="47"/>
      <c r="G217" s="7"/>
      <c r="H217" s="20"/>
      <c r="M217" s="3"/>
      <c r="U217" s="20"/>
      <c r="V217" s="7"/>
      <c r="W217" s="7"/>
      <c r="X217" s="7"/>
      <c r="Y217" s="1443"/>
      <c r="Z217" s="1443"/>
      <c r="AA217" s="20"/>
      <c r="AE217" s="3"/>
      <c r="AF217" s="38"/>
      <c r="AI217" s="947"/>
      <c r="AJ217" s="947"/>
      <c r="AK217" s="947"/>
      <c r="AM217" s="947" t="s">
        <v>92</v>
      </c>
      <c r="AN217" s="947" t="s">
        <v>92</v>
      </c>
      <c r="AO217" s="947" t="s">
        <v>92</v>
      </c>
      <c r="AP217" s="947" t="s">
        <v>92</v>
      </c>
      <c r="AQ217" s="947"/>
      <c r="AR217" s="139"/>
      <c r="AS217" s="139"/>
      <c r="AT217" s="139"/>
      <c r="AU217" s="139"/>
    </row>
    <row r="218" spans="1:47" ht="15" customHeight="1" x14ac:dyDescent="0.4">
      <c r="A218" s="3" t="s">
        <v>402</v>
      </c>
      <c r="B218" s="173"/>
      <c r="C218" s="173" t="s">
        <v>443</v>
      </c>
      <c r="D218" s="182"/>
      <c r="E218" s="182"/>
      <c r="F218" s="182" t="s">
        <v>438</v>
      </c>
      <c r="G218" s="173"/>
      <c r="H218" s="175"/>
      <c r="I218" s="116" t="s">
        <v>392</v>
      </c>
      <c r="J218" s="116"/>
      <c r="K218" s="116"/>
      <c r="L218" s="116" t="s">
        <v>348</v>
      </c>
      <c r="M218" s="177">
        <v>3</v>
      </c>
      <c r="N218" s="177" t="s">
        <v>348</v>
      </c>
      <c r="O218" s="177">
        <f>0.25</f>
        <v>0.25</v>
      </c>
      <c r="P218" s="177"/>
      <c r="Q218" s="177"/>
      <c r="R218" s="116" t="s">
        <v>352</v>
      </c>
      <c r="S218" s="177">
        <f>SL2Width+M218+O218</f>
        <v>50.75</v>
      </c>
      <c r="T218" s="116" t="s">
        <v>366</v>
      </c>
      <c r="U218" s="175"/>
      <c r="V218" s="179"/>
      <c r="W218" s="116"/>
      <c r="X218" s="179"/>
      <c r="Y218" s="1449"/>
      <c r="Z218" s="1449"/>
      <c r="AA218" s="175"/>
      <c r="AB218" s="116">
        <v>45</v>
      </c>
      <c r="AC218" s="116">
        <v>1</v>
      </c>
      <c r="AD218" s="177">
        <f>AC218*S218/12</f>
        <v>4.229166666666667</v>
      </c>
      <c r="AE218" s="116" t="s">
        <v>367</v>
      </c>
      <c r="AF218" s="179">
        <f>AF193</f>
        <v>1.238</v>
      </c>
      <c r="AG218" s="177">
        <f>AF218*AtolbperftSL2</f>
        <v>0.78303499999999993</v>
      </c>
      <c r="AH218" s="185"/>
      <c r="AI218" s="39"/>
      <c r="AJ218" s="39"/>
      <c r="AK218" s="39"/>
      <c r="AL218" s="180"/>
      <c r="AM218" s="3" t="s">
        <v>92</v>
      </c>
      <c r="AN218" s="3" t="s">
        <v>92</v>
      </c>
      <c r="AO218" s="3" t="s">
        <v>92</v>
      </c>
      <c r="AP218" s="3" t="s">
        <v>92</v>
      </c>
      <c r="AR218" s="139"/>
      <c r="AS218" s="139"/>
      <c r="AT218" s="139"/>
      <c r="AU218" s="139"/>
    </row>
    <row r="219" spans="1:47" ht="15" customHeight="1" x14ac:dyDescent="0.4">
      <c r="B219" s="36"/>
      <c r="C219" s="7"/>
      <c r="D219" s="155"/>
      <c r="E219" s="155" t="s">
        <v>439</v>
      </c>
      <c r="F219" s="155"/>
      <c r="G219" s="7"/>
      <c r="H219" s="20"/>
      <c r="I219" s="3" t="s">
        <v>392</v>
      </c>
      <c r="L219" s="3" t="s">
        <v>348</v>
      </c>
      <c r="M219" s="5">
        <v>0</v>
      </c>
      <c r="N219" s="5" t="s">
        <v>348</v>
      </c>
      <c r="O219" s="5">
        <f>0.25</f>
        <v>0.25</v>
      </c>
      <c r="P219" s="24"/>
      <c r="Q219" s="24"/>
      <c r="R219" s="3" t="s">
        <v>352</v>
      </c>
      <c r="S219" s="5">
        <f>SL2Width+M219+O219</f>
        <v>47.75</v>
      </c>
      <c r="T219" s="3" t="s">
        <v>366</v>
      </c>
      <c r="U219" s="20"/>
      <c r="V219" s="38" t="s">
        <v>369</v>
      </c>
      <c r="W219" s="3" t="s">
        <v>370</v>
      </c>
      <c r="X219" s="38" t="s">
        <v>369</v>
      </c>
      <c r="Y219" s="1443">
        <v>200152003</v>
      </c>
      <c r="Z219" s="1443"/>
      <c r="AA219" s="20"/>
      <c r="AE219" s="3"/>
      <c r="AF219" s="38"/>
      <c r="AH219" s="51">
        <f>AH194</f>
        <v>0.67030000000000001</v>
      </c>
      <c r="AI219" s="39"/>
      <c r="AJ219" s="39"/>
      <c r="AK219" s="39"/>
      <c r="AL219" s="39">
        <f>AD$218*AH219+SUM(AI219:AK219)</f>
        <v>2.834810416666667</v>
      </c>
      <c r="AM219" s="3" t="s">
        <v>92</v>
      </c>
      <c r="AN219" s="3" t="s">
        <v>92</v>
      </c>
      <c r="AO219" s="3" t="s">
        <v>92</v>
      </c>
      <c r="AP219" s="3" t="s">
        <v>92</v>
      </c>
      <c r="AR219" s="444"/>
      <c r="AS219" s="139"/>
      <c r="AT219" s="139"/>
      <c r="AU219" s="139"/>
    </row>
    <row r="220" spans="1:47" ht="15" customHeight="1" x14ac:dyDescent="0.4">
      <c r="B220" s="36"/>
      <c r="C220" s="7"/>
      <c r="D220" s="155"/>
      <c r="E220" s="155"/>
      <c r="F220" s="155"/>
      <c r="G220" s="7"/>
      <c r="H220" s="20"/>
      <c r="T220" s="3" t="s">
        <v>366</v>
      </c>
      <c r="U220" s="20"/>
      <c r="V220" s="38" t="s">
        <v>369</v>
      </c>
      <c r="W220" s="3" t="s">
        <v>372</v>
      </c>
      <c r="X220" s="38" t="s">
        <v>369</v>
      </c>
      <c r="Y220" s="1443">
        <v>200152021</v>
      </c>
      <c r="Z220" s="1443"/>
      <c r="AA220" s="20"/>
      <c r="AE220" s="3"/>
      <c r="AF220" s="38"/>
      <c r="AH220" s="51">
        <f>AH195</f>
        <v>0.72709999999999997</v>
      </c>
      <c r="AI220" s="39"/>
      <c r="AJ220" s="39"/>
      <c r="AK220" s="39"/>
      <c r="AL220" s="39">
        <f t="shared" ref="AL220:AL223" si="51">AD$218*AH220+SUM(AI220:AK220)</f>
        <v>3.0750270833333335</v>
      </c>
      <c r="AM220" s="3" t="s">
        <v>92</v>
      </c>
      <c r="AN220" s="3" t="s">
        <v>92</v>
      </c>
      <c r="AO220" s="3" t="s">
        <v>92</v>
      </c>
      <c r="AP220" s="3" t="s">
        <v>92</v>
      </c>
      <c r="AR220" s="444"/>
      <c r="AS220" s="139"/>
      <c r="AT220" s="139"/>
      <c r="AU220" s="139"/>
    </row>
    <row r="221" spans="1:47" ht="15" customHeight="1" x14ac:dyDescent="0.4">
      <c r="B221" s="36"/>
      <c r="C221" s="7"/>
      <c r="D221" s="155"/>
      <c r="E221" s="155"/>
      <c r="F221" s="155"/>
      <c r="G221" s="7"/>
      <c r="H221" s="20"/>
      <c r="T221" s="3" t="s">
        <v>366</v>
      </c>
      <c r="U221" s="20"/>
      <c r="V221" s="38" t="s">
        <v>369</v>
      </c>
      <c r="W221" s="3" t="s">
        <v>373</v>
      </c>
      <c r="X221" s="38" t="s">
        <v>369</v>
      </c>
      <c r="Y221" s="1443">
        <v>200152033</v>
      </c>
      <c r="Z221" s="1443"/>
      <c r="AA221" s="20"/>
      <c r="AE221" s="3"/>
      <c r="AF221" s="38"/>
      <c r="AH221" s="51">
        <f>AH196</f>
        <v>0.8054</v>
      </c>
      <c r="AL221" s="39">
        <f t="shared" si="51"/>
        <v>3.4061708333333338</v>
      </c>
      <c r="AM221" s="3" t="s">
        <v>92</v>
      </c>
      <c r="AN221" s="3" t="s">
        <v>92</v>
      </c>
      <c r="AO221" s="3" t="s">
        <v>92</v>
      </c>
      <c r="AP221" s="3" t="s">
        <v>92</v>
      </c>
      <c r="AR221" s="446"/>
      <c r="AS221" s="139"/>
      <c r="AT221" s="139"/>
      <c r="AU221" s="139"/>
    </row>
    <row r="222" spans="1:47" ht="15" customHeight="1" x14ac:dyDescent="0.4">
      <c r="B222" s="36"/>
      <c r="C222" s="7"/>
      <c r="D222" s="155"/>
      <c r="E222" s="155"/>
      <c r="F222" s="155"/>
      <c r="G222" s="7"/>
      <c r="H222" s="20"/>
      <c r="U222" s="20"/>
      <c r="V222" s="38" t="s">
        <v>2363</v>
      </c>
      <c r="W222" s="3" t="s">
        <v>370</v>
      </c>
      <c r="X222" s="38" t="s">
        <v>369</v>
      </c>
      <c r="Y222" s="1443">
        <v>200152127</v>
      </c>
      <c r="Z222" s="1443"/>
      <c r="AA222" s="20"/>
      <c r="AE222" s="3"/>
      <c r="AF222" s="38"/>
      <c r="AH222" s="51">
        <v>0.88829999999999998</v>
      </c>
      <c r="AL222" s="39">
        <f t="shared" si="51"/>
        <v>3.75676875</v>
      </c>
      <c r="AM222" s="3" t="s">
        <v>92</v>
      </c>
      <c r="AN222" s="3" t="s">
        <v>92</v>
      </c>
      <c r="AO222" s="3" t="s">
        <v>92</v>
      </c>
      <c r="AP222" s="3" t="s">
        <v>92</v>
      </c>
      <c r="AR222" s="446"/>
      <c r="AS222" s="139"/>
      <c r="AT222" s="139"/>
      <c r="AU222" s="139"/>
    </row>
    <row r="223" spans="1:47" ht="15" customHeight="1" x14ac:dyDescent="0.4">
      <c r="B223" s="36"/>
      <c r="C223" s="7"/>
      <c r="D223" s="155"/>
      <c r="E223" s="623"/>
      <c r="F223" s="623"/>
      <c r="G223" s="221"/>
      <c r="H223" s="624"/>
      <c r="I223" s="577"/>
      <c r="J223" s="577"/>
      <c r="K223" s="577"/>
      <c r="L223" s="577"/>
      <c r="M223" s="575"/>
      <c r="N223" s="575"/>
      <c r="O223" s="575"/>
      <c r="P223" s="575"/>
      <c r="Q223" s="575"/>
      <c r="R223" s="577"/>
      <c r="S223" s="575"/>
      <c r="T223" s="577"/>
      <c r="U223" s="624"/>
      <c r="V223" s="579" t="s">
        <v>2365</v>
      </c>
      <c r="W223" s="577" t="s">
        <v>370</v>
      </c>
      <c r="X223" s="579" t="s">
        <v>369</v>
      </c>
      <c r="Y223" s="1446">
        <v>200152180</v>
      </c>
      <c r="Z223" s="1446"/>
      <c r="AA223" s="624"/>
      <c r="AB223" s="577"/>
      <c r="AC223" s="577"/>
      <c r="AD223" s="575"/>
      <c r="AE223" s="577"/>
      <c r="AF223" s="579"/>
      <c r="AG223" s="575"/>
      <c r="AH223" s="626">
        <v>0.95860000000000001</v>
      </c>
      <c r="AI223" s="626"/>
      <c r="AJ223" s="626"/>
      <c r="AK223" s="626"/>
      <c r="AL223" s="581">
        <f t="shared" si="51"/>
        <v>4.0540791666666669</v>
      </c>
      <c r="AM223" s="577" t="s">
        <v>92</v>
      </c>
      <c r="AN223" s="577" t="s">
        <v>92</v>
      </c>
      <c r="AO223" s="577" t="s">
        <v>92</v>
      </c>
      <c r="AP223" s="577" t="s">
        <v>92</v>
      </c>
      <c r="AQ223" s="577"/>
      <c r="AR223" s="446"/>
      <c r="AS223" s="139"/>
      <c r="AT223" s="139"/>
      <c r="AU223" s="139"/>
    </row>
    <row r="224" spans="1:47" ht="15" customHeight="1" x14ac:dyDescent="0.4">
      <c r="B224" s="36"/>
      <c r="C224" s="36"/>
      <c r="D224" s="155"/>
      <c r="E224" s="447" t="s">
        <v>1220</v>
      </c>
      <c r="F224" s="155"/>
      <c r="G224" s="7"/>
      <c r="H224" s="20"/>
      <c r="I224" s="3" t="s">
        <v>392</v>
      </c>
      <c r="L224" s="3" t="s">
        <v>348</v>
      </c>
      <c r="M224" s="5">
        <v>0</v>
      </c>
      <c r="R224" s="3" t="s">
        <v>352</v>
      </c>
      <c r="S224" s="5">
        <f>SL2Width+M224</f>
        <v>47.5</v>
      </c>
      <c r="T224" s="3" t="s">
        <v>366</v>
      </c>
      <c r="U224" s="20"/>
      <c r="V224" s="38" t="s">
        <v>369</v>
      </c>
      <c r="W224" s="3" t="s">
        <v>405</v>
      </c>
      <c r="X224" s="38" t="s">
        <v>369</v>
      </c>
      <c r="Y224" s="1443">
        <v>600042010</v>
      </c>
      <c r="Z224" s="1443"/>
      <c r="AA224" s="20"/>
      <c r="AB224" s="3">
        <v>45</v>
      </c>
      <c r="AC224" s="3">
        <v>1</v>
      </c>
      <c r="AD224" s="5">
        <f>S224*AC224/12</f>
        <v>3.9583333333333335</v>
      </c>
      <c r="AE224" s="3" t="s">
        <v>367</v>
      </c>
      <c r="AF224" s="38" t="s">
        <v>369</v>
      </c>
      <c r="AG224" s="38" t="s">
        <v>369</v>
      </c>
      <c r="AH224" s="51">
        <f>AH199</f>
        <v>1.9E-2</v>
      </c>
      <c r="AI224" s="39"/>
      <c r="AJ224" s="39"/>
      <c r="AK224" s="39"/>
      <c r="AL224" s="39">
        <f>AD$27*AH224+SUM(AI224:AK224)</f>
        <v>7.5208333333333335E-2</v>
      </c>
      <c r="AM224" s="3" t="s">
        <v>92</v>
      </c>
      <c r="AN224" s="3" t="s">
        <v>92</v>
      </c>
      <c r="AO224" s="3" t="s">
        <v>92</v>
      </c>
      <c r="AP224" s="3" t="s">
        <v>92</v>
      </c>
      <c r="AR224" s="140"/>
      <c r="AS224" s="139"/>
      <c r="AT224" s="139"/>
      <c r="AU224" s="139"/>
    </row>
    <row r="225" spans="2:47" ht="15" customHeight="1" x14ac:dyDescent="0.4">
      <c r="B225" s="3"/>
      <c r="C225" s="36"/>
      <c r="D225" s="155"/>
      <c r="E225" s="447" t="s">
        <v>1221</v>
      </c>
      <c r="F225" s="155"/>
      <c r="G225" s="7"/>
      <c r="H225" s="20"/>
      <c r="I225" s="3" t="s">
        <v>392</v>
      </c>
      <c r="L225" s="3" t="s">
        <v>348</v>
      </c>
      <c r="M225" s="5">
        <v>0</v>
      </c>
      <c r="R225" s="3" t="s">
        <v>352</v>
      </c>
      <c r="S225" s="5">
        <f>SL2Width+M225</f>
        <v>47.5</v>
      </c>
      <c r="T225" s="3" t="s">
        <v>366</v>
      </c>
      <c r="U225" s="20"/>
      <c r="V225" s="38" t="s">
        <v>369</v>
      </c>
      <c r="W225" s="3" t="s">
        <v>405</v>
      </c>
      <c r="X225" s="38" t="s">
        <v>369</v>
      </c>
      <c r="Y225" s="1443">
        <v>600050010</v>
      </c>
      <c r="Z225" s="1443"/>
      <c r="AA225" s="20"/>
      <c r="AB225" s="3">
        <v>45</v>
      </c>
      <c r="AE225" s="3"/>
      <c r="AF225" s="38"/>
      <c r="AG225" s="38"/>
      <c r="AH225" s="844">
        <f>AH200</f>
        <v>0</v>
      </c>
      <c r="AI225" s="39"/>
      <c r="AJ225" s="39"/>
      <c r="AK225" s="39"/>
      <c r="AM225" s="3" t="s">
        <v>92</v>
      </c>
      <c r="AN225" s="3" t="s">
        <v>92</v>
      </c>
      <c r="AO225" s="3" t="s">
        <v>92</v>
      </c>
      <c r="AP225" s="3" t="s">
        <v>92</v>
      </c>
      <c r="AR225" s="140"/>
      <c r="AS225" s="139"/>
      <c r="AT225" s="139"/>
      <c r="AU225" s="139"/>
    </row>
    <row r="226" spans="2:47" ht="15" customHeight="1" thickBot="1" x14ac:dyDescent="0.25">
      <c r="C226" s="1849"/>
      <c r="D226" s="1849"/>
      <c r="E226" s="1850" t="s">
        <v>2353</v>
      </c>
      <c r="F226" s="1851"/>
      <c r="G226" s="1852"/>
      <c r="H226" s="1853"/>
      <c r="I226" s="1854" t="s">
        <v>392</v>
      </c>
      <c r="J226" s="1854"/>
      <c r="K226" s="1854"/>
      <c r="L226" s="1854"/>
      <c r="M226" s="1855"/>
      <c r="N226" s="1855"/>
      <c r="O226" s="1855"/>
      <c r="P226" s="1855"/>
      <c r="Q226" s="1855"/>
      <c r="R226" s="1854" t="s">
        <v>352</v>
      </c>
      <c r="S226" s="1855">
        <f>SL2Width</f>
        <v>47.5</v>
      </c>
      <c r="T226" s="1854" t="s">
        <v>366</v>
      </c>
      <c r="U226" s="1853"/>
      <c r="V226" s="1856" t="s">
        <v>369</v>
      </c>
      <c r="W226" s="1854" t="s">
        <v>370</v>
      </c>
      <c r="X226" s="1856" t="s">
        <v>369</v>
      </c>
      <c r="Y226" s="1863">
        <v>120074014938</v>
      </c>
      <c r="Z226" s="1858"/>
      <c r="AA226" s="1853"/>
      <c r="AB226" s="1854"/>
      <c r="AC226" s="1854">
        <v>1</v>
      </c>
      <c r="AD226" s="1855">
        <f>AC226*S226/12</f>
        <v>3.9583333333333335</v>
      </c>
      <c r="AE226" s="1854" t="s">
        <v>367</v>
      </c>
      <c r="AF226" s="1856" t="s">
        <v>369</v>
      </c>
      <c r="AG226" s="1856" t="s">
        <v>369</v>
      </c>
      <c r="AH226" s="1859">
        <f>0.00877</f>
        <v>8.77E-3</v>
      </c>
      <c r="AI226" s="1860"/>
      <c r="AJ226" s="1860"/>
      <c r="AK226" s="1860"/>
      <c r="AL226" s="1860">
        <f>AH226*AD226</f>
        <v>3.4714583333333333E-2</v>
      </c>
      <c r="AM226" s="1854" t="s">
        <v>92</v>
      </c>
      <c r="AN226" s="1854" t="s">
        <v>92</v>
      </c>
      <c r="AO226" s="1854" t="s">
        <v>81</v>
      </c>
      <c r="AP226" s="1854" t="s">
        <v>92</v>
      </c>
      <c r="AQ226" s="1854"/>
      <c r="AR226" s="140"/>
      <c r="AS226" s="139"/>
      <c r="AT226" s="139"/>
      <c r="AU226" s="139"/>
    </row>
    <row r="227" spans="2:47" ht="15" customHeight="1" x14ac:dyDescent="0.4">
      <c r="B227" s="3"/>
      <c r="C227" s="173" t="s">
        <v>2310</v>
      </c>
      <c r="D227" s="182"/>
      <c r="E227" s="182"/>
      <c r="F227" s="182" t="s">
        <v>438</v>
      </c>
      <c r="G227" s="173"/>
      <c r="H227" s="175"/>
      <c r="I227" s="116" t="s">
        <v>392</v>
      </c>
      <c r="J227" s="116"/>
      <c r="K227" s="116"/>
      <c r="L227" s="116" t="s">
        <v>348</v>
      </c>
      <c r="M227" s="177">
        <v>3</v>
      </c>
      <c r="N227" s="177" t="s">
        <v>348</v>
      </c>
      <c r="O227" s="177">
        <f>0.25</f>
        <v>0.25</v>
      </c>
      <c r="P227" s="177"/>
      <c r="Q227" s="177"/>
      <c r="R227" s="116" t="s">
        <v>352</v>
      </c>
      <c r="S227" s="177">
        <f>SL2Width+M227+O227</f>
        <v>50.75</v>
      </c>
      <c r="T227" s="116" t="s">
        <v>366</v>
      </c>
      <c r="U227" s="175"/>
      <c r="V227" s="179"/>
      <c r="W227" s="116"/>
      <c r="X227" s="179"/>
      <c r="Y227" s="1449"/>
      <c r="Z227" s="1449"/>
      <c r="AA227" s="175"/>
      <c r="AB227" s="116">
        <v>45</v>
      </c>
      <c r="AC227" s="116">
        <v>1</v>
      </c>
      <c r="AD227" s="177">
        <f>AC227*S227/12</f>
        <v>4.229166666666667</v>
      </c>
      <c r="AE227" s="116" t="s">
        <v>367</v>
      </c>
      <c r="AF227" s="627">
        <f>AF202</f>
        <v>1.18</v>
      </c>
      <c r="AG227" s="177">
        <f>AF227*AtolbperftSL2</f>
        <v>0.74634999999999996</v>
      </c>
      <c r="AH227" s="185"/>
      <c r="AI227" s="180"/>
      <c r="AJ227" s="180"/>
      <c r="AK227" s="180"/>
      <c r="AL227" s="180"/>
      <c r="AM227" s="3" t="s">
        <v>92</v>
      </c>
      <c r="AN227" s="3" t="s">
        <v>92</v>
      </c>
      <c r="AO227" s="3" t="s">
        <v>92</v>
      </c>
      <c r="AP227" s="3" t="s">
        <v>92</v>
      </c>
      <c r="AR227" s="139"/>
      <c r="AS227" s="139"/>
      <c r="AT227" s="139"/>
      <c r="AU227" s="139"/>
    </row>
    <row r="228" spans="2:47" ht="15" customHeight="1" x14ac:dyDescent="0.4">
      <c r="B228" s="36"/>
      <c r="C228" s="7"/>
      <c r="D228" s="155"/>
      <c r="E228" s="155" t="s">
        <v>439</v>
      </c>
      <c r="F228" s="155"/>
      <c r="G228" s="7"/>
      <c r="H228" s="20"/>
      <c r="I228" s="3" t="s">
        <v>392</v>
      </c>
      <c r="L228" s="3" t="s">
        <v>348</v>
      </c>
      <c r="M228" s="5">
        <v>0</v>
      </c>
      <c r="N228" s="5" t="s">
        <v>348</v>
      </c>
      <c r="O228" s="5">
        <f>0.25</f>
        <v>0.25</v>
      </c>
      <c r="P228" s="24"/>
      <c r="Q228" s="24"/>
      <c r="R228" s="3" t="s">
        <v>352</v>
      </c>
      <c r="S228" s="5">
        <f>SL2Width+M228+O228</f>
        <v>47.75</v>
      </c>
      <c r="T228" s="3" t="s">
        <v>366</v>
      </c>
      <c r="U228" s="20"/>
      <c r="V228" s="38" t="s">
        <v>369</v>
      </c>
      <c r="W228" s="3" t="s">
        <v>370</v>
      </c>
      <c r="X228" s="38" t="s">
        <v>369</v>
      </c>
      <c r="Y228" s="1443">
        <v>200151003</v>
      </c>
      <c r="Z228" s="1443"/>
      <c r="AA228" s="20"/>
      <c r="AE228" s="3"/>
      <c r="AF228" s="38"/>
      <c r="AH228" s="51">
        <f>AH219</f>
        <v>0.67030000000000001</v>
      </c>
      <c r="AI228" s="39"/>
      <c r="AJ228" s="39"/>
      <c r="AK228" s="39"/>
      <c r="AL228" s="39">
        <f>AD$227*AH228+SUM(AI228:AK228)</f>
        <v>2.834810416666667</v>
      </c>
      <c r="AM228" s="3" t="s">
        <v>92</v>
      </c>
      <c r="AN228" s="3" t="s">
        <v>92</v>
      </c>
      <c r="AO228" s="3" t="s">
        <v>92</v>
      </c>
      <c r="AP228" s="3" t="s">
        <v>92</v>
      </c>
      <c r="AR228" s="444"/>
      <c r="AS228" s="139"/>
      <c r="AT228" s="139"/>
      <c r="AU228" s="139"/>
    </row>
    <row r="229" spans="2:47" ht="15" customHeight="1" x14ac:dyDescent="0.4">
      <c r="B229" s="36"/>
      <c r="C229" s="7"/>
      <c r="D229" s="155"/>
      <c r="E229" s="155"/>
      <c r="F229" s="155"/>
      <c r="G229" s="7"/>
      <c r="H229" s="20"/>
      <c r="T229" s="3" t="s">
        <v>366</v>
      </c>
      <c r="U229" s="20"/>
      <c r="V229" s="38" t="s">
        <v>369</v>
      </c>
      <c r="W229" s="3" t="s">
        <v>372</v>
      </c>
      <c r="X229" s="38" t="s">
        <v>369</v>
      </c>
      <c r="Y229" s="1443">
        <v>200151021</v>
      </c>
      <c r="Z229" s="1443"/>
      <c r="AA229" s="20"/>
      <c r="AE229" s="3"/>
      <c r="AF229" s="38"/>
      <c r="AH229" s="51">
        <f>AH220</f>
        <v>0.72709999999999997</v>
      </c>
      <c r="AI229" s="39"/>
      <c r="AJ229" s="39"/>
      <c r="AK229" s="39"/>
      <c r="AL229" s="39">
        <f t="shared" ref="AL229:AL232" si="52">AD$227*AH229+SUM(AI229:AK229)</f>
        <v>3.0750270833333335</v>
      </c>
      <c r="AM229" s="3" t="s">
        <v>92</v>
      </c>
      <c r="AN229" s="3" t="s">
        <v>92</v>
      </c>
      <c r="AO229" s="3" t="s">
        <v>92</v>
      </c>
      <c r="AP229" s="3" t="s">
        <v>92</v>
      </c>
      <c r="AR229" s="444"/>
      <c r="AS229" s="139"/>
      <c r="AT229" s="139"/>
      <c r="AU229" s="139"/>
    </row>
    <row r="230" spans="2:47" ht="15" customHeight="1" x14ac:dyDescent="0.4">
      <c r="B230" s="36"/>
      <c r="C230" s="7"/>
      <c r="D230" s="155"/>
      <c r="E230" s="155"/>
      <c r="F230" s="155"/>
      <c r="G230" s="7"/>
      <c r="H230" s="20"/>
      <c r="T230" s="3" t="s">
        <v>366</v>
      </c>
      <c r="U230" s="20"/>
      <c r="V230" s="38" t="s">
        <v>369</v>
      </c>
      <c r="W230" s="3" t="s">
        <v>373</v>
      </c>
      <c r="X230" s="38" t="s">
        <v>369</v>
      </c>
      <c r="Y230" s="1443">
        <v>200151033</v>
      </c>
      <c r="Z230" s="1443"/>
      <c r="AA230" s="20"/>
      <c r="AE230" s="3"/>
      <c r="AF230" s="38"/>
      <c r="AH230" s="51">
        <f>AH221</f>
        <v>0.8054</v>
      </c>
      <c r="AL230" s="39">
        <f t="shared" si="52"/>
        <v>3.4061708333333338</v>
      </c>
      <c r="AM230" s="3" t="s">
        <v>92</v>
      </c>
      <c r="AN230" s="3" t="s">
        <v>92</v>
      </c>
      <c r="AO230" s="3" t="s">
        <v>92</v>
      </c>
      <c r="AP230" s="3" t="s">
        <v>92</v>
      </c>
      <c r="AR230" s="446"/>
      <c r="AS230" s="139"/>
      <c r="AT230" s="139"/>
      <c r="AU230" s="139"/>
    </row>
    <row r="231" spans="2:47" ht="15" customHeight="1" x14ac:dyDescent="0.4">
      <c r="B231" s="36"/>
      <c r="C231" s="7"/>
      <c r="D231" s="155"/>
      <c r="E231" s="155"/>
      <c r="F231" s="155"/>
      <c r="G231" s="7"/>
      <c r="H231" s="20"/>
      <c r="U231" s="20"/>
      <c r="V231" s="38" t="s">
        <v>2363</v>
      </c>
      <c r="W231" s="3" t="s">
        <v>370</v>
      </c>
      <c r="X231" s="38" t="s">
        <v>369</v>
      </c>
      <c r="Y231" s="1443">
        <v>200151127</v>
      </c>
      <c r="Z231" s="1443"/>
      <c r="AA231" s="20"/>
      <c r="AE231" s="3"/>
      <c r="AF231" s="38"/>
      <c r="AH231" s="51">
        <v>0.90069999999999995</v>
      </c>
      <c r="AL231" s="39">
        <f t="shared" si="52"/>
        <v>3.8092104166666667</v>
      </c>
      <c r="AM231" s="3" t="s">
        <v>92</v>
      </c>
      <c r="AN231" s="3" t="s">
        <v>92</v>
      </c>
      <c r="AO231" s="3" t="s">
        <v>92</v>
      </c>
      <c r="AP231" s="3" t="s">
        <v>92</v>
      </c>
      <c r="AR231" s="446"/>
      <c r="AS231" s="139"/>
      <c r="AT231" s="139"/>
      <c r="AU231" s="139"/>
    </row>
    <row r="232" spans="2:47" ht="15" customHeight="1" x14ac:dyDescent="0.4">
      <c r="B232" s="36"/>
      <c r="C232" s="7"/>
      <c r="D232" s="155"/>
      <c r="E232" s="623"/>
      <c r="F232" s="623"/>
      <c r="G232" s="221"/>
      <c r="H232" s="624"/>
      <c r="I232" s="577"/>
      <c r="J232" s="577"/>
      <c r="K232" s="577"/>
      <c r="L232" s="577"/>
      <c r="M232" s="575"/>
      <c r="N232" s="575"/>
      <c r="O232" s="575"/>
      <c r="P232" s="575"/>
      <c r="Q232" s="575"/>
      <c r="R232" s="577"/>
      <c r="S232" s="575"/>
      <c r="T232" s="577"/>
      <c r="U232" s="624"/>
      <c r="V232" s="579" t="s">
        <v>2365</v>
      </c>
      <c r="W232" s="577" t="s">
        <v>370</v>
      </c>
      <c r="X232" s="579" t="s">
        <v>369</v>
      </c>
      <c r="Y232" s="1446">
        <v>200151180</v>
      </c>
      <c r="Z232" s="1446"/>
      <c r="AA232" s="624"/>
      <c r="AB232" s="577"/>
      <c r="AC232" s="577"/>
      <c r="AD232" s="575"/>
      <c r="AE232" s="577"/>
      <c r="AF232" s="579"/>
      <c r="AG232" s="575"/>
      <c r="AH232" s="626">
        <v>0.97099999999999997</v>
      </c>
      <c r="AI232" s="626"/>
      <c r="AJ232" s="626"/>
      <c r="AK232" s="626"/>
      <c r="AL232" s="581">
        <f t="shared" si="52"/>
        <v>4.1065208333333336</v>
      </c>
      <c r="AM232" s="577" t="s">
        <v>92</v>
      </c>
      <c r="AN232" s="577" t="s">
        <v>92</v>
      </c>
      <c r="AO232" s="577" t="s">
        <v>92</v>
      </c>
      <c r="AP232" s="577" t="s">
        <v>92</v>
      </c>
      <c r="AQ232" s="577"/>
      <c r="AR232" s="446"/>
      <c r="AS232" s="139"/>
      <c r="AT232" s="139"/>
      <c r="AU232" s="139"/>
    </row>
    <row r="233" spans="2:47" ht="15" customHeight="1" x14ac:dyDescent="0.4">
      <c r="B233" s="36"/>
      <c r="C233" s="36"/>
      <c r="D233" s="155"/>
      <c r="E233" s="447" t="s">
        <v>1220</v>
      </c>
      <c r="F233" s="155"/>
      <c r="G233" s="7"/>
      <c r="H233" s="20"/>
      <c r="I233" s="3" t="s">
        <v>392</v>
      </c>
      <c r="L233" s="3" t="s">
        <v>348</v>
      </c>
      <c r="M233" s="5">
        <v>0</v>
      </c>
      <c r="R233" s="3" t="s">
        <v>352</v>
      </c>
      <c r="S233" s="5">
        <f>SL2Width+M233</f>
        <v>47.5</v>
      </c>
      <c r="T233" s="3" t="s">
        <v>366</v>
      </c>
      <c r="U233" s="20"/>
      <c r="V233" s="38" t="s">
        <v>369</v>
      </c>
      <c r="W233" s="3" t="s">
        <v>405</v>
      </c>
      <c r="X233" s="38" t="s">
        <v>369</v>
      </c>
      <c r="Y233" s="1443">
        <v>600042010</v>
      </c>
      <c r="Z233" s="1443"/>
      <c r="AA233" s="20"/>
      <c r="AB233" s="3">
        <v>45</v>
      </c>
      <c r="AC233" s="3">
        <v>1</v>
      </c>
      <c r="AD233" s="5">
        <f>S233*AC233/12</f>
        <v>3.9583333333333335</v>
      </c>
      <c r="AE233" s="3" t="s">
        <v>367</v>
      </c>
      <c r="AF233" s="38" t="s">
        <v>369</v>
      </c>
      <c r="AG233" s="38" t="s">
        <v>369</v>
      </c>
      <c r="AH233" s="51">
        <f>AH224</f>
        <v>1.9E-2</v>
      </c>
      <c r="AI233" s="39"/>
      <c r="AJ233" s="39"/>
      <c r="AK233" s="39"/>
      <c r="AL233" s="39">
        <f>AD$27*AH233+SUM(AI233:AK233)</f>
        <v>7.5208333333333335E-2</v>
      </c>
      <c r="AM233" s="3" t="s">
        <v>92</v>
      </c>
      <c r="AN233" s="3" t="s">
        <v>92</v>
      </c>
      <c r="AO233" s="3" t="s">
        <v>92</v>
      </c>
      <c r="AP233" s="3" t="s">
        <v>92</v>
      </c>
      <c r="AR233" s="140"/>
      <c r="AS233" s="139"/>
      <c r="AT233" s="139"/>
      <c r="AU233" s="139"/>
    </row>
    <row r="234" spans="2:47" ht="15" customHeight="1" x14ac:dyDescent="0.4">
      <c r="B234" s="36"/>
      <c r="C234" s="36"/>
      <c r="D234" s="155"/>
      <c r="E234" s="447" t="s">
        <v>1221</v>
      </c>
      <c r="F234" s="155"/>
      <c r="G234" s="7"/>
      <c r="H234" s="20"/>
      <c r="I234" s="3" t="s">
        <v>392</v>
      </c>
      <c r="L234" s="3" t="s">
        <v>348</v>
      </c>
      <c r="M234" s="5">
        <v>0</v>
      </c>
      <c r="R234" s="3" t="s">
        <v>352</v>
      </c>
      <c r="S234" s="5">
        <f>SL2Width+M234</f>
        <v>47.5</v>
      </c>
      <c r="T234" s="3" t="s">
        <v>366</v>
      </c>
      <c r="U234" s="20"/>
      <c r="V234" s="38" t="s">
        <v>369</v>
      </c>
      <c r="W234" s="3" t="s">
        <v>405</v>
      </c>
      <c r="X234" s="38" t="s">
        <v>369</v>
      </c>
      <c r="Y234" s="1443">
        <v>600050010</v>
      </c>
      <c r="Z234" s="1443"/>
      <c r="AA234" s="20"/>
      <c r="AB234" s="3">
        <v>45</v>
      </c>
      <c r="AE234" s="3"/>
      <c r="AF234" s="38"/>
      <c r="AG234" s="38"/>
      <c r="AH234" s="844">
        <f>AH225</f>
        <v>0</v>
      </c>
      <c r="AI234" s="39"/>
      <c r="AJ234" s="39"/>
      <c r="AK234" s="39"/>
      <c r="AM234" s="3" t="s">
        <v>92</v>
      </c>
      <c r="AN234" s="3" t="s">
        <v>92</v>
      </c>
      <c r="AO234" s="3" t="s">
        <v>92</v>
      </c>
      <c r="AP234" s="3" t="s">
        <v>92</v>
      </c>
      <c r="AR234" s="140"/>
      <c r="AS234" s="139"/>
      <c r="AT234" s="139"/>
      <c r="AU234" s="139"/>
    </row>
    <row r="235" spans="2:47" ht="15" customHeight="1" thickBot="1" x14ac:dyDescent="0.25">
      <c r="C235" s="1849"/>
      <c r="D235" s="1849"/>
      <c r="E235" s="1850" t="s">
        <v>2353</v>
      </c>
      <c r="F235" s="1851"/>
      <c r="G235" s="1852"/>
      <c r="H235" s="1853"/>
      <c r="I235" s="1854" t="s">
        <v>392</v>
      </c>
      <c r="J235" s="1854"/>
      <c r="K235" s="1854"/>
      <c r="L235" s="1854"/>
      <c r="M235" s="1855"/>
      <c r="N235" s="1855"/>
      <c r="O235" s="1855"/>
      <c r="P235" s="1855"/>
      <c r="Q235" s="1855"/>
      <c r="R235" s="1854" t="s">
        <v>352</v>
      </c>
      <c r="S235" s="1855">
        <f>SL2Width</f>
        <v>47.5</v>
      </c>
      <c r="T235" s="1854" t="s">
        <v>366</v>
      </c>
      <c r="U235" s="1853"/>
      <c r="V235" s="1856" t="s">
        <v>369</v>
      </c>
      <c r="W235" s="1854" t="s">
        <v>370</v>
      </c>
      <c r="X235" s="1856" t="s">
        <v>369</v>
      </c>
      <c r="Y235" s="1863">
        <v>120074014938</v>
      </c>
      <c r="Z235" s="1858"/>
      <c r="AA235" s="1853"/>
      <c r="AB235" s="1854"/>
      <c r="AC235" s="1854">
        <v>1</v>
      </c>
      <c r="AD235" s="1855">
        <f>AC235*S235/12</f>
        <v>3.9583333333333335</v>
      </c>
      <c r="AE235" s="1854" t="s">
        <v>367</v>
      </c>
      <c r="AF235" s="1856" t="s">
        <v>369</v>
      </c>
      <c r="AG235" s="1856" t="s">
        <v>369</v>
      </c>
      <c r="AH235" s="1859">
        <f>0.00877</f>
        <v>8.77E-3</v>
      </c>
      <c r="AI235" s="1860"/>
      <c r="AJ235" s="1860"/>
      <c r="AK235" s="1860"/>
      <c r="AL235" s="1860">
        <f>AH235*AD235</f>
        <v>3.4714583333333333E-2</v>
      </c>
      <c r="AM235" s="1854" t="s">
        <v>92</v>
      </c>
      <c r="AN235" s="1854" t="s">
        <v>92</v>
      </c>
      <c r="AO235" s="1854" t="s">
        <v>81</v>
      </c>
      <c r="AP235" s="1854" t="s">
        <v>92</v>
      </c>
      <c r="AQ235" s="1854"/>
      <c r="AR235" s="140"/>
      <c r="AS235" s="139"/>
      <c r="AT235" s="139"/>
      <c r="AU235" s="139"/>
    </row>
    <row r="236" spans="2:47" ht="15" customHeight="1" x14ac:dyDescent="0.4">
      <c r="C236" s="173" t="s">
        <v>407</v>
      </c>
      <c r="D236" s="181"/>
      <c r="E236" s="182"/>
      <c r="G236" s="430" t="s">
        <v>383</v>
      </c>
      <c r="H236" s="175"/>
      <c r="I236" s="116" t="s">
        <v>392</v>
      </c>
      <c r="J236" s="116"/>
      <c r="K236" s="116"/>
      <c r="L236" s="116" t="s">
        <v>348</v>
      </c>
      <c r="M236" s="177">
        <v>3</v>
      </c>
      <c r="N236" s="177" t="s">
        <v>348</v>
      </c>
      <c r="O236" s="177">
        <f>0.25</f>
        <v>0.25</v>
      </c>
      <c r="P236" s="178"/>
      <c r="Q236" s="178"/>
      <c r="R236" s="116" t="s">
        <v>352</v>
      </c>
      <c r="S236" s="177">
        <f>SL2Width+M236+O236</f>
        <v>50.75</v>
      </c>
      <c r="T236" s="116" t="s">
        <v>366</v>
      </c>
      <c r="U236" s="175"/>
      <c r="V236" s="179"/>
      <c r="W236" s="116"/>
      <c r="X236" s="179"/>
      <c r="Y236" s="1449"/>
      <c r="Z236" s="1449"/>
      <c r="AA236" s="175"/>
      <c r="AB236" s="116">
        <v>45</v>
      </c>
      <c r="AC236" s="116">
        <v>1</v>
      </c>
      <c r="AD236" s="177">
        <f>AC236*S236/12</f>
        <v>4.229166666666667</v>
      </c>
      <c r="AE236" s="116" t="s">
        <v>367</v>
      </c>
      <c r="AF236" s="116">
        <f>AF211</f>
        <v>0.08</v>
      </c>
      <c r="AG236" s="177">
        <f>AF236*AtolbperftSL2</f>
        <v>5.0599999999999999E-2</v>
      </c>
      <c r="AH236" s="185"/>
      <c r="AI236" s="185"/>
      <c r="AJ236" s="185"/>
      <c r="AK236" s="185"/>
      <c r="AL236" s="180"/>
      <c r="AM236" s="3" t="s">
        <v>92</v>
      </c>
      <c r="AN236" s="3" t="s">
        <v>92</v>
      </c>
      <c r="AO236" s="3" t="s">
        <v>92</v>
      </c>
      <c r="AP236" s="3" t="s">
        <v>92</v>
      </c>
      <c r="AR236" s="139"/>
      <c r="AS236" s="139"/>
      <c r="AT236" s="139"/>
      <c r="AU236" s="139"/>
    </row>
    <row r="237" spans="2:47" ht="15" customHeight="1" x14ac:dyDescent="0.4">
      <c r="B237" s="36"/>
      <c r="C237" s="36"/>
      <c r="D237" s="155"/>
      <c r="E237" s="155"/>
      <c r="F237" s="155"/>
      <c r="G237" s="7"/>
      <c r="H237" s="20"/>
      <c r="P237" s="24"/>
      <c r="Q237" s="24"/>
      <c r="U237" s="20"/>
      <c r="V237" s="38" t="s">
        <v>369</v>
      </c>
      <c r="W237" s="3" t="s">
        <v>370</v>
      </c>
      <c r="X237" s="38" t="s">
        <v>369</v>
      </c>
      <c r="Y237" s="1443">
        <v>200114003</v>
      </c>
      <c r="Z237" s="1443"/>
      <c r="AA237" s="20"/>
      <c r="AE237" s="3"/>
      <c r="AF237" s="38"/>
      <c r="AH237" s="51">
        <f>AH212</f>
        <v>9.3600000000000003E-2</v>
      </c>
      <c r="AI237" s="39"/>
      <c r="AJ237" s="39"/>
      <c r="AK237" s="39"/>
      <c r="AL237" s="39">
        <f>AD$236*AH237+SUM(AI237:AK237)</f>
        <v>0.39585000000000004</v>
      </c>
      <c r="AM237" s="3" t="s">
        <v>92</v>
      </c>
      <c r="AN237" s="3" t="s">
        <v>92</v>
      </c>
      <c r="AO237" s="3" t="s">
        <v>92</v>
      </c>
      <c r="AP237" s="3" t="s">
        <v>92</v>
      </c>
      <c r="AR237" s="139"/>
      <c r="AS237" s="139"/>
      <c r="AT237" s="139"/>
      <c r="AU237" s="139"/>
    </row>
    <row r="238" spans="2:47" ht="15" customHeight="1" x14ac:dyDescent="0.4">
      <c r="B238" s="36"/>
      <c r="C238" s="36"/>
      <c r="D238" s="155"/>
      <c r="E238" s="155"/>
      <c r="F238" s="155"/>
      <c r="G238" s="7"/>
      <c r="H238" s="20"/>
      <c r="P238" s="24"/>
      <c r="Q238" s="24"/>
      <c r="U238" s="20"/>
      <c r="V238" s="38" t="s">
        <v>369</v>
      </c>
      <c r="W238" s="3" t="s">
        <v>372</v>
      </c>
      <c r="X238" s="38" t="s">
        <v>369</v>
      </c>
      <c r="Y238" s="1443">
        <v>200114021</v>
      </c>
      <c r="Z238" s="1443"/>
      <c r="AA238" s="20"/>
      <c r="AE238" s="3"/>
      <c r="AF238" s="3"/>
      <c r="AH238" s="51">
        <f>AH213</f>
        <v>0.10050000000000001</v>
      </c>
      <c r="AI238" s="39"/>
      <c r="AJ238" s="39"/>
      <c r="AK238" s="39"/>
      <c r="AL238" s="39">
        <f t="shared" ref="AL238:AL241" si="53">AD$236*AH238+SUM(AI238:AK238)</f>
        <v>0.42503125000000008</v>
      </c>
      <c r="AM238" s="3" t="s">
        <v>92</v>
      </c>
      <c r="AN238" s="3" t="s">
        <v>92</v>
      </c>
      <c r="AO238" s="3" t="s">
        <v>92</v>
      </c>
      <c r="AP238" s="3" t="s">
        <v>92</v>
      </c>
      <c r="AR238" s="139"/>
      <c r="AS238" s="139"/>
      <c r="AT238" s="139"/>
      <c r="AU238" s="139"/>
    </row>
    <row r="239" spans="2:47" ht="15" customHeight="1" x14ac:dyDescent="0.4">
      <c r="B239" s="36"/>
      <c r="C239" s="36"/>
      <c r="D239" s="155"/>
      <c r="E239" s="155"/>
      <c r="F239" s="155"/>
      <c r="G239" s="7"/>
      <c r="H239" s="20"/>
      <c r="P239" s="24"/>
      <c r="Q239" s="24"/>
      <c r="U239" s="20"/>
      <c r="V239" s="38" t="s">
        <v>369</v>
      </c>
      <c r="W239" s="3" t="s">
        <v>373</v>
      </c>
      <c r="X239" s="38" t="s">
        <v>369</v>
      </c>
      <c r="Y239" s="1443">
        <v>200114033</v>
      </c>
      <c r="Z239" s="1443"/>
      <c r="AA239" s="20"/>
      <c r="AE239" s="3"/>
      <c r="AF239" s="3"/>
      <c r="AH239" s="51">
        <f>AH214</f>
        <v>0.1021</v>
      </c>
      <c r="AI239" s="39"/>
      <c r="AJ239" s="39"/>
      <c r="AK239" s="39"/>
      <c r="AL239" s="39">
        <f t="shared" si="53"/>
        <v>0.43179791666666667</v>
      </c>
      <c r="AM239" s="3" t="s">
        <v>92</v>
      </c>
      <c r="AN239" s="3" t="s">
        <v>92</v>
      </c>
      <c r="AO239" s="3" t="s">
        <v>92</v>
      </c>
      <c r="AP239" s="3" t="s">
        <v>92</v>
      </c>
      <c r="AR239" s="139"/>
      <c r="AS239" s="139"/>
      <c r="AT239" s="139"/>
      <c r="AU239" s="139"/>
    </row>
    <row r="240" spans="2:47" ht="15" customHeight="1" x14ac:dyDescent="0.4">
      <c r="B240" s="36"/>
      <c r="C240" s="36"/>
      <c r="D240" s="155"/>
      <c r="E240" s="155"/>
      <c r="F240" s="155"/>
      <c r="G240" s="7"/>
      <c r="H240" s="20"/>
      <c r="P240" s="24"/>
      <c r="Q240" s="24"/>
      <c r="U240" s="20"/>
      <c r="V240" s="38" t="s">
        <v>369</v>
      </c>
      <c r="W240" s="3" t="s">
        <v>374</v>
      </c>
      <c r="X240" s="38" t="s">
        <v>369</v>
      </c>
      <c r="Y240" s="1443">
        <v>200114090</v>
      </c>
      <c r="Z240" s="1443"/>
      <c r="AA240" s="20"/>
      <c r="AE240" s="3"/>
      <c r="AF240" s="3"/>
      <c r="AH240" s="51">
        <v>0.26579999999999998</v>
      </c>
      <c r="AI240" s="39"/>
      <c r="AJ240" s="39"/>
      <c r="AK240" s="39"/>
      <c r="AL240" s="39">
        <f t="shared" si="53"/>
        <v>1.1241125000000001</v>
      </c>
      <c r="AM240" s="3" t="s">
        <v>92</v>
      </c>
      <c r="AN240" s="3" t="s">
        <v>92</v>
      </c>
      <c r="AO240" s="3" t="s">
        <v>92</v>
      </c>
      <c r="AP240" s="3" t="s">
        <v>92</v>
      </c>
      <c r="AR240" s="139"/>
      <c r="AS240" s="139"/>
      <c r="AT240" s="139"/>
      <c r="AU240" s="139"/>
    </row>
    <row r="241" spans="1:51" ht="15" customHeight="1" thickBot="1" x14ac:dyDescent="0.45">
      <c r="B241" s="943"/>
      <c r="C241" s="943"/>
      <c r="D241" s="925"/>
      <c r="E241" s="925"/>
      <c r="F241" s="925"/>
      <c r="G241" s="924"/>
      <c r="H241" s="887"/>
      <c r="I241" s="889"/>
      <c r="J241" s="889"/>
      <c r="K241" s="889"/>
      <c r="L241" s="889"/>
      <c r="M241" s="945"/>
      <c r="N241" s="945"/>
      <c r="O241" s="945"/>
      <c r="P241" s="1020"/>
      <c r="Q241" s="1020"/>
      <c r="R241" s="889"/>
      <c r="S241" s="945"/>
      <c r="T241" s="889"/>
      <c r="U241" s="887"/>
      <c r="V241" s="888" t="s">
        <v>369</v>
      </c>
      <c r="W241" s="889" t="s">
        <v>375</v>
      </c>
      <c r="X241" s="888" t="s">
        <v>369</v>
      </c>
      <c r="Y241" s="1444">
        <v>200114133</v>
      </c>
      <c r="Z241" s="1444"/>
      <c r="AA241" s="887"/>
      <c r="AB241" s="889"/>
      <c r="AC241" s="889"/>
      <c r="AD241" s="945"/>
      <c r="AE241" s="889"/>
      <c r="AF241" s="889"/>
      <c r="AG241" s="945"/>
      <c r="AH241" s="937">
        <v>0.28470000000000001</v>
      </c>
      <c r="AI241" s="947"/>
      <c r="AJ241" s="947"/>
      <c r="AK241" s="947"/>
      <c r="AL241" s="947">
        <f t="shared" si="53"/>
        <v>1.2040437500000001</v>
      </c>
      <c r="AM241" s="889" t="s">
        <v>92</v>
      </c>
      <c r="AN241" s="889" t="s">
        <v>92</v>
      </c>
      <c r="AO241" s="889" t="s">
        <v>92</v>
      </c>
      <c r="AP241" s="889" t="s">
        <v>92</v>
      </c>
      <c r="AQ241" s="889"/>
      <c r="AR241" s="139"/>
      <c r="AS241" s="139"/>
      <c r="AT241" s="139"/>
      <c r="AU241" s="139"/>
    </row>
    <row r="242" spans="1:51" ht="15" customHeight="1" x14ac:dyDescent="0.4">
      <c r="B242" s="7" t="s">
        <v>446</v>
      </c>
      <c r="C242" s="7"/>
      <c r="D242" s="36"/>
      <c r="E242" s="155"/>
      <c r="F242" s="434" t="s">
        <v>418</v>
      </c>
      <c r="G242" s="435">
        <v>3</v>
      </c>
      <c r="H242" s="20"/>
      <c r="I242" s="436" t="str">
        <f xml:space="preserve"> "Length = INT ( ( UW - " &amp;FIXED(G243,2)&amp;") / "&amp;FIXED(G242,2)&amp;" ) *"&amp;FIXED(G242,2)</f>
        <v>Length = INT ( ( UW - 2.00) / 3.00 ) *3.00</v>
      </c>
      <c r="P242" s="24"/>
      <c r="Q242" s="24"/>
      <c r="R242" s="3" t="s">
        <v>352</v>
      </c>
      <c r="S242" s="5">
        <f>INT((SL2Width-G243)/G242)*G242</f>
        <v>45</v>
      </c>
      <c r="T242" s="3" t="s">
        <v>366</v>
      </c>
      <c r="U242" s="20"/>
      <c r="V242" s="38"/>
      <c r="X242" s="38"/>
      <c r="Y242" s="1443"/>
      <c r="Z242" s="1443"/>
      <c r="AA242" s="20"/>
      <c r="AB242" s="3">
        <v>45</v>
      </c>
      <c r="AC242" s="3">
        <v>1</v>
      </c>
      <c r="AD242" s="5">
        <f>AC242*S242/12</f>
        <v>3.75</v>
      </c>
      <c r="AE242" s="3" t="s">
        <v>367</v>
      </c>
      <c r="AF242" s="3">
        <f>'Single Hung'!AG358</f>
        <v>0.17599999999999999</v>
      </c>
      <c r="AG242" s="5">
        <f>AF242*AtolbperftSL2</f>
        <v>0.11131999999999999</v>
      </c>
      <c r="AI242" s="39"/>
      <c r="AJ242" s="39"/>
      <c r="AK242" s="39"/>
      <c r="AM242" s="3" t="s">
        <v>92</v>
      </c>
      <c r="AN242" s="3" t="s">
        <v>92</v>
      </c>
      <c r="AO242" s="3" t="s">
        <v>92</v>
      </c>
      <c r="AP242" s="3" t="s">
        <v>92</v>
      </c>
      <c r="AR242" s="139"/>
      <c r="AS242" s="139"/>
      <c r="AT242" s="139"/>
      <c r="AU242" s="139"/>
    </row>
    <row r="243" spans="1:51" ht="15" customHeight="1" x14ac:dyDescent="0.4">
      <c r="B243" s="36"/>
      <c r="C243" s="155"/>
      <c r="D243" s="155"/>
      <c r="E243" s="155"/>
      <c r="F243" s="434" t="s">
        <v>1223</v>
      </c>
      <c r="G243" s="435">
        <v>2</v>
      </c>
      <c r="H243" s="20"/>
      <c r="P243" s="24"/>
      <c r="Q243" s="24"/>
      <c r="U243" s="20"/>
      <c r="V243" s="38" t="s">
        <v>369</v>
      </c>
      <c r="W243" s="3" t="s">
        <v>370</v>
      </c>
      <c r="X243" s="38" t="s">
        <v>369</v>
      </c>
      <c r="Y243" s="1443">
        <v>200142003</v>
      </c>
      <c r="Z243" s="1443"/>
      <c r="AA243" s="20"/>
      <c r="AE243" s="3"/>
      <c r="AF243" s="38"/>
      <c r="AH243" s="51">
        <f>'Single Hung'!AI359</f>
        <v>0.16520000000000001</v>
      </c>
      <c r="AI243" s="39"/>
      <c r="AJ243" s="39"/>
      <c r="AK243" s="39"/>
      <c r="AL243" s="39">
        <f>AD$242*AH243+SUM(AI243:AK243)</f>
        <v>0.61950000000000005</v>
      </c>
      <c r="AM243" s="3" t="s">
        <v>92</v>
      </c>
      <c r="AN243" s="3" t="s">
        <v>92</v>
      </c>
      <c r="AO243" s="3" t="s">
        <v>92</v>
      </c>
      <c r="AP243" s="3" t="s">
        <v>92</v>
      </c>
      <c r="AR243" s="139"/>
      <c r="AS243" s="139"/>
      <c r="AT243" s="139"/>
      <c r="AU243" s="139"/>
    </row>
    <row r="244" spans="1:51" ht="15" customHeight="1" x14ac:dyDescent="0.4">
      <c r="B244" s="36"/>
      <c r="C244" s="155"/>
      <c r="D244" s="155"/>
      <c r="E244" s="155"/>
      <c r="F244" s="155"/>
      <c r="G244" s="7"/>
      <c r="H244" s="20"/>
      <c r="P244" s="24"/>
      <c r="Q244" s="24"/>
      <c r="U244" s="20"/>
      <c r="V244" s="38" t="s">
        <v>369</v>
      </c>
      <c r="W244" s="3" t="s">
        <v>372</v>
      </c>
      <c r="X244" s="38" t="s">
        <v>369</v>
      </c>
      <c r="Y244" s="1443">
        <v>200142021</v>
      </c>
      <c r="Z244" s="1443"/>
      <c r="AA244" s="20"/>
      <c r="AE244" s="3"/>
      <c r="AF244" s="3"/>
      <c r="AH244" s="51">
        <f>'Single Hung'!AI360</f>
        <v>0.19359999999999999</v>
      </c>
      <c r="AI244" s="9"/>
      <c r="AJ244" s="9"/>
      <c r="AK244" s="9"/>
      <c r="AL244" s="39">
        <f t="shared" ref="AL244:AL245" si="54">AD$242*AH244+SUM(AI244:AK244)</f>
        <v>0.72599999999999998</v>
      </c>
      <c r="AM244" s="3" t="s">
        <v>92</v>
      </c>
      <c r="AN244" s="3" t="s">
        <v>92</v>
      </c>
      <c r="AO244" s="3" t="s">
        <v>92</v>
      </c>
      <c r="AP244" s="3" t="s">
        <v>92</v>
      </c>
      <c r="AR244" s="139"/>
      <c r="AS244" s="139"/>
      <c r="AT244" s="139"/>
      <c r="AU244" s="139"/>
    </row>
    <row r="245" spans="1:51" ht="15" customHeight="1" x14ac:dyDescent="0.4">
      <c r="B245" s="36"/>
      <c r="C245" s="155"/>
      <c r="D245" s="155"/>
      <c r="E245" s="155"/>
      <c r="F245" s="155"/>
      <c r="G245" s="7"/>
      <c r="H245" s="20"/>
      <c r="P245" s="24"/>
      <c r="Q245" s="24"/>
      <c r="U245" s="20"/>
      <c r="V245" s="38" t="s">
        <v>369</v>
      </c>
      <c r="W245" s="3" t="s">
        <v>373</v>
      </c>
      <c r="X245" s="38" t="s">
        <v>369</v>
      </c>
      <c r="Y245" s="1443">
        <v>200142033</v>
      </c>
      <c r="Z245" s="1443"/>
      <c r="AA245" s="20"/>
      <c r="AE245" s="3"/>
      <c r="AF245" s="3"/>
      <c r="AH245" s="51">
        <f>'Single Hung'!AI361</f>
        <v>0.1971</v>
      </c>
      <c r="AI245" s="9"/>
      <c r="AJ245" s="9"/>
      <c r="AK245" s="9"/>
      <c r="AL245" s="39">
        <f t="shared" si="54"/>
        <v>0.73912500000000003</v>
      </c>
      <c r="AM245" s="3" t="s">
        <v>92</v>
      </c>
      <c r="AN245" s="3" t="s">
        <v>92</v>
      </c>
      <c r="AO245" s="3" t="s">
        <v>92</v>
      </c>
      <c r="AP245" s="3" t="s">
        <v>92</v>
      </c>
      <c r="AR245" s="139"/>
      <c r="AS245" s="139"/>
      <c r="AT245" s="139"/>
      <c r="AU245" s="139"/>
    </row>
    <row r="246" spans="1:51" ht="15" customHeight="1" x14ac:dyDescent="0.4">
      <c r="B246" s="36"/>
      <c r="C246" s="155"/>
      <c r="D246" s="155"/>
      <c r="E246" s="155"/>
      <c r="F246" s="155"/>
      <c r="G246" s="7"/>
      <c r="H246" s="20"/>
      <c r="P246" s="24"/>
      <c r="Q246" s="24"/>
      <c r="U246" s="20"/>
      <c r="V246" s="38" t="s">
        <v>369</v>
      </c>
      <c r="W246" s="3" t="s">
        <v>374</v>
      </c>
      <c r="X246" s="38" t="s">
        <v>369</v>
      </c>
      <c r="Y246" s="1443">
        <v>200142090</v>
      </c>
      <c r="Z246" s="1443"/>
      <c r="AA246" s="20"/>
      <c r="AE246" s="3"/>
      <c r="AF246" s="3"/>
      <c r="AH246" s="51">
        <f>'Single Hung'!AI362</f>
        <v>0.51639999999999997</v>
      </c>
      <c r="AI246" s="9"/>
      <c r="AJ246" s="9"/>
      <c r="AK246" s="9"/>
      <c r="AL246" s="39">
        <f t="shared" ref="AL246:AL247" si="55">AD$242*AH246+SUM(AI246:AK246)</f>
        <v>1.9364999999999999</v>
      </c>
      <c r="AM246" s="3" t="s">
        <v>92</v>
      </c>
      <c r="AN246" s="3" t="s">
        <v>92</v>
      </c>
      <c r="AO246" s="3" t="s">
        <v>92</v>
      </c>
      <c r="AP246" s="3" t="s">
        <v>92</v>
      </c>
      <c r="AR246" s="139"/>
      <c r="AS246" s="139"/>
      <c r="AT246" s="139"/>
      <c r="AU246" s="139"/>
    </row>
    <row r="247" spans="1:51" ht="15" customHeight="1" thickBot="1" x14ac:dyDescent="0.45">
      <c r="B247" s="943"/>
      <c r="C247" s="925"/>
      <c r="D247" s="925"/>
      <c r="E247" s="925"/>
      <c r="F247" s="925"/>
      <c r="G247" s="924"/>
      <c r="H247" s="887"/>
      <c r="I247" s="889"/>
      <c r="J247" s="889"/>
      <c r="K247" s="889"/>
      <c r="L247" s="889"/>
      <c r="M247" s="945"/>
      <c r="N247" s="945"/>
      <c r="O247" s="945"/>
      <c r="P247" s="1020"/>
      <c r="Q247" s="1020"/>
      <c r="R247" s="889"/>
      <c r="S247" s="945"/>
      <c r="T247" s="889"/>
      <c r="U247" s="887"/>
      <c r="V247" s="888" t="s">
        <v>369</v>
      </c>
      <c r="W247" s="889" t="s">
        <v>375</v>
      </c>
      <c r="X247" s="888" t="s">
        <v>369</v>
      </c>
      <c r="Y247" s="1444">
        <v>200142133</v>
      </c>
      <c r="Z247" s="1444"/>
      <c r="AA247" s="887"/>
      <c r="AB247" s="889"/>
      <c r="AC247" s="889"/>
      <c r="AD247" s="945"/>
      <c r="AE247" s="889"/>
      <c r="AF247" s="889"/>
      <c r="AG247" s="945"/>
      <c r="AH247" s="937">
        <f>'Single Hung'!AI363</f>
        <v>0.55810000000000004</v>
      </c>
      <c r="AI247" s="1213"/>
      <c r="AJ247" s="1213"/>
      <c r="AK247" s="1213"/>
      <c r="AL247" s="947">
        <f t="shared" si="55"/>
        <v>2.0928750000000003</v>
      </c>
      <c r="AM247" s="889" t="s">
        <v>92</v>
      </c>
      <c r="AN247" s="889" t="s">
        <v>92</v>
      </c>
      <c r="AO247" s="889" t="s">
        <v>92</v>
      </c>
      <c r="AP247" s="889" t="s">
        <v>92</v>
      </c>
      <c r="AQ247" s="889"/>
      <c r="AR247" s="139"/>
      <c r="AS247" s="139"/>
      <c r="AT247" s="139"/>
      <c r="AU247" s="139"/>
    </row>
    <row r="248" spans="1:51" s="112" customFormat="1" ht="15" customHeight="1" x14ac:dyDescent="0.4">
      <c r="B248" s="612" t="s">
        <v>2311</v>
      </c>
      <c r="C248" s="613"/>
      <c r="D248" s="614"/>
      <c r="E248" s="614"/>
      <c r="F248" s="614"/>
      <c r="G248" s="614"/>
      <c r="H248" s="615"/>
      <c r="I248" s="615"/>
      <c r="J248" s="615"/>
      <c r="K248" s="615"/>
      <c r="L248" s="615"/>
      <c r="M248" s="616"/>
      <c r="N248" s="616"/>
      <c r="O248" s="616"/>
      <c r="P248" s="616"/>
      <c r="Q248" s="616"/>
      <c r="R248" s="615"/>
      <c r="S248" s="616"/>
      <c r="T248" s="615"/>
      <c r="U248" s="615"/>
      <c r="V248" s="614"/>
      <c r="W248" s="614"/>
      <c r="X248" s="614"/>
      <c r="Y248" s="618"/>
      <c r="Z248" s="618"/>
      <c r="AA248" s="615"/>
      <c r="AB248" s="618"/>
      <c r="AC248" s="615"/>
      <c r="AD248" s="616"/>
      <c r="AE248" s="615"/>
      <c r="AF248" s="615"/>
      <c r="AG248" s="615"/>
      <c r="AH248" s="619"/>
      <c r="AI248" s="640"/>
      <c r="AJ248" s="640"/>
      <c r="AK248" s="620" t="s">
        <v>2230</v>
      </c>
      <c r="AL248" s="621">
        <f>AL249+AL342+AL368+AL375+AL428</f>
        <v>46.125658263516343</v>
      </c>
      <c r="AM248" s="640"/>
      <c r="AN248" s="640"/>
      <c r="AO248" s="640"/>
      <c r="AP248" s="640"/>
      <c r="AQ248" s="640"/>
      <c r="AR248" s="9"/>
      <c r="AS248" s="3"/>
      <c r="AT248" s="3"/>
      <c r="AU248" s="450"/>
      <c r="AV248" s="450"/>
      <c r="AW248" s="450"/>
      <c r="AX248" s="450"/>
      <c r="AY248" s="450"/>
    </row>
    <row r="249" spans="1:51" s="112" customFormat="1" ht="15" customHeight="1" x14ac:dyDescent="0.4">
      <c r="B249" s="641" t="s">
        <v>449</v>
      </c>
      <c r="C249" s="642"/>
      <c r="D249" s="642"/>
      <c r="E249" s="642"/>
      <c r="F249" s="642"/>
      <c r="G249" s="642"/>
      <c r="H249" s="643"/>
      <c r="I249" s="643"/>
      <c r="J249" s="643"/>
      <c r="K249" s="643"/>
      <c r="L249" s="643"/>
      <c r="M249" s="644"/>
      <c r="N249" s="644"/>
      <c r="O249" s="644"/>
      <c r="P249" s="644"/>
      <c r="Q249" s="644"/>
      <c r="R249" s="643"/>
      <c r="S249" s="644"/>
      <c r="T249" s="643"/>
      <c r="U249" s="643"/>
      <c r="V249" s="642"/>
      <c r="W249" s="642"/>
      <c r="X249" s="642"/>
      <c r="Y249" s="645"/>
      <c r="Z249" s="645"/>
      <c r="AA249" s="643"/>
      <c r="AB249" s="645"/>
      <c r="AC249" s="643"/>
      <c r="AD249" s="644"/>
      <c r="AE249" s="643"/>
      <c r="AF249" s="643"/>
      <c r="AG249" s="643"/>
      <c r="AH249" s="647"/>
      <c r="AI249" s="647"/>
      <c r="AJ249" s="647"/>
      <c r="AK249" s="648" t="s">
        <v>2231</v>
      </c>
      <c r="AL249" s="649">
        <f>SUBTOTAL(109,AL250:AL341)</f>
        <v>30.017315250000006</v>
      </c>
      <c r="AM249" s="647"/>
      <c r="AN249" s="647"/>
      <c r="AO249" s="647"/>
      <c r="AP249" s="647"/>
      <c r="AQ249" s="647"/>
      <c r="AR249" s="9"/>
      <c r="AS249" s="450"/>
      <c r="AT249" s="450"/>
      <c r="AU249" s="450"/>
    </row>
    <row r="250" spans="1:51" ht="15" customHeight="1" x14ac:dyDescent="0.4">
      <c r="B250" s="36" t="s">
        <v>1224</v>
      </c>
      <c r="D250" s="155"/>
      <c r="E250" s="155"/>
      <c r="F250" s="155"/>
      <c r="G250" s="7"/>
      <c r="H250" s="20"/>
      <c r="P250" s="24"/>
      <c r="Q250" s="24"/>
      <c r="U250" s="20"/>
      <c r="V250" s="38"/>
      <c r="X250" s="38"/>
      <c r="Y250" s="41"/>
      <c r="Z250" s="41"/>
      <c r="AA250" s="20"/>
      <c r="AE250" s="3"/>
      <c r="AF250" s="3"/>
      <c r="AG250" s="3"/>
      <c r="AH250" s="39"/>
      <c r="AI250" s="39"/>
      <c r="AJ250" s="39"/>
      <c r="AK250" s="39"/>
      <c r="AM250" s="3" t="s">
        <v>92</v>
      </c>
      <c r="AN250" s="3" t="s">
        <v>92</v>
      </c>
      <c r="AO250" s="3" t="s">
        <v>92</v>
      </c>
      <c r="AP250" s="3" t="s">
        <v>92</v>
      </c>
      <c r="AR250" s="139"/>
      <c r="AS250" s="139"/>
      <c r="AT250" s="139"/>
      <c r="AU250" s="139"/>
    </row>
    <row r="251" spans="1:51" ht="15" customHeight="1" x14ac:dyDescent="0.4">
      <c r="A251" s="3" t="s">
        <v>457</v>
      </c>
      <c r="B251" s="36"/>
      <c r="C251" s="36"/>
      <c r="D251" s="4" t="s">
        <v>1225</v>
      </c>
      <c r="E251" s="3"/>
      <c r="F251" s="3"/>
      <c r="G251" s="7"/>
      <c r="H251" s="20"/>
      <c r="I251" s="3" t="s">
        <v>392</v>
      </c>
      <c r="J251" s="38" t="s">
        <v>346</v>
      </c>
      <c r="K251" s="3">
        <v>2</v>
      </c>
      <c r="L251" s="3" t="s">
        <v>348</v>
      </c>
      <c r="M251" s="5">
        <v>0</v>
      </c>
      <c r="N251" s="5" t="s">
        <v>348</v>
      </c>
      <c r="O251" s="5">
        <v>0.125</v>
      </c>
      <c r="P251" s="5" t="s">
        <v>348</v>
      </c>
      <c r="Q251" s="5" t="s">
        <v>2342</v>
      </c>
      <c r="R251" s="3" t="s">
        <v>352</v>
      </c>
      <c r="S251" s="5">
        <f>SL2Width/K251+M251+O251+SL2SORnd</f>
        <v>23.875</v>
      </c>
      <c r="T251" s="3" t="s">
        <v>366</v>
      </c>
      <c r="U251" s="20"/>
      <c r="V251" s="7"/>
      <c r="W251" s="7"/>
      <c r="X251" s="7"/>
      <c r="AA251" s="20"/>
      <c r="AE251" s="3"/>
      <c r="AF251" s="38"/>
      <c r="AG251" s="3"/>
      <c r="AH251" s="39"/>
      <c r="AI251" s="39"/>
      <c r="AJ251" s="39"/>
      <c r="AK251" s="39"/>
      <c r="AM251" s="3" t="s">
        <v>92</v>
      </c>
      <c r="AN251" s="3" t="s">
        <v>92</v>
      </c>
      <c r="AO251" s="3" t="s">
        <v>92</v>
      </c>
      <c r="AP251" s="3" t="s">
        <v>92</v>
      </c>
      <c r="AR251" s="139"/>
      <c r="AS251" s="139"/>
      <c r="AT251" s="139"/>
      <c r="AU251" s="139"/>
    </row>
    <row r="252" spans="1:51" ht="15" customHeight="1" x14ac:dyDescent="0.4">
      <c r="B252" s="36"/>
      <c r="C252" s="36"/>
      <c r="D252" s="4" t="s">
        <v>1226</v>
      </c>
      <c r="E252" s="3"/>
      <c r="F252" s="3"/>
      <c r="G252" s="7"/>
      <c r="H252" s="20"/>
      <c r="I252" s="3" t="s">
        <v>392</v>
      </c>
      <c r="J252" s="38" t="s">
        <v>346</v>
      </c>
      <c r="K252" s="3">
        <v>2</v>
      </c>
      <c r="L252" s="3" t="s">
        <v>348</v>
      </c>
      <c r="M252" s="5">
        <f>-2.313-0.25</f>
        <v>-2.5630000000000002</v>
      </c>
      <c r="N252" s="5" t="s">
        <v>348</v>
      </c>
      <c r="O252" s="5">
        <v>0.125</v>
      </c>
      <c r="P252" s="5" t="s">
        <v>348</v>
      </c>
      <c r="Q252" s="5" t="s">
        <v>2342</v>
      </c>
      <c r="R252" s="3" t="s">
        <v>352</v>
      </c>
      <c r="S252" s="5">
        <f>SL2Width/K252+M252+O252+SL2SORnd</f>
        <v>21.312000000000001</v>
      </c>
      <c r="T252" s="3" t="s">
        <v>366</v>
      </c>
      <c r="U252" s="20"/>
      <c r="V252" s="7"/>
      <c r="W252" s="7"/>
      <c r="X252" s="7"/>
      <c r="AA252" s="20"/>
      <c r="AE252" s="3"/>
      <c r="AF252" s="38"/>
      <c r="AG252" s="3"/>
      <c r="AH252" s="39"/>
      <c r="AI252" s="39"/>
      <c r="AJ252" s="39"/>
      <c r="AK252" s="39"/>
      <c r="AM252" s="3" t="s">
        <v>92</v>
      </c>
      <c r="AN252" s="3" t="s">
        <v>92</v>
      </c>
      <c r="AO252" s="3" t="s">
        <v>92</v>
      </c>
      <c r="AP252" s="3" t="s">
        <v>92</v>
      </c>
      <c r="AR252" s="139"/>
      <c r="AS252" s="139"/>
      <c r="AT252" s="139"/>
      <c r="AU252" s="139"/>
    </row>
    <row r="253" spans="1:51" ht="15" customHeight="1" thickBot="1" x14ac:dyDescent="0.45">
      <c r="B253" s="943"/>
      <c r="C253" s="943"/>
      <c r="D253" s="968" t="s">
        <v>1227</v>
      </c>
      <c r="E253" s="889"/>
      <c r="F253" s="889"/>
      <c r="G253" s="924"/>
      <c r="H253" s="887"/>
      <c r="I253" s="889" t="s">
        <v>392</v>
      </c>
      <c r="J253" s="888" t="s">
        <v>346</v>
      </c>
      <c r="K253" s="889">
        <v>2</v>
      </c>
      <c r="L253" s="889" t="s">
        <v>348</v>
      </c>
      <c r="M253" s="945">
        <v>-2.5179999999999998</v>
      </c>
      <c r="N253" s="945"/>
      <c r="O253" s="945"/>
      <c r="P253" s="945" t="s">
        <v>348</v>
      </c>
      <c r="Q253" s="945" t="s">
        <v>2342</v>
      </c>
      <c r="R253" s="889" t="s">
        <v>352</v>
      </c>
      <c r="S253" s="945">
        <f>SL2Width/K253+M253+O253+SL2SORnd</f>
        <v>21.231999999999999</v>
      </c>
      <c r="T253" s="889" t="s">
        <v>366</v>
      </c>
      <c r="U253" s="887"/>
      <c r="V253" s="924"/>
      <c r="W253" s="924"/>
      <c r="X253" s="924"/>
      <c r="Y253" s="889"/>
      <c r="Z253" s="889"/>
      <c r="AA253" s="887"/>
      <c r="AB253" s="889"/>
      <c r="AC253" s="889"/>
      <c r="AD253" s="945"/>
      <c r="AE253" s="889"/>
      <c r="AF253" s="888"/>
      <c r="AG253" s="889"/>
      <c r="AH253" s="947"/>
      <c r="AI253" s="947"/>
      <c r="AJ253" s="947"/>
      <c r="AK253" s="947"/>
      <c r="AL253" s="947"/>
      <c r="AM253" s="889" t="s">
        <v>92</v>
      </c>
      <c r="AN253" s="889" t="s">
        <v>92</v>
      </c>
      <c r="AO253" s="889" t="s">
        <v>92</v>
      </c>
      <c r="AP253" s="889" t="s">
        <v>92</v>
      </c>
      <c r="AQ253" s="889"/>
      <c r="AR253" s="139"/>
      <c r="AS253" s="139"/>
      <c r="AT253" s="139"/>
      <c r="AU253" s="139"/>
    </row>
    <row r="254" spans="1:51" s="112" customFormat="1" ht="15" customHeight="1" x14ac:dyDescent="0.2">
      <c r="A254" s="3" t="s">
        <v>1228</v>
      </c>
      <c r="B254" s="7" t="s">
        <v>1229</v>
      </c>
      <c r="D254" s="155" t="s">
        <v>495</v>
      </c>
      <c r="F254" s="4"/>
      <c r="G254" s="155"/>
      <c r="H254" s="14"/>
      <c r="I254" s="3" t="s">
        <v>365</v>
      </c>
      <c r="J254" s="3"/>
      <c r="K254" s="3"/>
      <c r="L254" s="3" t="s">
        <v>348</v>
      </c>
      <c r="M254" s="554">
        <v>-4</v>
      </c>
      <c r="N254" s="356"/>
      <c r="O254" s="356"/>
      <c r="P254" s="5"/>
      <c r="Q254" s="5"/>
      <c r="R254" s="3" t="s">
        <v>352</v>
      </c>
      <c r="S254" s="5">
        <f>SL2Height+M254</f>
        <v>43.5</v>
      </c>
      <c r="T254" s="3" t="s">
        <v>366</v>
      </c>
      <c r="U254" s="14"/>
      <c r="V254" s="4"/>
      <c r="W254" s="4"/>
      <c r="X254" s="4"/>
      <c r="Y254" s="3"/>
      <c r="Z254" s="3"/>
      <c r="AA254" s="14"/>
      <c r="AB254" s="3">
        <v>45</v>
      </c>
      <c r="AC254" s="3">
        <v>1</v>
      </c>
      <c r="AD254" s="5">
        <f>AC254*S254/12</f>
        <v>3.625</v>
      </c>
      <c r="AE254" s="3" t="s">
        <v>367</v>
      </c>
      <c r="AF254" s="38">
        <f>'Single Hung'!AG396</f>
        <v>0.46500000000000002</v>
      </c>
      <c r="AG254" s="5">
        <f>AF254*AtolbperftSL2</f>
        <v>0.2941125</v>
      </c>
      <c r="AH254" s="51"/>
      <c r="AI254" s="39"/>
      <c r="AJ254" s="39"/>
      <c r="AK254" s="39"/>
      <c r="AL254" s="39"/>
      <c r="AM254" s="3" t="s">
        <v>81</v>
      </c>
      <c r="AN254" s="3" t="s">
        <v>81</v>
      </c>
      <c r="AO254" s="3" t="s">
        <v>81</v>
      </c>
      <c r="AP254" s="3" t="s">
        <v>81</v>
      </c>
      <c r="AQ254" s="3"/>
      <c r="AR254" s="450"/>
      <c r="AS254" s="450"/>
      <c r="AT254" s="450"/>
      <c r="AU254" s="450"/>
    </row>
    <row r="255" spans="1:51" s="112" customFormat="1" ht="15" customHeight="1" x14ac:dyDescent="0.4">
      <c r="B255" s="8"/>
      <c r="C255" s="36"/>
      <c r="D255" s="155"/>
      <c r="E255" s="155"/>
      <c r="F255" s="155"/>
      <c r="G255" s="155"/>
      <c r="H255" s="14"/>
      <c r="I255" s="3"/>
      <c r="J255" s="3"/>
      <c r="K255" s="3"/>
      <c r="L255" s="3"/>
      <c r="M255" s="5"/>
      <c r="N255" s="5"/>
      <c r="O255" s="5"/>
      <c r="P255" s="5"/>
      <c r="Q255" s="5"/>
      <c r="R255" s="3"/>
      <c r="S255" s="5"/>
      <c r="T255" s="3"/>
      <c r="U255" s="14"/>
      <c r="V255" s="38" t="s">
        <v>369</v>
      </c>
      <c r="W255" s="3" t="s">
        <v>370</v>
      </c>
      <c r="X255" s="38" t="s">
        <v>369</v>
      </c>
      <c r="Y255" s="1443">
        <v>200393003</v>
      </c>
      <c r="Z255" s="1443"/>
      <c r="AA255" s="14"/>
      <c r="AB255" s="3"/>
      <c r="AC255" s="3"/>
      <c r="AD255" s="5"/>
      <c r="AE255" s="3"/>
      <c r="AF255" s="38"/>
      <c r="AG255" s="5"/>
      <c r="AH255" s="51">
        <v>0.36809999999999998</v>
      </c>
      <c r="AI255" s="39"/>
      <c r="AJ255" s="39"/>
      <c r="AK255" s="39"/>
      <c r="AL255" s="39">
        <f>AD$254*AH255+SUM(AI255:AK255)</f>
        <v>1.3343624999999999</v>
      </c>
      <c r="AM255" s="3" t="s">
        <v>81</v>
      </c>
      <c r="AN255" s="3" t="s">
        <v>81</v>
      </c>
      <c r="AO255" s="3" t="s">
        <v>371</v>
      </c>
      <c r="AP255" s="3" t="s">
        <v>92</v>
      </c>
      <c r="AQ255" s="3"/>
      <c r="AR255" s="450"/>
      <c r="AS255" s="450"/>
      <c r="AT255" s="450"/>
      <c r="AU255" s="450"/>
    </row>
    <row r="256" spans="1:51" ht="15" customHeight="1" x14ac:dyDescent="0.4">
      <c r="B256" s="8"/>
      <c r="C256" s="36"/>
      <c r="D256" s="155"/>
      <c r="E256" s="155"/>
      <c r="F256" s="155"/>
      <c r="G256" s="155"/>
      <c r="V256" s="38" t="s">
        <v>369</v>
      </c>
      <c r="W256" s="3" t="s">
        <v>372</v>
      </c>
      <c r="X256" s="38" t="s">
        <v>369</v>
      </c>
      <c r="Y256" s="1443">
        <v>200393021</v>
      </c>
      <c r="Z256" s="1443"/>
      <c r="AE256" s="3"/>
      <c r="AF256" s="38"/>
      <c r="AH256" s="51">
        <v>0.38869999999999999</v>
      </c>
      <c r="AI256" s="39"/>
      <c r="AJ256" s="39"/>
      <c r="AK256" s="39"/>
      <c r="AL256" s="39">
        <f t="shared" ref="AL256:AL262" si="56">AD$254*AH256+SUM(AI256:AK256)</f>
        <v>1.4090374999999999</v>
      </c>
      <c r="AM256" s="3" t="s">
        <v>371</v>
      </c>
      <c r="AN256" s="3" t="s">
        <v>371</v>
      </c>
      <c r="AO256" s="3" t="s">
        <v>371</v>
      </c>
      <c r="AP256" s="3" t="s">
        <v>92</v>
      </c>
      <c r="AR256" s="139"/>
      <c r="AS256" s="139"/>
      <c r="AT256" s="139"/>
      <c r="AU256" s="139"/>
    </row>
    <row r="257" spans="1:47" ht="15" customHeight="1" x14ac:dyDescent="0.4">
      <c r="B257" s="8"/>
      <c r="C257" s="36"/>
      <c r="D257" s="155"/>
      <c r="E257" s="155"/>
      <c r="F257" s="155"/>
      <c r="G257" s="155"/>
      <c r="V257" s="38" t="s">
        <v>369</v>
      </c>
      <c r="W257" s="3" t="s">
        <v>373</v>
      </c>
      <c r="X257" s="38" t="s">
        <v>369</v>
      </c>
      <c r="Y257" s="1443">
        <v>200393033</v>
      </c>
      <c r="Z257" s="1443"/>
      <c r="AE257" s="3"/>
      <c r="AF257" s="38"/>
      <c r="AH257" s="51">
        <v>0.4133</v>
      </c>
      <c r="AI257" s="39"/>
      <c r="AJ257" s="39"/>
      <c r="AK257" s="39"/>
      <c r="AL257" s="39">
        <f t="shared" si="56"/>
        <v>1.4982124999999999</v>
      </c>
      <c r="AM257" s="3" t="s">
        <v>371</v>
      </c>
      <c r="AN257" s="3" t="s">
        <v>371</v>
      </c>
      <c r="AO257" s="3" t="s">
        <v>371</v>
      </c>
      <c r="AP257" s="3" t="s">
        <v>92</v>
      </c>
      <c r="AR257" s="139"/>
      <c r="AS257" s="139"/>
      <c r="AT257" s="139"/>
      <c r="AU257" s="139"/>
    </row>
    <row r="258" spans="1:47" ht="15" customHeight="1" x14ac:dyDescent="0.4">
      <c r="B258" s="8"/>
      <c r="C258" s="36"/>
      <c r="D258" s="155"/>
      <c r="E258" s="155"/>
      <c r="F258" s="155"/>
      <c r="G258" s="155"/>
      <c r="V258" s="3" t="s">
        <v>2363</v>
      </c>
      <c r="W258" s="3" t="s">
        <v>370</v>
      </c>
      <c r="X258" s="38" t="s">
        <v>369</v>
      </c>
      <c r="Y258" s="1443">
        <v>200393127</v>
      </c>
      <c r="Z258" s="1443"/>
      <c r="AE258" s="3"/>
      <c r="AF258" s="38"/>
      <c r="AH258" s="51">
        <v>0.47920000000000001</v>
      </c>
      <c r="AI258" s="39"/>
      <c r="AJ258" s="39"/>
      <c r="AK258" s="39"/>
      <c r="AL258" s="39">
        <f t="shared" si="56"/>
        <v>1.7371000000000001</v>
      </c>
      <c r="AM258" s="3" t="s">
        <v>371</v>
      </c>
      <c r="AN258" s="3" t="s">
        <v>371</v>
      </c>
      <c r="AO258" s="3" t="s">
        <v>81</v>
      </c>
      <c r="AP258" s="3" t="s">
        <v>92</v>
      </c>
      <c r="AR258" s="139"/>
      <c r="AS258" s="139"/>
      <c r="AT258" s="139"/>
      <c r="AU258" s="139"/>
    </row>
    <row r="259" spans="1:47" ht="15" customHeight="1" x14ac:dyDescent="0.4">
      <c r="B259" s="8"/>
      <c r="C259" s="36"/>
      <c r="D259" s="155"/>
      <c r="E259" s="155"/>
      <c r="F259" s="155"/>
      <c r="G259" s="155"/>
      <c r="V259" s="572" t="s">
        <v>2366</v>
      </c>
      <c r="W259" s="572" t="s">
        <v>370</v>
      </c>
      <c r="X259" s="571" t="s">
        <v>369</v>
      </c>
      <c r="Y259" s="1447">
        <v>200393128</v>
      </c>
      <c r="Z259" s="1443"/>
      <c r="AE259" s="3"/>
      <c r="AF259" s="38"/>
      <c r="AH259" s="51">
        <v>0.4612</v>
      </c>
      <c r="AI259" s="39"/>
      <c r="AJ259" s="39"/>
      <c r="AK259" s="39"/>
      <c r="AL259" s="39">
        <f t="shared" si="56"/>
        <v>1.6718500000000001</v>
      </c>
      <c r="AM259" s="3" t="s">
        <v>371</v>
      </c>
      <c r="AN259" s="3" t="s">
        <v>371</v>
      </c>
      <c r="AO259" s="3" t="s">
        <v>371</v>
      </c>
      <c r="AP259" s="3" t="s">
        <v>92</v>
      </c>
      <c r="AR259" s="139"/>
      <c r="AS259" s="139"/>
      <c r="AT259" s="139"/>
      <c r="AU259" s="139"/>
    </row>
    <row r="260" spans="1:47" ht="15" customHeight="1" x14ac:dyDescent="0.4">
      <c r="B260" s="8"/>
      <c r="C260" s="36"/>
      <c r="D260" s="155"/>
      <c r="E260" s="155"/>
      <c r="F260" s="155"/>
      <c r="G260" s="155"/>
      <c r="V260" s="3" t="s">
        <v>2364</v>
      </c>
      <c r="W260" s="3" t="s">
        <v>370</v>
      </c>
      <c r="X260" s="38" t="s">
        <v>369</v>
      </c>
      <c r="Y260" s="1443">
        <v>200393129</v>
      </c>
      <c r="Z260" s="1443"/>
      <c r="AE260" s="3"/>
      <c r="AF260" s="38"/>
      <c r="AH260" s="51">
        <v>0.4647</v>
      </c>
      <c r="AI260" s="39"/>
      <c r="AJ260" s="39"/>
      <c r="AK260" s="39"/>
      <c r="AL260" s="39">
        <f>AD$254*AH260+SUM(AI260:AK260)</f>
        <v>1.6845375</v>
      </c>
      <c r="AM260" s="3" t="s">
        <v>371</v>
      </c>
      <c r="AN260" s="3" t="s">
        <v>371</v>
      </c>
      <c r="AO260" s="3" t="s">
        <v>371</v>
      </c>
      <c r="AP260" s="3" t="s">
        <v>92</v>
      </c>
      <c r="AR260" s="139"/>
      <c r="AS260" s="139"/>
      <c r="AT260" s="139"/>
      <c r="AU260" s="139"/>
    </row>
    <row r="261" spans="1:47" ht="15" customHeight="1" x14ac:dyDescent="0.4">
      <c r="B261" s="8"/>
      <c r="C261" s="36"/>
      <c r="D261" s="155"/>
      <c r="E261" s="155"/>
      <c r="F261" s="155"/>
      <c r="G261" s="155"/>
      <c r="V261" s="3" t="s">
        <v>2365</v>
      </c>
      <c r="W261" s="3" t="s">
        <v>370</v>
      </c>
      <c r="X261" s="38" t="s">
        <v>369</v>
      </c>
      <c r="Y261" s="1443">
        <v>200393180</v>
      </c>
      <c r="Z261" s="1443"/>
      <c r="AE261" s="3"/>
      <c r="AF261" s="38"/>
      <c r="AH261" s="51">
        <v>0.52380000000000004</v>
      </c>
      <c r="AI261" s="39"/>
      <c r="AJ261" s="39"/>
      <c r="AK261" s="39"/>
      <c r="AL261" s="39">
        <f t="shared" ref="AL261" si="57">AD$254*AH261+SUM(AI261:AK261)</f>
        <v>1.8987750000000001</v>
      </c>
      <c r="AM261" s="3" t="s">
        <v>371</v>
      </c>
      <c r="AN261" s="3" t="s">
        <v>371</v>
      </c>
      <c r="AO261" s="3" t="s">
        <v>371</v>
      </c>
      <c r="AP261" s="3" t="s">
        <v>92</v>
      </c>
      <c r="AR261" s="139"/>
      <c r="AS261" s="139"/>
      <c r="AT261" s="139"/>
      <c r="AU261" s="139"/>
    </row>
    <row r="262" spans="1:47" ht="15" customHeight="1" x14ac:dyDescent="0.4">
      <c r="B262" s="8"/>
      <c r="C262" s="36"/>
      <c r="D262" s="155"/>
      <c r="E262" s="155"/>
      <c r="F262" s="155"/>
      <c r="G262" s="155"/>
      <c r="V262" s="112" t="s">
        <v>2367</v>
      </c>
      <c r="W262" s="112" t="s">
        <v>370</v>
      </c>
      <c r="X262" s="279" t="s">
        <v>369</v>
      </c>
      <c r="Y262" s="1871">
        <v>200393152</v>
      </c>
      <c r="Z262" s="1443"/>
      <c r="AE262" s="3"/>
      <c r="AF262" s="38"/>
      <c r="AH262" s="51">
        <v>0</v>
      </c>
      <c r="AI262" s="39"/>
      <c r="AJ262" s="39"/>
      <c r="AK262" s="39"/>
      <c r="AL262" s="39">
        <f t="shared" si="56"/>
        <v>0</v>
      </c>
      <c r="AM262" s="3" t="s">
        <v>371</v>
      </c>
      <c r="AN262" s="3" t="s">
        <v>371</v>
      </c>
      <c r="AO262" s="3" t="s">
        <v>371</v>
      </c>
      <c r="AP262" s="3" t="s">
        <v>92</v>
      </c>
      <c r="AR262" s="139"/>
      <c r="AS262" s="139"/>
      <c r="AT262" s="139"/>
      <c r="AU262" s="139"/>
    </row>
    <row r="263" spans="1:47" ht="15" customHeight="1" x14ac:dyDescent="0.4">
      <c r="B263" s="8"/>
      <c r="C263" s="36"/>
      <c r="D263" s="623"/>
      <c r="E263" s="623"/>
      <c r="F263" s="623"/>
      <c r="G263" s="623"/>
      <c r="H263" s="574"/>
      <c r="I263" s="577"/>
      <c r="J263" s="577"/>
      <c r="K263" s="577"/>
      <c r="L263" s="577"/>
      <c r="M263" s="575"/>
      <c r="N263" s="575"/>
      <c r="O263" s="575"/>
      <c r="P263" s="575"/>
      <c r="Q263" s="575"/>
      <c r="R263" s="577"/>
      <c r="S263" s="575"/>
      <c r="T263" s="577"/>
      <c r="U263" s="574"/>
      <c r="V263" s="577" t="s">
        <v>2365</v>
      </c>
      <c r="W263" s="577" t="s">
        <v>370</v>
      </c>
      <c r="X263" s="579" t="s">
        <v>2365</v>
      </c>
      <c r="Y263" s="1446">
        <v>200393181</v>
      </c>
      <c r="Z263" s="1446"/>
      <c r="AA263" s="574"/>
      <c r="AB263" s="577"/>
      <c r="AC263" s="577"/>
      <c r="AD263" s="575"/>
      <c r="AE263" s="577"/>
      <c r="AF263" s="579"/>
      <c r="AG263" s="575"/>
      <c r="AH263" s="626"/>
      <c r="AI263" s="581"/>
      <c r="AJ263" s="581"/>
      <c r="AK263" s="581"/>
      <c r="AL263" s="581">
        <f t="shared" ref="AL263" si="58">AD$254*AH263+SUM(AI263:AK263)</f>
        <v>0</v>
      </c>
      <c r="AM263" s="577" t="s">
        <v>92</v>
      </c>
      <c r="AN263" s="577" t="s">
        <v>92</v>
      </c>
      <c r="AO263" s="577" t="s">
        <v>92</v>
      </c>
      <c r="AP263" s="577" t="s">
        <v>81</v>
      </c>
      <c r="AQ263" s="577"/>
      <c r="AR263" s="139"/>
      <c r="AS263" s="139"/>
      <c r="AT263" s="139"/>
      <c r="AU263" s="139"/>
    </row>
    <row r="264" spans="1:47" ht="15" customHeight="1" x14ac:dyDescent="0.4">
      <c r="B264" s="36"/>
      <c r="C264" s="36"/>
      <c r="D264" s="447" t="s">
        <v>1220</v>
      </c>
      <c r="E264" s="155"/>
      <c r="F264" s="155"/>
      <c r="G264" s="7"/>
      <c r="H264" s="20"/>
      <c r="I264" s="3" t="s">
        <v>365</v>
      </c>
      <c r="L264" s="3" t="s">
        <v>348</v>
      </c>
      <c r="M264" s="5">
        <v>-3.75</v>
      </c>
      <c r="R264" s="3" t="s">
        <v>352</v>
      </c>
      <c r="S264" s="5">
        <f>SL2Height+M264+O264</f>
        <v>43.75</v>
      </c>
      <c r="T264" s="3" t="s">
        <v>366</v>
      </c>
      <c r="U264" s="20"/>
      <c r="V264" s="38" t="s">
        <v>369</v>
      </c>
      <c r="W264" s="3" t="s">
        <v>405</v>
      </c>
      <c r="X264" s="38" t="s">
        <v>369</v>
      </c>
      <c r="Y264" s="1443">
        <v>600042010</v>
      </c>
      <c r="Z264" s="1443"/>
      <c r="AA264" s="20"/>
      <c r="AB264" s="3">
        <v>45</v>
      </c>
      <c r="AC264" s="3">
        <v>1</v>
      </c>
      <c r="AD264" s="5">
        <f>S264*AC264/12</f>
        <v>3.6458333333333335</v>
      </c>
      <c r="AE264" s="3" t="s">
        <v>367</v>
      </c>
      <c r="AF264" s="38" t="s">
        <v>369</v>
      </c>
      <c r="AG264" s="38" t="s">
        <v>369</v>
      </c>
      <c r="AH264" s="51">
        <f>'Single Hung'!AI406</f>
        <v>2.0199999999999999E-2</v>
      </c>
      <c r="AI264" s="39"/>
      <c r="AJ264" s="39"/>
      <c r="AK264" s="39"/>
      <c r="AL264" s="39">
        <f>AD$27*AH264+SUM(AI264:AK264)</f>
        <v>7.995833333333334E-2</v>
      </c>
      <c r="AM264" s="3" t="s">
        <v>81</v>
      </c>
      <c r="AN264" s="3" t="s">
        <v>81</v>
      </c>
      <c r="AO264" s="3" t="s">
        <v>81</v>
      </c>
      <c r="AP264" s="3" t="s">
        <v>81</v>
      </c>
      <c r="AR264" s="140"/>
      <c r="AS264" s="139"/>
      <c r="AT264" s="139"/>
      <c r="AU264" s="139"/>
    </row>
    <row r="265" spans="1:47" ht="15" customHeight="1" x14ac:dyDescent="0.4">
      <c r="B265" s="36"/>
      <c r="C265" s="36"/>
      <c r="D265" s="447" t="s">
        <v>1221</v>
      </c>
      <c r="E265" s="155"/>
      <c r="F265" s="155"/>
      <c r="G265" s="7"/>
      <c r="H265" s="20"/>
      <c r="I265" s="3" t="s">
        <v>365</v>
      </c>
      <c r="L265" s="3" t="s">
        <v>348</v>
      </c>
      <c r="M265" s="5">
        <v>-3.75</v>
      </c>
      <c r="R265" s="3" t="s">
        <v>352</v>
      </c>
      <c r="S265" s="5">
        <f>SL2Height+M265+O265</f>
        <v>43.75</v>
      </c>
      <c r="T265" s="3" t="s">
        <v>366</v>
      </c>
      <c r="U265" s="20"/>
      <c r="V265" s="38" t="s">
        <v>369</v>
      </c>
      <c r="W265" s="3" t="s">
        <v>405</v>
      </c>
      <c r="X265" s="38" t="s">
        <v>369</v>
      </c>
      <c r="Y265" s="1443">
        <v>600050010</v>
      </c>
      <c r="Z265" s="1443"/>
      <c r="AA265" s="20"/>
      <c r="AB265" s="3">
        <v>45</v>
      </c>
      <c r="AE265" s="3"/>
      <c r="AF265" s="38"/>
      <c r="AG265" s="38"/>
      <c r="AH265" s="844">
        <f>'Single Hung'!AI407</f>
        <v>2.7799999999999998E-2</v>
      </c>
      <c r="AI265" s="39"/>
      <c r="AJ265" s="39"/>
      <c r="AK265" s="39"/>
      <c r="AM265" s="3" t="s">
        <v>371</v>
      </c>
      <c r="AN265" s="3" t="s">
        <v>371</v>
      </c>
      <c r="AO265" s="3" t="s">
        <v>371</v>
      </c>
      <c r="AP265" s="3" t="s">
        <v>371</v>
      </c>
      <c r="AR265" s="140"/>
      <c r="AS265" s="139"/>
      <c r="AT265" s="139"/>
      <c r="AU265" s="139"/>
    </row>
    <row r="266" spans="1:47" ht="15" customHeight="1" thickBot="1" x14ac:dyDescent="0.25">
      <c r="C266" s="1849"/>
      <c r="D266" s="1850" t="s">
        <v>2353</v>
      </c>
      <c r="E266" s="1854"/>
      <c r="F266" s="1851"/>
      <c r="G266" s="1852"/>
      <c r="H266" s="1853"/>
      <c r="I266" s="1854" t="s">
        <v>365</v>
      </c>
      <c r="J266" s="1854"/>
      <c r="K266" s="1854"/>
      <c r="L266" s="1854" t="s">
        <v>348</v>
      </c>
      <c r="M266" s="1855">
        <v>-3.75</v>
      </c>
      <c r="N266" s="1855"/>
      <c r="O266" s="1855"/>
      <c r="P266" s="1855"/>
      <c r="Q266" s="1855"/>
      <c r="R266" s="1854" t="s">
        <v>352</v>
      </c>
      <c r="S266" s="1855">
        <f>SL2Height+M266</f>
        <v>43.75</v>
      </c>
      <c r="T266" s="1854" t="s">
        <v>366</v>
      </c>
      <c r="U266" s="1853"/>
      <c r="V266" s="1856" t="s">
        <v>369</v>
      </c>
      <c r="W266" s="1854" t="s">
        <v>370</v>
      </c>
      <c r="X266" s="1856" t="s">
        <v>369</v>
      </c>
      <c r="Y266" s="1863">
        <v>120074014015</v>
      </c>
      <c r="Z266" s="1858"/>
      <c r="AA266" s="1853"/>
      <c r="AB266" s="1854"/>
      <c r="AC266" s="1854">
        <v>1</v>
      </c>
      <c r="AD266" s="1855">
        <f>AC266*S266/12</f>
        <v>3.6458333333333335</v>
      </c>
      <c r="AE266" s="1854" t="s">
        <v>367</v>
      </c>
      <c r="AF266" s="1856" t="s">
        <v>369</v>
      </c>
      <c r="AG266" s="1856" t="s">
        <v>369</v>
      </c>
      <c r="AH266" s="1859">
        <f>0.01399</f>
        <v>1.3990000000000001E-2</v>
      </c>
      <c r="AI266" s="1860"/>
      <c r="AJ266" s="1860"/>
      <c r="AK266" s="1860"/>
      <c r="AL266" s="1860">
        <f>AH266*AD266</f>
        <v>5.1005208333333336E-2</v>
      </c>
      <c r="AM266" s="1854" t="s">
        <v>92</v>
      </c>
      <c r="AN266" s="1854" t="s">
        <v>92</v>
      </c>
      <c r="AO266" s="1854" t="s">
        <v>81</v>
      </c>
      <c r="AP266" s="1854" t="s">
        <v>81</v>
      </c>
      <c r="AQ266" s="1854"/>
      <c r="AR266" s="140"/>
      <c r="AS266" s="139"/>
      <c r="AT266" s="139"/>
      <c r="AU266" s="139"/>
    </row>
    <row r="267" spans="1:47" ht="15" customHeight="1" x14ac:dyDescent="0.4">
      <c r="A267" s="3" t="s">
        <v>1230</v>
      </c>
      <c r="B267" s="36" t="s">
        <v>1231</v>
      </c>
      <c r="C267" s="36"/>
      <c r="E267" s="447" t="s">
        <v>1232</v>
      </c>
      <c r="F267" s="155"/>
      <c r="G267" s="7"/>
      <c r="H267" s="20"/>
      <c r="I267" s="3" t="s">
        <v>392</v>
      </c>
      <c r="L267" s="3" t="s">
        <v>348</v>
      </c>
      <c r="M267" s="5">
        <v>-2.75</v>
      </c>
      <c r="R267" s="3" t="s">
        <v>352</v>
      </c>
      <c r="S267" s="5">
        <f>SL2Width+M267</f>
        <v>44.75</v>
      </c>
      <c r="T267" s="3" t="s">
        <v>366</v>
      </c>
      <c r="U267" s="20"/>
      <c r="V267" s="38"/>
      <c r="X267" s="38"/>
      <c r="Y267" s="1443"/>
      <c r="Z267" s="1443"/>
      <c r="AA267" s="20"/>
      <c r="AB267" s="3">
        <v>45</v>
      </c>
      <c r="AC267" s="3">
        <v>1</v>
      </c>
      <c r="AD267" s="5">
        <f>AC267*S267/12</f>
        <v>3.7291666666666665</v>
      </c>
      <c r="AE267" s="3" t="s">
        <v>367</v>
      </c>
      <c r="AF267" s="38">
        <v>0.16500000000000001</v>
      </c>
      <c r="AG267" s="5">
        <f>AF267*AtolbperftSL2</f>
        <v>0.1043625</v>
      </c>
      <c r="AI267" s="39"/>
      <c r="AJ267" s="39"/>
      <c r="AK267" s="39"/>
      <c r="AM267" s="3" t="s">
        <v>81</v>
      </c>
      <c r="AN267" s="3" t="s">
        <v>81</v>
      </c>
      <c r="AO267" s="3" t="s">
        <v>81</v>
      </c>
      <c r="AP267" s="3" t="s">
        <v>81</v>
      </c>
      <c r="AR267" s="140"/>
      <c r="AS267" s="139"/>
      <c r="AT267" s="139"/>
      <c r="AU267" s="139"/>
    </row>
    <row r="268" spans="1:47" ht="15" customHeight="1" x14ac:dyDescent="0.4">
      <c r="B268" s="36"/>
      <c r="C268" s="36"/>
      <c r="D268" s="447"/>
      <c r="E268" s="155"/>
      <c r="F268" s="155"/>
      <c r="G268" s="7"/>
      <c r="H268" s="20"/>
      <c r="U268" s="20"/>
      <c r="V268" s="38" t="s">
        <v>369</v>
      </c>
      <c r="W268" s="3" t="s">
        <v>370</v>
      </c>
      <c r="X268" s="38" t="s">
        <v>369</v>
      </c>
      <c r="Y268" s="1443">
        <v>200154003</v>
      </c>
      <c r="Z268" s="1443"/>
      <c r="AA268" s="20"/>
      <c r="AE268" s="3"/>
      <c r="AF268" s="3"/>
      <c r="AG268" s="3"/>
      <c r="AH268" s="51">
        <v>0.1542</v>
      </c>
      <c r="AI268" s="39"/>
      <c r="AJ268" s="39"/>
      <c r="AK268" s="39"/>
      <c r="AL268" s="39">
        <f>AD$267*AH268+SUM(AI268:AK268)</f>
        <v>0.57503749999999998</v>
      </c>
      <c r="AM268" s="3" t="s">
        <v>81</v>
      </c>
      <c r="AN268" s="3" t="s">
        <v>81</v>
      </c>
      <c r="AO268" s="3" t="s">
        <v>81</v>
      </c>
      <c r="AP268" s="3" t="s">
        <v>92</v>
      </c>
      <c r="AR268" s="140"/>
      <c r="AS268" s="139"/>
      <c r="AT268" s="139"/>
      <c r="AU268" s="139"/>
    </row>
    <row r="269" spans="1:47" ht="15" customHeight="1" x14ac:dyDescent="0.4">
      <c r="B269" s="36"/>
      <c r="C269" s="36"/>
      <c r="D269" s="447"/>
      <c r="E269" s="155"/>
      <c r="F269" s="155"/>
      <c r="G269" s="7"/>
      <c r="H269" s="20"/>
      <c r="U269" s="20"/>
      <c r="V269" s="38" t="s">
        <v>369</v>
      </c>
      <c r="W269" s="3" t="s">
        <v>372</v>
      </c>
      <c r="X269" s="38" t="s">
        <v>369</v>
      </c>
      <c r="Y269" s="1443">
        <v>200154021</v>
      </c>
      <c r="Z269" s="1443"/>
      <c r="AA269" s="20"/>
      <c r="AE269" s="3"/>
      <c r="AF269" s="3"/>
      <c r="AG269" s="3"/>
      <c r="AH269" s="51">
        <v>0.17469999999999999</v>
      </c>
      <c r="AI269" s="39"/>
      <c r="AJ269" s="39"/>
      <c r="AK269" s="39"/>
      <c r="AL269" s="39">
        <f t="shared" ref="AL269:AL270" si="59">AD$267*AH269+SUM(AI269:AK269)</f>
        <v>0.65148541666666659</v>
      </c>
      <c r="AM269" s="3" t="s">
        <v>371</v>
      </c>
      <c r="AN269" s="3" t="s">
        <v>371</v>
      </c>
      <c r="AO269" s="3" t="s">
        <v>371</v>
      </c>
      <c r="AP269" s="3" t="s">
        <v>92</v>
      </c>
      <c r="AR269" s="140"/>
      <c r="AS269" s="139"/>
      <c r="AT269" s="139"/>
      <c r="AU269" s="139"/>
    </row>
    <row r="270" spans="1:47" ht="15" customHeight="1" x14ac:dyDescent="0.4">
      <c r="B270" s="36"/>
      <c r="C270" s="36"/>
      <c r="D270" s="447"/>
      <c r="E270" s="155"/>
      <c r="F270" s="155"/>
      <c r="G270" s="7"/>
      <c r="H270" s="20"/>
      <c r="U270" s="20"/>
      <c r="V270" s="38" t="s">
        <v>369</v>
      </c>
      <c r="W270" s="3" t="s">
        <v>373</v>
      </c>
      <c r="X270" s="38" t="s">
        <v>369</v>
      </c>
      <c r="Y270" s="1443">
        <v>200154033</v>
      </c>
      <c r="Z270" s="1443"/>
      <c r="AA270" s="20"/>
      <c r="AE270" s="3"/>
      <c r="AF270" s="3"/>
      <c r="AG270" s="3"/>
      <c r="AH270" s="51">
        <v>0.19059999999999999</v>
      </c>
      <c r="AI270" s="39"/>
      <c r="AJ270" s="39"/>
      <c r="AK270" s="39"/>
      <c r="AL270" s="39">
        <f t="shared" si="59"/>
        <v>0.71077916666666663</v>
      </c>
      <c r="AM270" s="3" t="s">
        <v>371</v>
      </c>
      <c r="AN270" s="3" t="s">
        <v>371</v>
      </c>
      <c r="AO270" s="3" t="s">
        <v>371</v>
      </c>
      <c r="AP270" s="3" t="s">
        <v>92</v>
      </c>
      <c r="AR270" s="140"/>
      <c r="AS270" s="139"/>
      <c r="AT270" s="139"/>
      <c r="AU270" s="139"/>
    </row>
    <row r="271" spans="1:47" ht="15" customHeight="1" x14ac:dyDescent="0.4">
      <c r="B271" s="36"/>
      <c r="C271" s="36"/>
      <c r="D271" s="789"/>
      <c r="E271" s="623"/>
      <c r="F271" s="623"/>
      <c r="G271" s="221"/>
      <c r="H271" s="624"/>
      <c r="I271" s="577"/>
      <c r="J271" s="577"/>
      <c r="K271" s="577"/>
      <c r="L271" s="577"/>
      <c r="M271" s="575"/>
      <c r="N271" s="575"/>
      <c r="O271" s="575"/>
      <c r="P271" s="575"/>
      <c r="Q271" s="575"/>
      <c r="R271" s="577"/>
      <c r="S271" s="575"/>
      <c r="T271" s="577"/>
      <c r="U271" s="624"/>
      <c r="V271" s="579" t="s">
        <v>1252</v>
      </c>
      <c r="W271" s="577" t="s">
        <v>375</v>
      </c>
      <c r="X271" s="579" t="s">
        <v>369</v>
      </c>
      <c r="Y271" s="1446">
        <v>200154133</v>
      </c>
      <c r="Z271" s="1446"/>
      <c r="AA271" s="624"/>
      <c r="AB271" s="577"/>
      <c r="AC271" s="577"/>
      <c r="AD271" s="575"/>
      <c r="AE271" s="577"/>
      <c r="AF271" s="577"/>
      <c r="AG271" s="577"/>
      <c r="AH271" s="626"/>
      <c r="AI271" s="581"/>
      <c r="AJ271" s="581"/>
      <c r="AK271" s="581"/>
      <c r="AL271" s="581">
        <f t="shared" ref="AL271" si="60">AD$267*AH271+SUM(AI271:AK271)</f>
        <v>0</v>
      </c>
      <c r="AM271" s="577" t="s">
        <v>92</v>
      </c>
      <c r="AN271" s="577" t="s">
        <v>92</v>
      </c>
      <c r="AO271" s="577" t="s">
        <v>92</v>
      </c>
      <c r="AP271" s="577" t="s">
        <v>81</v>
      </c>
      <c r="AQ271" s="577"/>
      <c r="AR271" s="140"/>
      <c r="AS271" s="139"/>
      <c r="AT271" s="139"/>
      <c r="AU271" s="139"/>
    </row>
    <row r="272" spans="1:47" ht="15" customHeight="1" thickBot="1" x14ac:dyDescent="0.45">
      <c r="B272" s="36"/>
      <c r="C272" s="36"/>
      <c r="D272" s="447" t="s">
        <v>1233</v>
      </c>
      <c r="E272" s="155"/>
      <c r="F272" s="155"/>
      <c r="G272" s="7"/>
      <c r="H272" s="20"/>
      <c r="I272" s="3" t="s">
        <v>392</v>
      </c>
      <c r="J272" s="3" t="s">
        <v>346</v>
      </c>
      <c r="K272" s="3">
        <v>2</v>
      </c>
      <c r="L272" s="3" t="s">
        <v>348</v>
      </c>
      <c r="M272" s="5">
        <v>1.5</v>
      </c>
      <c r="P272" s="930" t="s">
        <v>348</v>
      </c>
      <c r="Q272" s="5" t="s">
        <v>2342</v>
      </c>
      <c r="R272" s="3" t="s">
        <v>352</v>
      </c>
      <c r="S272" s="5">
        <f>SL2Width/K272+M272+SL2SORnd</f>
        <v>25.25</v>
      </c>
      <c r="T272" s="3" t="s">
        <v>366</v>
      </c>
      <c r="U272" s="20"/>
      <c r="V272" s="38"/>
      <c r="X272" s="38"/>
      <c r="Y272" s="41"/>
      <c r="Z272" s="41"/>
      <c r="AA272" s="20"/>
      <c r="AE272" s="3"/>
      <c r="AF272" s="3"/>
      <c r="AG272" s="3"/>
      <c r="AH272" s="39"/>
      <c r="AI272" s="39"/>
      <c r="AJ272" s="39"/>
      <c r="AK272" s="39"/>
      <c r="AM272" s="889" t="s">
        <v>92</v>
      </c>
      <c r="AN272" s="889" t="s">
        <v>92</v>
      </c>
      <c r="AO272" s="889" t="s">
        <v>92</v>
      </c>
      <c r="AP272" s="889" t="s">
        <v>92</v>
      </c>
      <c r="AQ272" s="889"/>
      <c r="AR272" s="140"/>
      <c r="AS272" s="139"/>
      <c r="AT272" s="139"/>
      <c r="AU272" s="139"/>
    </row>
    <row r="273" spans="1:47" ht="15" customHeight="1" x14ac:dyDescent="0.4">
      <c r="A273" s="3" t="s">
        <v>473</v>
      </c>
      <c r="B273" s="173" t="s">
        <v>474</v>
      </c>
      <c r="C273" s="114"/>
      <c r="D273" s="138"/>
      <c r="E273" s="138"/>
      <c r="F273" s="138"/>
      <c r="G273" s="173"/>
      <c r="H273" s="193"/>
      <c r="I273" s="448" t="s">
        <v>461</v>
      </c>
      <c r="J273" s="116"/>
      <c r="K273" s="116" t="s">
        <v>365</v>
      </c>
      <c r="L273" s="116" t="s">
        <v>465</v>
      </c>
      <c r="M273" s="178">
        <v>25</v>
      </c>
      <c r="N273" s="177"/>
      <c r="O273" s="177"/>
      <c r="P273" s="177"/>
      <c r="Q273" s="177"/>
      <c r="R273" s="381"/>
      <c r="S273" s="177"/>
      <c r="T273" s="381"/>
      <c r="U273" s="193"/>
      <c r="V273" s="179"/>
      <c r="W273" s="116"/>
      <c r="X273" s="179"/>
      <c r="Y273" s="116"/>
      <c r="Z273" s="116"/>
      <c r="AA273" s="193"/>
      <c r="AB273" s="116"/>
      <c r="AC273" s="480"/>
      <c r="AD273" s="177"/>
      <c r="AE273" s="177"/>
      <c r="AF273" s="177"/>
      <c r="AG273" s="177"/>
      <c r="AH273" s="481"/>
      <c r="AI273" s="180"/>
      <c r="AJ273" s="180"/>
      <c r="AK273" s="180"/>
      <c r="AL273" s="481"/>
      <c r="AM273" s="3" t="s">
        <v>92</v>
      </c>
      <c r="AN273" s="3" t="s">
        <v>92</v>
      </c>
      <c r="AO273" s="3" t="s">
        <v>92</v>
      </c>
      <c r="AP273" s="3" t="s">
        <v>92</v>
      </c>
      <c r="AR273" s="139"/>
      <c r="AS273" s="139"/>
      <c r="AT273" s="139"/>
      <c r="AU273" s="139"/>
    </row>
    <row r="274" spans="1:47" ht="15" customHeight="1" x14ac:dyDescent="0.4">
      <c r="B274" s="36"/>
      <c r="C274" s="3"/>
      <c r="D274" s="3"/>
      <c r="E274" s="3"/>
      <c r="F274" s="3"/>
      <c r="G274" s="42" t="s">
        <v>466</v>
      </c>
      <c r="H274" s="20"/>
      <c r="I274" s="577" t="s">
        <v>392</v>
      </c>
      <c r="J274" s="579" t="s">
        <v>346</v>
      </c>
      <c r="K274" s="577">
        <v>2</v>
      </c>
      <c r="L274" s="577" t="s">
        <v>348</v>
      </c>
      <c r="M274" s="790">
        <v>-2.5</v>
      </c>
      <c r="N274" s="575"/>
      <c r="O274" s="575"/>
      <c r="P274" s="577"/>
      <c r="Q274" s="575"/>
      <c r="R274" s="577" t="s">
        <v>352</v>
      </c>
      <c r="S274" s="625">
        <f>SL2Height/K274+M274</f>
        <v>21.25</v>
      </c>
      <c r="T274" s="577" t="s">
        <v>366</v>
      </c>
      <c r="U274" s="20"/>
      <c r="V274" s="438" t="str">
        <f>IF(SL2Height&lt;M273,"√","")</f>
        <v/>
      </c>
      <c r="W274" s="7"/>
      <c r="X274" s="7"/>
      <c r="AA274" s="20"/>
      <c r="AE274" s="3"/>
      <c r="AF274" s="38"/>
      <c r="AG274" s="3"/>
      <c r="AH274" s="39"/>
      <c r="AI274" s="39"/>
      <c r="AJ274" s="39"/>
      <c r="AK274" s="39"/>
      <c r="AM274" s="3" t="s">
        <v>92</v>
      </c>
      <c r="AN274" s="3" t="s">
        <v>92</v>
      </c>
      <c r="AO274" s="3" t="s">
        <v>92</v>
      </c>
      <c r="AP274" s="3" t="s">
        <v>92</v>
      </c>
      <c r="AR274" s="139"/>
      <c r="AS274" s="139"/>
      <c r="AT274" s="139"/>
      <c r="AU274" s="139"/>
    </row>
    <row r="275" spans="1:47" ht="15" customHeight="1" x14ac:dyDescent="0.4">
      <c r="B275" s="36"/>
      <c r="C275" s="3"/>
      <c r="D275" s="3"/>
      <c r="E275" s="3"/>
      <c r="F275" s="3"/>
      <c r="G275" s="7"/>
      <c r="H275" s="20"/>
      <c r="I275" s="36" t="s">
        <v>464</v>
      </c>
      <c r="J275" s="38"/>
      <c r="K275" s="3" t="s">
        <v>365</v>
      </c>
      <c r="L275" s="3" t="s">
        <v>463</v>
      </c>
      <c r="M275" s="5">
        <f>M273</f>
        <v>25</v>
      </c>
      <c r="N275" s="5" t="s">
        <v>747</v>
      </c>
      <c r="O275" s="5">
        <v>38</v>
      </c>
      <c r="P275" s="3"/>
      <c r="U275" s="20"/>
      <c r="V275" s="7"/>
      <c r="W275" s="7"/>
      <c r="X275" s="7"/>
      <c r="AA275" s="20"/>
      <c r="AE275" s="3"/>
      <c r="AF275" s="38"/>
      <c r="AG275" s="3"/>
      <c r="AH275" s="39"/>
      <c r="AI275" s="39"/>
      <c r="AJ275" s="39"/>
      <c r="AK275" s="39"/>
      <c r="AM275" s="3" t="s">
        <v>92</v>
      </c>
      <c r="AN275" s="3" t="s">
        <v>92</v>
      </c>
      <c r="AO275" s="3" t="s">
        <v>92</v>
      </c>
      <c r="AP275" s="3" t="s">
        <v>92</v>
      </c>
      <c r="AR275" s="139"/>
      <c r="AS275" s="139"/>
      <c r="AT275" s="139"/>
      <c r="AU275" s="139"/>
    </row>
    <row r="276" spans="1:47" ht="15" customHeight="1" x14ac:dyDescent="0.4">
      <c r="B276" s="36"/>
      <c r="C276" s="3"/>
      <c r="D276" s="3"/>
      <c r="E276" s="3"/>
      <c r="F276" s="3"/>
      <c r="G276" s="7"/>
      <c r="H276" s="20"/>
      <c r="I276" s="577"/>
      <c r="J276" s="579"/>
      <c r="K276" s="577"/>
      <c r="L276" s="577"/>
      <c r="M276" s="791">
        <v>7.0629999999999997</v>
      </c>
      <c r="N276" s="575"/>
      <c r="O276" s="575"/>
      <c r="P276" s="577"/>
      <c r="Q276" s="575"/>
      <c r="R276" s="577" t="s">
        <v>352</v>
      </c>
      <c r="S276" s="625">
        <f>M276</f>
        <v>7.0629999999999997</v>
      </c>
      <c r="T276" s="577" t="s">
        <v>366</v>
      </c>
      <c r="U276" s="20"/>
      <c r="V276" s="438" t="str">
        <f>IF(AND(SL2Height&gt;=M275,SL2Height&lt;=O275),"√","")</f>
        <v/>
      </c>
      <c r="W276" s="7"/>
      <c r="X276" s="7"/>
      <c r="AA276" s="20"/>
      <c r="AE276" s="3"/>
      <c r="AF276" s="38"/>
      <c r="AG276" s="3"/>
      <c r="AH276" s="39"/>
      <c r="AI276" s="39"/>
      <c r="AJ276" s="39"/>
      <c r="AK276" s="39"/>
      <c r="AM276" s="3" t="s">
        <v>92</v>
      </c>
      <c r="AN276" s="3" t="s">
        <v>92</v>
      </c>
      <c r="AO276" s="3" t="s">
        <v>92</v>
      </c>
      <c r="AP276" s="3" t="s">
        <v>92</v>
      </c>
      <c r="AR276" s="139"/>
      <c r="AS276" s="139"/>
      <c r="AT276" s="139"/>
      <c r="AU276" s="139"/>
    </row>
    <row r="277" spans="1:47" ht="15" customHeight="1" x14ac:dyDescent="0.4">
      <c r="B277" s="36"/>
      <c r="C277" s="3"/>
      <c r="D277" s="3"/>
      <c r="E277" s="3"/>
      <c r="F277" s="3"/>
      <c r="G277" s="7"/>
      <c r="I277" s="36" t="s">
        <v>464</v>
      </c>
      <c r="J277" s="38"/>
      <c r="K277" s="3" t="s">
        <v>365</v>
      </c>
      <c r="L277" s="3" t="s">
        <v>1234</v>
      </c>
      <c r="M277" s="5">
        <f>O275</f>
        <v>38</v>
      </c>
      <c r="R277" s="376"/>
      <c r="T277" s="376"/>
      <c r="V277" s="38"/>
      <c r="X277" s="38"/>
      <c r="AC277" s="42"/>
      <c r="AH277" s="477"/>
      <c r="AI277" s="39"/>
      <c r="AJ277" s="39"/>
      <c r="AK277" s="39"/>
      <c r="AL277" s="477"/>
      <c r="AM277" s="3" t="s">
        <v>92</v>
      </c>
      <c r="AN277" s="3" t="s">
        <v>92</v>
      </c>
      <c r="AO277" s="3" t="s">
        <v>92</v>
      </c>
      <c r="AP277" s="3" t="s">
        <v>92</v>
      </c>
      <c r="AR277" s="139"/>
      <c r="AS277" s="139"/>
      <c r="AT277" s="139"/>
      <c r="AU277" s="139"/>
    </row>
    <row r="278" spans="1:47" ht="15" customHeight="1" thickBot="1" x14ac:dyDescent="0.45">
      <c r="B278" s="36"/>
      <c r="C278" s="3"/>
      <c r="D278" s="3"/>
      <c r="E278" s="3"/>
      <c r="F278" s="3"/>
      <c r="G278" s="7"/>
      <c r="H278" s="20"/>
      <c r="J278" s="38"/>
      <c r="M278" s="555">
        <f>M276+4</f>
        <v>11.062999999999999</v>
      </c>
      <c r="P278" s="3"/>
      <c r="R278" s="3" t="s">
        <v>352</v>
      </c>
      <c r="S278" s="24">
        <f>M278</f>
        <v>11.062999999999999</v>
      </c>
      <c r="T278" s="3" t="s">
        <v>366</v>
      </c>
      <c r="U278" s="20"/>
      <c r="V278" s="438" t="str">
        <f>IF(SL2Height&gt;M277,"√","")</f>
        <v>√</v>
      </c>
      <c r="W278" s="7"/>
      <c r="X278" s="7"/>
      <c r="AA278" s="20"/>
      <c r="AE278" s="3"/>
      <c r="AF278" s="38"/>
      <c r="AG278" s="3"/>
      <c r="AH278" s="39"/>
      <c r="AI278" s="39"/>
      <c r="AJ278" s="39"/>
      <c r="AK278" s="39"/>
      <c r="AM278" s="889" t="s">
        <v>92</v>
      </c>
      <c r="AN278" s="889" t="s">
        <v>92</v>
      </c>
      <c r="AO278" s="889" t="s">
        <v>92</v>
      </c>
      <c r="AP278" s="889" t="s">
        <v>92</v>
      </c>
      <c r="AQ278" s="889"/>
      <c r="AR278" s="139"/>
      <c r="AS278" s="139"/>
      <c r="AT278" s="139"/>
      <c r="AU278" s="139"/>
    </row>
    <row r="279" spans="1:47" ht="15" customHeight="1" x14ac:dyDescent="0.4">
      <c r="A279" s="3" t="s">
        <v>1235</v>
      </c>
      <c r="B279" s="173" t="s">
        <v>1236</v>
      </c>
      <c r="C279" s="114"/>
      <c r="D279" s="182"/>
      <c r="E279" s="182"/>
      <c r="F279" s="182"/>
      <c r="G279" s="173"/>
      <c r="H279" s="193"/>
      <c r="I279" s="116" t="s">
        <v>392</v>
      </c>
      <c r="J279" s="116" t="s">
        <v>346</v>
      </c>
      <c r="K279" s="116">
        <v>2</v>
      </c>
      <c r="L279" s="116" t="s">
        <v>348</v>
      </c>
      <c r="M279" s="792">
        <v>-2.5939999999999999</v>
      </c>
      <c r="N279" s="177"/>
      <c r="O279" s="177"/>
      <c r="P279" s="177" t="s">
        <v>348</v>
      </c>
      <c r="Q279" s="177" t="s">
        <v>2342</v>
      </c>
      <c r="R279" s="116" t="s">
        <v>352</v>
      </c>
      <c r="S279" s="177">
        <f>SL2Width/K279+M279+SL2SORnd</f>
        <v>21.155999999999999</v>
      </c>
      <c r="T279" s="116" t="s">
        <v>366</v>
      </c>
      <c r="U279" s="193"/>
      <c r="V279" s="138"/>
      <c r="W279" s="138"/>
      <c r="X279" s="138"/>
      <c r="Y279" s="1449"/>
      <c r="Z279" s="1449"/>
      <c r="AA279" s="193"/>
      <c r="AB279" s="116">
        <v>45</v>
      </c>
      <c r="AC279" s="116">
        <v>2</v>
      </c>
      <c r="AD279" s="177">
        <f>AC279*S279/12</f>
        <v>3.5259999999999998</v>
      </c>
      <c r="AE279" s="116" t="s">
        <v>367</v>
      </c>
      <c r="AF279" s="179">
        <f>AF309</f>
        <v>2.8000000000000001E-2</v>
      </c>
      <c r="AG279" s="177">
        <f>AF279*AtolbperftSL2</f>
        <v>1.771E-2</v>
      </c>
      <c r="AH279" s="185"/>
      <c r="AI279" s="185"/>
      <c r="AJ279" s="185"/>
      <c r="AK279" s="185"/>
      <c r="AL279" s="180"/>
      <c r="AM279" s="3" t="s">
        <v>81</v>
      </c>
      <c r="AN279" s="3" t="s">
        <v>81</v>
      </c>
      <c r="AO279" s="3" t="s">
        <v>81</v>
      </c>
      <c r="AP279" s="3" t="s">
        <v>92</v>
      </c>
      <c r="AR279" s="139"/>
      <c r="AS279" s="139"/>
      <c r="AT279" s="139"/>
      <c r="AU279" s="139"/>
    </row>
    <row r="280" spans="1:47" ht="15" customHeight="1" x14ac:dyDescent="0.4">
      <c r="B280" s="36"/>
      <c r="C280" s="7"/>
      <c r="D280" s="7"/>
      <c r="E280" s="7"/>
      <c r="F280" s="7"/>
      <c r="G280" s="7"/>
      <c r="V280" s="38" t="s">
        <v>369</v>
      </c>
      <c r="W280" s="3" t="s">
        <v>370</v>
      </c>
      <c r="X280" s="38" t="s">
        <v>369</v>
      </c>
      <c r="Y280" s="1443">
        <v>200170003</v>
      </c>
      <c r="Z280" s="1443"/>
      <c r="AE280" s="3"/>
      <c r="AF280" s="38"/>
      <c r="AH280" s="51">
        <f>AH310</f>
        <v>5.4600000000000003E-2</v>
      </c>
      <c r="AI280" s="39"/>
      <c r="AJ280" s="39"/>
      <c r="AK280" s="39"/>
      <c r="AL280" s="39">
        <f>AD$279*AH280+SUM(AI280:AK280)</f>
        <v>0.19251959999999999</v>
      </c>
      <c r="AM280" s="3" t="s">
        <v>81</v>
      </c>
      <c r="AN280" s="3" t="s">
        <v>81</v>
      </c>
      <c r="AO280" s="3" t="s">
        <v>81</v>
      </c>
      <c r="AP280" s="3" t="s">
        <v>92</v>
      </c>
      <c r="AR280" s="139"/>
      <c r="AS280" s="139"/>
      <c r="AT280" s="139"/>
      <c r="AU280" s="139"/>
    </row>
    <row r="281" spans="1:47" ht="15" customHeight="1" x14ac:dyDescent="0.4">
      <c r="B281" s="1947" t="s">
        <v>2393</v>
      </c>
      <c r="D281" s="7"/>
      <c r="E281" s="7"/>
      <c r="F281" s="7"/>
      <c r="G281" s="7"/>
      <c r="V281" s="38" t="s">
        <v>369</v>
      </c>
      <c r="W281" s="3" t="s">
        <v>372</v>
      </c>
      <c r="X281" s="38" t="s">
        <v>369</v>
      </c>
      <c r="Y281" s="1443">
        <v>200170021</v>
      </c>
      <c r="Z281" s="1443"/>
      <c r="AE281" s="3"/>
      <c r="AF281" s="38"/>
      <c r="AH281" s="51">
        <f>AH311</f>
        <v>5.74E-2</v>
      </c>
      <c r="AI281" s="39"/>
      <c r="AJ281" s="39"/>
      <c r="AK281" s="39"/>
      <c r="AL281" s="39">
        <f>AD$279*AH281+SUM(AI281:AK281)</f>
        <v>0.2023924</v>
      </c>
      <c r="AM281" s="3" t="s">
        <v>371</v>
      </c>
      <c r="AN281" s="3" t="s">
        <v>371</v>
      </c>
      <c r="AO281" s="3" t="s">
        <v>371</v>
      </c>
      <c r="AP281" s="3" t="s">
        <v>92</v>
      </c>
      <c r="AR281" s="139"/>
      <c r="AS281" s="139"/>
      <c r="AT281" s="139"/>
      <c r="AU281" s="139"/>
    </row>
    <row r="282" spans="1:47" ht="15" customHeight="1" x14ac:dyDescent="0.4">
      <c r="B282" s="36"/>
      <c r="D282" s="7"/>
      <c r="E282" s="7"/>
      <c r="F282" s="7"/>
      <c r="G282" s="7"/>
      <c r="V282" s="38" t="s">
        <v>369</v>
      </c>
      <c r="W282" s="3" t="s">
        <v>373</v>
      </c>
      <c r="X282" s="38" t="s">
        <v>369</v>
      </c>
      <c r="Y282" s="1443">
        <v>200170033</v>
      </c>
      <c r="Z282" s="1443"/>
      <c r="AE282" s="3"/>
      <c r="AF282" s="38"/>
      <c r="AH282" s="51">
        <f>AH312</f>
        <v>5.8000000000000003E-2</v>
      </c>
      <c r="AI282" s="39"/>
      <c r="AJ282" s="39"/>
      <c r="AK282" s="39"/>
      <c r="AL282" s="39">
        <f>AD$279*AH282+SUM(AI282:AK282)</f>
        <v>0.204508</v>
      </c>
      <c r="AM282" s="3" t="s">
        <v>371</v>
      </c>
      <c r="AN282" s="3" t="s">
        <v>371</v>
      </c>
      <c r="AO282" s="3" t="s">
        <v>371</v>
      </c>
      <c r="AP282" s="3" t="s">
        <v>92</v>
      </c>
      <c r="AR282" s="139"/>
      <c r="AS282" s="139"/>
      <c r="AT282" s="139"/>
      <c r="AU282" s="139"/>
    </row>
    <row r="283" spans="1:47" ht="15" customHeight="1" x14ac:dyDescent="0.4">
      <c r="B283" s="36"/>
      <c r="D283" s="7"/>
      <c r="E283" s="7"/>
      <c r="F283" s="7"/>
      <c r="G283" s="7"/>
      <c r="V283" s="279" t="s">
        <v>369</v>
      </c>
      <c r="W283" s="112" t="s">
        <v>1849</v>
      </c>
      <c r="X283" s="279" t="s">
        <v>369</v>
      </c>
      <c r="Y283" s="1871">
        <v>200170148</v>
      </c>
      <c r="Z283" s="1443"/>
      <c r="AE283" s="3"/>
      <c r="AF283" s="38"/>
      <c r="AH283" s="51">
        <v>0</v>
      </c>
      <c r="AI283" s="39"/>
      <c r="AJ283" s="39"/>
      <c r="AK283" s="39"/>
      <c r="AL283" s="39">
        <f>AD$279*AH283+SUM(AI283:AK283)</f>
        <v>0</v>
      </c>
      <c r="AM283" s="3" t="s">
        <v>371</v>
      </c>
      <c r="AN283" s="3" t="s">
        <v>371</v>
      </c>
      <c r="AO283" s="3" t="s">
        <v>371</v>
      </c>
      <c r="AP283" s="3" t="s">
        <v>92</v>
      </c>
      <c r="AR283" s="139"/>
      <c r="AS283" s="139"/>
      <c r="AT283" s="139"/>
      <c r="AU283" s="139"/>
    </row>
    <row r="284" spans="1:47" ht="15" customHeight="1" thickBot="1" x14ac:dyDescent="0.45">
      <c r="B284" s="36"/>
      <c r="D284" s="7"/>
      <c r="E284" s="7"/>
      <c r="F284" s="7"/>
      <c r="G284" s="7"/>
      <c r="V284" s="1876" t="s">
        <v>369</v>
      </c>
      <c r="W284" s="1877" t="s">
        <v>375</v>
      </c>
      <c r="X284" s="1876" t="s">
        <v>369</v>
      </c>
      <c r="Y284" s="1878">
        <v>200170133</v>
      </c>
      <c r="Z284" s="1444"/>
      <c r="AA284" s="948"/>
      <c r="AB284" s="889"/>
      <c r="AC284" s="889"/>
      <c r="AD284" s="945"/>
      <c r="AE284" s="889"/>
      <c r="AF284" s="888"/>
      <c r="AG284" s="945"/>
      <c r="AH284" s="937">
        <v>0</v>
      </c>
      <c r="AI284" s="947"/>
      <c r="AJ284" s="947"/>
      <c r="AK284" s="947"/>
      <c r="AL284" s="947">
        <f>AD$279*AH284+SUM(AI284:AK284)</f>
        <v>0</v>
      </c>
      <c r="AM284" s="889" t="s">
        <v>92</v>
      </c>
      <c r="AN284" s="889" t="s">
        <v>92</v>
      </c>
      <c r="AO284" s="889" t="s">
        <v>92</v>
      </c>
      <c r="AP284" s="889" t="s">
        <v>81</v>
      </c>
      <c r="AQ284" s="889"/>
      <c r="AR284" s="139"/>
      <c r="AS284" s="139"/>
      <c r="AT284" s="139"/>
      <c r="AU284" s="139"/>
    </row>
    <row r="285" spans="1:47" ht="15" customHeight="1" x14ac:dyDescent="0.4">
      <c r="A285" s="3" t="s">
        <v>1166</v>
      </c>
      <c r="B285" s="173" t="s">
        <v>1167</v>
      </c>
      <c r="C285" s="114"/>
      <c r="D285" s="182"/>
      <c r="E285" s="182"/>
      <c r="F285" s="182"/>
      <c r="G285" s="173"/>
      <c r="H285" s="193"/>
      <c r="I285" s="116" t="s">
        <v>392</v>
      </c>
      <c r="J285" s="116" t="s">
        <v>346</v>
      </c>
      <c r="K285" s="116">
        <v>2</v>
      </c>
      <c r="L285" s="116" t="s">
        <v>348</v>
      </c>
      <c r="M285" s="792">
        <v>-2.657</v>
      </c>
      <c r="N285" s="177"/>
      <c r="O285" s="177"/>
      <c r="P285" s="177" t="s">
        <v>348</v>
      </c>
      <c r="Q285" s="177" t="s">
        <v>2342</v>
      </c>
      <c r="R285" s="116" t="s">
        <v>352</v>
      </c>
      <c r="S285" s="177">
        <f>SL2Width/K285+M285+SL2SORnd</f>
        <v>21.093</v>
      </c>
      <c r="T285" s="116" t="s">
        <v>366</v>
      </c>
      <c r="U285" s="193"/>
      <c r="V285" s="138"/>
      <c r="W285" s="138"/>
      <c r="X285" s="138"/>
      <c r="Y285" s="1449"/>
      <c r="Z285" s="1449"/>
      <c r="AA285" s="193"/>
      <c r="AB285" s="116">
        <v>45</v>
      </c>
      <c r="AC285" s="116">
        <v>1</v>
      </c>
      <c r="AD285" s="177">
        <f>AC285*S285/12</f>
        <v>1.7577499999999999</v>
      </c>
      <c r="AE285" s="116" t="s">
        <v>367</v>
      </c>
      <c r="AF285" s="116">
        <f>AF315</f>
        <v>4.3999999999999997E-2</v>
      </c>
      <c r="AG285" s="177">
        <f>AF285*AtolbperftSL2</f>
        <v>2.7829999999999997E-2</v>
      </c>
      <c r="AH285" s="185"/>
      <c r="AI285" s="185"/>
      <c r="AJ285" s="185"/>
      <c r="AK285" s="185"/>
      <c r="AL285" s="180"/>
      <c r="AM285" s="3" t="s">
        <v>371</v>
      </c>
      <c r="AN285" s="3" t="s">
        <v>371</v>
      </c>
      <c r="AO285" s="3" t="s">
        <v>371</v>
      </c>
      <c r="AP285" s="3" t="s">
        <v>92</v>
      </c>
      <c r="AR285" s="139"/>
      <c r="AS285" s="139"/>
      <c r="AT285" s="139"/>
      <c r="AU285" s="139"/>
    </row>
    <row r="286" spans="1:47" ht="15" customHeight="1" x14ac:dyDescent="0.4">
      <c r="B286" s="36"/>
      <c r="C286" s="7"/>
      <c r="D286" s="7"/>
      <c r="E286" s="7"/>
      <c r="F286" s="7"/>
      <c r="G286" s="7"/>
      <c r="V286" s="38" t="s">
        <v>369</v>
      </c>
      <c r="W286" s="3" t="s">
        <v>370</v>
      </c>
      <c r="X286" s="38" t="s">
        <v>369</v>
      </c>
      <c r="Y286" s="1443">
        <v>200171003</v>
      </c>
      <c r="Z286" s="1443"/>
      <c r="AE286" s="3"/>
      <c r="AF286" s="38"/>
      <c r="AH286" s="51">
        <f>AH316</f>
        <v>5.7099999999999998E-2</v>
      </c>
      <c r="AI286" s="39"/>
      <c r="AJ286" s="39"/>
      <c r="AK286" s="39"/>
      <c r="AL286" s="39">
        <f>AD$285*AH286+SUM(AI286:AK286)</f>
        <v>0.10036752499999999</v>
      </c>
      <c r="AM286" s="3" t="s">
        <v>371</v>
      </c>
      <c r="AN286" s="3" t="s">
        <v>371</v>
      </c>
      <c r="AO286" s="3" t="s">
        <v>371</v>
      </c>
      <c r="AP286" s="3" t="s">
        <v>92</v>
      </c>
      <c r="AR286" s="139"/>
      <c r="AS286" s="139"/>
      <c r="AT286" s="139"/>
      <c r="AU286" s="139"/>
    </row>
    <row r="287" spans="1:47" ht="15" customHeight="1" x14ac:dyDescent="0.4">
      <c r="B287" s="36"/>
      <c r="D287" s="7"/>
      <c r="E287" s="7"/>
      <c r="F287" s="7"/>
      <c r="G287" s="7"/>
      <c r="V287" s="38" t="s">
        <v>369</v>
      </c>
      <c r="W287" s="3" t="s">
        <v>372</v>
      </c>
      <c r="X287" s="38" t="s">
        <v>369</v>
      </c>
      <c r="Y287" s="1443">
        <v>200171021</v>
      </c>
      <c r="Z287" s="1443"/>
      <c r="AE287" s="3"/>
      <c r="AF287" s="38"/>
      <c r="AH287" s="51">
        <f>AH317</f>
        <v>6.1199999999999997E-2</v>
      </c>
      <c r="AI287" s="39"/>
      <c r="AJ287" s="39"/>
      <c r="AK287" s="39"/>
      <c r="AL287" s="39">
        <f>AD$285*AH287+SUM(AI287:AK287)</f>
        <v>0.1075743</v>
      </c>
      <c r="AM287" s="3" t="s">
        <v>371</v>
      </c>
      <c r="AN287" s="3" t="s">
        <v>371</v>
      </c>
      <c r="AO287" s="3" t="s">
        <v>371</v>
      </c>
      <c r="AP287" s="3" t="s">
        <v>92</v>
      </c>
      <c r="AR287" s="139"/>
      <c r="AS287" s="139"/>
      <c r="AT287" s="139"/>
      <c r="AU287" s="139"/>
    </row>
    <row r="288" spans="1:47" ht="15" customHeight="1" x14ac:dyDescent="0.4">
      <c r="B288" s="36"/>
      <c r="D288" s="7"/>
      <c r="E288" s="7"/>
      <c r="F288" s="7"/>
      <c r="G288" s="7"/>
      <c r="V288" s="38" t="s">
        <v>369</v>
      </c>
      <c r="W288" s="3" t="s">
        <v>373</v>
      </c>
      <c r="X288" s="38" t="s">
        <v>369</v>
      </c>
      <c r="Y288" s="1443">
        <v>200171033</v>
      </c>
      <c r="Z288" s="1443"/>
      <c r="AE288" s="3"/>
      <c r="AF288" s="38"/>
      <c r="AH288" s="51">
        <f>AH318</f>
        <v>6.2199999999999998E-2</v>
      </c>
      <c r="AI288" s="39"/>
      <c r="AJ288" s="39"/>
      <c r="AK288" s="39"/>
      <c r="AL288" s="39">
        <f>AD$285*AH288+SUM(AI288:AK288)</f>
        <v>0.10933204999999999</v>
      </c>
      <c r="AM288" s="3" t="s">
        <v>371</v>
      </c>
      <c r="AN288" s="3" t="s">
        <v>371</v>
      </c>
      <c r="AO288" s="3" t="s">
        <v>371</v>
      </c>
      <c r="AP288" s="3" t="s">
        <v>92</v>
      </c>
      <c r="AR288" s="139"/>
      <c r="AS288" s="139"/>
      <c r="AT288" s="139"/>
      <c r="AU288" s="139"/>
    </row>
    <row r="289" spans="1:47" ht="15" customHeight="1" x14ac:dyDescent="0.4">
      <c r="B289" s="36"/>
      <c r="D289" s="7"/>
      <c r="E289" s="7"/>
      <c r="F289" s="7"/>
      <c r="G289" s="7"/>
      <c r="V289" s="279" t="s">
        <v>369</v>
      </c>
      <c r="W289" s="112" t="s">
        <v>1849</v>
      </c>
      <c r="X289" s="279" t="s">
        <v>369</v>
      </c>
      <c r="Y289" s="1871">
        <v>200171148</v>
      </c>
      <c r="Z289" s="1443"/>
      <c r="AE289" s="3"/>
      <c r="AF289" s="38"/>
      <c r="AH289" s="51">
        <v>0</v>
      </c>
      <c r="AI289" s="39"/>
      <c r="AJ289" s="39"/>
      <c r="AK289" s="39"/>
      <c r="AL289" s="39">
        <f>AD$285*AH289+SUM(AI289:AK289)</f>
        <v>0</v>
      </c>
      <c r="AM289" s="3" t="s">
        <v>371</v>
      </c>
      <c r="AN289" s="3" t="s">
        <v>371</v>
      </c>
      <c r="AO289" s="3" t="s">
        <v>371</v>
      </c>
      <c r="AP289" s="3" t="s">
        <v>92</v>
      </c>
      <c r="AR289" s="139"/>
      <c r="AS289" s="139"/>
      <c r="AT289" s="139"/>
      <c r="AU289" s="139"/>
    </row>
    <row r="290" spans="1:47" ht="15" customHeight="1" thickBot="1" x14ac:dyDescent="0.45">
      <c r="B290" s="943"/>
      <c r="C290" s="949"/>
      <c r="D290" s="924"/>
      <c r="E290" s="924"/>
      <c r="F290" s="924"/>
      <c r="G290" s="924"/>
      <c r="H290" s="948"/>
      <c r="I290" s="889"/>
      <c r="J290" s="889"/>
      <c r="K290" s="889"/>
      <c r="L290" s="889"/>
      <c r="M290" s="945"/>
      <c r="N290" s="945"/>
      <c r="O290" s="945"/>
      <c r="P290" s="945"/>
      <c r="Q290" s="945"/>
      <c r="R290" s="889"/>
      <c r="S290" s="945"/>
      <c r="T290" s="889"/>
      <c r="U290" s="948"/>
      <c r="V290" s="888" t="s">
        <v>369</v>
      </c>
      <c r="W290" s="889" t="s">
        <v>375</v>
      </c>
      <c r="X290" s="888" t="s">
        <v>369</v>
      </c>
      <c r="Y290" s="1444">
        <v>200171133</v>
      </c>
      <c r="Z290" s="1444"/>
      <c r="AA290" s="948"/>
      <c r="AB290" s="889"/>
      <c r="AC290" s="889"/>
      <c r="AD290" s="945"/>
      <c r="AE290" s="889"/>
      <c r="AF290" s="888"/>
      <c r="AG290" s="945"/>
      <c r="AH290" s="937">
        <v>1</v>
      </c>
      <c r="AI290" s="947"/>
      <c r="AJ290" s="947"/>
      <c r="AK290" s="947"/>
      <c r="AL290" s="947">
        <f>AD$285*AH290+SUM(AI290:AK290)</f>
        <v>1.7577499999999999</v>
      </c>
      <c r="AM290" s="889" t="s">
        <v>92</v>
      </c>
      <c r="AN290" s="889" t="s">
        <v>92</v>
      </c>
      <c r="AO290" s="889" t="s">
        <v>92</v>
      </c>
      <c r="AP290" s="889" t="s">
        <v>371</v>
      </c>
      <c r="AQ290" s="889"/>
      <c r="AR290" s="139"/>
      <c r="AS290" s="139"/>
      <c r="AT290" s="139"/>
      <c r="AU290" s="139"/>
    </row>
    <row r="291" spans="1:47" ht="15" customHeight="1" x14ac:dyDescent="0.4">
      <c r="B291" s="7" t="s">
        <v>1168</v>
      </c>
      <c r="D291" s="7"/>
      <c r="E291" s="7"/>
      <c r="F291" s="7"/>
      <c r="G291" s="7"/>
      <c r="I291" s="3" t="s">
        <v>392</v>
      </c>
      <c r="J291" s="3" t="s">
        <v>346</v>
      </c>
      <c r="K291" s="3">
        <v>2</v>
      </c>
      <c r="L291" s="3" t="s">
        <v>348</v>
      </c>
      <c r="M291" s="350">
        <v>-2.657</v>
      </c>
      <c r="P291" s="5" t="s">
        <v>348</v>
      </c>
      <c r="Q291" s="5" t="s">
        <v>2342</v>
      </c>
      <c r="R291" s="3" t="s">
        <v>352</v>
      </c>
      <c r="S291" s="5">
        <f>SL2Width/K291+M291+SL2SORnd</f>
        <v>21.093</v>
      </c>
      <c r="T291" s="3" t="s">
        <v>366</v>
      </c>
      <c r="V291" s="38"/>
      <c r="X291" s="38"/>
      <c r="Y291" s="1443"/>
      <c r="Z291" s="1443"/>
      <c r="AB291" s="3">
        <v>45</v>
      </c>
      <c r="AC291" s="3">
        <v>1</v>
      </c>
      <c r="AD291" s="5">
        <f>AC291*S291/12</f>
        <v>1.7577499999999999</v>
      </c>
      <c r="AE291" s="3" t="s">
        <v>367</v>
      </c>
      <c r="AF291" s="38">
        <f>AF321</f>
        <v>4.1000000000000002E-2</v>
      </c>
      <c r="AG291" s="5">
        <f>AF291*AtolbperftSL2</f>
        <v>2.5932500000000001E-2</v>
      </c>
      <c r="AH291" s="39"/>
      <c r="AI291" s="39"/>
      <c r="AJ291" s="39"/>
      <c r="AK291" s="39"/>
      <c r="AM291" s="3" t="s">
        <v>371</v>
      </c>
      <c r="AN291" s="3" t="s">
        <v>371</v>
      </c>
      <c r="AO291" s="3" t="s">
        <v>371</v>
      </c>
      <c r="AP291" s="3" t="s">
        <v>92</v>
      </c>
      <c r="AR291" s="139"/>
      <c r="AS291" s="139"/>
      <c r="AT291" s="139"/>
      <c r="AU291" s="139"/>
    </row>
    <row r="292" spans="1:47" ht="15" customHeight="1" x14ac:dyDescent="0.4">
      <c r="B292" s="36"/>
      <c r="D292" s="7"/>
      <c r="E292" s="7"/>
      <c r="F292" s="7"/>
      <c r="G292" s="7"/>
      <c r="V292" s="38" t="s">
        <v>369</v>
      </c>
      <c r="W292" s="3" t="s">
        <v>370</v>
      </c>
      <c r="X292" s="38" t="s">
        <v>369</v>
      </c>
      <c r="Y292" s="1443">
        <v>200190003</v>
      </c>
      <c r="Z292" s="1443"/>
      <c r="AE292" s="3"/>
      <c r="AF292" s="38"/>
      <c r="AH292" s="51">
        <f>AH322</f>
        <v>5.0599999999999999E-2</v>
      </c>
      <c r="AI292" s="39"/>
      <c r="AJ292" s="39"/>
      <c r="AK292" s="39"/>
      <c r="AL292" s="39">
        <f>AD$291*AH292+SUM(AI292:AK292)</f>
        <v>8.8942149999999998E-2</v>
      </c>
      <c r="AM292" s="3" t="s">
        <v>371</v>
      </c>
      <c r="AN292" s="3" t="s">
        <v>371</v>
      </c>
      <c r="AO292" s="3" t="s">
        <v>371</v>
      </c>
      <c r="AP292" s="3" t="s">
        <v>92</v>
      </c>
      <c r="AR292" s="139"/>
      <c r="AS292" s="139"/>
      <c r="AT292" s="139"/>
      <c r="AU292" s="139"/>
    </row>
    <row r="293" spans="1:47" ht="15" customHeight="1" x14ac:dyDescent="0.4">
      <c r="B293" s="36"/>
      <c r="D293" s="7"/>
      <c r="E293" s="7"/>
      <c r="F293" s="7"/>
      <c r="G293" s="7"/>
      <c r="V293" s="38" t="s">
        <v>369</v>
      </c>
      <c r="W293" s="3" t="s">
        <v>372</v>
      </c>
      <c r="X293" s="38" t="s">
        <v>369</v>
      </c>
      <c r="Y293" s="1443">
        <v>200190021</v>
      </c>
      <c r="Z293" s="1443"/>
      <c r="AE293" s="3"/>
      <c r="AF293" s="38"/>
      <c r="AH293" s="51">
        <f>AH323</f>
        <v>5.6800000000000003E-2</v>
      </c>
      <c r="AI293" s="39"/>
      <c r="AJ293" s="39"/>
      <c r="AK293" s="39"/>
      <c r="AL293" s="39">
        <f>AD$291*AH293+SUM(AI293:AK293)</f>
        <v>9.9840200000000004E-2</v>
      </c>
      <c r="AM293" s="3" t="s">
        <v>371</v>
      </c>
      <c r="AN293" s="3" t="s">
        <v>371</v>
      </c>
      <c r="AO293" s="3" t="s">
        <v>371</v>
      </c>
      <c r="AP293" s="3" t="s">
        <v>92</v>
      </c>
      <c r="AR293" s="139"/>
      <c r="AS293" s="139"/>
      <c r="AT293" s="139"/>
      <c r="AU293" s="139"/>
    </row>
    <row r="294" spans="1:47" ht="15" customHeight="1" x14ac:dyDescent="0.4">
      <c r="B294" s="36"/>
      <c r="D294" s="7"/>
      <c r="E294" s="7"/>
      <c r="F294" s="7"/>
      <c r="G294" s="7"/>
      <c r="V294" s="38" t="s">
        <v>369</v>
      </c>
      <c r="W294" s="3" t="s">
        <v>373</v>
      </c>
      <c r="X294" s="38" t="s">
        <v>369</v>
      </c>
      <c r="Y294" s="1443">
        <v>200190033</v>
      </c>
      <c r="Z294" s="1443"/>
      <c r="AE294" s="3"/>
      <c r="AF294" s="38"/>
      <c r="AH294" s="51">
        <f>AH324</f>
        <v>6.1600000000000002E-2</v>
      </c>
      <c r="AI294" s="39"/>
      <c r="AJ294" s="39"/>
      <c r="AK294" s="39"/>
      <c r="AL294" s="39">
        <f>AD$291*AH294+SUM(AI294:AK294)</f>
        <v>0.1082774</v>
      </c>
      <c r="AM294" s="3" t="s">
        <v>371</v>
      </c>
      <c r="AN294" s="3" t="s">
        <v>371</v>
      </c>
      <c r="AO294" s="3" t="s">
        <v>371</v>
      </c>
      <c r="AP294" s="3" t="s">
        <v>92</v>
      </c>
      <c r="AR294" s="139"/>
      <c r="AS294" s="139"/>
      <c r="AT294" s="139"/>
      <c r="AU294" s="139"/>
    </row>
    <row r="295" spans="1:47" ht="15" customHeight="1" x14ac:dyDescent="0.4">
      <c r="B295" s="36"/>
      <c r="D295" s="7"/>
      <c r="E295" s="7"/>
      <c r="F295" s="7"/>
      <c r="G295" s="7"/>
      <c r="V295" s="279" t="s">
        <v>369</v>
      </c>
      <c r="W295" s="112" t="s">
        <v>1849</v>
      </c>
      <c r="X295" s="279" t="s">
        <v>369</v>
      </c>
      <c r="Y295" s="1871">
        <v>200190148</v>
      </c>
      <c r="Z295" s="1443"/>
      <c r="AE295" s="3"/>
      <c r="AF295" s="38"/>
      <c r="AH295" s="51">
        <v>0</v>
      </c>
      <c r="AI295" s="39"/>
      <c r="AJ295" s="39"/>
      <c r="AK295" s="39"/>
      <c r="AL295" s="39">
        <f>AD$291*AH295+SUM(AI295:AK295)</f>
        <v>0</v>
      </c>
      <c r="AM295" s="3" t="s">
        <v>371</v>
      </c>
      <c r="AN295" s="3" t="s">
        <v>371</v>
      </c>
      <c r="AO295" s="3" t="s">
        <v>371</v>
      </c>
      <c r="AP295" s="3" t="s">
        <v>92</v>
      </c>
      <c r="AR295" s="139"/>
      <c r="AS295" s="139"/>
      <c r="AT295" s="139"/>
      <c r="AU295" s="139"/>
    </row>
    <row r="296" spans="1:47" ht="15" customHeight="1" thickBot="1" x14ac:dyDescent="0.45">
      <c r="B296" s="943"/>
      <c r="C296" s="949"/>
      <c r="D296" s="924"/>
      <c r="E296" s="924"/>
      <c r="F296" s="924"/>
      <c r="G296" s="924"/>
      <c r="H296" s="948"/>
      <c r="I296" s="889"/>
      <c r="J296" s="889"/>
      <c r="K296" s="889"/>
      <c r="L296" s="889"/>
      <c r="M296" s="945"/>
      <c r="N296" s="945"/>
      <c r="O296" s="945"/>
      <c r="P296" s="945"/>
      <c r="Q296" s="945"/>
      <c r="R296" s="889"/>
      <c r="S296" s="945"/>
      <c r="T296" s="889"/>
      <c r="U296" s="948"/>
      <c r="V296" s="888" t="s">
        <v>369</v>
      </c>
      <c r="W296" s="889" t="s">
        <v>375</v>
      </c>
      <c r="X296" s="888" t="s">
        <v>369</v>
      </c>
      <c r="Y296" s="1444">
        <v>200190133</v>
      </c>
      <c r="Z296" s="1444"/>
      <c r="AA296" s="948"/>
      <c r="AB296" s="889"/>
      <c r="AC296" s="889"/>
      <c r="AD296" s="945"/>
      <c r="AE296" s="889"/>
      <c r="AF296" s="888"/>
      <c r="AG296" s="945"/>
      <c r="AH296" s="1424">
        <v>0</v>
      </c>
      <c r="AI296" s="947"/>
      <c r="AJ296" s="947"/>
      <c r="AK296" s="947"/>
      <c r="AL296" s="947">
        <f>AD$291*AH296+SUM(AI296:AK296)</f>
        <v>0</v>
      </c>
      <c r="AM296" s="889" t="s">
        <v>92</v>
      </c>
      <c r="AN296" s="889" t="s">
        <v>92</v>
      </c>
      <c r="AO296" s="889" t="s">
        <v>92</v>
      </c>
      <c r="AP296" s="889" t="s">
        <v>371</v>
      </c>
      <c r="AQ296" s="889"/>
      <c r="AR296" s="139"/>
      <c r="AS296" s="139"/>
      <c r="AT296" s="139"/>
      <c r="AU296" s="139"/>
    </row>
    <row r="297" spans="1:47" ht="15" customHeight="1" x14ac:dyDescent="0.4">
      <c r="A297" s="3" t="s">
        <v>1169</v>
      </c>
      <c r="B297" s="173" t="s">
        <v>1170</v>
      </c>
      <c r="C297" s="114"/>
      <c r="D297" s="182"/>
      <c r="E297" s="182"/>
      <c r="F297" s="182"/>
      <c r="G297" s="173"/>
      <c r="H297" s="193"/>
      <c r="I297" s="116" t="s">
        <v>392</v>
      </c>
      <c r="J297" s="116" t="s">
        <v>346</v>
      </c>
      <c r="K297" s="116">
        <v>2</v>
      </c>
      <c r="L297" s="116" t="s">
        <v>348</v>
      </c>
      <c r="M297" s="792">
        <v>-2.5939999999999999</v>
      </c>
      <c r="N297" s="177"/>
      <c r="O297" s="177"/>
      <c r="P297" s="177" t="s">
        <v>348</v>
      </c>
      <c r="Q297" s="177" t="s">
        <v>2342</v>
      </c>
      <c r="R297" s="116" t="s">
        <v>352</v>
      </c>
      <c r="S297" s="177">
        <f>SL2Width/K297+M297+SL2SORnd</f>
        <v>21.155999999999999</v>
      </c>
      <c r="T297" s="116" t="s">
        <v>366</v>
      </c>
      <c r="U297" s="193"/>
      <c r="V297" s="138"/>
      <c r="W297" s="138"/>
      <c r="X297" s="138"/>
      <c r="Y297" s="1449"/>
      <c r="Z297" s="1449"/>
      <c r="AA297" s="193"/>
      <c r="AB297" s="116">
        <v>45</v>
      </c>
      <c r="AC297" s="116">
        <v>1</v>
      </c>
      <c r="AD297" s="177">
        <f>AC297*S297/12</f>
        <v>1.7629999999999999</v>
      </c>
      <c r="AE297" s="116" t="s">
        <v>367</v>
      </c>
      <c r="AF297" s="116">
        <f>AF285</f>
        <v>4.3999999999999997E-2</v>
      </c>
      <c r="AG297" s="177">
        <f>AF297*AtolbperftSL2</f>
        <v>2.7829999999999997E-2</v>
      </c>
      <c r="AH297" s="185"/>
      <c r="AI297" s="185"/>
      <c r="AJ297" s="185"/>
      <c r="AK297" s="185"/>
      <c r="AL297" s="180"/>
      <c r="AM297" s="3" t="s">
        <v>371</v>
      </c>
      <c r="AN297" s="3" t="s">
        <v>371</v>
      </c>
      <c r="AO297" s="3" t="s">
        <v>371</v>
      </c>
      <c r="AP297" s="3" t="s">
        <v>92</v>
      </c>
      <c r="AR297" s="139"/>
      <c r="AS297" s="139"/>
      <c r="AT297" s="139"/>
      <c r="AU297" s="139"/>
    </row>
    <row r="298" spans="1:47" ht="15" customHeight="1" x14ac:dyDescent="0.4">
      <c r="B298" s="8"/>
      <c r="C298" s="36"/>
      <c r="D298" s="7"/>
      <c r="E298" s="7"/>
      <c r="F298" s="7"/>
      <c r="G298" s="7"/>
      <c r="V298" s="38" t="s">
        <v>369</v>
      </c>
      <c r="W298" s="3" t="s">
        <v>370</v>
      </c>
      <c r="X298" s="38" t="s">
        <v>369</v>
      </c>
      <c r="Y298" s="1443">
        <v>200171003</v>
      </c>
      <c r="Z298" s="1443"/>
      <c r="AE298" s="3"/>
      <c r="AF298" s="38"/>
      <c r="AH298" s="51">
        <f>AH286</f>
        <v>5.7099999999999998E-2</v>
      </c>
      <c r="AI298" s="39"/>
      <c r="AJ298" s="39"/>
      <c r="AK298" s="39"/>
      <c r="AL298" s="39">
        <f>AD$297*AH298+SUM(AI298:AK298)</f>
        <v>0.10066729999999999</v>
      </c>
      <c r="AM298" s="3" t="s">
        <v>371</v>
      </c>
      <c r="AN298" s="3" t="s">
        <v>371</v>
      </c>
      <c r="AO298" s="3" t="s">
        <v>371</v>
      </c>
      <c r="AP298" s="3" t="s">
        <v>92</v>
      </c>
      <c r="AR298" s="139"/>
      <c r="AS298" s="139"/>
      <c r="AT298" s="139"/>
      <c r="AU298" s="139"/>
    </row>
    <row r="299" spans="1:47" ht="15" customHeight="1" x14ac:dyDescent="0.4">
      <c r="B299" s="8"/>
      <c r="C299" s="36"/>
      <c r="D299" s="7"/>
      <c r="E299" s="7"/>
      <c r="F299" s="7"/>
      <c r="G299" s="7"/>
      <c r="V299" s="38" t="s">
        <v>369</v>
      </c>
      <c r="W299" s="3" t="s">
        <v>372</v>
      </c>
      <c r="X299" s="38" t="s">
        <v>369</v>
      </c>
      <c r="Y299" s="1443">
        <v>200171021</v>
      </c>
      <c r="Z299" s="1443"/>
      <c r="AE299" s="3"/>
      <c r="AF299" s="38"/>
      <c r="AH299" s="51">
        <f>AH287</f>
        <v>6.1199999999999997E-2</v>
      </c>
      <c r="AI299" s="39"/>
      <c r="AJ299" s="39"/>
      <c r="AK299" s="39"/>
      <c r="AL299" s="39">
        <f>AD$297*AH299+SUM(AI299:AK299)</f>
        <v>0.10789559999999999</v>
      </c>
      <c r="AM299" s="3" t="s">
        <v>371</v>
      </c>
      <c r="AN299" s="3" t="s">
        <v>371</v>
      </c>
      <c r="AO299" s="3" t="s">
        <v>371</v>
      </c>
      <c r="AP299" s="3" t="s">
        <v>92</v>
      </c>
      <c r="AR299" s="139"/>
      <c r="AS299" s="139"/>
      <c r="AT299" s="139"/>
      <c r="AU299" s="139"/>
    </row>
    <row r="300" spans="1:47" ht="15" customHeight="1" x14ac:dyDescent="0.4">
      <c r="B300" s="3"/>
      <c r="C300" s="36"/>
      <c r="D300" s="7"/>
      <c r="E300" s="7"/>
      <c r="F300" s="7"/>
      <c r="G300" s="7"/>
      <c r="V300" s="38" t="s">
        <v>369</v>
      </c>
      <c r="W300" s="3" t="s">
        <v>373</v>
      </c>
      <c r="X300" s="38" t="s">
        <v>369</v>
      </c>
      <c r="Y300" s="1443">
        <v>200171033</v>
      </c>
      <c r="Z300" s="1443"/>
      <c r="AE300" s="3"/>
      <c r="AF300" s="38"/>
      <c r="AH300" s="51">
        <f>AH288</f>
        <v>6.2199999999999998E-2</v>
      </c>
      <c r="AI300" s="39"/>
      <c r="AJ300" s="39"/>
      <c r="AK300" s="39"/>
      <c r="AL300" s="39">
        <f>AD$297*AH300+SUM(AI300:AK300)</f>
        <v>0.10965859999999999</v>
      </c>
      <c r="AM300" s="3" t="s">
        <v>371</v>
      </c>
      <c r="AN300" s="3" t="s">
        <v>371</v>
      </c>
      <c r="AO300" s="3" t="s">
        <v>371</v>
      </c>
      <c r="AP300" s="3" t="s">
        <v>92</v>
      </c>
      <c r="AR300" s="139"/>
      <c r="AS300" s="139"/>
      <c r="AT300" s="139"/>
      <c r="AU300" s="139"/>
    </row>
    <row r="301" spans="1:47" ht="15" customHeight="1" x14ac:dyDescent="0.4">
      <c r="B301" s="3"/>
      <c r="C301" s="36"/>
      <c r="D301" s="7"/>
      <c r="E301" s="7"/>
      <c r="F301" s="7"/>
      <c r="G301" s="7"/>
      <c r="V301" s="279" t="s">
        <v>369</v>
      </c>
      <c r="W301" s="112" t="s">
        <v>1849</v>
      </c>
      <c r="X301" s="279" t="s">
        <v>369</v>
      </c>
      <c r="Y301" s="1871">
        <v>200171148</v>
      </c>
      <c r="Z301" s="1443"/>
      <c r="AE301" s="3"/>
      <c r="AF301" s="38"/>
      <c r="AH301" s="51">
        <f>AH289</f>
        <v>0</v>
      </c>
      <c r="AI301" s="39"/>
      <c r="AJ301" s="39"/>
      <c r="AK301" s="39"/>
      <c r="AL301" s="39">
        <f t="shared" ref="AL301:AL302" si="61">AD$297*AH301+SUM(AI301:AK301)</f>
        <v>0</v>
      </c>
      <c r="AM301" s="3" t="s">
        <v>371</v>
      </c>
      <c r="AN301" s="3" t="s">
        <v>371</v>
      </c>
      <c r="AO301" s="3" t="s">
        <v>371</v>
      </c>
      <c r="AP301" s="3" t="s">
        <v>92</v>
      </c>
      <c r="AR301" s="139"/>
      <c r="AS301" s="139"/>
      <c r="AT301" s="139"/>
      <c r="AU301" s="139"/>
    </row>
    <row r="302" spans="1:47" ht="15" customHeight="1" thickBot="1" x14ac:dyDescent="0.45">
      <c r="B302" s="889"/>
      <c r="C302" s="943"/>
      <c r="D302" s="924"/>
      <c r="E302" s="924"/>
      <c r="F302" s="924"/>
      <c r="G302" s="924"/>
      <c r="H302" s="948"/>
      <c r="I302" s="889"/>
      <c r="J302" s="889"/>
      <c r="K302" s="889"/>
      <c r="L302" s="889"/>
      <c r="M302" s="945"/>
      <c r="N302" s="945"/>
      <c r="O302" s="945"/>
      <c r="P302" s="945"/>
      <c r="Q302" s="945"/>
      <c r="R302" s="889"/>
      <c r="S302" s="945"/>
      <c r="T302" s="889"/>
      <c r="U302" s="948"/>
      <c r="V302" s="888" t="s">
        <v>369</v>
      </c>
      <c r="W302" s="889" t="s">
        <v>375</v>
      </c>
      <c r="X302" s="888" t="s">
        <v>369</v>
      </c>
      <c r="Y302" s="1444">
        <v>200171133</v>
      </c>
      <c r="Z302" s="1444"/>
      <c r="AA302" s="948"/>
      <c r="AB302" s="889"/>
      <c r="AC302" s="889"/>
      <c r="AD302" s="945"/>
      <c r="AE302" s="889"/>
      <c r="AF302" s="888"/>
      <c r="AG302" s="945"/>
      <c r="AH302" s="937">
        <f>AH290</f>
        <v>1</v>
      </c>
      <c r="AI302" s="947"/>
      <c r="AJ302" s="947"/>
      <c r="AK302" s="947"/>
      <c r="AL302" s="947">
        <f t="shared" si="61"/>
        <v>1.7629999999999999</v>
      </c>
      <c r="AM302" s="889" t="s">
        <v>92</v>
      </c>
      <c r="AN302" s="889" t="s">
        <v>92</v>
      </c>
      <c r="AO302" s="889" t="s">
        <v>92</v>
      </c>
      <c r="AP302" s="889" t="s">
        <v>371</v>
      </c>
      <c r="AQ302" s="889"/>
      <c r="AR302" s="139"/>
      <c r="AS302" s="139"/>
      <c r="AT302" s="139"/>
      <c r="AU302" s="139"/>
    </row>
    <row r="303" spans="1:47" ht="15" customHeight="1" x14ac:dyDescent="0.4">
      <c r="B303" s="7" t="s">
        <v>1171</v>
      </c>
      <c r="C303" s="36"/>
      <c r="D303" s="7"/>
      <c r="E303" s="7"/>
      <c r="F303" s="7"/>
      <c r="G303" s="7"/>
      <c r="I303" s="3" t="s">
        <v>392</v>
      </c>
      <c r="J303" s="3" t="s">
        <v>346</v>
      </c>
      <c r="K303" s="3">
        <v>2</v>
      </c>
      <c r="L303" s="3" t="s">
        <v>348</v>
      </c>
      <c r="M303" s="350">
        <v>-2.5939999999999999</v>
      </c>
      <c r="P303" s="5" t="s">
        <v>348</v>
      </c>
      <c r="Q303" s="5" t="s">
        <v>2342</v>
      </c>
      <c r="R303" s="3" t="s">
        <v>352</v>
      </c>
      <c r="S303" s="5">
        <f>SL2Width/K303+M303+SL2SORnd</f>
        <v>21.155999999999999</v>
      </c>
      <c r="T303" s="3" t="s">
        <v>366</v>
      </c>
      <c r="V303" s="38"/>
      <c r="X303" s="38"/>
      <c r="Y303" s="1443"/>
      <c r="Z303" s="1443"/>
      <c r="AB303" s="3">
        <v>45</v>
      </c>
      <c r="AC303" s="3">
        <v>1</v>
      </c>
      <c r="AD303" s="5">
        <f>AC303*S303/12</f>
        <v>1.7629999999999999</v>
      </c>
      <c r="AE303" s="3" t="s">
        <v>367</v>
      </c>
      <c r="AF303" s="38">
        <f>AF291</f>
        <v>4.1000000000000002E-2</v>
      </c>
      <c r="AG303" s="5">
        <f>AF303*AtolbperftSL2</f>
        <v>2.5932500000000001E-2</v>
      </c>
      <c r="AH303" s="39"/>
      <c r="AI303" s="39"/>
      <c r="AJ303" s="39"/>
      <c r="AK303" s="39"/>
      <c r="AM303" s="3" t="s">
        <v>371</v>
      </c>
      <c r="AN303" s="3" t="s">
        <v>371</v>
      </c>
      <c r="AO303" s="3" t="s">
        <v>371</v>
      </c>
      <c r="AP303" s="3" t="s">
        <v>92</v>
      </c>
      <c r="AR303" s="139"/>
      <c r="AS303" s="139"/>
      <c r="AT303" s="139"/>
      <c r="AU303" s="139"/>
    </row>
    <row r="304" spans="1:47" ht="15" customHeight="1" x14ac:dyDescent="0.4">
      <c r="B304" s="8"/>
      <c r="C304" s="36"/>
      <c r="D304" s="7"/>
      <c r="E304" s="7"/>
      <c r="F304" s="7"/>
      <c r="G304" s="7"/>
      <c r="V304" s="38" t="s">
        <v>369</v>
      </c>
      <c r="W304" s="3" t="s">
        <v>370</v>
      </c>
      <c r="X304" s="38" t="s">
        <v>369</v>
      </c>
      <c r="Y304" s="1443">
        <v>200190003</v>
      </c>
      <c r="Z304" s="1443"/>
      <c r="AE304" s="3"/>
      <c r="AF304" s="38"/>
      <c r="AH304" s="51">
        <f>AH292</f>
        <v>5.0599999999999999E-2</v>
      </c>
      <c r="AI304" s="39"/>
      <c r="AJ304" s="39"/>
      <c r="AK304" s="39"/>
      <c r="AL304" s="39">
        <f>AD$303*AH304+SUM(AI304:AK304)</f>
        <v>8.920779999999999E-2</v>
      </c>
      <c r="AM304" s="3" t="s">
        <v>371</v>
      </c>
      <c r="AN304" s="3" t="s">
        <v>371</v>
      </c>
      <c r="AO304" s="3" t="s">
        <v>371</v>
      </c>
      <c r="AP304" s="3" t="s">
        <v>92</v>
      </c>
      <c r="AR304" s="139"/>
      <c r="AS304" s="139"/>
      <c r="AT304" s="139"/>
      <c r="AU304" s="139"/>
    </row>
    <row r="305" spans="1:47" ht="15" customHeight="1" x14ac:dyDescent="0.4">
      <c r="B305" s="8"/>
      <c r="C305" s="36"/>
      <c r="D305" s="7"/>
      <c r="E305" s="7"/>
      <c r="F305" s="7"/>
      <c r="G305" s="7"/>
      <c r="V305" s="38" t="s">
        <v>369</v>
      </c>
      <c r="W305" s="3" t="s">
        <v>372</v>
      </c>
      <c r="X305" s="38" t="s">
        <v>369</v>
      </c>
      <c r="Y305" s="1443">
        <v>200190021</v>
      </c>
      <c r="Z305" s="1443"/>
      <c r="AE305" s="3"/>
      <c r="AF305" s="38"/>
      <c r="AH305" s="51">
        <f>AH293</f>
        <v>5.6800000000000003E-2</v>
      </c>
      <c r="AI305" s="39"/>
      <c r="AJ305" s="39"/>
      <c r="AK305" s="39"/>
      <c r="AL305" s="39">
        <f>AD$303*AH305+SUM(AI305:AK305)</f>
        <v>0.1001384</v>
      </c>
      <c r="AM305" s="3" t="s">
        <v>371</v>
      </c>
      <c r="AN305" s="3" t="s">
        <v>371</v>
      </c>
      <c r="AO305" s="3" t="s">
        <v>371</v>
      </c>
      <c r="AP305" s="3" t="s">
        <v>92</v>
      </c>
      <c r="AR305" s="139"/>
      <c r="AS305" s="139"/>
      <c r="AT305" s="139"/>
      <c r="AU305" s="139"/>
    </row>
    <row r="306" spans="1:47" ht="15" customHeight="1" x14ac:dyDescent="0.4">
      <c r="B306" s="8"/>
      <c r="C306" s="36"/>
      <c r="D306" s="7"/>
      <c r="E306" s="7"/>
      <c r="F306" s="7"/>
      <c r="G306" s="7"/>
      <c r="V306" s="38" t="s">
        <v>369</v>
      </c>
      <c r="W306" s="3" t="s">
        <v>373</v>
      </c>
      <c r="X306" s="38" t="s">
        <v>369</v>
      </c>
      <c r="Y306" s="1443">
        <v>200190033</v>
      </c>
      <c r="Z306" s="1443"/>
      <c r="AE306" s="3"/>
      <c r="AF306" s="38"/>
      <c r="AH306" s="51">
        <f>AH294</f>
        <v>6.1600000000000002E-2</v>
      </c>
      <c r="AI306" s="39"/>
      <c r="AJ306" s="39"/>
      <c r="AK306" s="39"/>
      <c r="AL306" s="39">
        <f>AD$303*AH306+SUM(AI306:AK306)</f>
        <v>0.1086008</v>
      </c>
      <c r="AM306" s="3" t="s">
        <v>371</v>
      </c>
      <c r="AN306" s="3" t="s">
        <v>371</v>
      </c>
      <c r="AO306" s="3" t="s">
        <v>371</v>
      </c>
      <c r="AP306" s="3" t="s">
        <v>92</v>
      </c>
      <c r="AR306" s="139"/>
      <c r="AS306" s="139"/>
      <c r="AT306" s="139"/>
      <c r="AU306" s="139"/>
    </row>
    <row r="307" spans="1:47" ht="15" customHeight="1" x14ac:dyDescent="0.4">
      <c r="B307" s="8"/>
      <c r="C307" s="36"/>
      <c r="D307" s="7"/>
      <c r="E307" s="7"/>
      <c r="F307" s="7"/>
      <c r="G307" s="7"/>
      <c r="V307" s="279" t="s">
        <v>369</v>
      </c>
      <c r="W307" s="112" t="s">
        <v>1849</v>
      </c>
      <c r="X307" s="279" t="s">
        <v>369</v>
      </c>
      <c r="Y307" s="1871">
        <v>200190148</v>
      </c>
      <c r="Z307" s="1443"/>
      <c r="AE307" s="3"/>
      <c r="AF307" s="38"/>
      <c r="AH307" s="51">
        <v>0</v>
      </c>
      <c r="AI307" s="39"/>
      <c r="AJ307" s="39"/>
      <c r="AK307" s="39"/>
      <c r="AL307" s="39">
        <f>AD$303*AH307+SUM(AI307:AK307)</f>
        <v>0</v>
      </c>
      <c r="AM307" s="3" t="s">
        <v>371</v>
      </c>
      <c r="AN307" s="3" t="s">
        <v>371</v>
      </c>
      <c r="AO307" s="3" t="s">
        <v>371</v>
      </c>
      <c r="AP307" s="3" t="s">
        <v>92</v>
      </c>
      <c r="AR307" s="139"/>
      <c r="AS307" s="139"/>
      <c r="AT307" s="139"/>
      <c r="AU307" s="139"/>
    </row>
    <row r="308" spans="1:47" ht="15" customHeight="1" thickBot="1" x14ac:dyDescent="0.45">
      <c r="B308" s="943"/>
      <c r="C308" s="949"/>
      <c r="D308" s="924"/>
      <c r="E308" s="924"/>
      <c r="F308" s="924"/>
      <c r="G308" s="924"/>
      <c r="H308" s="948"/>
      <c r="I308" s="889"/>
      <c r="J308" s="889"/>
      <c r="K308" s="889"/>
      <c r="L308" s="889"/>
      <c r="M308" s="945"/>
      <c r="N308" s="945"/>
      <c r="O308" s="945"/>
      <c r="P308" s="945"/>
      <c r="Q308" s="945"/>
      <c r="R308" s="889"/>
      <c r="S308" s="945"/>
      <c r="T308" s="889"/>
      <c r="U308" s="948"/>
      <c r="V308" s="888" t="s">
        <v>369</v>
      </c>
      <c r="W308" s="889" t="s">
        <v>375</v>
      </c>
      <c r="X308" s="888" t="s">
        <v>369</v>
      </c>
      <c r="Y308" s="1444">
        <v>200190133</v>
      </c>
      <c r="Z308" s="1444"/>
      <c r="AA308" s="948"/>
      <c r="AB308" s="889"/>
      <c r="AC308" s="889"/>
      <c r="AD308" s="945"/>
      <c r="AE308" s="889"/>
      <c r="AF308" s="888"/>
      <c r="AG308" s="945"/>
      <c r="AH308" s="1424">
        <v>0</v>
      </c>
      <c r="AI308" s="947"/>
      <c r="AJ308" s="947"/>
      <c r="AK308" s="947"/>
      <c r="AL308" s="947">
        <f>AD$303*AH308+SUM(AI308:AK308)</f>
        <v>0</v>
      </c>
      <c r="AM308" s="889" t="s">
        <v>92</v>
      </c>
      <c r="AN308" s="889" t="s">
        <v>92</v>
      </c>
      <c r="AO308" s="889" t="s">
        <v>92</v>
      </c>
      <c r="AP308" s="889" t="s">
        <v>371</v>
      </c>
      <c r="AQ308" s="889"/>
      <c r="AR308" s="139"/>
      <c r="AS308" s="139"/>
      <c r="AT308" s="139"/>
      <c r="AU308" s="139"/>
    </row>
    <row r="309" spans="1:47" ht="15" customHeight="1" x14ac:dyDescent="0.4">
      <c r="A309" s="3" t="s">
        <v>496</v>
      </c>
      <c r="B309" s="173" t="s">
        <v>1162</v>
      </c>
      <c r="C309" s="114"/>
      <c r="D309" s="182"/>
      <c r="E309" s="182"/>
      <c r="F309" s="182"/>
      <c r="G309" s="173"/>
      <c r="H309" s="193"/>
      <c r="I309" s="116" t="s">
        <v>365</v>
      </c>
      <c r="J309" s="116"/>
      <c r="K309" s="116"/>
      <c r="L309" s="116" t="s">
        <v>348</v>
      </c>
      <c r="M309" s="177">
        <v>-3.8130000000000002</v>
      </c>
      <c r="N309" s="177"/>
      <c r="O309" s="177"/>
      <c r="P309" s="177"/>
      <c r="Q309" s="177"/>
      <c r="R309" s="116" t="s">
        <v>352</v>
      </c>
      <c r="S309" s="177">
        <f>SL2Height+M309</f>
        <v>43.686999999999998</v>
      </c>
      <c r="T309" s="116" t="s">
        <v>366</v>
      </c>
      <c r="U309" s="193"/>
      <c r="V309" s="138"/>
      <c r="W309" s="138"/>
      <c r="X309" s="138"/>
      <c r="Y309" s="116"/>
      <c r="Z309" s="116"/>
      <c r="AA309" s="193"/>
      <c r="AB309" s="116">
        <v>45</v>
      </c>
      <c r="AC309" s="116">
        <v>2</v>
      </c>
      <c r="AD309" s="177">
        <f>AC309*S309/12</f>
        <v>7.2811666666666666</v>
      </c>
      <c r="AE309" s="116" t="s">
        <v>367</v>
      </c>
      <c r="AF309" s="179">
        <f>'Single Hung'!AG427</f>
        <v>2.8000000000000001E-2</v>
      </c>
      <c r="AG309" s="177">
        <f>AF309*AtolbperftSL2</f>
        <v>1.771E-2</v>
      </c>
      <c r="AH309" s="185"/>
      <c r="AI309" s="185"/>
      <c r="AJ309" s="185"/>
      <c r="AK309" s="185"/>
      <c r="AL309" s="180"/>
      <c r="AM309" s="3" t="s">
        <v>81</v>
      </c>
      <c r="AN309" s="3" t="s">
        <v>81</v>
      </c>
      <c r="AO309" s="3" t="s">
        <v>81</v>
      </c>
      <c r="AP309" s="3" t="s">
        <v>92</v>
      </c>
      <c r="AR309" s="139"/>
      <c r="AS309" s="139"/>
      <c r="AT309" s="139"/>
      <c r="AU309" s="139"/>
    </row>
    <row r="310" spans="1:47" ht="15" customHeight="1" x14ac:dyDescent="0.4">
      <c r="B310" s="7"/>
      <c r="C310" s="7"/>
      <c r="D310" s="7"/>
      <c r="E310" s="7"/>
      <c r="F310" s="7"/>
      <c r="G310" s="7"/>
      <c r="V310" s="38" t="s">
        <v>369</v>
      </c>
      <c r="W310" s="3" t="s">
        <v>370</v>
      </c>
      <c r="X310" s="38" t="s">
        <v>369</v>
      </c>
      <c r="Y310" s="1443">
        <v>200170003</v>
      </c>
      <c r="Z310" s="1443"/>
      <c r="AE310" s="3"/>
      <c r="AF310" s="38"/>
      <c r="AH310" s="51">
        <f>'Single Hung'!AI428</f>
        <v>5.4600000000000003E-2</v>
      </c>
      <c r="AI310" s="39"/>
      <c r="AJ310" s="39"/>
      <c r="AK310" s="39"/>
      <c r="AL310" s="39">
        <f>AD$309*AH310+SUM(AI310:AK310)</f>
        <v>0.39755170000000001</v>
      </c>
      <c r="AM310" s="3" t="s">
        <v>81</v>
      </c>
      <c r="AN310" s="3" t="s">
        <v>81</v>
      </c>
      <c r="AO310" s="3" t="s">
        <v>81</v>
      </c>
      <c r="AP310" s="3" t="s">
        <v>92</v>
      </c>
      <c r="AR310" s="139"/>
      <c r="AS310" s="139"/>
      <c r="AT310" s="139"/>
      <c r="AU310" s="139"/>
    </row>
    <row r="311" spans="1:47" ht="15" customHeight="1" x14ac:dyDescent="0.4">
      <c r="B311" s="1947" t="s">
        <v>2393</v>
      </c>
      <c r="D311" s="7"/>
      <c r="E311" s="7"/>
      <c r="F311" s="7"/>
      <c r="G311" s="7"/>
      <c r="V311" s="38" t="s">
        <v>369</v>
      </c>
      <c r="W311" s="3" t="s">
        <v>372</v>
      </c>
      <c r="X311" s="38" t="s">
        <v>369</v>
      </c>
      <c r="Y311" s="1443">
        <v>200170021</v>
      </c>
      <c r="Z311" s="1443"/>
      <c r="AE311" s="3"/>
      <c r="AF311" s="38"/>
      <c r="AH311" s="51">
        <f>'Single Hung'!AI429</f>
        <v>5.74E-2</v>
      </c>
      <c r="AI311" s="39"/>
      <c r="AJ311" s="39"/>
      <c r="AK311" s="39"/>
      <c r="AL311" s="39">
        <f t="shared" ref="AL311:AL313" si="62">AD$309*AH311+SUM(AI311:AK311)</f>
        <v>0.41793896666666663</v>
      </c>
      <c r="AM311" s="3" t="s">
        <v>371</v>
      </c>
      <c r="AN311" s="3" t="s">
        <v>371</v>
      </c>
      <c r="AO311" s="3" t="s">
        <v>371</v>
      </c>
      <c r="AP311" s="3" t="s">
        <v>92</v>
      </c>
      <c r="AR311" s="139"/>
      <c r="AS311" s="139"/>
      <c r="AT311" s="139"/>
      <c r="AU311" s="139"/>
    </row>
    <row r="312" spans="1:47" ht="15" customHeight="1" x14ac:dyDescent="0.4">
      <c r="B312" s="7"/>
      <c r="D312" s="7"/>
      <c r="E312" s="7"/>
      <c r="F312" s="7"/>
      <c r="G312" s="7"/>
      <c r="V312" s="38" t="s">
        <v>369</v>
      </c>
      <c r="W312" s="3" t="s">
        <v>373</v>
      </c>
      <c r="X312" s="38" t="s">
        <v>369</v>
      </c>
      <c r="Y312" s="1443">
        <v>200170033</v>
      </c>
      <c r="Z312" s="1443"/>
      <c r="AE312" s="3"/>
      <c r="AF312" s="38"/>
      <c r="AH312" s="51">
        <f>'Single Hung'!AI430</f>
        <v>5.8000000000000003E-2</v>
      </c>
      <c r="AI312" s="39"/>
      <c r="AJ312" s="39"/>
      <c r="AK312" s="39"/>
      <c r="AL312" s="39">
        <f t="shared" si="62"/>
        <v>0.42230766666666669</v>
      </c>
      <c r="AM312" s="3" t="s">
        <v>371</v>
      </c>
      <c r="AN312" s="3" t="s">
        <v>371</v>
      </c>
      <c r="AO312" s="3" t="s">
        <v>371</v>
      </c>
      <c r="AP312" s="3" t="s">
        <v>92</v>
      </c>
      <c r="AR312" s="139"/>
      <c r="AS312" s="139"/>
      <c r="AT312" s="139"/>
      <c r="AU312" s="139"/>
    </row>
    <row r="313" spans="1:47" ht="15" customHeight="1" x14ac:dyDescent="0.4">
      <c r="B313" s="7"/>
      <c r="D313" s="7"/>
      <c r="E313" s="7"/>
      <c r="F313" s="7"/>
      <c r="G313" s="7"/>
      <c r="V313" s="279" t="s">
        <v>369</v>
      </c>
      <c r="W313" s="112" t="s">
        <v>1849</v>
      </c>
      <c r="X313" s="279" t="s">
        <v>369</v>
      </c>
      <c r="Y313" s="1871">
        <v>200170148</v>
      </c>
      <c r="Z313" s="1443"/>
      <c r="AE313" s="3"/>
      <c r="AF313" s="38"/>
      <c r="AH313" s="51">
        <v>0</v>
      </c>
      <c r="AI313" s="39"/>
      <c r="AJ313" s="39"/>
      <c r="AK313" s="39"/>
      <c r="AL313" s="39">
        <f t="shared" si="62"/>
        <v>0</v>
      </c>
      <c r="AM313" s="3" t="s">
        <v>371</v>
      </c>
      <c r="AN313" s="3" t="s">
        <v>371</v>
      </c>
      <c r="AO313" s="3" t="s">
        <v>371</v>
      </c>
      <c r="AP313" s="3" t="s">
        <v>92</v>
      </c>
      <c r="AR313" s="139"/>
      <c r="AS313" s="139"/>
      <c r="AT313" s="139"/>
      <c r="AU313" s="139"/>
    </row>
    <row r="314" spans="1:47" ht="15" customHeight="1" thickBot="1" x14ac:dyDescent="0.45">
      <c r="B314" s="7"/>
      <c r="D314" s="7"/>
      <c r="E314" s="7"/>
      <c r="F314" s="7"/>
      <c r="G314" s="7"/>
      <c r="V314" s="1876" t="s">
        <v>369</v>
      </c>
      <c r="W314" s="1877" t="s">
        <v>375</v>
      </c>
      <c r="X314" s="1876" t="s">
        <v>369</v>
      </c>
      <c r="Y314" s="1878">
        <v>200170133</v>
      </c>
      <c r="Z314" s="1444"/>
      <c r="AA314" s="948"/>
      <c r="AB314" s="889"/>
      <c r="AC314" s="889"/>
      <c r="AD314" s="945"/>
      <c r="AE314" s="889"/>
      <c r="AF314" s="888"/>
      <c r="AG314" s="945"/>
      <c r="AH314" s="937">
        <v>0</v>
      </c>
      <c r="AI314" s="947"/>
      <c r="AJ314" s="947"/>
      <c r="AK314" s="947"/>
      <c r="AL314" s="947">
        <f t="shared" ref="AL314" si="63">AD$309*AH314+SUM(AI314:AK314)</f>
        <v>0</v>
      </c>
      <c r="AM314" s="889" t="s">
        <v>92</v>
      </c>
      <c r="AN314" s="889" t="s">
        <v>92</v>
      </c>
      <c r="AO314" s="889" t="s">
        <v>92</v>
      </c>
      <c r="AP314" s="889" t="s">
        <v>81</v>
      </c>
      <c r="AQ314" s="889"/>
      <c r="AR314" s="139"/>
      <c r="AS314" s="139"/>
      <c r="AT314" s="139"/>
      <c r="AU314" s="139"/>
    </row>
    <row r="315" spans="1:47" ht="15" customHeight="1" x14ac:dyDescent="0.4">
      <c r="A315" s="3" t="s">
        <v>498</v>
      </c>
      <c r="B315" s="173" t="s">
        <v>1163</v>
      </c>
      <c r="C315" s="114"/>
      <c r="D315" s="182"/>
      <c r="E315" s="182"/>
      <c r="F315" s="182"/>
      <c r="G315" s="173"/>
      <c r="H315" s="193"/>
      <c r="I315" s="116" t="s">
        <v>365</v>
      </c>
      <c r="J315" s="116"/>
      <c r="K315" s="116"/>
      <c r="L315" s="116" t="s">
        <v>348</v>
      </c>
      <c r="M315" s="177">
        <v>-3.75</v>
      </c>
      <c r="N315" s="177"/>
      <c r="O315" s="177"/>
      <c r="P315" s="177"/>
      <c r="Q315" s="177"/>
      <c r="R315" s="116" t="s">
        <v>352</v>
      </c>
      <c r="S315" s="177">
        <f>SL2Height+M315</f>
        <v>43.75</v>
      </c>
      <c r="T315" s="116" t="s">
        <v>366</v>
      </c>
      <c r="U315" s="193"/>
      <c r="V315" s="138"/>
      <c r="W315" s="138"/>
      <c r="X315" s="138"/>
      <c r="Y315" s="1449"/>
      <c r="Z315" s="1449"/>
      <c r="AA315" s="193"/>
      <c r="AB315" s="116">
        <v>45</v>
      </c>
      <c r="AC315" s="116">
        <v>2</v>
      </c>
      <c r="AD315" s="177">
        <f>AC315*S315/12</f>
        <v>7.291666666666667</v>
      </c>
      <c r="AE315" s="116" t="s">
        <v>367</v>
      </c>
      <c r="AF315" s="116">
        <f>'Single Hung'!AG433</f>
        <v>4.3999999999999997E-2</v>
      </c>
      <c r="AG315" s="177">
        <f>AF315*AtolbperftSL2</f>
        <v>2.7829999999999997E-2</v>
      </c>
      <c r="AH315" s="185"/>
      <c r="AI315" s="185"/>
      <c r="AJ315" s="185"/>
      <c r="AK315" s="185"/>
      <c r="AL315" s="180"/>
      <c r="AM315" s="3" t="s">
        <v>371</v>
      </c>
      <c r="AN315" s="3" t="s">
        <v>371</v>
      </c>
      <c r="AO315" s="3" t="s">
        <v>371</v>
      </c>
      <c r="AP315" s="3" t="s">
        <v>92</v>
      </c>
      <c r="AR315" s="139"/>
      <c r="AS315" s="139"/>
      <c r="AT315" s="139"/>
      <c r="AU315" s="139"/>
    </row>
    <row r="316" spans="1:47" ht="15" customHeight="1" x14ac:dyDescent="0.4">
      <c r="B316" s="7"/>
      <c r="D316" s="7"/>
      <c r="E316" s="7"/>
      <c r="F316" s="7"/>
      <c r="G316" s="7"/>
      <c r="V316" s="38" t="s">
        <v>369</v>
      </c>
      <c r="W316" s="3" t="s">
        <v>370</v>
      </c>
      <c r="X316" s="38" t="s">
        <v>369</v>
      </c>
      <c r="Y316" s="1443">
        <v>200171003</v>
      </c>
      <c r="Z316" s="1443"/>
      <c r="AE316" s="3"/>
      <c r="AF316" s="38"/>
      <c r="AH316" s="51">
        <f>'Single Hung'!AI434</f>
        <v>5.7099999999999998E-2</v>
      </c>
      <c r="AI316" s="39"/>
      <c r="AJ316" s="39"/>
      <c r="AK316" s="39"/>
      <c r="AL316" s="39">
        <f>AD$315*AH316+SUM(AI316:AK316)</f>
        <v>0.41635416666666669</v>
      </c>
      <c r="AM316" s="3" t="s">
        <v>371</v>
      </c>
      <c r="AN316" s="3" t="s">
        <v>371</v>
      </c>
      <c r="AO316" s="3" t="s">
        <v>371</v>
      </c>
      <c r="AP316" s="3" t="s">
        <v>92</v>
      </c>
      <c r="AR316" s="139"/>
      <c r="AS316" s="139"/>
      <c r="AT316" s="139"/>
      <c r="AU316" s="139"/>
    </row>
    <row r="317" spans="1:47" ht="15" customHeight="1" x14ac:dyDescent="0.4">
      <c r="B317" s="7"/>
      <c r="D317" s="7"/>
      <c r="E317" s="7"/>
      <c r="F317" s="7"/>
      <c r="G317" s="7"/>
      <c r="V317" s="38" t="s">
        <v>369</v>
      </c>
      <c r="W317" s="3" t="s">
        <v>372</v>
      </c>
      <c r="X317" s="38" t="s">
        <v>369</v>
      </c>
      <c r="Y317" s="1443">
        <v>200171021</v>
      </c>
      <c r="Z317" s="1443"/>
      <c r="AE317" s="3"/>
      <c r="AF317" s="38"/>
      <c r="AH317" s="51">
        <f>'Single Hung'!AI435</f>
        <v>6.1199999999999997E-2</v>
      </c>
      <c r="AI317" s="39"/>
      <c r="AJ317" s="39"/>
      <c r="AK317" s="39"/>
      <c r="AL317" s="39">
        <f t="shared" ref="AL317:AL318" si="64">AD$315*AH317+SUM(AI317:AK317)</f>
        <v>0.44624999999999998</v>
      </c>
      <c r="AM317" s="3" t="s">
        <v>371</v>
      </c>
      <c r="AN317" s="3" t="s">
        <v>371</v>
      </c>
      <c r="AO317" s="3" t="s">
        <v>371</v>
      </c>
      <c r="AP317" s="3" t="s">
        <v>92</v>
      </c>
      <c r="AR317" s="139"/>
      <c r="AS317" s="139"/>
      <c r="AT317" s="139"/>
      <c r="AU317" s="139"/>
    </row>
    <row r="318" spans="1:47" ht="15" customHeight="1" x14ac:dyDescent="0.4">
      <c r="B318" s="7"/>
      <c r="D318" s="7"/>
      <c r="E318" s="7"/>
      <c r="F318" s="7"/>
      <c r="G318" s="7"/>
      <c r="V318" s="38" t="s">
        <v>369</v>
      </c>
      <c r="W318" s="3" t="s">
        <v>373</v>
      </c>
      <c r="X318" s="38" t="s">
        <v>369</v>
      </c>
      <c r="Y318" s="1443">
        <v>200171033</v>
      </c>
      <c r="Z318" s="1443"/>
      <c r="AE318" s="3"/>
      <c r="AF318" s="38"/>
      <c r="AH318" s="51">
        <f>'Single Hung'!AI436</f>
        <v>6.2199999999999998E-2</v>
      </c>
      <c r="AI318" s="39"/>
      <c r="AJ318" s="39"/>
      <c r="AK318" s="39"/>
      <c r="AL318" s="39">
        <f t="shared" si="64"/>
        <v>0.45354166666666668</v>
      </c>
      <c r="AM318" s="3" t="s">
        <v>371</v>
      </c>
      <c r="AN318" s="3" t="s">
        <v>371</v>
      </c>
      <c r="AO318" s="3" t="s">
        <v>371</v>
      </c>
      <c r="AP318" s="3" t="s">
        <v>92</v>
      </c>
      <c r="AR318" s="139"/>
      <c r="AS318" s="139"/>
      <c r="AT318" s="139"/>
      <c r="AU318" s="139"/>
    </row>
    <row r="319" spans="1:47" ht="15" customHeight="1" x14ac:dyDescent="0.4">
      <c r="B319" s="7"/>
      <c r="D319" s="7"/>
      <c r="E319" s="7"/>
      <c r="F319" s="7"/>
      <c r="G319" s="7"/>
      <c r="V319" s="279" t="s">
        <v>369</v>
      </c>
      <c r="W319" s="112" t="s">
        <v>1849</v>
      </c>
      <c r="X319" s="279" t="s">
        <v>369</v>
      </c>
      <c r="Y319" s="1871">
        <v>200171148</v>
      </c>
      <c r="Z319" s="1443"/>
      <c r="AE319" s="3"/>
      <c r="AF319" s="38"/>
      <c r="AH319" s="51">
        <v>0</v>
      </c>
      <c r="AI319" s="39"/>
      <c r="AJ319" s="39"/>
      <c r="AK319" s="39"/>
      <c r="AL319" s="39">
        <f t="shared" ref="AL319" si="65">AD$315*AH319+SUM(AI319:AK319)</f>
        <v>0</v>
      </c>
      <c r="AM319" s="3" t="s">
        <v>371</v>
      </c>
      <c r="AN319" s="3" t="s">
        <v>371</v>
      </c>
      <c r="AO319" s="3" t="s">
        <v>371</v>
      </c>
      <c r="AP319" s="3" t="s">
        <v>92</v>
      </c>
      <c r="AR319" s="139"/>
      <c r="AS319" s="139"/>
      <c r="AT319" s="139"/>
      <c r="AU319" s="139"/>
    </row>
    <row r="320" spans="1:47" ht="15" customHeight="1" thickBot="1" x14ac:dyDescent="0.45">
      <c r="B320" s="924"/>
      <c r="C320" s="949"/>
      <c r="D320" s="924"/>
      <c r="E320" s="924"/>
      <c r="F320" s="924"/>
      <c r="G320" s="924"/>
      <c r="H320" s="948"/>
      <c r="I320" s="889"/>
      <c r="J320" s="889"/>
      <c r="K320" s="889"/>
      <c r="L320" s="889"/>
      <c r="M320" s="945"/>
      <c r="N320" s="945"/>
      <c r="O320" s="945"/>
      <c r="P320" s="945"/>
      <c r="Q320" s="945"/>
      <c r="R320" s="889"/>
      <c r="S320" s="945"/>
      <c r="T320" s="889"/>
      <c r="U320" s="948"/>
      <c r="V320" s="888" t="s">
        <v>369</v>
      </c>
      <c r="W320" s="889" t="s">
        <v>375</v>
      </c>
      <c r="X320" s="888" t="s">
        <v>369</v>
      </c>
      <c r="Y320" s="1444">
        <v>200171133</v>
      </c>
      <c r="Z320" s="1444"/>
      <c r="AA320" s="948"/>
      <c r="AB320" s="889"/>
      <c r="AC320" s="889"/>
      <c r="AD320" s="945"/>
      <c r="AE320" s="889"/>
      <c r="AF320" s="888"/>
      <c r="AG320" s="945"/>
      <c r="AH320" s="937">
        <v>1</v>
      </c>
      <c r="AI320" s="947"/>
      <c r="AJ320" s="947"/>
      <c r="AK320" s="947"/>
      <c r="AL320" s="947">
        <f t="shared" ref="AL320" si="66">AD$315*AH320+SUM(AI320:AK320)</f>
        <v>7.291666666666667</v>
      </c>
      <c r="AM320" s="889" t="s">
        <v>92</v>
      </c>
      <c r="AN320" s="889" t="s">
        <v>92</v>
      </c>
      <c r="AO320" s="889" t="s">
        <v>92</v>
      </c>
      <c r="AP320" s="889" t="s">
        <v>371</v>
      </c>
      <c r="AQ320" s="889"/>
      <c r="AR320" s="139"/>
      <c r="AS320" s="139"/>
      <c r="AT320" s="139"/>
      <c r="AU320" s="139"/>
    </row>
    <row r="321" spans="2:54" ht="15" customHeight="1" x14ac:dyDescent="0.4">
      <c r="B321" s="7" t="s">
        <v>1164</v>
      </c>
      <c r="D321" s="155"/>
      <c r="E321" s="155"/>
      <c r="F321" s="155"/>
      <c r="G321" s="7"/>
      <c r="I321" s="3" t="s">
        <v>365</v>
      </c>
      <c r="L321" s="3" t="s">
        <v>348</v>
      </c>
      <c r="M321" s="5">
        <v>-3.75</v>
      </c>
      <c r="R321" s="3" t="s">
        <v>352</v>
      </c>
      <c r="S321" s="5">
        <f>SL2Height+M321</f>
        <v>43.75</v>
      </c>
      <c r="T321" s="3" t="s">
        <v>366</v>
      </c>
      <c r="V321" s="38"/>
      <c r="X321" s="38"/>
      <c r="Y321" s="1443"/>
      <c r="Z321" s="1443"/>
      <c r="AB321" s="3">
        <v>45</v>
      </c>
      <c r="AC321" s="3">
        <v>2</v>
      </c>
      <c r="AD321" s="5">
        <f>AC321*S321/12</f>
        <v>7.291666666666667</v>
      </c>
      <c r="AE321" s="3" t="s">
        <v>367</v>
      </c>
      <c r="AF321" s="38">
        <f>'Single Hung'!AG439</f>
        <v>4.1000000000000002E-2</v>
      </c>
      <c r="AG321" s="5">
        <f>AF321*AtolbperftSL2</f>
        <v>2.5932500000000001E-2</v>
      </c>
      <c r="AH321" s="39"/>
      <c r="AI321" s="39"/>
      <c r="AJ321" s="39"/>
      <c r="AK321" s="39"/>
      <c r="AM321" s="3" t="s">
        <v>371</v>
      </c>
      <c r="AN321" s="3" t="s">
        <v>371</v>
      </c>
      <c r="AO321" s="3" t="s">
        <v>371</v>
      </c>
      <c r="AP321" s="3" t="s">
        <v>92</v>
      </c>
      <c r="AR321" s="139"/>
      <c r="AS321" s="139"/>
      <c r="AT321" s="139"/>
      <c r="AU321" s="139"/>
    </row>
    <row r="322" spans="2:54" ht="15" customHeight="1" x14ac:dyDescent="0.4">
      <c r="B322" s="7"/>
      <c r="D322" s="7"/>
      <c r="E322" s="7"/>
      <c r="F322" s="7"/>
      <c r="G322" s="7"/>
      <c r="V322" s="38" t="s">
        <v>369</v>
      </c>
      <c r="W322" s="3" t="s">
        <v>370</v>
      </c>
      <c r="X322" s="38" t="s">
        <v>369</v>
      </c>
      <c r="Y322" s="1443">
        <v>200190003</v>
      </c>
      <c r="Z322" s="1443"/>
      <c r="AE322" s="3"/>
      <c r="AF322" s="38"/>
      <c r="AH322" s="51">
        <f>'Single Hung'!AI440</f>
        <v>5.0599999999999999E-2</v>
      </c>
      <c r="AI322" s="39"/>
      <c r="AJ322" s="39"/>
      <c r="AK322" s="39"/>
      <c r="AL322" s="39">
        <f>AD$321*AH322+SUM(AI322:AK322)</f>
        <v>0.36895833333333333</v>
      </c>
      <c r="AM322" s="3" t="s">
        <v>371</v>
      </c>
      <c r="AN322" s="3" t="s">
        <v>371</v>
      </c>
      <c r="AO322" s="3" t="s">
        <v>371</v>
      </c>
      <c r="AP322" s="3" t="s">
        <v>92</v>
      </c>
      <c r="AR322" s="139"/>
      <c r="AS322" s="139"/>
      <c r="AT322" s="139"/>
      <c r="AU322" s="139"/>
    </row>
    <row r="323" spans="2:54" ht="15" customHeight="1" x14ac:dyDescent="0.4">
      <c r="B323" s="7"/>
      <c r="D323" s="7"/>
      <c r="E323" s="7"/>
      <c r="F323" s="7"/>
      <c r="G323" s="7"/>
      <c r="V323" s="38" t="s">
        <v>369</v>
      </c>
      <c r="W323" s="3" t="s">
        <v>372</v>
      </c>
      <c r="X323" s="38" t="s">
        <v>369</v>
      </c>
      <c r="Y323" s="1443">
        <v>200190021</v>
      </c>
      <c r="Z323" s="1443"/>
      <c r="AE323" s="3"/>
      <c r="AF323" s="38"/>
      <c r="AH323" s="51">
        <f>'Single Hung'!AI441</f>
        <v>5.6800000000000003E-2</v>
      </c>
      <c r="AI323" s="39"/>
      <c r="AJ323" s="39"/>
      <c r="AK323" s="39"/>
      <c r="AL323" s="39">
        <f t="shared" ref="AL323:AL324" si="67">AD$321*AH323+SUM(AI323:AK323)</f>
        <v>0.41416666666666668</v>
      </c>
      <c r="AM323" s="3" t="s">
        <v>371</v>
      </c>
      <c r="AN323" s="3" t="s">
        <v>371</v>
      </c>
      <c r="AO323" s="3" t="s">
        <v>371</v>
      </c>
      <c r="AP323" s="3" t="s">
        <v>92</v>
      </c>
      <c r="AR323" s="139"/>
      <c r="AS323" s="139"/>
      <c r="AT323" s="139"/>
      <c r="AU323" s="139"/>
    </row>
    <row r="324" spans="2:54" ht="15" customHeight="1" x14ac:dyDescent="0.4">
      <c r="B324" s="7"/>
      <c r="D324" s="7"/>
      <c r="E324" s="7"/>
      <c r="F324" s="7"/>
      <c r="G324" s="7"/>
      <c r="V324" s="38" t="s">
        <v>369</v>
      </c>
      <c r="W324" s="3" t="s">
        <v>373</v>
      </c>
      <c r="X324" s="38" t="s">
        <v>369</v>
      </c>
      <c r="Y324" s="1443">
        <v>200190033</v>
      </c>
      <c r="Z324" s="1443"/>
      <c r="AE324" s="3"/>
      <c r="AF324" s="38"/>
      <c r="AH324" s="51">
        <f>'Single Hung'!AI442</f>
        <v>6.1600000000000002E-2</v>
      </c>
      <c r="AI324" s="39"/>
      <c r="AJ324" s="39"/>
      <c r="AK324" s="39"/>
      <c r="AL324" s="39">
        <f t="shared" si="67"/>
        <v>0.44916666666666671</v>
      </c>
      <c r="AM324" s="3" t="s">
        <v>371</v>
      </c>
      <c r="AN324" s="3" t="s">
        <v>371</v>
      </c>
      <c r="AO324" s="3" t="s">
        <v>371</v>
      </c>
      <c r="AP324" s="3" t="s">
        <v>92</v>
      </c>
      <c r="AR324" s="139"/>
      <c r="AS324" s="139"/>
      <c r="AT324" s="139"/>
      <c r="AU324" s="139"/>
    </row>
    <row r="325" spans="2:54" ht="15" customHeight="1" x14ac:dyDescent="0.4">
      <c r="B325" s="7"/>
      <c r="D325" s="7"/>
      <c r="E325" s="7"/>
      <c r="F325" s="7"/>
      <c r="G325" s="7"/>
      <c r="V325" s="279" t="s">
        <v>369</v>
      </c>
      <c r="W325" s="112" t="s">
        <v>1849</v>
      </c>
      <c r="X325" s="279" t="s">
        <v>369</v>
      </c>
      <c r="Y325" s="1871">
        <v>200190148</v>
      </c>
      <c r="Z325" s="1443"/>
      <c r="AE325" s="3"/>
      <c r="AF325" s="38"/>
      <c r="AH325" s="51">
        <v>0</v>
      </c>
      <c r="AI325" s="39"/>
      <c r="AJ325" s="39"/>
      <c r="AK325" s="39"/>
      <c r="AL325" s="39">
        <f t="shared" ref="AL325" si="68">AD$321*AH325+SUM(AI325:AK325)</f>
        <v>0</v>
      </c>
      <c r="AM325" s="3" t="s">
        <v>371</v>
      </c>
      <c r="AN325" s="3" t="s">
        <v>371</v>
      </c>
      <c r="AO325" s="3" t="s">
        <v>371</v>
      </c>
      <c r="AP325" s="3" t="s">
        <v>92</v>
      </c>
      <c r="AR325" s="139"/>
      <c r="AS325" s="139"/>
      <c r="AT325" s="139"/>
      <c r="AU325" s="139"/>
    </row>
    <row r="326" spans="2:54" ht="15" customHeight="1" thickBot="1" x14ac:dyDescent="0.45">
      <c r="B326" s="943"/>
      <c r="C326" s="949"/>
      <c r="D326" s="924"/>
      <c r="E326" s="924"/>
      <c r="F326" s="924"/>
      <c r="G326" s="924"/>
      <c r="H326" s="948"/>
      <c r="I326" s="889"/>
      <c r="J326" s="889"/>
      <c r="K326" s="889"/>
      <c r="L326" s="889"/>
      <c r="M326" s="945"/>
      <c r="N326" s="945"/>
      <c r="O326" s="945"/>
      <c r="P326" s="945"/>
      <c r="Q326" s="945"/>
      <c r="R326" s="889"/>
      <c r="S326" s="945"/>
      <c r="T326" s="889"/>
      <c r="U326" s="948"/>
      <c r="V326" s="888" t="s">
        <v>369</v>
      </c>
      <c r="W326" s="889" t="s">
        <v>375</v>
      </c>
      <c r="X326" s="888" t="s">
        <v>369</v>
      </c>
      <c r="Y326" s="1444">
        <v>200190133</v>
      </c>
      <c r="Z326" s="1444"/>
      <c r="AA326" s="948"/>
      <c r="AB326" s="889"/>
      <c r="AC326" s="889"/>
      <c r="AD326" s="945"/>
      <c r="AE326" s="889"/>
      <c r="AF326" s="888"/>
      <c r="AG326" s="945"/>
      <c r="AH326" s="1424">
        <v>0</v>
      </c>
      <c r="AI326" s="947"/>
      <c r="AJ326" s="947"/>
      <c r="AK326" s="947"/>
      <c r="AL326" s="947">
        <f>AD$321*AH326+SUM(AI326:AK326)</f>
        <v>0</v>
      </c>
      <c r="AM326" s="889" t="s">
        <v>92</v>
      </c>
      <c r="AN326" s="889" t="s">
        <v>92</v>
      </c>
      <c r="AO326" s="889" t="s">
        <v>92</v>
      </c>
      <c r="AP326" s="889" t="s">
        <v>371</v>
      </c>
      <c r="AQ326" s="889"/>
      <c r="AR326" s="139"/>
      <c r="AS326" s="139"/>
      <c r="AT326" s="139"/>
      <c r="AU326" s="139"/>
    </row>
    <row r="327" spans="2:54" ht="15" customHeight="1" x14ac:dyDescent="0.4">
      <c r="B327" s="7" t="s">
        <v>511</v>
      </c>
      <c r="C327" s="3"/>
      <c r="D327" s="3"/>
      <c r="E327" s="7"/>
      <c r="F327" s="7"/>
      <c r="G327" s="7"/>
      <c r="H327" s="20"/>
      <c r="I327" s="8" t="s">
        <v>512</v>
      </c>
      <c r="S327" s="5">
        <v>1</v>
      </c>
      <c r="T327" s="3" t="s">
        <v>385</v>
      </c>
      <c r="U327" s="20"/>
      <c r="V327" s="7"/>
      <c r="W327" s="7"/>
      <c r="X327" s="7"/>
      <c r="Y327" s="1443"/>
      <c r="Z327" s="1443"/>
      <c r="AA327" s="20"/>
      <c r="AB327" s="3">
        <v>45</v>
      </c>
      <c r="AC327" s="3">
        <v>4</v>
      </c>
      <c r="AD327" s="5">
        <f>AC327*S327</f>
        <v>4</v>
      </c>
      <c r="AE327" s="3" t="s">
        <v>385</v>
      </c>
      <c r="AF327" s="38">
        <f>'Single Hung'!AG445</f>
        <v>6.6000000000000003E-2</v>
      </c>
      <c r="AG327" s="5">
        <f>AF327*AtolbperftSL2</f>
        <v>4.1744999999999997E-2</v>
      </c>
      <c r="AM327" s="3" t="s">
        <v>81</v>
      </c>
      <c r="AN327" s="3" t="s">
        <v>81</v>
      </c>
      <c r="AO327" s="3" t="s">
        <v>81</v>
      </c>
      <c r="AP327" s="3" t="s">
        <v>81</v>
      </c>
      <c r="AR327" s="139"/>
      <c r="AS327" s="139"/>
      <c r="AT327" s="139"/>
      <c r="AU327" s="139"/>
    </row>
    <row r="328" spans="2:54" ht="15" customHeight="1" x14ac:dyDescent="0.4">
      <c r="B328" s="36"/>
      <c r="C328" s="443"/>
      <c r="D328" s="155"/>
      <c r="E328" s="7"/>
      <c r="F328" s="7"/>
      <c r="G328" s="7"/>
      <c r="H328" s="20"/>
      <c r="P328" s="24"/>
      <c r="Q328" s="24"/>
      <c r="U328" s="20"/>
      <c r="V328" s="38" t="s">
        <v>369</v>
      </c>
      <c r="W328" s="3" t="s">
        <v>370</v>
      </c>
      <c r="X328" s="38" t="s">
        <v>369</v>
      </c>
      <c r="Y328" s="1443">
        <v>200249003</v>
      </c>
      <c r="Z328" s="1443"/>
      <c r="AA328" s="20"/>
      <c r="AE328" s="3"/>
      <c r="AF328" s="38"/>
      <c r="AH328" s="51">
        <f>'Single Hung'!AI446</f>
        <v>1.66E-2</v>
      </c>
      <c r="AI328" s="39"/>
      <c r="AJ328" s="39"/>
      <c r="AK328" s="39"/>
      <c r="AL328" s="39">
        <f>AD$327*AH328+SUM(AI328:AK328)</f>
        <v>6.6400000000000001E-2</v>
      </c>
      <c r="AM328" s="3" t="s">
        <v>81</v>
      </c>
      <c r="AN328" s="3" t="s">
        <v>81</v>
      </c>
      <c r="AO328" s="3" t="s">
        <v>371</v>
      </c>
      <c r="AP328" s="3" t="s">
        <v>92</v>
      </c>
      <c r="AR328" s="139"/>
      <c r="AS328" s="139"/>
      <c r="AT328" s="139"/>
      <c r="AU328" s="139"/>
    </row>
    <row r="329" spans="2:54" ht="15" customHeight="1" x14ac:dyDescent="0.4">
      <c r="B329" s="36"/>
      <c r="C329" s="36"/>
      <c r="D329" s="155"/>
      <c r="E329" s="155"/>
      <c r="F329" s="155"/>
      <c r="G329" s="7"/>
      <c r="H329" s="20"/>
      <c r="P329" s="24"/>
      <c r="Q329" s="24"/>
      <c r="U329" s="20"/>
      <c r="V329" s="38" t="s">
        <v>369</v>
      </c>
      <c r="W329" s="3" t="s">
        <v>372</v>
      </c>
      <c r="X329" s="38" t="s">
        <v>369</v>
      </c>
      <c r="Y329" s="1443">
        <v>200249021</v>
      </c>
      <c r="Z329" s="1443"/>
      <c r="AA329" s="20"/>
      <c r="AE329" s="3"/>
      <c r="AF329" s="3"/>
      <c r="AH329" s="51">
        <f>'Single Hung'!AI447</f>
        <v>1.7899999999999999E-2</v>
      </c>
      <c r="AI329" s="39"/>
      <c r="AJ329" s="39"/>
      <c r="AK329" s="39"/>
      <c r="AL329" s="39">
        <f t="shared" ref="AL329:AL333" si="69">AD$327*AH329+SUM(AI329:AK329)</f>
        <v>7.1599999999999997E-2</v>
      </c>
      <c r="AM329" s="3" t="s">
        <v>371</v>
      </c>
      <c r="AN329" s="3" t="s">
        <v>371</v>
      </c>
      <c r="AO329" s="3" t="s">
        <v>371</v>
      </c>
      <c r="AP329" s="3" t="s">
        <v>92</v>
      </c>
      <c r="AR329" s="139"/>
      <c r="AS329" s="139"/>
      <c r="AT329" s="139"/>
      <c r="AU329" s="139"/>
    </row>
    <row r="330" spans="2:54" ht="15" customHeight="1" x14ac:dyDescent="0.4">
      <c r="B330" s="36"/>
      <c r="C330" s="36"/>
      <c r="D330" s="155"/>
      <c r="E330" s="155"/>
      <c r="F330" s="155"/>
      <c r="G330" s="7"/>
      <c r="H330" s="20"/>
      <c r="P330" s="24"/>
      <c r="Q330" s="24"/>
      <c r="U330" s="20"/>
      <c r="V330" s="38" t="s">
        <v>369</v>
      </c>
      <c r="W330" s="3" t="s">
        <v>373</v>
      </c>
      <c r="X330" s="38" t="s">
        <v>369</v>
      </c>
      <c r="Y330" s="1443">
        <v>200249033</v>
      </c>
      <c r="Z330" s="1443"/>
      <c r="AA330" s="20"/>
      <c r="AE330" s="3"/>
      <c r="AF330" s="3"/>
      <c r="AI330" s="39"/>
      <c r="AJ330" s="39"/>
      <c r="AK330" s="39"/>
      <c r="AP330" s="3" t="s">
        <v>92</v>
      </c>
      <c r="AR330" s="139"/>
      <c r="AS330" s="139"/>
      <c r="AT330" s="139"/>
      <c r="AU330" s="139"/>
    </row>
    <row r="331" spans="2:54" ht="15.75" customHeight="1" x14ac:dyDescent="0.4">
      <c r="B331" s="36"/>
      <c r="C331" s="36"/>
      <c r="D331" s="155"/>
      <c r="E331" s="155"/>
      <c r="F331" s="155"/>
      <c r="G331" s="7"/>
      <c r="H331" s="20"/>
      <c r="P331" s="24"/>
      <c r="Q331" s="24"/>
      <c r="U331" s="20"/>
      <c r="V331" s="38" t="s">
        <v>369</v>
      </c>
      <c r="W331" s="3" t="s">
        <v>374</v>
      </c>
      <c r="X331" s="38" t="s">
        <v>369</v>
      </c>
      <c r="Y331" s="1443">
        <v>200249090</v>
      </c>
      <c r="Z331" s="1443"/>
      <c r="AA331" s="20"/>
      <c r="AE331" s="3"/>
      <c r="AF331" s="3"/>
      <c r="AH331" s="51">
        <f>'Single Hung'!AI449</f>
        <v>1.43E-2</v>
      </c>
      <c r="AI331" s="39"/>
      <c r="AJ331" s="39"/>
      <c r="AK331" s="39"/>
      <c r="AL331" s="39">
        <f>AD$327*AH331+SUM(AI331:AK331)</f>
        <v>5.7200000000000001E-2</v>
      </c>
      <c r="AM331" s="3" t="s">
        <v>371</v>
      </c>
      <c r="AN331" s="3" t="s">
        <v>371</v>
      </c>
      <c r="AO331" s="3" t="s">
        <v>81</v>
      </c>
      <c r="AP331" s="3" t="s">
        <v>92</v>
      </c>
      <c r="AR331" s="139"/>
      <c r="AS331" s="139"/>
      <c r="AT331" s="139"/>
      <c r="AU331" s="139"/>
    </row>
    <row r="332" spans="2:54" ht="15.75" customHeight="1" x14ac:dyDescent="0.4">
      <c r="B332" s="36"/>
      <c r="C332" s="36"/>
      <c r="D332" s="155"/>
      <c r="E332" s="155"/>
      <c r="F332" s="155"/>
      <c r="G332" s="7"/>
      <c r="H332" s="20"/>
      <c r="P332" s="24"/>
      <c r="Q332" s="24"/>
      <c r="U332" s="20"/>
      <c r="V332" s="38" t="s">
        <v>369</v>
      </c>
      <c r="W332" s="3" t="s">
        <v>375</v>
      </c>
      <c r="X332" s="38" t="s">
        <v>369</v>
      </c>
      <c r="Y332" s="1443">
        <v>200249133</v>
      </c>
      <c r="Z332" s="1443"/>
      <c r="AA332" s="20"/>
      <c r="AE332" s="3"/>
      <c r="AF332" s="3"/>
      <c r="AH332" s="51">
        <f>'Single Hung'!AI448</f>
        <v>1.8200000000000001E-2</v>
      </c>
      <c r="AI332" s="39"/>
      <c r="AJ332" s="39"/>
      <c r="AK332" s="39"/>
      <c r="AL332" s="39">
        <f t="shared" si="69"/>
        <v>7.2800000000000004E-2</v>
      </c>
      <c r="AM332" s="3" t="s">
        <v>371</v>
      </c>
      <c r="AN332" s="3" t="s">
        <v>371</v>
      </c>
      <c r="AO332" s="3" t="s">
        <v>371</v>
      </c>
      <c r="AP332" s="3" t="s">
        <v>81</v>
      </c>
      <c r="AR332" s="139"/>
      <c r="AS332" s="139"/>
      <c r="AT332" s="139"/>
      <c r="AU332" s="139"/>
    </row>
    <row r="333" spans="2:54" ht="15.75" customHeight="1" thickBot="1" x14ac:dyDescent="0.45">
      <c r="B333" s="943"/>
      <c r="C333" s="943"/>
      <c r="D333" s="925"/>
      <c r="E333" s="925"/>
      <c r="F333" s="925"/>
      <c r="G333" s="924"/>
      <c r="H333" s="887"/>
      <c r="I333" s="889"/>
      <c r="J333" s="889"/>
      <c r="K333" s="889"/>
      <c r="L333" s="889"/>
      <c r="M333" s="945"/>
      <c r="N333" s="945"/>
      <c r="O333" s="945"/>
      <c r="P333" s="1020"/>
      <c r="Q333" s="1020"/>
      <c r="R333" s="889"/>
      <c r="S333" s="945"/>
      <c r="T333" s="889"/>
      <c r="U333" s="887"/>
      <c r="V333" s="1876" t="s">
        <v>369</v>
      </c>
      <c r="W333" s="1877" t="s">
        <v>1849</v>
      </c>
      <c r="X333" s="1876" t="s">
        <v>369</v>
      </c>
      <c r="Y333" s="1878">
        <v>200249148</v>
      </c>
      <c r="Z333" s="1444"/>
      <c r="AA333" s="887"/>
      <c r="AB333" s="889"/>
      <c r="AC333" s="889"/>
      <c r="AD333" s="945"/>
      <c r="AE333" s="889"/>
      <c r="AF333" s="889"/>
      <c r="AG333" s="945"/>
      <c r="AH333" s="937">
        <v>0</v>
      </c>
      <c r="AI333" s="947"/>
      <c r="AJ333" s="947"/>
      <c r="AK333" s="947"/>
      <c r="AL333" s="947">
        <f t="shared" si="69"/>
        <v>0</v>
      </c>
      <c r="AM333" s="889" t="s">
        <v>371</v>
      </c>
      <c r="AN333" s="889" t="s">
        <v>371</v>
      </c>
      <c r="AO333" s="889" t="s">
        <v>81</v>
      </c>
      <c r="AP333" s="889" t="s">
        <v>92</v>
      </c>
      <c r="AQ333" s="889"/>
      <c r="AR333" s="139"/>
      <c r="AS333" s="139"/>
      <c r="AT333" s="139"/>
      <c r="AU333" s="139"/>
    </row>
    <row r="334" spans="2:54" ht="15" customHeight="1" x14ac:dyDescent="0.4">
      <c r="B334" s="7" t="s">
        <v>2194</v>
      </c>
      <c r="C334" s="3"/>
      <c r="D334" s="3"/>
      <c r="E334" s="7"/>
      <c r="F334" s="7"/>
      <c r="G334" s="7"/>
      <c r="I334" s="8" t="s">
        <v>392</v>
      </c>
      <c r="J334" s="3" t="s">
        <v>346</v>
      </c>
      <c r="K334" s="3">
        <v>2</v>
      </c>
      <c r="L334" s="3" t="s">
        <v>348</v>
      </c>
      <c r="M334" s="5">
        <v>-3.3130000000000002</v>
      </c>
      <c r="P334" s="5" t="s">
        <v>348</v>
      </c>
      <c r="Q334" s="5" t="s">
        <v>2342</v>
      </c>
      <c r="S334" s="5">
        <f>(SL2Width/K334+M334+SL2SORnd)</f>
        <v>20.437000000000001</v>
      </c>
      <c r="T334" s="3" t="s">
        <v>367</v>
      </c>
      <c r="V334" s="7"/>
      <c r="W334" s="7"/>
      <c r="X334" s="7"/>
      <c r="Y334" s="1443"/>
      <c r="Z334" s="1443"/>
      <c r="AB334" s="3">
        <v>45</v>
      </c>
      <c r="AC334" s="3">
        <v>2</v>
      </c>
      <c r="AD334" s="5">
        <f>S334*AC334</f>
        <v>40.874000000000002</v>
      </c>
      <c r="AE334" s="3" t="s">
        <v>367</v>
      </c>
      <c r="AF334" s="38">
        <v>6.6000000000000003E-2</v>
      </c>
      <c r="AG334" s="5">
        <f>AF334*AtolbperftSL2</f>
        <v>4.1744999999999997E-2</v>
      </c>
      <c r="AM334" s="3" t="s">
        <v>92</v>
      </c>
      <c r="AN334" s="3" t="s">
        <v>92</v>
      </c>
      <c r="AO334" s="3" t="s">
        <v>92</v>
      </c>
      <c r="AP334" s="3" t="s">
        <v>92</v>
      </c>
      <c r="AX334" s="139"/>
      <c r="AY334" s="139"/>
      <c r="AZ334" s="139"/>
      <c r="BA334" s="139"/>
      <c r="BB334" s="139"/>
    </row>
    <row r="335" spans="2:54" ht="15" customHeight="1" x14ac:dyDescent="0.4">
      <c r="B335" s="1490" t="s">
        <v>2086</v>
      </c>
      <c r="C335" s="443"/>
      <c r="D335" s="155"/>
      <c r="E335" s="7"/>
      <c r="F335" s="7"/>
      <c r="G335" s="7"/>
      <c r="P335" s="24"/>
      <c r="Q335" s="24"/>
      <c r="V335" s="38" t="s">
        <v>369</v>
      </c>
      <c r="W335" s="3" t="s">
        <v>370</v>
      </c>
      <c r="X335" s="38" t="s">
        <v>369</v>
      </c>
      <c r="Y335" s="1443">
        <v>207956003</v>
      </c>
      <c r="Z335" s="1443"/>
      <c r="AE335" s="3"/>
      <c r="AF335" s="38"/>
      <c r="AH335" s="51">
        <v>1.6299999999999999E-2</v>
      </c>
      <c r="AI335" s="39"/>
      <c r="AJ335" s="39"/>
      <c r="AK335" s="39"/>
      <c r="AL335" s="39">
        <f>AD$328*AH335+SUM(AI335:AK335)</f>
        <v>0</v>
      </c>
      <c r="AM335" s="3" t="s">
        <v>92</v>
      </c>
      <c r="AN335" s="3" t="s">
        <v>92</v>
      </c>
      <c r="AO335" s="3" t="s">
        <v>92</v>
      </c>
      <c r="AP335" s="3" t="s">
        <v>92</v>
      </c>
      <c r="AX335" s="139"/>
      <c r="AY335" s="139"/>
      <c r="AZ335" s="139"/>
      <c r="BA335" s="139"/>
      <c r="BB335" s="139"/>
    </row>
    <row r="336" spans="2:54" ht="15" customHeight="1" x14ac:dyDescent="0.4">
      <c r="B336" s="36"/>
      <c r="C336" s="36"/>
      <c r="D336" s="155"/>
      <c r="E336" s="155"/>
      <c r="F336" s="155"/>
      <c r="G336" s="7"/>
      <c r="P336" s="24"/>
      <c r="Q336" s="24"/>
      <c r="V336" s="38" t="s">
        <v>369</v>
      </c>
      <c r="W336" s="3" t="s">
        <v>372</v>
      </c>
      <c r="X336" s="38" t="s">
        <v>369</v>
      </c>
      <c r="Y336" s="1443">
        <v>207956021</v>
      </c>
      <c r="Z336" s="1443"/>
      <c r="AE336" s="3"/>
      <c r="AF336" s="3"/>
      <c r="AH336" s="51">
        <v>1.83E-2</v>
      </c>
      <c r="AI336" s="39"/>
      <c r="AJ336" s="39"/>
      <c r="AK336" s="39"/>
      <c r="AL336" s="39">
        <f t="shared" ref="AL336:AL337" si="70">AD$328*AH336+SUM(AI336:AK336)</f>
        <v>0</v>
      </c>
      <c r="AM336" s="3" t="s">
        <v>92</v>
      </c>
      <c r="AN336" s="3" t="s">
        <v>92</v>
      </c>
      <c r="AO336" s="3" t="s">
        <v>92</v>
      </c>
      <c r="AP336" s="3" t="s">
        <v>92</v>
      </c>
      <c r="AX336" s="139"/>
      <c r="AY336" s="139"/>
      <c r="AZ336" s="139"/>
      <c r="BA336" s="139"/>
      <c r="BB336" s="139"/>
    </row>
    <row r="337" spans="1:54" ht="15.75" customHeight="1" thickBot="1" x14ac:dyDescent="0.45">
      <c r="B337" s="943"/>
      <c r="C337" s="943"/>
      <c r="D337" s="925"/>
      <c r="E337" s="925"/>
      <c r="F337" s="925"/>
      <c r="G337" s="924"/>
      <c r="H337" s="948"/>
      <c r="I337" s="889"/>
      <c r="J337" s="889"/>
      <c r="K337" s="889"/>
      <c r="L337" s="889"/>
      <c r="M337" s="945"/>
      <c r="N337" s="945"/>
      <c r="O337" s="945"/>
      <c r="P337" s="1020"/>
      <c r="Q337" s="1020"/>
      <c r="R337" s="889"/>
      <c r="S337" s="945"/>
      <c r="T337" s="889"/>
      <c r="U337" s="948"/>
      <c r="V337" s="888" t="s">
        <v>369</v>
      </c>
      <c r="W337" s="889" t="s">
        <v>373</v>
      </c>
      <c r="X337" s="888" t="s">
        <v>369</v>
      </c>
      <c r="Y337" s="1444">
        <v>207956033</v>
      </c>
      <c r="Z337" s="1444"/>
      <c r="AA337" s="887"/>
      <c r="AB337" s="889"/>
      <c r="AC337" s="889"/>
      <c r="AD337" s="945"/>
      <c r="AE337" s="889"/>
      <c r="AF337" s="889"/>
      <c r="AG337" s="945"/>
      <c r="AH337" s="937">
        <v>1.9900000000000001E-2</v>
      </c>
      <c r="AI337" s="947"/>
      <c r="AJ337" s="947"/>
      <c r="AK337" s="947"/>
      <c r="AL337" s="947">
        <f t="shared" si="70"/>
        <v>0</v>
      </c>
      <c r="AM337" s="889" t="s">
        <v>92</v>
      </c>
      <c r="AN337" s="889" t="s">
        <v>92</v>
      </c>
      <c r="AO337" s="889" t="s">
        <v>92</v>
      </c>
      <c r="AP337" s="889" t="s">
        <v>92</v>
      </c>
      <c r="AQ337" s="889"/>
      <c r="AX337" s="139"/>
      <c r="AY337" s="139"/>
      <c r="AZ337" s="139"/>
      <c r="BA337" s="139"/>
      <c r="BB337" s="139"/>
    </row>
    <row r="338" spans="1:54" ht="15" customHeight="1" x14ac:dyDescent="0.4">
      <c r="B338" s="7" t="s">
        <v>513</v>
      </c>
      <c r="C338" s="3"/>
      <c r="D338" s="3"/>
      <c r="E338" s="7"/>
      <c r="F338" s="7"/>
      <c r="G338" s="7"/>
      <c r="H338" s="20"/>
      <c r="I338" s="8" t="s">
        <v>514</v>
      </c>
      <c r="S338" s="5">
        <v>1</v>
      </c>
      <c r="T338" s="3" t="s">
        <v>385</v>
      </c>
      <c r="U338" s="20"/>
      <c r="V338" s="7"/>
      <c r="W338" s="7"/>
      <c r="X338" s="7"/>
      <c r="Y338" s="1443"/>
      <c r="Z338" s="1443"/>
      <c r="AA338" s="20"/>
      <c r="AB338" s="3">
        <v>45</v>
      </c>
      <c r="AC338" s="3">
        <v>2</v>
      </c>
      <c r="AD338" s="5">
        <f>AC338*S338</f>
        <v>2</v>
      </c>
      <c r="AE338" s="3" t="s">
        <v>385</v>
      </c>
      <c r="AF338" s="38">
        <f>'Single Hung'!AG456</f>
        <v>9.0999999999999998E-2</v>
      </c>
      <c r="AG338" s="5">
        <f>AF338*AtolbperftSL2</f>
        <v>5.7557499999999991E-2</v>
      </c>
      <c r="AM338" s="3" t="s">
        <v>81</v>
      </c>
      <c r="AN338" s="3" t="s">
        <v>81</v>
      </c>
      <c r="AO338" s="3" t="s">
        <v>81</v>
      </c>
      <c r="AP338" s="3" t="s">
        <v>81</v>
      </c>
      <c r="AS338" s="139"/>
      <c r="AT338" s="139"/>
      <c r="AU338" s="139"/>
      <c r="AV338" s="139"/>
    </row>
    <row r="339" spans="1:54" ht="15.75" customHeight="1" x14ac:dyDescent="0.4">
      <c r="B339" s="36"/>
      <c r="C339" s="443"/>
      <c r="D339" s="155"/>
      <c r="E339" s="7"/>
      <c r="F339" s="7"/>
      <c r="G339" s="7"/>
      <c r="H339" s="20"/>
      <c r="P339" s="24"/>
      <c r="Q339" s="24"/>
      <c r="U339" s="20"/>
      <c r="V339" s="38" t="s">
        <v>369</v>
      </c>
      <c r="W339" s="3" t="s">
        <v>386</v>
      </c>
      <c r="X339" s="38" t="s">
        <v>369</v>
      </c>
      <c r="Y339" s="1443">
        <v>200182008</v>
      </c>
      <c r="Z339" s="1443"/>
      <c r="AA339" s="20"/>
      <c r="AE339" s="3"/>
      <c r="AF339" s="38"/>
      <c r="AH339" s="51">
        <f>'Single Hung'!AI457</f>
        <v>9.2999999999999992E-3</v>
      </c>
      <c r="AI339" s="39"/>
      <c r="AJ339" s="39"/>
      <c r="AK339" s="39"/>
      <c r="AL339" s="39">
        <f>AD$338*AH339+SUM(AI339:AK339)</f>
        <v>1.8599999999999998E-2</v>
      </c>
      <c r="AM339" s="3" t="s">
        <v>81</v>
      </c>
      <c r="AN339" s="3" t="s">
        <v>81</v>
      </c>
      <c r="AO339" s="3" t="s">
        <v>81</v>
      </c>
      <c r="AP339" s="3" t="s">
        <v>81</v>
      </c>
      <c r="AS339" s="139"/>
      <c r="AT339" s="139"/>
      <c r="AU339" s="139"/>
      <c r="AV339" s="139"/>
    </row>
    <row r="340" spans="1:54" ht="15.75" customHeight="1" x14ac:dyDescent="0.4">
      <c r="B340" s="36"/>
      <c r="C340" s="443"/>
      <c r="D340" s="155"/>
      <c r="E340" s="7"/>
      <c r="F340" s="7"/>
      <c r="G340" s="7"/>
      <c r="H340" s="20"/>
      <c r="P340" s="24"/>
      <c r="Q340" s="24"/>
      <c r="U340" s="20"/>
      <c r="V340" s="38"/>
      <c r="X340" s="38"/>
      <c r="Y340" s="41"/>
      <c r="Z340" s="41"/>
      <c r="AA340" s="20"/>
      <c r="AE340" s="3"/>
      <c r="AF340" s="38"/>
      <c r="AH340" s="39"/>
      <c r="AI340" s="39"/>
      <c r="AJ340" s="39"/>
      <c r="AK340" s="39"/>
      <c r="AR340" s="139"/>
      <c r="AS340" s="139"/>
      <c r="AT340" s="139"/>
      <c r="AU340" s="139"/>
      <c r="AV340" s="139"/>
    </row>
    <row r="341" spans="1:54" ht="15.75" customHeight="1" thickBot="1" x14ac:dyDescent="0.45">
      <c r="B341" s="36"/>
      <c r="C341" s="443"/>
      <c r="D341" s="155"/>
      <c r="E341" s="7"/>
      <c r="F341" s="7"/>
      <c r="G341" s="7"/>
      <c r="H341" s="20"/>
      <c r="P341" s="24"/>
      <c r="Q341" s="24"/>
      <c r="U341" s="20"/>
      <c r="V341" s="38"/>
      <c r="X341" s="38"/>
      <c r="Y341" s="41"/>
      <c r="Z341" s="41"/>
      <c r="AA341" s="20"/>
      <c r="AE341" s="3"/>
      <c r="AF341" s="38"/>
      <c r="AH341" s="39"/>
      <c r="AI341" s="39"/>
      <c r="AJ341" s="39"/>
      <c r="AK341" s="39"/>
      <c r="AR341" s="139"/>
      <c r="AS341" s="139"/>
      <c r="AT341" s="139"/>
      <c r="AU341" s="139"/>
      <c r="AV341" s="139"/>
    </row>
    <row r="342" spans="1:54" ht="15" customHeight="1" thickBot="1" x14ac:dyDescent="0.45">
      <c r="B342" s="652" t="s">
        <v>515</v>
      </c>
      <c r="C342" s="653"/>
      <c r="D342" s="653"/>
      <c r="E342" s="653"/>
      <c r="F342" s="653"/>
      <c r="G342" s="653"/>
      <c r="H342" s="654"/>
      <c r="I342" s="654"/>
      <c r="J342" s="654"/>
      <c r="K342" s="654"/>
      <c r="L342" s="654"/>
      <c r="M342" s="655"/>
      <c r="N342" s="655"/>
      <c r="O342" s="655"/>
      <c r="P342" s="655"/>
      <c r="Q342" s="655"/>
      <c r="R342" s="654"/>
      <c r="S342" s="655"/>
      <c r="T342" s="654"/>
      <c r="U342" s="654"/>
      <c r="V342" s="653"/>
      <c r="W342" s="653"/>
      <c r="X342" s="653"/>
      <c r="Y342" s="656"/>
      <c r="Z342" s="656"/>
      <c r="AA342" s="654"/>
      <c r="AB342" s="656"/>
      <c r="AC342" s="654"/>
      <c r="AD342" s="655"/>
      <c r="AE342" s="654"/>
      <c r="AF342" s="654"/>
      <c r="AG342" s="654"/>
      <c r="AH342" s="657"/>
      <c r="AI342" s="658"/>
      <c r="AJ342" s="658"/>
      <c r="AK342" s="659" t="s">
        <v>2232</v>
      </c>
      <c r="AL342" s="660">
        <f>SUBTOTAL(109,AL343:AL367)</f>
        <v>1.05</v>
      </c>
      <c r="AM342" s="658"/>
      <c r="AN342" s="658"/>
      <c r="AO342" s="658"/>
      <c r="AP342" s="658"/>
      <c r="AQ342" s="658"/>
      <c r="AR342" s="139"/>
      <c r="AS342" s="139"/>
      <c r="AT342" s="139"/>
      <c r="AU342" s="139"/>
    </row>
    <row r="343" spans="1:54" ht="15" customHeight="1" x14ac:dyDescent="0.4">
      <c r="A343" s="3" t="s">
        <v>1237</v>
      </c>
      <c r="B343" s="173" t="s">
        <v>518</v>
      </c>
      <c r="C343" s="182"/>
      <c r="D343" s="138"/>
      <c r="E343" s="182"/>
      <c r="F343" s="430" t="s">
        <v>519</v>
      </c>
      <c r="G343" s="661">
        <v>3</v>
      </c>
      <c r="H343" s="175"/>
      <c r="J343" s="116"/>
      <c r="K343" s="116"/>
      <c r="L343" s="116"/>
      <c r="M343" s="177"/>
      <c r="N343" s="177"/>
      <c r="O343" s="177"/>
      <c r="P343" s="177"/>
      <c r="Q343" s="3"/>
      <c r="S343" s="3"/>
      <c r="U343" s="175"/>
      <c r="V343" s="179"/>
      <c r="W343" s="116"/>
      <c r="AA343" s="20"/>
      <c r="AD343" s="3"/>
      <c r="AE343" s="3"/>
      <c r="AF343" s="3"/>
      <c r="AG343" s="3"/>
      <c r="AH343" s="3"/>
      <c r="AI343" s="3"/>
      <c r="AJ343" s="3"/>
      <c r="AK343" s="3"/>
      <c r="AL343" s="457"/>
      <c r="AM343" s="3" t="s">
        <v>81</v>
      </c>
      <c r="AN343" s="3" t="s">
        <v>81</v>
      </c>
      <c r="AO343" s="3" t="s">
        <v>81</v>
      </c>
      <c r="AP343" s="3" t="s">
        <v>81</v>
      </c>
      <c r="AR343" s="139"/>
      <c r="AS343" s="139"/>
      <c r="AT343" s="139"/>
      <c r="AU343" s="139"/>
    </row>
    <row r="344" spans="1:54" ht="15" customHeight="1" x14ac:dyDescent="0.4">
      <c r="B344" s="7"/>
      <c r="C344" s="155"/>
      <c r="E344" s="155"/>
      <c r="F344" s="434" t="s">
        <v>1238</v>
      </c>
      <c r="G344" s="662">
        <v>5.5</v>
      </c>
      <c r="H344" s="20"/>
      <c r="I344" s="436" t="str">
        <f xml:space="preserve"> "Length = INT ( ( UH - " &amp;FIXED(G344,2)&amp;") / "&amp;FIXED(G343,2)&amp;" ) *"&amp;FIXED(G343,2)</f>
        <v>Length = INT ( ( UH - 5.50) / 3.00 ) *3.00</v>
      </c>
      <c r="Q344" s="24"/>
      <c r="R344" s="500"/>
      <c r="S344" s="22"/>
      <c r="T344" s="500"/>
      <c r="U344" s="20"/>
      <c r="V344" s="38"/>
      <c r="Y344" s="56"/>
      <c r="Z344" s="56"/>
      <c r="AA344" s="20"/>
      <c r="AE344" s="3"/>
      <c r="AF344" s="38"/>
      <c r="AG344" s="38"/>
      <c r="AH344" s="39"/>
      <c r="AI344" s="39"/>
      <c r="AJ344" s="39"/>
      <c r="AK344" s="39"/>
      <c r="AM344" s="3" t="s">
        <v>81</v>
      </c>
      <c r="AN344" s="3" t="s">
        <v>81</v>
      </c>
      <c r="AO344" s="3" t="s">
        <v>81</v>
      </c>
      <c r="AP344" s="3" t="s">
        <v>81</v>
      </c>
      <c r="AR344" s="139"/>
      <c r="AS344" s="139"/>
      <c r="AT344" s="139"/>
      <c r="AU344" s="139"/>
    </row>
    <row r="345" spans="1:54" ht="15" customHeight="1" thickBot="1" x14ac:dyDescent="0.45">
      <c r="B345" s="924"/>
      <c r="C345" s="925"/>
      <c r="D345" s="968"/>
      <c r="E345" s="925"/>
      <c r="F345" s="1243" t="s">
        <v>1239</v>
      </c>
      <c r="G345" s="1244">
        <v>15</v>
      </c>
      <c r="H345" s="887"/>
      <c r="I345" s="1245"/>
      <c r="J345" s="889"/>
      <c r="K345" s="889"/>
      <c r="L345" s="889"/>
      <c r="M345" s="945"/>
      <c r="N345" s="945"/>
      <c r="O345" s="945"/>
      <c r="P345" s="945"/>
      <c r="Q345" s="24" t="s">
        <v>522</v>
      </c>
      <c r="S345" s="24" t="s">
        <v>523</v>
      </c>
      <c r="V345" s="1494"/>
      <c r="W345" s="1494"/>
      <c r="X345" s="500" t="s">
        <v>522</v>
      </c>
      <c r="Y345" s="500" t="s">
        <v>1240</v>
      </c>
      <c r="Z345" s="500"/>
      <c r="AM345" s="947" t="s">
        <v>81</v>
      </c>
      <c r="AN345" s="947" t="s">
        <v>81</v>
      </c>
      <c r="AO345" s="947" t="s">
        <v>81</v>
      </c>
      <c r="AP345" s="947" t="s">
        <v>81</v>
      </c>
      <c r="AQ345" s="947"/>
      <c r="AR345" s="139"/>
      <c r="AS345" s="139"/>
      <c r="AT345" s="139"/>
      <c r="AU345" s="139"/>
    </row>
    <row r="346" spans="1:54" ht="15" customHeight="1" x14ac:dyDescent="0.4">
      <c r="B346" s="173" t="s">
        <v>1241</v>
      </c>
      <c r="C346" s="155"/>
      <c r="E346" s="155"/>
      <c r="F346" s="434"/>
      <c r="G346" s="498"/>
      <c r="H346" s="20"/>
      <c r="I346" s="665">
        <v>23.5</v>
      </c>
      <c r="J346" s="666" t="s">
        <v>526</v>
      </c>
      <c r="Q346" s="178"/>
      <c r="R346" s="116"/>
      <c r="S346" s="177"/>
      <c r="T346" s="116"/>
      <c r="U346" s="193"/>
      <c r="V346" s="667" t="str">
        <f>IF(OR(SL2Width&lt;I346,SL2Height&lt;I347),"√","")</f>
        <v/>
      </c>
      <c r="W346" s="668" t="str">
        <f>" If Width &lt; "&amp;I346&amp;" (minimum width) OR Height &lt; "&amp;I347&amp;" (minimum height) no reinforcement is required in the Keeper Stile"</f>
        <v xml:space="preserve"> If Width &lt; 23.5 (minimum width) OR Height &lt; 11.5 (minimum height) no reinforcement is required in the Keeper Stile</v>
      </c>
      <c r="X346" s="448"/>
      <c r="Y346" s="116"/>
      <c r="Z346" s="116"/>
      <c r="AA346" s="1004"/>
      <c r="AB346" s="116"/>
      <c r="AC346" s="116"/>
      <c r="AD346" s="177"/>
      <c r="AE346" s="177"/>
      <c r="AF346" s="177"/>
      <c r="AG346" s="177"/>
      <c r="AH346" s="185"/>
      <c r="AI346" s="185"/>
      <c r="AJ346" s="185"/>
      <c r="AK346" s="185"/>
      <c r="AL346" s="180"/>
      <c r="AM346" s="3" t="s">
        <v>81</v>
      </c>
      <c r="AN346" s="3" t="s">
        <v>81</v>
      </c>
      <c r="AO346" s="3" t="s">
        <v>81</v>
      </c>
      <c r="AP346" s="3" t="s">
        <v>81</v>
      </c>
      <c r="AR346" s="139"/>
      <c r="AS346" s="139"/>
      <c r="AT346" s="139"/>
      <c r="AU346" s="139"/>
    </row>
    <row r="347" spans="1:54" ht="15" customHeight="1" x14ac:dyDescent="0.4">
      <c r="B347" s="7" t="s">
        <v>1242</v>
      </c>
      <c r="C347" s="155"/>
      <c r="E347" s="155"/>
      <c r="F347" s="434"/>
      <c r="G347" s="498"/>
      <c r="H347" s="20"/>
      <c r="I347" s="669">
        <v>11.5</v>
      </c>
      <c r="J347" s="201" t="s">
        <v>527</v>
      </c>
      <c r="Q347" s="437" t="s">
        <v>528</v>
      </c>
      <c r="R347" s="500" t="s">
        <v>352</v>
      </c>
      <c r="S347" s="528">
        <f>INT((SL2Height-G344)/G343)*G343</f>
        <v>42</v>
      </c>
      <c r="T347" s="3" t="s">
        <v>366</v>
      </c>
      <c r="U347" s="20"/>
      <c r="V347" s="670" t="str">
        <f>IF(AND(SL2Width&gt;=I346,SL2Height&gt;=I347),"√","")</f>
        <v>√</v>
      </c>
      <c r="W347" s="376"/>
      <c r="X347" s="24" t="str">
        <f>LOOKUP(S347,S349:S367,Q349:Q367)</f>
        <v>J</v>
      </c>
      <c r="Y347" s="1443">
        <v>230193011</v>
      </c>
      <c r="Z347" s="1443"/>
      <c r="AA347" s="20"/>
      <c r="AB347" s="3">
        <v>45</v>
      </c>
      <c r="AC347" s="3">
        <f>IF(V347&lt;&gt;"",1,0)</f>
        <v>1</v>
      </c>
      <c r="AD347" s="5">
        <f>S347/12*AC347</f>
        <v>3.5</v>
      </c>
      <c r="AE347" s="3" t="s">
        <v>367</v>
      </c>
      <c r="AF347" s="38" t="s">
        <v>8</v>
      </c>
      <c r="AG347" s="38" t="s">
        <v>8</v>
      </c>
      <c r="AH347" s="51">
        <f>'Single Hung'!AI465</f>
        <v>0.3</v>
      </c>
      <c r="AI347" s="39"/>
      <c r="AJ347" s="39"/>
      <c r="AK347" s="39"/>
      <c r="AL347" s="39">
        <f>AD$347*AH347+SUM(AI347:AK347)</f>
        <v>1.05</v>
      </c>
      <c r="AM347" s="3" t="s">
        <v>81</v>
      </c>
      <c r="AN347" s="3" t="s">
        <v>81</v>
      </c>
      <c r="AO347" s="3" t="s">
        <v>81</v>
      </c>
      <c r="AP347" s="3" t="s">
        <v>81</v>
      </c>
      <c r="AR347" s="139"/>
      <c r="AS347" s="139"/>
      <c r="AT347" s="139"/>
      <c r="AU347" s="139"/>
    </row>
    <row r="348" spans="1:54" ht="15" customHeight="1" x14ac:dyDescent="0.4">
      <c r="B348" s="7" t="s">
        <v>1243</v>
      </c>
      <c r="C348" s="155"/>
      <c r="D348" s="155"/>
      <c r="E348" s="155"/>
      <c r="F348" s="3"/>
      <c r="G348" s="3"/>
      <c r="H348" s="20"/>
      <c r="Q348" s="24" t="s">
        <v>522</v>
      </c>
      <c r="U348" s="20"/>
      <c r="V348" s="38"/>
      <c r="X348" s="38"/>
      <c r="AA348" s="20"/>
      <c r="AE348" s="3"/>
      <c r="AF348" s="38"/>
      <c r="AG348" s="38"/>
      <c r="AH348" s="39"/>
      <c r="AI348" s="39"/>
      <c r="AJ348" s="39"/>
      <c r="AK348" s="39"/>
      <c r="AM348" s="3" t="s">
        <v>81</v>
      </c>
      <c r="AN348" s="3" t="s">
        <v>81</v>
      </c>
      <c r="AO348" s="3" t="s">
        <v>81</v>
      </c>
      <c r="AP348" s="3" t="s">
        <v>81</v>
      </c>
      <c r="AR348" s="139"/>
      <c r="AS348" s="139"/>
      <c r="AT348" s="139"/>
      <c r="AU348" s="139"/>
    </row>
    <row r="349" spans="1:54" ht="15" customHeight="1" x14ac:dyDescent="0.4">
      <c r="B349" s="7"/>
      <c r="C349" s="155"/>
      <c r="D349" s="155"/>
      <c r="E349" s="155"/>
      <c r="F349" s="434"/>
      <c r="G349" s="498"/>
      <c r="H349" s="20"/>
      <c r="Q349" s="439" t="s">
        <v>1244</v>
      </c>
      <c r="R349" s="3" t="s">
        <v>352</v>
      </c>
      <c r="S349" s="765">
        <v>6</v>
      </c>
      <c r="T349" s="3" t="s">
        <v>366</v>
      </c>
      <c r="U349" s="1003"/>
      <c r="V349" s="38"/>
      <c r="X349" s="38"/>
      <c r="Y349" s="3" t="s">
        <v>529</v>
      </c>
      <c r="AA349" s="20"/>
      <c r="AE349" s="3"/>
      <c r="AF349" s="38"/>
      <c r="AG349" s="38"/>
      <c r="AH349" s="39"/>
      <c r="AI349" s="39"/>
      <c r="AJ349" s="39"/>
      <c r="AK349" s="39"/>
      <c r="AM349" s="3" t="s">
        <v>81</v>
      </c>
      <c r="AN349" s="3" t="s">
        <v>81</v>
      </c>
      <c r="AO349" s="3" t="s">
        <v>81</v>
      </c>
      <c r="AP349" s="3" t="s">
        <v>81</v>
      </c>
      <c r="AR349" s="139"/>
      <c r="AS349" s="139"/>
      <c r="AT349" s="139"/>
      <c r="AU349" s="139"/>
    </row>
    <row r="350" spans="1:54" ht="15" customHeight="1" x14ac:dyDescent="0.4">
      <c r="B350" s="7"/>
      <c r="C350" s="155"/>
      <c r="D350" s="155"/>
      <c r="E350" s="155"/>
      <c r="F350" s="3"/>
      <c r="G350" s="3"/>
      <c r="H350" s="20"/>
      <c r="Q350" s="439" t="s">
        <v>70</v>
      </c>
      <c r="R350" s="440" t="s">
        <v>352</v>
      </c>
      <c r="S350" s="1623">
        <f>G345</f>
        <v>15</v>
      </c>
      <c r="T350" s="3" t="s">
        <v>366</v>
      </c>
      <c r="U350" s="20"/>
      <c r="V350" s="38"/>
      <c r="X350" s="38"/>
      <c r="Y350" s="441"/>
      <c r="Z350" s="441"/>
      <c r="AA350" s="20"/>
      <c r="AB350" s="3">
        <v>45</v>
      </c>
      <c r="AE350" s="3"/>
      <c r="AF350" s="38"/>
      <c r="AG350" s="38"/>
      <c r="AM350" s="3" t="s">
        <v>81</v>
      </c>
      <c r="AN350" s="3" t="s">
        <v>81</v>
      </c>
      <c r="AO350" s="3" t="s">
        <v>81</v>
      </c>
      <c r="AP350" s="3" t="s">
        <v>81</v>
      </c>
      <c r="AR350" s="139"/>
      <c r="AS350" s="139"/>
      <c r="AT350" s="139"/>
      <c r="AU350" s="139"/>
    </row>
    <row r="351" spans="1:54" ht="15" customHeight="1" x14ac:dyDescent="0.4">
      <c r="B351" s="7"/>
      <c r="C351" s="155"/>
      <c r="D351" s="155"/>
      <c r="E351" s="155"/>
      <c r="F351" s="434"/>
      <c r="G351" s="498"/>
      <c r="H351" s="20"/>
      <c r="Q351" s="439" t="s">
        <v>81</v>
      </c>
      <c r="R351" s="440" t="s">
        <v>352</v>
      </c>
      <c r="S351" s="1623">
        <f>S350+$G$343</f>
        <v>18</v>
      </c>
      <c r="T351" s="3" t="s">
        <v>366</v>
      </c>
      <c r="U351" s="20"/>
      <c r="V351" s="38"/>
      <c r="X351" s="38"/>
      <c r="Y351" s="441"/>
      <c r="Z351" s="441"/>
      <c r="AA351" s="20"/>
      <c r="AB351" s="3">
        <v>45</v>
      </c>
      <c r="AE351" s="3"/>
      <c r="AF351" s="38"/>
      <c r="AG351" s="38"/>
      <c r="AH351" s="39"/>
      <c r="AI351" s="39"/>
      <c r="AJ351" s="39"/>
      <c r="AK351" s="39"/>
      <c r="AM351" s="3" t="s">
        <v>81</v>
      </c>
      <c r="AN351" s="3" t="s">
        <v>81</v>
      </c>
      <c r="AO351" s="3" t="s">
        <v>81</v>
      </c>
      <c r="AP351" s="3" t="s">
        <v>81</v>
      </c>
      <c r="AR351" s="139"/>
      <c r="AS351" s="139"/>
      <c r="AT351" s="139"/>
      <c r="AU351" s="139"/>
    </row>
    <row r="352" spans="1:54" ht="15" customHeight="1" x14ac:dyDescent="0.4">
      <c r="B352" s="7"/>
      <c r="C352" s="155"/>
      <c r="D352" s="155"/>
      <c r="E352" s="155"/>
      <c r="H352" s="20"/>
      <c r="I352" s="442"/>
      <c r="Q352" s="439" t="s">
        <v>531</v>
      </c>
      <c r="R352" s="440" t="s">
        <v>352</v>
      </c>
      <c r="S352" s="1623">
        <f t="shared" ref="S352:S363" si="71">S351+$G$343</f>
        <v>21</v>
      </c>
      <c r="T352" s="3" t="s">
        <v>366</v>
      </c>
      <c r="U352" s="20"/>
      <c r="V352" s="38"/>
      <c r="X352" s="38"/>
      <c r="Y352" s="441"/>
      <c r="Z352" s="441"/>
      <c r="AA352" s="20"/>
      <c r="AB352" s="3">
        <v>45</v>
      </c>
      <c r="AE352" s="3"/>
      <c r="AF352" s="38"/>
      <c r="AG352" s="38"/>
      <c r="AH352" s="39"/>
      <c r="AI352" s="39"/>
      <c r="AJ352" s="39"/>
      <c r="AK352" s="39"/>
      <c r="AM352" s="3" t="s">
        <v>81</v>
      </c>
      <c r="AN352" s="3" t="s">
        <v>81</v>
      </c>
      <c r="AO352" s="3" t="s">
        <v>81</v>
      </c>
      <c r="AP352" s="3" t="s">
        <v>81</v>
      </c>
      <c r="AR352" s="139"/>
      <c r="AS352" s="139"/>
      <c r="AT352" s="139"/>
      <c r="AU352" s="139"/>
    </row>
    <row r="353" spans="1:47" ht="15" customHeight="1" x14ac:dyDescent="0.4">
      <c r="B353" s="7"/>
      <c r="C353" s="155"/>
      <c r="D353" s="155"/>
      <c r="E353" s="155"/>
      <c r="F353" s="155"/>
      <c r="G353" s="7"/>
      <c r="H353" s="20"/>
      <c r="I353" s="443"/>
      <c r="Q353" s="439" t="s">
        <v>94</v>
      </c>
      <c r="R353" s="440" t="s">
        <v>352</v>
      </c>
      <c r="S353" s="1623">
        <f t="shared" si="71"/>
        <v>24</v>
      </c>
      <c r="T353" s="3" t="s">
        <v>366</v>
      </c>
      <c r="U353" s="20"/>
      <c r="V353" s="38"/>
      <c r="X353" s="38"/>
      <c r="Y353" s="441"/>
      <c r="Z353" s="441"/>
      <c r="AA353" s="20"/>
      <c r="AB353" s="3">
        <v>45</v>
      </c>
      <c r="AE353" s="3"/>
      <c r="AF353" s="38"/>
      <c r="AG353" s="38"/>
      <c r="AH353" s="39"/>
      <c r="AI353" s="39"/>
      <c r="AJ353" s="39"/>
      <c r="AK353" s="39"/>
      <c r="AM353" s="3" t="s">
        <v>81</v>
      </c>
      <c r="AN353" s="3" t="s">
        <v>81</v>
      </c>
      <c r="AO353" s="3" t="s">
        <v>81</v>
      </c>
      <c r="AP353" s="3" t="s">
        <v>81</v>
      </c>
      <c r="AR353" s="139"/>
      <c r="AS353" s="139"/>
      <c r="AT353" s="139"/>
      <c r="AU353" s="139"/>
    </row>
    <row r="354" spans="1:47" ht="15" customHeight="1" x14ac:dyDescent="0.4">
      <c r="B354" s="7"/>
      <c r="C354" s="155"/>
      <c r="D354" s="155"/>
      <c r="E354" s="155"/>
      <c r="F354" s="155"/>
      <c r="G354" s="7"/>
      <c r="H354" s="20"/>
      <c r="Q354" s="439" t="s">
        <v>112</v>
      </c>
      <c r="R354" s="440" t="s">
        <v>352</v>
      </c>
      <c r="S354" s="1623">
        <f t="shared" si="71"/>
        <v>27</v>
      </c>
      <c r="T354" s="3" t="s">
        <v>366</v>
      </c>
      <c r="U354" s="20"/>
      <c r="V354" s="38"/>
      <c r="X354" s="38"/>
      <c r="Y354" s="441"/>
      <c r="Z354" s="441"/>
      <c r="AA354" s="20"/>
      <c r="AB354" s="3">
        <v>45</v>
      </c>
      <c r="AE354" s="3"/>
      <c r="AF354" s="38"/>
      <c r="AG354" s="38"/>
      <c r="AH354" s="39"/>
      <c r="AI354" s="39"/>
      <c r="AJ354" s="39"/>
      <c r="AK354" s="39"/>
      <c r="AM354" s="3" t="s">
        <v>81</v>
      </c>
      <c r="AN354" s="3" t="s">
        <v>81</v>
      </c>
      <c r="AO354" s="3" t="s">
        <v>81</v>
      </c>
      <c r="AP354" s="3" t="s">
        <v>81</v>
      </c>
      <c r="AR354" s="139"/>
      <c r="AS354" s="139"/>
      <c r="AT354" s="139"/>
      <c r="AU354" s="139"/>
    </row>
    <row r="355" spans="1:47" ht="15" customHeight="1" x14ac:dyDescent="0.4">
      <c r="B355" s="7"/>
      <c r="C355" s="155"/>
      <c r="D355" s="155"/>
      <c r="E355" s="155"/>
      <c r="F355" s="155"/>
      <c r="G355" s="7"/>
      <c r="H355" s="20"/>
      <c r="Q355" s="439" t="s">
        <v>128</v>
      </c>
      <c r="R355" s="440" t="s">
        <v>352</v>
      </c>
      <c r="S355" s="1623">
        <f t="shared" si="71"/>
        <v>30</v>
      </c>
      <c r="T355" s="3" t="s">
        <v>366</v>
      </c>
      <c r="U355" s="20"/>
      <c r="V355" s="38"/>
      <c r="X355" s="38"/>
      <c r="Y355" s="441"/>
      <c r="Z355" s="441"/>
      <c r="AA355" s="20"/>
      <c r="AB355" s="3">
        <v>45</v>
      </c>
      <c r="AE355" s="3"/>
      <c r="AF355" s="38"/>
      <c r="AG355" s="38"/>
      <c r="AH355" s="39"/>
      <c r="AI355" s="39"/>
      <c r="AJ355" s="39"/>
      <c r="AK355" s="39"/>
      <c r="AM355" s="3" t="s">
        <v>81</v>
      </c>
      <c r="AN355" s="3" t="s">
        <v>81</v>
      </c>
      <c r="AO355" s="3" t="s">
        <v>81</v>
      </c>
      <c r="AP355" s="3" t="s">
        <v>81</v>
      </c>
      <c r="AR355" s="139"/>
      <c r="AS355" s="139"/>
      <c r="AT355" s="139"/>
      <c r="AU355" s="139"/>
    </row>
    <row r="356" spans="1:47" ht="15" customHeight="1" x14ac:dyDescent="0.4">
      <c r="B356" s="7"/>
      <c r="C356" s="155"/>
      <c r="D356" s="155"/>
      <c r="E356" s="155"/>
      <c r="F356" s="155"/>
      <c r="G356" s="7"/>
      <c r="H356" s="20"/>
      <c r="Q356" s="439" t="s">
        <v>155</v>
      </c>
      <c r="R356" s="440" t="s">
        <v>352</v>
      </c>
      <c r="S356" s="1623">
        <f t="shared" si="71"/>
        <v>33</v>
      </c>
      <c r="T356" s="3" t="s">
        <v>366</v>
      </c>
      <c r="U356" s="20"/>
      <c r="V356" s="38"/>
      <c r="X356" s="38"/>
      <c r="Y356" s="441"/>
      <c r="Z356" s="441"/>
      <c r="AA356" s="20"/>
      <c r="AB356" s="3">
        <v>45</v>
      </c>
      <c r="AE356" s="3"/>
      <c r="AF356" s="38"/>
      <c r="AG356" s="38"/>
      <c r="AH356" s="39"/>
      <c r="AI356" s="39"/>
      <c r="AJ356" s="39"/>
      <c r="AK356" s="39"/>
      <c r="AM356" s="3" t="s">
        <v>81</v>
      </c>
      <c r="AN356" s="3" t="s">
        <v>81</v>
      </c>
      <c r="AO356" s="3" t="s">
        <v>81</v>
      </c>
      <c r="AP356" s="3" t="s">
        <v>81</v>
      </c>
      <c r="AR356" s="139"/>
      <c r="AS356" s="139"/>
      <c r="AT356" s="139"/>
      <c r="AU356" s="139"/>
    </row>
    <row r="357" spans="1:47" ht="15" customHeight="1" x14ac:dyDescent="0.4">
      <c r="B357" s="7"/>
      <c r="C357" s="155"/>
      <c r="D357" s="155"/>
      <c r="E357" s="155"/>
      <c r="F357" s="155"/>
      <c r="G357" s="7"/>
      <c r="H357" s="20"/>
      <c r="Q357" s="439" t="s">
        <v>163</v>
      </c>
      <c r="R357" s="440" t="s">
        <v>352</v>
      </c>
      <c r="S357" s="1623">
        <f t="shared" si="71"/>
        <v>36</v>
      </c>
      <c r="T357" s="3" t="s">
        <v>366</v>
      </c>
      <c r="U357" s="20"/>
      <c r="V357" s="38"/>
      <c r="X357" s="38"/>
      <c r="Y357" s="441"/>
      <c r="Z357" s="441"/>
      <c r="AA357" s="20"/>
      <c r="AB357" s="3">
        <v>45</v>
      </c>
      <c r="AE357" s="3"/>
      <c r="AF357" s="38"/>
      <c r="AG357" s="38"/>
      <c r="AH357" s="39"/>
      <c r="AI357" s="39"/>
      <c r="AJ357" s="39"/>
      <c r="AK357" s="39"/>
      <c r="AM357" s="3" t="s">
        <v>81</v>
      </c>
      <c r="AN357" s="3" t="s">
        <v>81</v>
      </c>
      <c r="AO357" s="3" t="s">
        <v>81</v>
      </c>
      <c r="AP357" s="3" t="s">
        <v>81</v>
      </c>
      <c r="AR357" s="139"/>
      <c r="AS357" s="139"/>
      <c r="AT357" s="139"/>
      <c r="AU357" s="139"/>
    </row>
    <row r="358" spans="1:47" ht="15" customHeight="1" x14ac:dyDescent="0.4">
      <c r="B358" s="7"/>
      <c r="C358" s="155"/>
      <c r="D358" s="155"/>
      <c r="E358" s="155"/>
      <c r="F358" s="155"/>
      <c r="G358" s="7"/>
      <c r="H358" s="20"/>
      <c r="Q358" s="439" t="s">
        <v>175</v>
      </c>
      <c r="R358" s="440" t="s">
        <v>352</v>
      </c>
      <c r="S358" s="1623">
        <f t="shared" si="71"/>
        <v>39</v>
      </c>
      <c r="T358" s="3" t="s">
        <v>366</v>
      </c>
      <c r="U358" s="20"/>
      <c r="V358" s="38"/>
      <c r="X358" s="38"/>
      <c r="Y358" s="441"/>
      <c r="Z358" s="441"/>
      <c r="AA358" s="20"/>
      <c r="AB358" s="3">
        <v>45</v>
      </c>
      <c r="AE358" s="3"/>
      <c r="AF358" s="38"/>
      <c r="AG358" s="38"/>
      <c r="AH358" s="39"/>
      <c r="AI358" s="39"/>
      <c r="AJ358" s="39"/>
      <c r="AK358" s="39"/>
      <c r="AM358" s="3" t="s">
        <v>81</v>
      </c>
      <c r="AN358" s="3" t="s">
        <v>81</v>
      </c>
      <c r="AO358" s="3" t="s">
        <v>81</v>
      </c>
      <c r="AP358" s="3" t="s">
        <v>81</v>
      </c>
      <c r="AR358" s="139"/>
      <c r="AS358" s="139"/>
      <c r="AT358" s="139"/>
      <c r="AU358" s="139"/>
    </row>
    <row r="359" spans="1:47" ht="15" customHeight="1" x14ac:dyDescent="0.4">
      <c r="B359" s="7"/>
      <c r="C359" s="155"/>
      <c r="D359" s="155"/>
      <c r="E359" s="155"/>
      <c r="F359" s="155"/>
      <c r="G359" s="7"/>
      <c r="H359" s="20"/>
      <c r="Q359" s="439" t="s">
        <v>533</v>
      </c>
      <c r="R359" s="440" t="s">
        <v>352</v>
      </c>
      <c r="S359" s="1623">
        <f t="shared" si="71"/>
        <v>42</v>
      </c>
      <c r="T359" s="3" t="s">
        <v>366</v>
      </c>
      <c r="U359" s="20"/>
      <c r="V359" s="38"/>
      <c r="X359" s="38"/>
      <c r="Y359" s="441"/>
      <c r="Z359" s="441"/>
      <c r="AA359" s="20"/>
      <c r="AB359" s="3">
        <v>45</v>
      </c>
      <c r="AE359" s="3"/>
      <c r="AF359" s="38"/>
      <c r="AG359" s="38"/>
      <c r="AH359" s="39"/>
      <c r="AI359" s="39"/>
      <c r="AJ359" s="39"/>
      <c r="AK359" s="39"/>
      <c r="AM359" s="3" t="s">
        <v>81</v>
      </c>
      <c r="AN359" s="3" t="s">
        <v>81</v>
      </c>
      <c r="AO359" s="3" t="s">
        <v>81</v>
      </c>
      <c r="AP359" s="3" t="s">
        <v>81</v>
      </c>
      <c r="AR359" s="139"/>
      <c r="AS359" s="139"/>
      <c r="AT359" s="139"/>
      <c r="AU359" s="139"/>
    </row>
    <row r="360" spans="1:47" ht="15" customHeight="1" x14ac:dyDescent="0.4">
      <c r="B360" s="7"/>
      <c r="C360" s="155"/>
      <c r="D360" s="155"/>
      <c r="E360" s="155"/>
      <c r="F360" s="155"/>
      <c r="G360" s="7"/>
      <c r="H360" s="20"/>
      <c r="Q360" s="439" t="s">
        <v>534</v>
      </c>
      <c r="R360" s="440" t="s">
        <v>352</v>
      </c>
      <c r="S360" s="1623">
        <f t="shared" si="71"/>
        <v>45</v>
      </c>
      <c r="T360" s="3" t="s">
        <v>366</v>
      </c>
      <c r="U360" s="20"/>
      <c r="V360" s="38"/>
      <c r="X360" s="38"/>
      <c r="Y360" s="441"/>
      <c r="Z360" s="441"/>
      <c r="AA360" s="20"/>
      <c r="AB360" s="3">
        <v>45</v>
      </c>
      <c r="AE360" s="3"/>
      <c r="AF360" s="38"/>
      <c r="AG360" s="38"/>
      <c r="AH360" s="39"/>
      <c r="AI360" s="39"/>
      <c r="AJ360" s="39"/>
      <c r="AK360" s="39"/>
      <c r="AM360" s="3" t="s">
        <v>81</v>
      </c>
      <c r="AN360" s="3" t="s">
        <v>81</v>
      </c>
      <c r="AO360" s="3" t="s">
        <v>81</v>
      </c>
      <c r="AP360" s="3" t="s">
        <v>81</v>
      </c>
      <c r="AR360" s="139"/>
      <c r="AS360" s="139"/>
      <c r="AT360" s="139"/>
      <c r="AU360" s="139"/>
    </row>
    <row r="361" spans="1:47" ht="15" customHeight="1" x14ac:dyDescent="0.4">
      <c r="B361" s="7"/>
      <c r="C361" s="155"/>
      <c r="D361" s="155"/>
      <c r="E361" s="155"/>
      <c r="F361" s="155"/>
      <c r="G361" s="7"/>
      <c r="H361" s="20"/>
      <c r="Q361" s="439" t="s">
        <v>535</v>
      </c>
      <c r="R361" s="440" t="s">
        <v>352</v>
      </c>
      <c r="S361" s="1623">
        <f t="shared" si="71"/>
        <v>48</v>
      </c>
      <c r="T361" s="3" t="s">
        <v>366</v>
      </c>
      <c r="U361" s="20"/>
      <c r="V361" s="38"/>
      <c r="X361" s="38"/>
      <c r="Y361" s="441"/>
      <c r="Z361" s="441"/>
      <c r="AA361" s="20"/>
      <c r="AB361" s="3">
        <v>45</v>
      </c>
      <c r="AE361" s="3"/>
      <c r="AF361" s="38"/>
      <c r="AG361" s="38"/>
      <c r="AH361" s="39"/>
      <c r="AI361" s="39"/>
      <c r="AJ361" s="39"/>
      <c r="AK361" s="39"/>
      <c r="AM361" s="3" t="s">
        <v>81</v>
      </c>
      <c r="AN361" s="3" t="s">
        <v>81</v>
      </c>
      <c r="AO361" s="3" t="s">
        <v>81</v>
      </c>
      <c r="AP361" s="3" t="s">
        <v>81</v>
      </c>
      <c r="AR361" s="139"/>
      <c r="AS361" s="139"/>
      <c r="AT361" s="139"/>
      <c r="AU361" s="139"/>
    </row>
    <row r="362" spans="1:47" ht="15" customHeight="1" x14ac:dyDescent="0.4">
      <c r="B362" s="7"/>
      <c r="C362" s="155"/>
      <c r="D362" s="155"/>
      <c r="E362" s="155"/>
      <c r="F362" s="155"/>
      <c r="G362" s="7"/>
      <c r="H362" s="20"/>
      <c r="Q362" s="439" t="s">
        <v>536</v>
      </c>
      <c r="R362" s="440" t="s">
        <v>352</v>
      </c>
      <c r="S362" s="1623">
        <f t="shared" si="71"/>
        <v>51</v>
      </c>
      <c r="T362" s="3" t="s">
        <v>366</v>
      </c>
      <c r="U362" s="20"/>
      <c r="V362" s="38"/>
      <c r="X362" s="38"/>
      <c r="Y362" s="441"/>
      <c r="Z362" s="441"/>
      <c r="AA362" s="20"/>
      <c r="AB362" s="3">
        <v>45</v>
      </c>
      <c r="AE362" s="3"/>
      <c r="AF362" s="38"/>
      <c r="AG362" s="38"/>
      <c r="AH362" s="39"/>
      <c r="AI362" s="39"/>
      <c r="AJ362" s="39"/>
      <c r="AK362" s="39"/>
      <c r="AM362" s="3" t="s">
        <v>81</v>
      </c>
      <c r="AN362" s="3" t="s">
        <v>81</v>
      </c>
      <c r="AO362" s="3" t="s">
        <v>81</v>
      </c>
      <c r="AP362" s="3" t="s">
        <v>81</v>
      </c>
      <c r="AR362" s="139"/>
      <c r="AS362" s="139"/>
      <c r="AT362" s="139"/>
      <c r="AU362" s="139"/>
    </row>
    <row r="363" spans="1:47" ht="15" customHeight="1" x14ac:dyDescent="0.4">
      <c r="B363" s="7"/>
      <c r="C363" s="155"/>
      <c r="D363" s="155"/>
      <c r="E363" s="155"/>
      <c r="F363" s="155"/>
      <c r="G363" s="7"/>
      <c r="H363" s="20"/>
      <c r="Q363" s="439" t="s">
        <v>537</v>
      </c>
      <c r="R363" s="440" t="s">
        <v>352</v>
      </c>
      <c r="S363" s="1623">
        <f t="shared" si="71"/>
        <v>54</v>
      </c>
      <c r="T363" s="3" t="s">
        <v>366</v>
      </c>
      <c r="U363" s="20"/>
      <c r="V363" s="38"/>
      <c r="X363" s="38"/>
      <c r="Y363" s="441"/>
      <c r="Z363" s="441"/>
      <c r="AA363" s="20"/>
      <c r="AB363" s="3">
        <v>45</v>
      </c>
      <c r="AE363" s="3"/>
      <c r="AF363" s="38"/>
      <c r="AG363" s="38"/>
      <c r="AH363" s="39"/>
      <c r="AI363" s="39"/>
      <c r="AJ363" s="39"/>
      <c r="AK363" s="39"/>
      <c r="AM363" s="3" t="s">
        <v>81</v>
      </c>
      <c r="AN363" s="3" t="s">
        <v>81</v>
      </c>
      <c r="AO363" s="3" t="s">
        <v>81</v>
      </c>
      <c r="AP363" s="3" t="s">
        <v>81</v>
      </c>
      <c r="AR363" s="139"/>
      <c r="AS363" s="139"/>
      <c r="AT363" s="139"/>
      <c r="AU363" s="139"/>
    </row>
    <row r="364" spans="1:47" ht="15" customHeight="1" x14ac:dyDescent="0.4">
      <c r="B364" s="7"/>
      <c r="C364" s="155"/>
      <c r="D364" s="155"/>
      <c r="E364" s="155"/>
      <c r="F364" s="155"/>
      <c r="G364" s="7"/>
      <c r="H364" s="20"/>
      <c r="Q364" s="439" t="s">
        <v>371</v>
      </c>
      <c r="R364" s="440" t="s">
        <v>352</v>
      </c>
      <c r="S364" s="1623">
        <f>S363+$G$343</f>
        <v>57</v>
      </c>
      <c r="T364" s="3" t="s">
        <v>366</v>
      </c>
      <c r="U364" s="20"/>
      <c r="V364" s="38"/>
      <c r="X364" s="38"/>
      <c r="Y364" s="441"/>
      <c r="Z364" s="441"/>
      <c r="AA364" s="20"/>
      <c r="AB364" s="3">
        <v>45</v>
      </c>
      <c r="AE364" s="3"/>
      <c r="AF364" s="38"/>
      <c r="AG364" s="38"/>
      <c r="AH364" s="39"/>
      <c r="AI364" s="39"/>
      <c r="AJ364" s="39"/>
      <c r="AK364" s="39"/>
      <c r="AM364" s="3" t="s">
        <v>81</v>
      </c>
      <c r="AN364" s="3" t="s">
        <v>81</v>
      </c>
      <c r="AO364" s="3" t="s">
        <v>81</v>
      </c>
      <c r="AP364" s="3" t="s">
        <v>81</v>
      </c>
      <c r="AR364" s="139"/>
      <c r="AS364" s="139"/>
      <c r="AT364" s="139"/>
      <c r="AU364" s="139"/>
    </row>
    <row r="365" spans="1:47" ht="15" customHeight="1" x14ac:dyDescent="0.4">
      <c r="B365" s="7"/>
      <c r="C365" s="155"/>
      <c r="D365" s="155"/>
      <c r="E365" s="155"/>
      <c r="F365" s="155"/>
      <c r="G365" s="7"/>
      <c r="H365" s="20"/>
      <c r="Q365" s="439" t="s">
        <v>538</v>
      </c>
      <c r="R365" s="440" t="s">
        <v>352</v>
      </c>
      <c r="S365" s="1623">
        <f>S364+$G$343</f>
        <v>60</v>
      </c>
      <c r="T365" s="3" t="s">
        <v>366</v>
      </c>
      <c r="U365" s="20"/>
      <c r="V365" s="38"/>
      <c r="X365" s="38"/>
      <c r="Y365" s="441"/>
      <c r="Z365" s="441"/>
      <c r="AA365" s="20"/>
      <c r="AB365" s="3">
        <v>45</v>
      </c>
      <c r="AE365" s="3"/>
      <c r="AF365" s="38"/>
      <c r="AG365" s="38"/>
      <c r="AH365" s="39"/>
      <c r="AI365" s="39"/>
      <c r="AJ365" s="39"/>
      <c r="AK365" s="39"/>
      <c r="AM365" s="3" t="s">
        <v>81</v>
      </c>
      <c r="AN365" s="3" t="s">
        <v>81</v>
      </c>
      <c r="AO365" s="3" t="s">
        <v>81</v>
      </c>
      <c r="AP365" s="3" t="s">
        <v>81</v>
      </c>
      <c r="AR365" s="139"/>
      <c r="AS365" s="139"/>
      <c r="AT365" s="139"/>
      <c r="AU365" s="139"/>
    </row>
    <row r="366" spans="1:47" ht="15" customHeight="1" x14ac:dyDescent="0.4">
      <c r="B366" s="7"/>
      <c r="C366" s="155"/>
      <c r="D366" s="155"/>
      <c r="E366" s="155"/>
      <c r="F366" s="155"/>
      <c r="G366" s="7"/>
      <c r="H366" s="20"/>
      <c r="Q366" s="439" t="s">
        <v>539</v>
      </c>
      <c r="R366" s="440" t="s">
        <v>352</v>
      </c>
      <c r="S366" s="1623">
        <f>S365+$G$343</f>
        <v>63</v>
      </c>
      <c r="T366" s="3" t="s">
        <v>366</v>
      </c>
      <c r="U366" s="20"/>
      <c r="V366" s="38"/>
      <c r="X366" s="38"/>
      <c r="Y366" s="441"/>
      <c r="Z366" s="441"/>
      <c r="AA366" s="20"/>
      <c r="AB366" s="3">
        <v>45</v>
      </c>
      <c r="AE366" s="3"/>
      <c r="AF366" s="38"/>
      <c r="AG366" s="38"/>
      <c r="AH366" s="39"/>
      <c r="AI366" s="39"/>
      <c r="AJ366" s="39"/>
      <c r="AK366" s="39"/>
      <c r="AM366" s="3" t="s">
        <v>81</v>
      </c>
      <c r="AN366" s="3" t="s">
        <v>81</v>
      </c>
      <c r="AO366" s="3" t="s">
        <v>81</v>
      </c>
      <c r="AP366" s="3" t="s">
        <v>81</v>
      </c>
      <c r="AR366" s="139"/>
      <c r="AS366" s="139"/>
      <c r="AT366" s="139"/>
      <c r="AU366" s="139"/>
    </row>
    <row r="367" spans="1:47" ht="15" customHeight="1" thickBot="1" x14ac:dyDescent="0.45">
      <c r="B367" s="924"/>
      <c r="C367" s="925"/>
      <c r="D367" s="925"/>
      <c r="E367" s="925"/>
      <c r="F367" s="925"/>
      <c r="G367" s="924"/>
      <c r="H367" s="887"/>
      <c r="I367" s="889"/>
      <c r="J367" s="889"/>
      <c r="K367" s="889"/>
      <c r="L367" s="889"/>
      <c r="M367" s="945"/>
      <c r="N367" s="945"/>
      <c r="O367" s="945"/>
      <c r="P367" s="945"/>
      <c r="Q367" s="1192" t="s">
        <v>540</v>
      </c>
      <c r="R367" s="1005" t="s">
        <v>352</v>
      </c>
      <c r="S367" s="1624">
        <f>S366+$G$343</f>
        <v>66</v>
      </c>
      <c r="T367" s="889" t="s">
        <v>366</v>
      </c>
      <c r="U367" s="887"/>
      <c r="V367" s="888"/>
      <c r="W367" s="888"/>
      <c r="X367" s="888"/>
      <c r="Y367" s="1006"/>
      <c r="Z367" s="1006"/>
      <c r="AA367" s="887"/>
      <c r="AB367" s="889">
        <v>45</v>
      </c>
      <c r="AC367" s="889"/>
      <c r="AD367" s="945"/>
      <c r="AE367" s="889"/>
      <c r="AF367" s="888"/>
      <c r="AG367" s="888"/>
      <c r="AH367" s="947"/>
      <c r="AI367" s="947"/>
      <c r="AJ367" s="947"/>
      <c r="AK367" s="947"/>
      <c r="AL367" s="947"/>
      <c r="AM367" s="889" t="s">
        <v>81</v>
      </c>
      <c r="AN367" s="889" t="s">
        <v>81</v>
      </c>
      <c r="AO367" s="889" t="s">
        <v>81</v>
      </c>
      <c r="AP367" s="889" t="s">
        <v>81</v>
      </c>
      <c r="AQ367" s="889"/>
      <c r="AR367" s="139"/>
      <c r="AS367" s="139"/>
      <c r="AT367" s="139"/>
      <c r="AU367" s="139"/>
    </row>
    <row r="368" spans="1:47" ht="15" customHeight="1" x14ac:dyDescent="0.4">
      <c r="A368" s="3" t="s">
        <v>2233</v>
      </c>
      <c r="B368" s="642" t="s">
        <v>2234</v>
      </c>
      <c r="C368" s="642"/>
      <c r="D368" s="642"/>
      <c r="E368" s="642"/>
      <c r="F368" s="642"/>
      <c r="G368" s="642"/>
      <c r="H368" s="643"/>
      <c r="I368" s="643"/>
      <c r="J368" s="643"/>
      <c r="K368" s="643"/>
      <c r="L368" s="643"/>
      <c r="M368" s="644"/>
      <c r="N368" s="644"/>
      <c r="O368" s="644"/>
      <c r="P368" s="644"/>
      <c r="Q368" s="644"/>
      <c r="R368" s="643"/>
      <c r="S368" s="644"/>
      <c r="T368" s="643"/>
      <c r="U368" s="643"/>
      <c r="V368" s="642"/>
      <c r="W368" s="642"/>
      <c r="X368" s="642"/>
      <c r="Y368" s="645"/>
      <c r="Z368" s="645"/>
      <c r="AA368" s="643"/>
      <c r="AB368" s="645"/>
      <c r="AC368" s="643"/>
      <c r="AD368" s="644"/>
      <c r="AE368" s="643"/>
      <c r="AF368" s="643"/>
      <c r="AG368" s="643"/>
      <c r="AH368" s="647"/>
      <c r="AI368" s="647"/>
      <c r="AJ368" s="647"/>
      <c r="AK368" s="648" t="s">
        <v>2235</v>
      </c>
      <c r="AL368" s="649">
        <f>SUBTOTAL(109,AL369:AL374)</f>
        <v>2.6313624999999998</v>
      </c>
      <c r="AM368" s="647" t="s">
        <v>371</v>
      </c>
      <c r="AN368" s="647" t="s">
        <v>371</v>
      </c>
      <c r="AO368" s="647" t="s">
        <v>371</v>
      </c>
      <c r="AP368" s="647" t="s">
        <v>371</v>
      </c>
      <c r="AQ368" s="647"/>
      <c r="AR368" s="139"/>
      <c r="AS368" s="139"/>
      <c r="AT368" s="139"/>
      <c r="AU368" s="139"/>
    </row>
    <row r="369" spans="1:50" ht="26.25" customHeight="1" x14ac:dyDescent="0.4">
      <c r="B369" s="8" t="s">
        <v>2236</v>
      </c>
      <c r="G369" s="3"/>
      <c r="I369" s="3" t="s">
        <v>392</v>
      </c>
      <c r="L369" s="5" t="s">
        <v>348</v>
      </c>
      <c r="M369" s="5">
        <v>-2</v>
      </c>
      <c r="Q369" s="3"/>
      <c r="R369" s="5" t="s">
        <v>352</v>
      </c>
      <c r="S369" s="5">
        <f>SL2Width+M369</f>
        <v>45.5</v>
      </c>
      <c r="T369" s="3" t="s">
        <v>366</v>
      </c>
      <c r="V369" s="4"/>
      <c r="W369" s="4"/>
      <c r="X369" s="56"/>
      <c r="Y369" s="1443">
        <v>640016000</v>
      </c>
      <c r="Z369" s="1443"/>
      <c r="AB369" s="3">
        <v>45</v>
      </c>
      <c r="AC369" s="56">
        <v>1</v>
      </c>
      <c r="AD369" s="376">
        <f>AC369*S369/12</f>
        <v>3.7916666666666665</v>
      </c>
      <c r="AE369" s="3" t="s">
        <v>367</v>
      </c>
      <c r="AF369" s="38"/>
      <c r="AG369" s="38"/>
      <c r="AH369" s="492">
        <v>0.1196</v>
      </c>
      <c r="AI369" s="39"/>
      <c r="AJ369" s="39"/>
      <c r="AK369" s="39"/>
      <c r="AL369" s="39">
        <f>AD$369*AH369+SUM(AI369:AK369)</f>
        <v>0.45348333333333329</v>
      </c>
      <c r="AM369" s="3" t="s">
        <v>371</v>
      </c>
      <c r="AN369" s="3" t="s">
        <v>371</v>
      </c>
      <c r="AO369" s="3" t="s">
        <v>371</v>
      </c>
      <c r="AP369" s="3" t="s">
        <v>371</v>
      </c>
      <c r="AR369" s="139"/>
      <c r="AS369" s="139"/>
      <c r="AT369" s="139"/>
      <c r="AU369" s="139"/>
    </row>
    <row r="370" spans="1:50" ht="26.25" customHeight="1" thickBot="1" x14ac:dyDescent="0.45">
      <c r="B370" s="949" t="s">
        <v>2237</v>
      </c>
      <c r="C370" s="949"/>
      <c r="D370" s="968"/>
      <c r="E370" s="968"/>
      <c r="F370" s="968"/>
      <c r="G370" s="889"/>
      <c r="H370" s="948"/>
      <c r="I370" s="889" t="s">
        <v>365</v>
      </c>
      <c r="J370" s="889"/>
      <c r="K370" s="889"/>
      <c r="L370" s="945" t="s">
        <v>348</v>
      </c>
      <c r="M370" s="945">
        <v>-2</v>
      </c>
      <c r="N370" s="945"/>
      <c r="O370" s="945"/>
      <c r="P370" s="945"/>
      <c r="Q370" s="889"/>
      <c r="R370" s="945" t="s">
        <v>352</v>
      </c>
      <c r="S370" s="945">
        <f>SL2Height+M370</f>
        <v>45.5</v>
      </c>
      <c r="T370" s="889" t="s">
        <v>366</v>
      </c>
      <c r="U370" s="948"/>
      <c r="V370" s="968"/>
      <c r="W370" s="968"/>
      <c r="X370" s="1156"/>
      <c r="Y370" s="1444">
        <v>640016000</v>
      </c>
      <c r="Z370" s="1444"/>
      <c r="AA370" s="948"/>
      <c r="AB370" s="889">
        <v>45</v>
      </c>
      <c r="AC370" s="1156">
        <v>2</v>
      </c>
      <c r="AD370" s="970">
        <f>AC370*S370/12</f>
        <v>7.583333333333333</v>
      </c>
      <c r="AE370" s="889" t="s">
        <v>367</v>
      </c>
      <c r="AF370" s="888"/>
      <c r="AG370" s="888"/>
      <c r="AH370" s="942">
        <f>AH369</f>
        <v>0.1196</v>
      </c>
      <c r="AI370" s="947"/>
      <c r="AJ370" s="947"/>
      <c r="AK370" s="947"/>
      <c r="AL370" s="947">
        <f>AD$370*AH370+SUM(AI370:AK370)</f>
        <v>0.90696666666666659</v>
      </c>
      <c r="AM370" s="889" t="s">
        <v>371</v>
      </c>
      <c r="AN370" s="889" t="s">
        <v>371</v>
      </c>
      <c r="AO370" s="889" t="s">
        <v>371</v>
      </c>
      <c r="AP370" s="889" t="s">
        <v>371</v>
      </c>
      <c r="AQ370" s="889"/>
      <c r="AR370" s="139"/>
      <c r="AS370" s="139"/>
      <c r="AT370" s="139"/>
      <c r="AU370" s="139"/>
    </row>
    <row r="371" spans="1:50" ht="34.5" customHeight="1" x14ac:dyDescent="0.4">
      <c r="B371" s="8" t="s">
        <v>2238</v>
      </c>
      <c r="G371" s="3"/>
      <c r="I371" s="3" t="s">
        <v>392</v>
      </c>
      <c r="L371" s="5" t="s">
        <v>348</v>
      </c>
      <c r="M371" s="5">
        <v>-2</v>
      </c>
      <c r="Q371" s="3"/>
      <c r="R371" s="5" t="s">
        <v>352</v>
      </c>
      <c r="S371" s="5">
        <f>SL2Width+M371</f>
        <v>45.5</v>
      </c>
      <c r="T371" s="3" t="s">
        <v>366</v>
      </c>
      <c r="V371" s="4"/>
      <c r="W371" s="4"/>
      <c r="X371" s="56"/>
      <c r="Y371" s="1443">
        <v>640017000</v>
      </c>
      <c r="Z371" s="1443"/>
      <c r="AB371" s="3">
        <v>45</v>
      </c>
      <c r="AC371" s="56">
        <v>1</v>
      </c>
      <c r="AD371" s="376">
        <f>AC371*S371/12</f>
        <v>3.7916666666666665</v>
      </c>
      <c r="AE371" s="3" t="s">
        <v>367</v>
      </c>
      <c r="AF371" s="38"/>
      <c r="AG371" s="38"/>
      <c r="AH371" s="492">
        <v>7.6100000000000001E-2</v>
      </c>
      <c r="AI371" s="39"/>
      <c r="AJ371" s="39"/>
      <c r="AK371" s="39"/>
      <c r="AL371" s="39">
        <f>AD$371*AH371+SUM(AI371:AK371)</f>
        <v>0.28854583333333333</v>
      </c>
      <c r="AM371" s="3" t="s">
        <v>371</v>
      </c>
      <c r="AN371" s="3" t="s">
        <v>371</v>
      </c>
      <c r="AO371" s="3" t="s">
        <v>371</v>
      </c>
      <c r="AP371" s="3" t="s">
        <v>371</v>
      </c>
      <c r="AR371" s="139"/>
      <c r="AS371" s="139"/>
      <c r="AT371" s="139"/>
      <c r="AU371" s="139"/>
    </row>
    <row r="372" spans="1:50" ht="26.25" customHeight="1" thickBot="1" x14ac:dyDescent="0.45">
      <c r="B372" s="949" t="s">
        <v>2239</v>
      </c>
      <c r="C372" s="949"/>
      <c r="D372" s="968"/>
      <c r="E372" s="968"/>
      <c r="F372" s="968"/>
      <c r="G372" s="889"/>
      <c r="H372" s="948"/>
      <c r="I372" s="889" t="s">
        <v>365</v>
      </c>
      <c r="J372" s="889"/>
      <c r="K372" s="889"/>
      <c r="L372" s="945" t="s">
        <v>348</v>
      </c>
      <c r="M372" s="945">
        <v>-2</v>
      </c>
      <c r="N372" s="945"/>
      <c r="O372" s="945"/>
      <c r="P372" s="945"/>
      <c r="Q372" s="889"/>
      <c r="R372" s="945" t="s">
        <v>352</v>
      </c>
      <c r="S372" s="945">
        <f>SL2Height+M372</f>
        <v>45.5</v>
      </c>
      <c r="T372" s="889" t="s">
        <v>366</v>
      </c>
      <c r="U372" s="948"/>
      <c r="V372" s="968"/>
      <c r="W372" s="968"/>
      <c r="X372" s="1156"/>
      <c r="Y372" s="1444">
        <v>640017000</v>
      </c>
      <c r="Z372" s="1444"/>
      <c r="AA372" s="948"/>
      <c r="AB372" s="889">
        <v>45</v>
      </c>
      <c r="AC372" s="1156">
        <v>2</v>
      </c>
      <c r="AD372" s="970">
        <f>AC372*S372/12</f>
        <v>7.583333333333333</v>
      </c>
      <c r="AE372" s="889" t="s">
        <v>367</v>
      </c>
      <c r="AF372" s="888"/>
      <c r="AG372" s="888"/>
      <c r="AH372" s="942">
        <f>AH371</f>
        <v>7.6100000000000001E-2</v>
      </c>
      <c r="AI372" s="947"/>
      <c r="AJ372" s="947"/>
      <c r="AK372" s="947"/>
      <c r="AL372" s="947">
        <f>AD$372*AH372+SUM(AI372:AK372)</f>
        <v>0.57709166666666667</v>
      </c>
      <c r="AM372" s="889" t="s">
        <v>371</v>
      </c>
      <c r="AN372" s="889" t="s">
        <v>371</v>
      </c>
      <c r="AO372" s="889" t="s">
        <v>371</v>
      </c>
      <c r="AP372" s="889" t="s">
        <v>371</v>
      </c>
      <c r="AQ372" s="889"/>
      <c r="AR372" s="139"/>
      <c r="AS372" s="139"/>
      <c r="AT372" s="139"/>
      <c r="AU372" s="139"/>
    </row>
    <row r="373" spans="1:50" ht="26.25" customHeight="1" x14ac:dyDescent="0.4">
      <c r="B373" s="4" t="s">
        <v>2240</v>
      </c>
      <c r="G373" s="3"/>
      <c r="I373" s="3" t="s">
        <v>365</v>
      </c>
      <c r="L373" s="5" t="s">
        <v>348</v>
      </c>
      <c r="M373" s="5">
        <v>-4</v>
      </c>
      <c r="Q373" s="3"/>
      <c r="R373" s="5" t="s">
        <v>352</v>
      </c>
      <c r="S373" s="5">
        <f>SL2Height+M373</f>
        <v>43.5</v>
      </c>
      <c r="T373" s="3" t="s">
        <v>366</v>
      </c>
      <c r="V373" s="4"/>
      <c r="W373" s="4"/>
      <c r="X373" s="56"/>
      <c r="Y373" s="1443">
        <v>640024000</v>
      </c>
      <c r="Z373" s="1443"/>
      <c r="AB373" s="3">
        <v>45</v>
      </c>
      <c r="AC373" s="56">
        <v>1</v>
      </c>
      <c r="AD373" s="376">
        <f>AC373*S373/12</f>
        <v>3.625</v>
      </c>
      <c r="AE373" s="3" t="s">
        <v>367</v>
      </c>
      <c r="AF373" s="38"/>
      <c r="AG373" s="38"/>
      <c r="AH373" s="492">
        <f>'Single Hung'!AI491</f>
        <v>0.1118</v>
      </c>
      <c r="AI373" s="39"/>
      <c r="AJ373" s="39"/>
      <c r="AK373" s="39"/>
      <c r="AL373" s="39">
        <f>AD$373*AH373+SUM(AI373:AK373)</f>
        <v>0.405275</v>
      </c>
      <c r="AM373" s="3" t="s">
        <v>371</v>
      </c>
      <c r="AN373" s="3" t="s">
        <v>371</v>
      </c>
      <c r="AO373" s="3" t="s">
        <v>371</v>
      </c>
      <c r="AP373" s="3" t="s">
        <v>371</v>
      </c>
      <c r="AR373" s="139"/>
      <c r="AS373" s="139"/>
      <c r="AT373" s="139"/>
      <c r="AU373" s="139"/>
    </row>
    <row r="374" spans="1:50" ht="26.25" customHeight="1" thickBot="1" x14ac:dyDescent="0.45">
      <c r="B374" s="968"/>
      <c r="C374" s="968"/>
      <c r="D374" s="968"/>
      <c r="E374" s="968"/>
      <c r="F374" s="968"/>
      <c r="G374" s="889"/>
      <c r="H374" s="948"/>
      <c r="I374" s="889"/>
      <c r="J374" s="889"/>
      <c r="K374" s="889"/>
      <c r="L374" s="945"/>
      <c r="M374" s="945"/>
      <c r="N374" s="945"/>
      <c r="O374" s="945"/>
      <c r="P374" s="945"/>
      <c r="Q374" s="889"/>
      <c r="R374" s="945"/>
      <c r="S374" s="945"/>
      <c r="T374" s="889"/>
      <c r="U374" s="948"/>
      <c r="V374" s="968"/>
      <c r="W374" s="968"/>
      <c r="X374" s="1156"/>
      <c r="Y374" s="1444"/>
      <c r="Z374" s="1444"/>
      <c r="AA374" s="948"/>
      <c r="AB374" s="889"/>
      <c r="AC374" s="1156"/>
      <c r="AD374" s="970"/>
      <c r="AE374" s="889"/>
      <c r="AF374" s="888"/>
      <c r="AG374" s="888"/>
      <c r="AH374" s="1157"/>
      <c r="AI374" s="947"/>
      <c r="AJ374" s="947"/>
      <c r="AK374" s="947"/>
      <c r="AL374" s="947"/>
      <c r="AM374" s="889"/>
      <c r="AN374" s="889"/>
      <c r="AO374" s="889"/>
      <c r="AP374" s="889"/>
      <c r="AQ374" s="889"/>
      <c r="AR374" s="139"/>
      <c r="AS374" s="139"/>
      <c r="AT374" s="139"/>
      <c r="AU374" s="139"/>
    </row>
    <row r="375" spans="1:50" ht="15" customHeight="1" thickBot="1" x14ac:dyDescent="0.45">
      <c r="B375" s="641" t="s">
        <v>549</v>
      </c>
      <c r="C375" s="642"/>
      <c r="D375" s="642"/>
      <c r="E375" s="642"/>
      <c r="F375" s="642"/>
      <c r="G375" s="642"/>
      <c r="H375" s="643"/>
      <c r="I375" s="643"/>
      <c r="J375" s="643"/>
      <c r="K375" s="643"/>
      <c r="L375" s="643"/>
      <c r="M375" s="644"/>
      <c r="N375" s="644"/>
      <c r="O375" s="644"/>
      <c r="P375" s="644"/>
      <c r="Q375" s="644"/>
      <c r="R375" s="643"/>
      <c r="S375" s="655"/>
      <c r="T375" s="654"/>
      <c r="U375" s="654"/>
      <c r="V375" s="653"/>
      <c r="W375" s="653"/>
      <c r="X375" s="653"/>
      <c r="Y375" s="1515"/>
      <c r="Z375" s="1515"/>
      <c r="AA375" s="643"/>
      <c r="AB375" s="645"/>
      <c r="AC375" s="643"/>
      <c r="AD375" s="644"/>
      <c r="AE375" s="643"/>
      <c r="AF375" s="643"/>
      <c r="AG375" s="643"/>
      <c r="AH375" s="647"/>
      <c r="AI375" s="647"/>
      <c r="AJ375" s="647"/>
      <c r="AK375" s="671" t="s">
        <v>2241</v>
      </c>
      <c r="AL375" s="672">
        <f>SUBTOTAL(109,AL380:AL426)</f>
        <v>7.6256700000000004</v>
      </c>
      <c r="AM375" s="647"/>
      <c r="AN375" s="647"/>
      <c r="AO375" s="647"/>
      <c r="AP375" s="647"/>
      <c r="AQ375" s="647"/>
      <c r="AR375" s="139"/>
      <c r="AS375" s="139"/>
      <c r="AT375" s="139"/>
      <c r="AU375" s="139"/>
    </row>
    <row r="376" spans="1:50" ht="15" customHeight="1" x14ac:dyDescent="0.4">
      <c r="B376" s="181" t="s">
        <v>1248</v>
      </c>
      <c r="C376" s="181"/>
      <c r="D376" s="964"/>
      <c r="E376" s="182"/>
      <c r="F376" s="182"/>
      <c r="G376" s="173"/>
      <c r="H376" s="175"/>
      <c r="I376" s="116"/>
      <c r="J376" s="116"/>
      <c r="K376" s="116"/>
      <c r="L376" s="116"/>
      <c r="M376" s="177"/>
      <c r="N376" s="177"/>
      <c r="O376" s="177"/>
      <c r="P376" s="177"/>
      <c r="Q376" s="177"/>
      <c r="R376" s="177" t="s">
        <v>352</v>
      </c>
      <c r="S376" s="56">
        <v>2</v>
      </c>
      <c r="T376" s="3" t="s">
        <v>385</v>
      </c>
      <c r="U376" s="20"/>
      <c r="V376" s="38"/>
      <c r="X376" s="38"/>
      <c r="Y376" s="1443"/>
      <c r="Z376" s="1443"/>
      <c r="AA376" s="175"/>
      <c r="AB376" s="116">
        <v>45</v>
      </c>
      <c r="AC376" s="116">
        <v>2</v>
      </c>
      <c r="AD376" s="177">
        <v>2</v>
      </c>
      <c r="AE376" s="116" t="s">
        <v>385</v>
      </c>
      <c r="AF376" s="179" t="s">
        <v>8</v>
      </c>
      <c r="AG376" s="179" t="s">
        <v>8</v>
      </c>
      <c r="AH376" s="185"/>
      <c r="AI376" s="180"/>
      <c r="AJ376" s="180"/>
      <c r="AK376" s="180"/>
      <c r="AL376" s="180"/>
      <c r="AM376" s="116"/>
      <c r="AN376" s="116"/>
      <c r="AO376" s="116"/>
      <c r="AP376" s="116" t="s">
        <v>81</v>
      </c>
      <c r="AQ376" s="116"/>
      <c r="AT376" s="140"/>
      <c r="AU376" s="140"/>
      <c r="AV376" s="139"/>
      <c r="AW376" s="139"/>
      <c r="AX376" s="139"/>
    </row>
    <row r="377" spans="1:50" ht="15" customHeight="1" x14ac:dyDescent="0.4">
      <c r="B377" s="36"/>
      <c r="C377" s="36"/>
      <c r="D377" s="447"/>
      <c r="E377" s="155"/>
      <c r="F377" s="155"/>
      <c r="G377" s="7"/>
      <c r="H377" s="20"/>
      <c r="T377" s="42"/>
      <c r="U377" s="20"/>
      <c r="V377" s="38"/>
      <c r="X377" s="38"/>
      <c r="Y377" s="1443"/>
      <c r="Z377" s="1443"/>
      <c r="AA377" s="20"/>
      <c r="AE377" s="3"/>
      <c r="AF377" s="38"/>
      <c r="AG377" s="38"/>
      <c r="AI377" s="39"/>
      <c r="AJ377" s="39"/>
      <c r="AK377" s="39"/>
      <c r="AT377" s="140"/>
      <c r="AU377" s="140"/>
      <c r="AV377" s="139"/>
      <c r="AW377" s="139"/>
      <c r="AX377" s="139"/>
    </row>
    <row r="378" spans="1:50" ht="15" customHeight="1" x14ac:dyDescent="0.4">
      <c r="B378" s="36"/>
      <c r="C378" s="36"/>
      <c r="D378" s="447"/>
      <c r="E378" s="155"/>
      <c r="F378" s="155"/>
      <c r="G378" s="7"/>
      <c r="H378" s="20"/>
      <c r="T378" s="42" t="s">
        <v>552</v>
      </c>
      <c r="U378" s="20"/>
      <c r="V378" s="38" t="s">
        <v>369</v>
      </c>
      <c r="W378" s="3" t="s">
        <v>405</v>
      </c>
      <c r="X378" s="38" t="s">
        <v>369</v>
      </c>
      <c r="Y378" s="1443">
        <v>600141010</v>
      </c>
      <c r="Z378" s="1443"/>
      <c r="AA378" s="20"/>
      <c r="AE378" s="3"/>
      <c r="AF378" s="38"/>
      <c r="AG378" s="38"/>
      <c r="AH378" s="51">
        <f>'Single Hung'!AI495</f>
        <v>0.01</v>
      </c>
      <c r="AI378" s="39"/>
      <c r="AJ378" s="39"/>
      <c r="AK378" s="39"/>
      <c r="AL378" s="39">
        <f>AD$376*AH378+SUM(AI378:AK378)</f>
        <v>0.02</v>
      </c>
      <c r="AM378" s="3" t="s">
        <v>81</v>
      </c>
      <c r="AN378" s="3" t="s">
        <v>81</v>
      </c>
      <c r="AO378" s="3" t="s">
        <v>92</v>
      </c>
      <c r="AP378" s="3" t="s">
        <v>92</v>
      </c>
      <c r="AT378" s="140"/>
      <c r="AU378" s="140"/>
      <c r="AV378" s="139"/>
      <c r="AW378" s="139"/>
      <c r="AX378" s="139"/>
    </row>
    <row r="379" spans="1:50" ht="15" customHeight="1" thickBot="1" x14ac:dyDescent="0.45">
      <c r="B379" s="943"/>
      <c r="C379" s="943"/>
      <c r="D379" s="944"/>
      <c r="E379" s="925"/>
      <c r="F379" s="925"/>
      <c r="G379" s="924"/>
      <c r="H379" s="887"/>
      <c r="I379" s="889"/>
      <c r="J379" s="889"/>
      <c r="K379" s="889"/>
      <c r="L379" s="889"/>
      <c r="M379" s="945"/>
      <c r="N379" s="945"/>
      <c r="O379" s="945"/>
      <c r="P379" s="945"/>
      <c r="Q379" s="945"/>
      <c r="R379" s="889"/>
      <c r="S379" s="945"/>
      <c r="T379" s="1154" t="s">
        <v>553</v>
      </c>
      <c r="U379" s="20"/>
      <c r="V379" s="888" t="s">
        <v>369</v>
      </c>
      <c r="W379" s="889" t="s">
        <v>375</v>
      </c>
      <c r="X379" s="888" t="s">
        <v>369</v>
      </c>
      <c r="Y379" s="1444">
        <v>600141012</v>
      </c>
      <c r="Z379" s="1444"/>
      <c r="AA379" s="887"/>
      <c r="AB379" s="889"/>
      <c r="AC379" s="889"/>
      <c r="AD379" s="945"/>
      <c r="AE379" s="889"/>
      <c r="AF379" s="888"/>
      <c r="AG379" s="888"/>
      <c r="AH379" s="937">
        <f>'Single Hung'!AI496</f>
        <v>0.01</v>
      </c>
      <c r="AI379" s="947"/>
      <c r="AJ379" s="947"/>
      <c r="AK379" s="947"/>
      <c r="AL379" s="947">
        <f>AD$376*AH379+SUM(AI379:AK379)</f>
        <v>0.02</v>
      </c>
      <c r="AM379" s="889" t="s">
        <v>92</v>
      </c>
      <c r="AN379" s="889" t="s">
        <v>92</v>
      </c>
      <c r="AO379" s="889" t="s">
        <v>81</v>
      </c>
      <c r="AP379" s="889" t="s">
        <v>81</v>
      </c>
      <c r="AQ379" s="889"/>
      <c r="AT379" s="140"/>
      <c r="AU379" s="140"/>
      <c r="AV379" s="139"/>
      <c r="AW379" s="139"/>
      <c r="AX379" s="139"/>
    </row>
    <row r="380" spans="1:50" ht="15" customHeight="1" x14ac:dyDescent="0.4">
      <c r="A380" s="3" t="s">
        <v>473</v>
      </c>
      <c r="B380" s="7" t="s">
        <v>554</v>
      </c>
      <c r="C380" s="7"/>
      <c r="D380" s="7"/>
      <c r="E380" s="7"/>
      <c r="F380" s="7"/>
      <c r="G380" s="7"/>
      <c r="I380" s="500" t="s">
        <v>461</v>
      </c>
      <c r="K380" s="3" t="s">
        <v>365</v>
      </c>
      <c r="L380" s="3" t="s">
        <v>465</v>
      </c>
      <c r="M380" s="5">
        <f>SL2TwoLockCutoff</f>
        <v>25</v>
      </c>
      <c r="R380" s="5" t="s">
        <v>352</v>
      </c>
      <c r="S380" s="56">
        <v>1</v>
      </c>
      <c r="T380" s="3" t="s">
        <v>385</v>
      </c>
      <c r="V380" s="4"/>
      <c r="W380" s="4"/>
      <c r="X380" s="4"/>
      <c r="Y380" s="1443"/>
      <c r="Z380" s="1443"/>
      <c r="AB380" s="3">
        <v>45</v>
      </c>
      <c r="AC380" s="56">
        <f>IF(SL2Height&lt;M380,1,2)</f>
        <v>2</v>
      </c>
      <c r="AD380" s="56">
        <f>S380*AC380</f>
        <v>2</v>
      </c>
      <c r="AE380" s="3" t="s">
        <v>385</v>
      </c>
      <c r="AF380" s="3"/>
      <c r="AH380" s="39"/>
      <c r="AI380" s="39"/>
      <c r="AJ380" s="39"/>
      <c r="AK380" s="39"/>
      <c r="AM380" s="3" t="s">
        <v>81</v>
      </c>
      <c r="AN380" s="3" t="s">
        <v>371</v>
      </c>
      <c r="AO380" s="3" t="s">
        <v>81</v>
      </c>
      <c r="AP380" s="3" t="s">
        <v>81</v>
      </c>
      <c r="AR380" s="139"/>
      <c r="AS380" s="139"/>
      <c r="AT380" s="139"/>
      <c r="AU380" s="139"/>
    </row>
    <row r="381" spans="1:50" ht="15" customHeight="1" x14ac:dyDescent="0.4">
      <c r="B381" s="7"/>
      <c r="C381" s="7"/>
      <c r="D381" s="7"/>
      <c r="E381" s="7"/>
      <c r="F381" s="7"/>
      <c r="G381" s="7"/>
      <c r="I381" s="36" t="s">
        <v>464</v>
      </c>
      <c r="J381" s="38"/>
      <c r="K381" s="3" t="s">
        <v>365</v>
      </c>
      <c r="L381" s="3" t="s">
        <v>463</v>
      </c>
      <c r="M381" s="5">
        <f>SL2TwoLockCutoff</f>
        <v>25</v>
      </c>
      <c r="R381" s="3" t="s">
        <v>352</v>
      </c>
      <c r="S381" s="56">
        <v>2</v>
      </c>
      <c r="V381" s="38" t="s">
        <v>369</v>
      </c>
      <c r="W381" s="3" t="s">
        <v>370</v>
      </c>
      <c r="X381" s="38" t="s">
        <v>369</v>
      </c>
      <c r="Y381" s="1443">
        <v>420130003</v>
      </c>
      <c r="Z381" s="1443"/>
      <c r="AF381" s="3"/>
      <c r="AH381" s="51">
        <f>'Single Hung'!AI498</f>
        <v>0.09</v>
      </c>
      <c r="AI381" s="39"/>
      <c r="AJ381" s="39"/>
      <c r="AK381" s="39"/>
      <c r="AL381" s="39">
        <f>AD$380*AH381+SUM(AI381:AK381)</f>
        <v>0.18</v>
      </c>
      <c r="AM381" s="3" t="s">
        <v>81</v>
      </c>
      <c r="AN381" s="3" t="s">
        <v>371</v>
      </c>
      <c r="AO381" s="3" t="s">
        <v>81</v>
      </c>
      <c r="AP381" s="3" t="s">
        <v>92</v>
      </c>
      <c r="AR381" s="139"/>
      <c r="AS381" s="139"/>
      <c r="AT381" s="139"/>
      <c r="AU381" s="139"/>
    </row>
    <row r="382" spans="1:50" ht="15" customHeight="1" x14ac:dyDescent="0.4">
      <c r="B382" s="7"/>
      <c r="C382" s="7"/>
      <c r="D382" s="7"/>
      <c r="E382" s="7"/>
      <c r="F382" s="7"/>
      <c r="G382" s="7"/>
      <c r="V382" s="38" t="s">
        <v>369</v>
      </c>
      <c r="W382" s="3" t="s">
        <v>372</v>
      </c>
      <c r="X382" s="38" t="s">
        <v>369</v>
      </c>
      <c r="Y382" s="1443">
        <v>420130021</v>
      </c>
      <c r="Z382" s="1443"/>
      <c r="AC382" s="56"/>
      <c r="AD382" s="56"/>
      <c r="AE382" s="3"/>
      <c r="AF382" s="3"/>
      <c r="AH382" s="51">
        <f>'Single Hung'!AI499</f>
        <v>0.09</v>
      </c>
      <c r="AI382" s="39"/>
      <c r="AJ382" s="39"/>
      <c r="AK382" s="39"/>
      <c r="AL382" s="39">
        <f t="shared" ref="AL382:AL384" si="72">AD$380*AH382+SUM(AI382:AK382)</f>
        <v>0.18</v>
      </c>
      <c r="AM382" s="3" t="s">
        <v>371</v>
      </c>
      <c r="AN382" s="3" t="s">
        <v>371</v>
      </c>
      <c r="AO382" s="3" t="s">
        <v>371</v>
      </c>
      <c r="AP382" s="3" t="s">
        <v>92</v>
      </c>
      <c r="AR382" s="139"/>
      <c r="AS382" s="139"/>
      <c r="AT382" s="139"/>
      <c r="AU382" s="139"/>
    </row>
    <row r="383" spans="1:50" ht="15" customHeight="1" x14ac:dyDescent="0.4">
      <c r="B383" s="7"/>
      <c r="C383" s="7"/>
      <c r="D383" s="7"/>
      <c r="E383" s="7"/>
      <c r="F383" s="7"/>
      <c r="G383" s="7"/>
      <c r="V383" s="38" t="s">
        <v>369</v>
      </c>
      <c r="W383" s="3" t="s">
        <v>373</v>
      </c>
      <c r="X383" s="38" t="s">
        <v>369</v>
      </c>
      <c r="Y383" s="1443">
        <v>420130033</v>
      </c>
      <c r="Z383" s="1443"/>
      <c r="AC383" s="56"/>
      <c r="AD383" s="56"/>
      <c r="AE383" s="3"/>
      <c r="AF383" s="3"/>
      <c r="AH383" s="51">
        <f>'Single Hung'!AI500</f>
        <v>0.09</v>
      </c>
      <c r="AI383" s="39"/>
      <c r="AJ383" s="39"/>
      <c r="AK383" s="39"/>
      <c r="AL383" s="39">
        <f t="shared" si="72"/>
        <v>0.18</v>
      </c>
      <c r="AM383" s="3" t="s">
        <v>371</v>
      </c>
      <c r="AN383" s="3" t="s">
        <v>371</v>
      </c>
      <c r="AO383" s="3" t="s">
        <v>371</v>
      </c>
      <c r="AP383" s="3" t="s">
        <v>92</v>
      </c>
      <c r="AR383" s="139"/>
      <c r="AS383" s="139"/>
      <c r="AT383" s="139"/>
      <c r="AU383" s="139"/>
    </row>
    <row r="384" spans="1:50" ht="15" customHeight="1" thickBot="1" x14ac:dyDescent="0.45">
      <c r="B384" s="924"/>
      <c r="C384" s="924"/>
      <c r="D384" s="924"/>
      <c r="E384" s="924"/>
      <c r="F384" s="924"/>
      <c r="G384" s="924"/>
      <c r="H384" s="948"/>
      <c r="I384" s="889"/>
      <c r="J384" s="889"/>
      <c r="K384" s="889"/>
      <c r="L384" s="889"/>
      <c r="M384" s="945"/>
      <c r="N384" s="945"/>
      <c r="O384" s="945"/>
      <c r="P384" s="945"/>
      <c r="Q384" s="945"/>
      <c r="R384" s="889"/>
      <c r="S384" s="945"/>
      <c r="T384" s="889"/>
      <c r="U384" s="948"/>
      <c r="V384" s="888" t="s">
        <v>369</v>
      </c>
      <c r="W384" s="889" t="s">
        <v>375</v>
      </c>
      <c r="X384" s="888" t="s">
        <v>369</v>
      </c>
      <c r="Y384" s="1444">
        <v>420130133</v>
      </c>
      <c r="Z384" s="1444"/>
      <c r="AA384" s="948"/>
      <c r="AB384" s="889"/>
      <c r="AC384" s="1156"/>
      <c r="AD384" s="1156"/>
      <c r="AE384" s="889"/>
      <c r="AF384" s="889"/>
      <c r="AG384" s="945"/>
      <c r="AH384" s="937"/>
      <c r="AI384" s="947"/>
      <c r="AJ384" s="947"/>
      <c r="AK384" s="947"/>
      <c r="AL384" s="947">
        <f t="shared" si="72"/>
        <v>0</v>
      </c>
      <c r="AM384" s="889" t="s">
        <v>92</v>
      </c>
      <c r="AN384" s="889" t="s">
        <v>92</v>
      </c>
      <c r="AO384" s="889" t="s">
        <v>92</v>
      </c>
      <c r="AP384" s="889" t="s">
        <v>81</v>
      </c>
      <c r="AQ384" s="889"/>
      <c r="AR384" s="139"/>
      <c r="AS384" s="139"/>
      <c r="AT384" s="139"/>
      <c r="AU384" s="139"/>
    </row>
    <row r="385" spans="2:54" ht="15" customHeight="1" x14ac:dyDescent="0.4">
      <c r="B385" s="7" t="s">
        <v>2317</v>
      </c>
      <c r="C385" s="7"/>
      <c r="D385" s="7"/>
      <c r="E385" s="7"/>
      <c r="F385" s="7"/>
      <c r="G385" s="7"/>
      <c r="I385" s="500" t="s">
        <v>461</v>
      </c>
      <c r="K385" s="3" t="s">
        <v>365</v>
      </c>
      <c r="L385" s="3" t="s">
        <v>465</v>
      </c>
      <c r="M385" s="5">
        <f>SL2TwoLockCutoff</f>
        <v>25</v>
      </c>
      <c r="R385" s="5" t="s">
        <v>352</v>
      </c>
      <c r="S385" s="56">
        <v>1</v>
      </c>
      <c r="T385" s="3" t="s">
        <v>385</v>
      </c>
      <c r="V385" s="4"/>
      <c r="W385" s="4"/>
      <c r="X385" s="4"/>
      <c r="Y385" s="1443"/>
      <c r="Z385" s="1443"/>
      <c r="AB385" s="3">
        <v>45</v>
      </c>
      <c r="AC385" s="56">
        <f>IF(SL2Height&lt;M385,1,2)</f>
        <v>2</v>
      </c>
      <c r="AD385" s="56">
        <f>AC385*S385</f>
        <v>2</v>
      </c>
      <c r="AE385" s="3" t="s">
        <v>385</v>
      </c>
      <c r="AF385" s="38" t="s">
        <v>8</v>
      </c>
      <c r="AG385" s="38" t="s">
        <v>8</v>
      </c>
      <c r="AH385" s="39"/>
      <c r="AI385" s="39"/>
      <c r="AJ385" s="39"/>
      <c r="AK385" s="39"/>
      <c r="AM385" s="3" t="s">
        <v>371</v>
      </c>
      <c r="AN385" s="3" t="s">
        <v>81</v>
      </c>
      <c r="AO385" s="3" t="s">
        <v>371</v>
      </c>
      <c r="AP385" s="3" t="s">
        <v>371</v>
      </c>
      <c r="AR385" s="139"/>
      <c r="AS385" s="139"/>
      <c r="AT385" s="139"/>
      <c r="AU385" s="139"/>
    </row>
    <row r="386" spans="2:54" ht="15" customHeight="1" x14ac:dyDescent="0.4">
      <c r="B386" s="155"/>
      <c r="C386" s="155"/>
      <c r="D386" s="155"/>
      <c r="E386" s="155"/>
      <c r="F386" s="155"/>
      <c r="G386" s="7"/>
      <c r="H386" s="20"/>
      <c r="I386" s="36" t="s">
        <v>464</v>
      </c>
      <c r="J386" s="38"/>
      <c r="K386" s="3" t="s">
        <v>365</v>
      </c>
      <c r="L386" s="3" t="s">
        <v>463</v>
      </c>
      <c r="M386" s="5">
        <f>SL2TwoLockCutoff</f>
        <v>25</v>
      </c>
      <c r="N386" s="24"/>
      <c r="O386" s="24"/>
      <c r="P386" s="24"/>
      <c r="Q386" s="24"/>
      <c r="R386" s="3" t="s">
        <v>352</v>
      </c>
      <c r="S386" s="56">
        <v>2</v>
      </c>
      <c r="U386" s="20"/>
      <c r="V386" s="38" t="s">
        <v>369</v>
      </c>
      <c r="W386" s="3" t="s">
        <v>370</v>
      </c>
      <c r="X386" s="38" t="s">
        <v>369</v>
      </c>
      <c r="Y386" s="1443">
        <v>420147003</v>
      </c>
      <c r="Z386" s="1443"/>
      <c r="AF386" s="3"/>
      <c r="AG386" s="3"/>
      <c r="AH386" s="51">
        <f>'Single Hung'!AI503</f>
        <v>0.39</v>
      </c>
      <c r="AI386" s="39"/>
      <c r="AJ386" s="39"/>
      <c r="AK386" s="39"/>
      <c r="AL386" s="39">
        <f>AD$385*AH386+SUM(AI386:AK386)</f>
        <v>0.78</v>
      </c>
      <c r="AM386" s="3" t="s">
        <v>371</v>
      </c>
      <c r="AN386" s="3" t="s">
        <v>81</v>
      </c>
      <c r="AO386" s="3" t="s">
        <v>371</v>
      </c>
      <c r="AP386" s="3" t="s">
        <v>92</v>
      </c>
      <c r="AR386" s="139"/>
      <c r="AS386" s="139"/>
      <c r="AT386" s="139"/>
      <c r="AU386" s="139"/>
    </row>
    <row r="387" spans="2:54" ht="15" customHeight="1" x14ac:dyDescent="0.4">
      <c r="B387" s="155"/>
      <c r="C387" s="155"/>
      <c r="D387" s="155"/>
      <c r="E387" s="155"/>
      <c r="F387" s="155"/>
      <c r="G387" s="7"/>
      <c r="H387" s="20"/>
      <c r="I387" s="500"/>
      <c r="J387" s="500"/>
      <c r="K387" s="500"/>
      <c r="L387" s="500"/>
      <c r="M387" s="24"/>
      <c r="N387" s="24"/>
      <c r="O387" s="24"/>
      <c r="P387" s="24"/>
      <c r="Q387" s="24"/>
      <c r="S387" s="56"/>
      <c r="U387" s="20"/>
      <c r="V387" s="38" t="s">
        <v>369</v>
      </c>
      <c r="W387" s="3" t="s">
        <v>372</v>
      </c>
      <c r="X387" s="38" t="s">
        <v>369</v>
      </c>
      <c r="Y387" s="1443">
        <v>420147021</v>
      </c>
      <c r="Z387" s="1443"/>
      <c r="AC387" s="56"/>
      <c r="AD387" s="56"/>
      <c r="AE387" s="3"/>
      <c r="AF387" s="3"/>
      <c r="AG387" s="3"/>
      <c r="AH387" s="51">
        <f>'Single Hung'!AI504</f>
        <v>0.39</v>
      </c>
      <c r="AI387" s="39"/>
      <c r="AJ387" s="39"/>
      <c r="AK387" s="39"/>
      <c r="AL387" s="39">
        <f t="shared" ref="AL387:AL389" si="73">AD$385*AH387+SUM(AI387:AK387)</f>
        <v>0.78</v>
      </c>
      <c r="AM387" s="3" t="s">
        <v>371</v>
      </c>
      <c r="AN387" s="3" t="s">
        <v>371</v>
      </c>
      <c r="AO387" s="3" t="s">
        <v>371</v>
      </c>
      <c r="AP387" s="3" t="s">
        <v>92</v>
      </c>
      <c r="AR387" s="139"/>
      <c r="AS387" s="139"/>
      <c r="AT387" s="139"/>
      <c r="AU387" s="139"/>
    </row>
    <row r="388" spans="2:54" ht="15" customHeight="1" x14ac:dyDescent="0.4">
      <c r="B388" s="155"/>
      <c r="C388" s="155"/>
      <c r="D388" s="155"/>
      <c r="E388" s="155"/>
      <c r="F388" s="155"/>
      <c r="G388" s="7"/>
      <c r="H388" s="20"/>
      <c r="I388" s="500"/>
      <c r="J388" s="500"/>
      <c r="K388" s="500"/>
      <c r="L388" s="500"/>
      <c r="M388" s="24"/>
      <c r="N388" s="24"/>
      <c r="O388" s="24"/>
      <c r="P388" s="24"/>
      <c r="Q388" s="24"/>
      <c r="S388" s="56"/>
      <c r="U388" s="20"/>
      <c r="V388" s="38" t="s">
        <v>369</v>
      </c>
      <c r="W388" s="3" t="s">
        <v>373</v>
      </c>
      <c r="X388" s="38" t="s">
        <v>369</v>
      </c>
      <c r="Y388" s="1443">
        <v>420147033</v>
      </c>
      <c r="Z388" s="1443"/>
      <c r="AC388" s="56"/>
      <c r="AD388" s="56"/>
      <c r="AE388" s="3"/>
      <c r="AF388" s="3"/>
      <c r="AG388" s="3"/>
      <c r="AH388" s="51">
        <f>'Single Hung'!AI505</f>
        <v>0.39</v>
      </c>
      <c r="AI388" s="39"/>
      <c r="AJ388" s="39"/>
      <c r="AK388" s="39"/>
      <c r="AL388" s="39">
        <f t="shared" si="73"/>
        <v>0.78</v>
      </c>
      <c r="AM388" s="3" t="s">
        <v>371</v>
      </c>
      <c r="AN388" s="3" t="s">
        <v>371</v>
      </c>
      <c r="AO388" s="3" t="s">
        <v>371</v>
      </c>
      <c r="AP388" s="3" t="s">
        <v>92</v>
      </c>
      <c r="AR388" s="139"/>
      <c r="AS388" s="139"/>
      <c r="AT388" s="139"/>
      <c r="AU388" s="139"/>
    </row>
    <row r="389" spans="2:54" ht="15" customHeight="1" thickBot="1" x14ac:dyDescent="0.45">
      <c r="B389" s="925"/>
      <c r="C389" s="925"/>
      <c r="D389" s="925"/>
      <c r="E389" s="925"/>
      <c r="F389" s="925"/>
      <c r="G389" s="924"/>
      <c r="H389" s="887"/>
      <c r="I389" s="1494"/>
      <c r="J389" s="1494"/>
      <c r="K389" s="1494"/>
      <c r="L389" s="1494"/>
      <c r="M389" s="1020"/>
      <c r="N389" s="1020"/>
      <c r="O389" s="1020"/>
      <c r="P389" s="1020"/>
      <c r="Q389" s="1020"/>
      <c r="R389" s="889"/>
      <c r="S389" s="1156"/>
      <c r="T389" s="889"/>
      <c r="U389" s="887"/>
      <c r="V389" s="888" t="s">
        <v>369</v>
      </c>
      <c r="W389" s="889" t="s">
        <v>375</v>
      </c>
      <c r="X389" s="888" t="s">
        <v>369</v>
      </c>
      <c r="Y389" s="1444">
        <v>420147133</v>
      </c>
      <c r="Z389" s="1444"/>
      <c r="AA389" s="948"/>
      <c r="AB389" s="889"/>
      <c r="AC389" s="1156"/>
      <c r="AD389" s="1156"/>
      <c r="AE389" s="889"/>
      <c r="AF389" s="889"/>
      <c r="AG389" s="889"/>
      <c r="AH389" s="937"/>
      <c r="AI389" s="947"/>
      <c r="AJ389" s="947"/>
      <c r="AK389" s="947"/>
      <c r="AL389" s="947">
        <f t="shared" si="73"/>
        <v>0</v>
      </c>
      <c r="AM389" s="889" t="s">
        <v>92</v>
      </c>
      <c r="AN389" s="889" t="s">
        <v>92</v>
      </c>
      <c r="AO389" s="889" t="s">
        <v>92</v>
      </c>
      <c r="AP389" s="889" t="s">
        <v>371</v>
      </c>
      <c r="AQ389" s="889"/>
      <c r="AR389" s="139"/>
      <c r="AS389" s="139"/>
      <c r="AT389" s="139"/>
      <c r="AU389" s="139"/>
    </row>
    <row r="390" spans="2:54" ht="15" customHeight="1" x14ac:dyDescent="0.4">
      <c r="B390" s="7" t="s">
        <v>1250</v>
      </c>
      <c r="C390" s="7"/>
      <c r="D390" s="3"/>
      <c r="E390" s="7"/>
      <c r="F390" s="7"/>
      <c r="G390" s="7"/>
      <c r="I390" s="8" t="s">
        <v>559</v>
      </c>
      <c r="S390" s="56">
        <v>2</v>
      </c>
      <c r="T390" s="3" t="s">
        <v>385</v>
      </c>
      <c r="V390" s="38"/>
      <c r="X390" s="38"/>
      <c r="Y390" s="1443"/>
      <c r="Z390" s="1443"/>
      <c r="AB390" s="3">
        <v>45</v>
      </c>
      <c r="AC390" s="56">
        <f>AC380</f>
        <v>2</v>
      </c>
      <c r="AD390" s="3">
        <f>AC390*S390</f>
        <v>4</v>
      </c>
      <c r="AE390" s="3" t="s">
        <v>385</v>
      </c>
      <c r="AF390" s="38" t="s">
        <v>8</v>
      </c>
      <c r="AG390" s="38"/>
      <c r="AH390" s="39"/>
      <c r="AI390" s="39"/>
      <c r="AJ390" s="39"/>
      <c r="AK390" s="39"/>
      <c r="AM390" s="3" t="s">
        <v>81</v>
      </c>
      <c r="AN390" s="3" t="s">
        <v>81</v>
      </c>
      <c r="AO390" s="3" t="s">
        <v>81</v>
      </c>
      <c r="AP390" s="3" t="s">
        <v>81</v>
      </c>
      <c r="AR390" s="139"/>
      <c r="AS390" s="139"/>
      <c r="AT390" s="139"/>
      <c r="AU390" s="139"/>
      <c r="AV390" s="139"/>
    </row>
    <row r="391" spans="2:54" ht="15" customHeight="1" x14ac:dyDescent="0.4">
      <c r="B391" s="7"/>
      <c r="C391" s="7"/>
      <c r="D391" s="7"/>
      <c r="E391" s="7"/>
      <c r="F391" s="7"/>
      <c r="G391" s="7"/>
      <c r="I391" s="8"/>
      <c r="R391" s="461"/>
      <c r="S391" s="56"/>
      <c r="V391" s="38" t="s">
        <v>369</v>
      </c>
      <c r="W391" s="3" t="s">
        <v>370</v>
      </c>
      <c r="X391" s="38" t="s">
        <v>369</v>
      </c>
      <c r="Y391" s="1443">
        <v>440030003</v>
      </c>
      <c r="Z391" s="1443"/>
      <c r="AG391" s="38"/>
      <c r="AH391" s="51">
        <f>'Single Hung'!AI508</f>
        <v>5.4999999999999997E-3</v>
      </c>
      <c r="AI391" s="39"/>
      <c r="AJ391" s="39"/>
      <c r="AK391" s="39"/>
      <c r="AL391" s="39">
        <f>AD$390*AH391+SUM(AI391:AK391)</f>
        <v>2.1999999999999999E-2</v>
      </c>
      <c r="AM391" s="3" t="s">
        <v>81</v>
      </c>
      <c r="AN391" s="3" t="s">
        <v>81</v>
      </c>
      <c r="AO391" s="3" t="s">
        <v>81</v>
      </c>
      <c r="AP391" s="3" t="s">
        <v>371</v>
      </c>
      <c r="AR391" s="139"/>
      <c r="AS391" s="139"/>
      <c r="AT391" s="139"/>
      <c r="AU391" s="139"/>
      <c r="AV391" s="139"/>
    </row>
    <row r="392" spans="2:54" ht="15" customHeight="1" x14ac:dyDescent="0.4">
      <c r="B392" s="7"/>
      <c r="C392" s="7"/>
      <c r="D392" s="3"/>
      <c r="E392" s="7"/>
      <c r="F392" s="7"/>
      <c r="G392" s="7"/>
      <c r="I392" s="8"/>
      <c r="S392" s="56"/>
      <c r="V392" s="38" t="s">
        <v>369</v>
      </c>
      <c r="W392" s="3" t="s">
        <v>372</v>
      </c>
      <c r="X392" s="38" t="s">
        <v>369</v>
      </c>
      <c r="Y392" s="1443">
        <v>440030021</v>
      </c>
      <c r="Z392" s="1443"/>
      <c r="AC392" s="56"/>
      <c r="AD392" s="3"/>
      <c r="AE392" s="3"/>
      <c r="AF392" s="38"/>
      <c r="AG392" s="38"/>
      <c r="AH392" s="51">
        <f>'Single Hung'!AI509</f>
        <v>5.4999999999999997E-3</v>
      </c>
      <c r="AI392" s="39"/>
      <c r="AJ392" s="39"/>
      <c r="AK392" s="39"/>
      <c r="AL392" s="39">
        <f t="shared" ref="AL392:AL394" si="74">AD$390*AH392+SUM(AI392:AK392)</f>
        <v>2.1999999999999999E-2</v>
      </c>
      <c r="AM392" s="3" t="s">
        <v>371</v>
      </c>
      <c r="AN392" s="3" t="s">
        <v>371</v>
      </c>
      <c r="AO392" s="3" t="s">
        <v>371</v>
      </c>
      <c r="AP392" s="3" t="s">
        <v>371</v>
      </c>
      <c r="AR392" s="139"/>
      <c r="AS392" s="139"/>
      <c r="AT392" s="139"/>
      <c r="AU392" s="139"/>
      <c r="AV392" s="139"/>
    </row>
    <row r="393" spans="2:54" ht="15" customHeight="1" x14ac:dyDescent="0.4">
      <c r="B393" s="7"/>
      <c r="C393" s="7"/>
      <c r="D393" s="3"/>
      <c r="E393" s="7"/>
      <c r="F393" s="7"/>
      <c r="G393" s="7"/>
      <c r="I393" s="8"/>
      <c r="S393" s="56"/>
      <c r="V393" s="38" t="s">
        <v>369</v>
      </c>
      <c r="W393" s="3" t="s">
        <v>373</v>
      </c>
      <c r="X393" s="38" t="s">
        <v>369</v>
      </c>
      <c r="Y393" s="1443">
        <v>440030033</v>
      </c>
      <c r="Z393" s="1443"/>
      <c r="AC393" s="56"/>
      <c r="AD393" s="3"/>
      <c r="AE393" s="3"/>
      <c r="AF393" s="38"/>
      <c r="AG393" s="38"/>
      <c r="AH393" s="51">
        <f>'Single Hung'!AI510</f>
        <v>5.4999999999999997E-3</v>
      </c>
      <c r="AI393" s="39"/>
      <c r="AJ393" s="39"/>
      <c r="AK393" s="39"/>
      <c r="AL393" s="39">
        <f t="shared" si="74"/>
        <v>2.1999999999999999E-2</v>
      </c>
      <c r="AM393" s="3" t="s">
        <v>371</v>
      </c>
      <c r="AN393" s="3" t="s">
        <v>371</v>
      </c>
      <c r="AO393" s="3" t="s">
        <v>371</v>
      </c>
      <c r="AP393" s="3" t="s">
        <v>371</v>
      </c>
      <c r="AR393" s="139"/>
      <c r="AS393" s="139"/>
      <c r="AT393" s="139"/>
      <c r="AU393" s="139"/>
      <c r="AV393" s="139"/>
    </row>
    <row r="394" spans="2:54" ht="15" customHeight="1" thickBot="1" x14ac:dyDescent="0.45">
      <c r="B394" s="924"/>
      <c r="C394" s="924"/>
      <c r="D394" s="889"/>
      <c r="E394" s="924"/>
      <c r="F394" s="924"/>
      <c r="G394" s="924"/>
      <c r="H394" s="948"/>
      <c r="I394" s="949"/>
      <c r="J394" s="889"/>
      <c r="K394" s="889"/>
      <c r="L394" s="889"/>
      <c r="M394" s="945"/>
      <c r="N394" s="945"/>
      <c r="O394" s="945"/>
      <c r="P394" s="945"/>
      <c r="Q394" s="945"/>
      <c r="R394" s="889"/>
      <c r="S394" s="1156"/>
      <c r="T394" s="889"/>
      <c r="U394" s="948"/>
      <c r="V394" s="888" t="s">
        <v>369</v>
      </c>
      <c r="W394" s="889" t="s">
        <v>375</v>
      </c>
      <c r="X394" s="888" t="s">
        <v>369</v>
      </c>
      <c r="Y394" s="1444">
        <v>440030133</v>
      </c>
      <c r="Z394" s="1444"/>
      <c r="AA394" s="948"/>
      <c r="AB394" s="889"/>
      <c r="AC394" s="1156"/>
      <c r="AD394" s="889"/>
      <c r="AE394" s="889"/>
      <c r="AF394" s="888"/>
      <c r="AG394" s="888"/>
      <c r="AH394" s="937"/>
      <c r="AI394" s="947"/>
      <c r="AJ394" s="947"/>
      <c r="AK394" s="947"/>
      <c r="AL394" s="947">
        <f t="shared" si="74"/>
        <v>0</v>
      </c>
      <c r="AM394" s="889" t="s">
        <v>92</v>
      </c>
      <c r="AN394" s="889" t="s">
        <v>92</v>
      </c>
      <c r="AO394" s="889" t="s">
        <v>92</v>
      </c>
      <c r="AP394" s="889" t="s">
        <v>81</v>
      </c>
      <c r="AQ394" s="889"/>
      <c r="AR394" s="139"/>
      <c r="AS394" s="139"/>
      <c r="AT394" s="139"/>
      <c r="AU394" s="139"/>
      <c r="AV394" s="139"/>
    </row>
    <row r="395" spans="2:54" ht="15" customHeight="1" x14ac:dyDescent="0.4">
      <c r="B395" s="7" t="s">
        <v>2170</v>
      </c>
      <c r="C395" s="7"/>
      <c r="D395" s="3"/>
      <c r="E395" s="7"/>
      <c r="F395" s="7"/>
      <c r="G395" s="7"/>
      <c r="I395" s="8"/>
      <c r="S395" s="56"/>
      <c r="V395" s="38"/>
      <c r="X395" s="38"/>
      <c r="Y395" s="1443"/>
      <c r="Z395" s="1443"/>
      <c r="AB395" s="3">
        <v>45</v>
      </c>
      <c r="AC395" s="56">
        <v>1</v>
      </c>
      <c r="AD395" s="3">
        <v>1</v>
      </c>
      <c r="AE395" s="3" t="s">
        <v>385</v>
      </c>
      <c r="AF395" s="38"/>
      <c r="AG395" s="38"/>
      <c r="AI395" s="39"/>
      <c r="AJ395" s="39"/>
      <c r="AK395" s="39"/>
      <c r="AM395" s="3" t="s">
        <v>371</v>
      </c>
      <c r="AN395" s="3" t="s">
        <v>371</v>
      </c>
      <c r="AO395" s="3" t="s">
        <v>371</v>
      </c>
      <c r="AP395" s="3" t="s">
        <v>371</v>
      </c>
      <c r="AR395" s="139"/>
      <c r="AS395" s="139"/>
      <c r="AT395" s="139"/>
      <c r="AU395" s="139"/>
      <c r="AV395" s="139"/>
    </row>
    <row r="396" spans="2:54" ht="15" customHeight="1" x14ac:dyDescent="0.4">
      <c r="B396" s="3"/>
      <c r="C396" s="7" t="s">
        <v>2090</v>
      </c>
      <c r="D396" s="3"/>
      <c r="E396" s="7"/>
      <c r="F396" s="7"/>
      <c r="G396" s="7"/>
      <c r="I396" s="8"/>
      <c r="S396" s="56"/>
      <c r="V396" s="38" t="s">
        <v>369</v>
      </c>
      <c r="W396" s="3" t="s">
        <v>370</v>
      </c>
      <c r="X396" s="38" t="s">
        <v>369</v>
      </c>
      <c r="Y396" s="1443" t="s">
        <v>2370</v>
      </c>
      <c r="Z396" s="1443"/>
      <c r="AC396" s="56"/>
      <c r="AD396" s="3"/>
      <c r="AE396" s="3"/>
      <c r="AF396" s="38"/>
      <c r="AG396" s="38"/>
      <c r="AI396" s="39"/>
      <c r="AJ396" s="39"/>
      <c r="AK396" s="39"/>
      <c r="AL396" s="39">
        <f>AD$395*AH396+SUM(AI396:AK396)</f>
        <v>0</v>
      </c>
      <c r="AM396" s="3" t="s">
        <v>371</v>
      </c>
      <c r="AN396" s="3" t="s">
        <v>371</v>
      </c>
      <c r="AO396" s="3" t="s">
        <v>371</v>
      </c>
      <c r="AP396" s="3" t="s">
        <v>92</v>
      </c>
      <c r="AR396" s="139"/>
      <c r="AS396" s="139"/>
      <c r="AT396" s="139"/>
      <c r="AU396" s="139"/>
      <c r="AV396" s="139"/>
    </row>
    <row r="397" spans="2:54" ht="15" customHeight="1" x14ac:dyDescent="0.4">
      <c r="B397" s="7"/>
      <c r="C397" s="7" t="s">
        <v>2171</v>
      </c>
      <c r="D397" s="3"/>
      <c r="E397" s="7"/>
      <c r="F397" s="7"/>
      <c r="G397" s="7"/>
      <c r="I397" s="8"/>
      <c r="S397" s="56"/>
      <c r="V397" s="38" t="s">
        <v>369</v>
      </c>
      <c r="W397" s="3" t="s">
        <v>372</v>
      </c>
      <c r="X397" s="38" t="s">
        <v>369</v>
      </c>
      <c r="Y397" s="1443">
        <v>420717021</v>
      </c>
      <c r="Z397" s="1443"/>
      <c r="AC397" s="56"/>
      <c r="AD397" s="3"/>
      <c r="AE397" s="3"/>
      <c r="AF397" s="38"/>
      <c r="AG397" s="38"/>
      <c r="AI397" s="39"/>
      <c r="AJ397" s="39"/>
      <c r="AK397" s="39"/>
      <c r="AL397" s="39">
        <f>AD$395*AH397+SUM(AI397:AK397)</f>
        <v>0</v>
      </c>
      <c r="AM397" s="3" t="s">
        <v>92</v>
      </c>
      <c r="AN397" s="3" t="s">
        <v>92</v>
      </c>
      <c r="AO397" s="3" t="s">
        <v>92</v>
      </c>
      <c r="AP397" s="3" t="s">
        <v>92</v>
      </c>
      <c r="AR397" s="139"/>
      <c r="AS397" s="139"/>
      <c r="AT397" s="139"/>
      <c r="AU397" s="139"/>
      <c r="AV397" s="139"/>
    </row>
    <row r="398" spans="2:54" ht="15" customHeight="1" x14ac:dyDescent="0.4">
      <c r="B398" s="7"/>
      <c r="C398" s="7"/>
      <c r="D398" s="3"/>
      <c r="E398" s="7"/>
      <c r="F398" s="7"/>
      <c r="G398" s="7"/>
      <c r="I398" s="8"/>
      <c r="S398" s="56"/>
      <c r="V398" s="38" t="s">
        <v>369</v>
      </c>
      <c r="W398" s="3" t="s">
        <v>373</v>
      </c>
      <c r="X398" s="38" t="s">
        <v>369</v>
      </c>
      <c r="Y398" s="1443" t="s">
        <v>2371</v>
      </c>
      <c r="Z398" s="1443"/>
      <c r="AC398" s="56"/>
      <c r="AD398" s="3"/>
      <c r="AE398" s="3"/>
      <c r="AF398" s="38"/>
      <c r="AG398" s="38"/>
      <c r="AI398" s="39"/>
      <c r="AJ398" s="39"/>
      <c r="AK398" s="39"/>
      <c r="AL398" s="39">
        <f>AD$395*AH398+SUM(AI398:AK398)</f>
        <v>0</v>
      </c>
      <c r="AM398" s="3" t="s">
        <v>92</v>
      </c>
      <c r="AN398" s="3" t="s">
        <v>92</v>
      </c>
      <c r="AO398" s="3" t="s">
        <v>92</v>
      </c>
      <c r="AP398" s="3" t="s">
        <v>92</v>
      </c>
      <c r="AR398" s="139"/>
      <c r="AS398" s="139"/>
      <c r="AT398" s="139"/>
      <c r="AU398" s="139"/>
      <c r="AV398" s="139"/>
    </row>
    <row r="399" spans="2:54" ht="15" customHeight="1" thickBot="1" x14ac:dyDescent="0.45">
      <c r="B399" s="924"/>
      <c r="C399" s="924"/>
      <c r="D399" s="889"/>
      <c r="E399" s="924"/>
      <c r="F399" s="924"/>
      <c r="G399" s="924"/>
      <c r="H399" s="948"/>
      <c r="I399" s="949"/>
      <c r="J399" s="889"/>
      <c r="K399" s="889"/>
      <c r="L399" s="889"/>
      <c r="M399" s="945"/>
      <c r="N399" s="945"/>
      <c r="O399" s="945"/>
      <c r="P399" s="945"/>
      <c r="Q399" s="945"/>
      <c r="R399" s="889"/>
      <c r="S399" s="1156"/>
      <c r="T399" s="889"/>
      <c r="U399" s="948"/>
      <c r="V399" s="888" t="s">
        <v>369</v>
      </c>
      <c r="W399" s="889" t="s">
        <v>375</v>
      </c>
      <c r="X399" s="888" t="s">
        <v>369</v>
      </c>
      <c r="Y399" s="1444">
        <v>420717133</v>
      </c>
      <c r="Z399" s="1444"/>
      <c r="AA399" s="948"/>
      <c r="AB399" s="889"/>
      <c r="AC399" s="1156"/>
      <c r="AD399" s="889"/>
      <c r="AE399" s="889"/>
      <c r="AF399" s="888"/>
      <c r="AG399" s="888"/>
      <c r="AH399" s="937"/>
      <c r="AI399" s="947"/>
      <c r="AJ399" s="947"/>
      <c r="AK399" s="947"/>
      <c r="AL399" s="947">
        <f>AD$395*AH399+SUM(AI399:AK399)</f>
        <v>0</v>
      </c>
      <c r="AM399" s="889" t="s">
        <v>92</v>
      </c>
      <c r="AN399" s="889" t="s">
        <v>92</v>
      </c>
      <c r="AO399" s="889" t="s">
        <v>92</v>
      </c>
      <c r="AP399" s="889" t="s">
        <v>371</v>
      </c>
      <c r="AQ399" s="889"/>
      <c r="AR399" s="139"/>
      <c r="AS399" s="139"/>
      <c r="AT399" s="139"/>
      <c r="AU399" s="139"/>
      <c r="AV399" s="139"/>
    </row>
    <row r="400" spans="2:54" ht="15" customHeight="1" x14ac:dyDescent="0.4">
      <c r="B400" s="7" t="s">
        <v>2242</v>
      </c>
      <c r="C400" s="7"/>
      <c r="D400" s="3"/>
      <c r="E400" s="7"/>
      <c r="F400" s="7"/>
      <c r="G400" s="7"/>
      <c r="I400" s="8"/>
      <c r="S400" s="56">
        <v>1</v>
      </c>
      <c r="T400" s="3" t="s">
        <v>385</v>
      </c>
      <c r="Y400" s="1443"/>
      <c r="Z400" s="1443"/>
      <c r="AB400" s="3">
        <v>45</v>
      </c>
      <c r="AC400" s="56">
        <v>1</v>
      </c>
      <c r="AD400" s="3">
        <v>1</v>
      </c>
      <c r="AE400" s="3" t="s">
        <v>385</v>
      </c>
      <c r="AF400" s="38"/>
      <c r="AG400" s="38"/>
      <c r="AI400" s="39"/>
      <c r="AJ400" s="39"/>
      <c r="AK400" s="39"/>
      <c r="AP400" s="3" t="s">
        <v>92</v>
      </c>
      <c r="AX400" s="139"/>
      <c r="AY400" s="139"/>
      <c r="AZ400" s="139"/>
      <c r="BA400" s="139"/>
      <c r="BB400" s="139"/>
    </row>
    <row r="401" spans="2:54" ht="15" customHeight="1" x14ac:dyDescent="0.4">
      <c r="B401" s="7"/>
      <c r="C401" s="7" t="s">
        <v>2090</v>
      </c>
      <c r="D401" s="3"/>
      <c r="E401" s="7"/>
      <c r="F401" s="7"/>
      <c r="G401" s="7"/>
      <c r="I401" s="8"/>
      <c r="S401" s="3"/>
      <c r="V401" s="38" t="s">
        <v>369</v>
      </c>
      <c r="W401" s="3" t="s">
        <v>370</v>
      </c>
      <c r="X401" s="38" t="s">
        <v>369</v>
      </c>
      <c r="Y401" s="1443" t="s">
        <v>2017</v>
      </c>
      <c r="Z401" s="1443"/>
      <c r="AF401" s="38"/>
      <c r="AG401" s="38"/>
      <c r="AH401" s="51">
        <v>0.70199999999999996</v>
      </c>
      <c r="AI401" s="39"/>
      <c r="AJ401" s="39"/>
      <c r="AK401" s="39"/>
      <c r="AL401" s="39">
        <f>AD$400*AH401+SUM(AI401:AK401)</f>
        <v>0.70199999999999996</v>
      </c>
      <c r="AM401" s="3" t="s">
        <v>371</v>
      </c>
      <c r="AN401" s="3" t="s">
        <v>371</v>
      </c>
      <c r="AO401" s="3" t="s">
        <v>371</v>
      </c>
      <c r="AP401" s="3" t="s">
        <v>92</v>
      </c>
      <c r="AX401" s="139"/>
      <c r="AY401" s="139"/>
      <c r="AZ401" s="139"/>
      <c r="BA401" s="139"/>
      <c r="BB401" s="139"/>
    </row>
    <row r="402" spans="2:54" ht="15" customHeight="1" x14ac:dyDescent="0.4">
      <c r="B402" s="7"/>
      <c r="C402" s="7" t="s">
        <v>2171</v>
      </c>
      <c r="D402" s="3"/>
      <c r="E402" s="7"/>
      <c r="F402" s="7"/>
      <c r="G402" s="7"/>
      <c r="I402" s="8"/>
      <c r="S402" s="56"/>
      <c r="V402" s="38" t="s">
        <v>369</v>
      </c>
      <c r="W402" s="3" t="s">
        <v>1959</v>
      </c>
      <c r="X402" s="38" t="s">
        <v>369</v>
      </c>
      <c r="Y402" s="1443" t="s">
        <v>2015</v>
      </c>
      <c r="Z402" s="1443"/>
      <c r="AC402" s="56"/>
      <c r="AD402" s="3"/>
      <c r="AE402" s="3"/>
      <c r="AF402" s="38"/>
      <c r="AG402" s="38"/>
      <c r="AH402" s="51">
        <v>0.70199999999999996</v>
      </c>
      <c r="AI402" s="39"/>
      <c r="AJ402" s="39"/>
      <c r="AK402" s="39"/>
      <c r="AL402" s="39">
        <f>AD$400*AH402+SUM(AI402:AK402)</f>
        <v>0.70199999999999996</v>
      </c>
      <c r="AM402" s="3" t="s">
        <v>371</v>
      </c>
      <c r="AN402" s="3" t="s">
        <v>371</v>
      </c>
      <c r="AO402" s="3" t="s">
        <v>371</v>
      </c>
      <c r="AP402" s="3" t="s">
        <v>92</v>
      </c>
      <c r="AX402" s="139"/>
      <c r="AY402" s="139"/>
      <c r="AZ402" s="139"/>
      <c r="BA402" s="139"/>
      <c r="BB402" s="139"/>
    </row>
    <row r="403" spans="2:54" ht="15" customHeight="1" thickBot="1" x14ac:dyDescent="0.45">
      <c r="B403" s="924"/>
      <c r="C403" s="924"/>
      <c r="D403" s="889"/>
      <c r="E403" s="924"/>
      <c r="F403" s="924"/>
      <c r="G403" s="924"/>
      <c r="H403" s="948"/>
      <c r="I403" s="949"/>
      <c r="J403" s="889"/>
      <c r="K403" s="889"/>
      <c r="L403" s="889"/>
      <c r="M403" s="945"/>
      <c r="N403" s="945"/>
      <c r="O403" s="945"/>
      <c r="P403" s="945"/>
      <c r="Q403" s="945"/>
      <c r="R403" s="889"/>
      <c r="S403" s="1156"/>
      <c r="T403" s="889"/>
      <c r="U403" s="948"/>
      <c r="V403" s="888" t="s">
        <v>369</v>
      </c>
      <c r="W403" s="889" t="s">
        <v>373</v>
      </c>
      <c r="X403" s="888" t="s">
        <v>369</v>
      </c>
      <c r="Y403" s="1444" t="s">
        <v>2016</v>
      </c>
      <c r="Z403" s="1444"/>
      <c r="AA403" s="948"/>
      <c r="AB403" s="889"/>
      <c r="AC403" s="1156"/>
      <c r="AD403" s="889"/>
      <c r="AE403" s="889"/>
      <c r="AF403" s="888"/>
      <c r="AG403" s="888"/>
      <c r="AH403" s="937">
        <v>0.70199999999999996</v>
      </c>
      <c r="AI403" s="947"/>
      <c r="AJ403" s="947"/>
      <c r="AK403" s="947"/>
      <c r="AL403" s="39">
        <f>AD$400*AH403+SUM(AI403:AK403)</f>
        <v>0.70199999999999996</v>
      </c>
      <c r="AM403" s="889" t="s">
        <v>371</v>
      </c>
      <c r="AN403" s="889" t="s">
        <v>371</v>
      </c>
      <c r="AO403" s="889" t="s">
        <v>371</v>
      </c>
      <c r="AP403" s="889" t="s">
        <v>92</v>
      </c>
      <c r="AQ403" s="889"/>
      <c r="AX403" s="139"/>
      <c r="AY403" s="139"/>
      <c r="AZ403" s="139"/>
      <c r="BA403" s="139"/>
      <c r="BB403" s="139"/>
    </row>
    <row r="404" spans="2:54" ht="15" customHeight="1" x14ac:dyDescent="0.4">
      <c r="B404" s="509" t="s">
        <v>2169</v>
      </c>
      <c r="C404" s="3"/>
      <c r="D404" s="182"/>
      <c r="E404" s="182"/>
      <c r="F404" s="182"/>
      <c r="G404" s="173"/>
      <c r="H404" s="175"/>
      <c r="I404" s="448"/>
      <c r="J404" s="448"/>
      <c r="K404" s="448"/>
      <c r="L404" s="448"/>
      <c r="M404" s="178"/>
      <c r="N404" s="178"/>
      <c r="O404" s="178"/>
      <c r="P404" s="178"/>
      <c r="Q404" s="178"/>
      <c r="R404" s="116" t="s">
        <v>352</v>
      </c>
      <c r="S404" s="198">
        <v>1</v>
      </c>
      <c r="T404" s="116" t="s">
        <v>385</v>
      </c>
      <c r="U404" s="175"/>
      <c r="V404" s="179"/>
      <c r="W404" s="116"/>
      <c r="X404" s="179"/>
      <c r="Y404" s="1449"/>
      <c r="Z404" s="1449"/>
      <c r="AA404" s="175"/>
      <c r="AB404" s="3">
        <v>45</v>
      </c>
      <c r="AC404" s="3">
        <v>1</v>
      </c>
      <c r="AD404" s="56">
        <f>AC404*S404</f>
        <v>1</v>
      </c>
      <c r="AE404" s="3" t="s">
        <v>385</v>
      </c>
      <c r="AF404" s="38" t="s">
        <v>8</v>
      </c>
      <c r="AG404" s="38" t="s">
        <v>8</v>
      </c>
      <c r="AH404" s="180"/>
      <c r="AI404" s="180"/>
      <c r="AJ404" s="180"/>
      <c r="AK404" s="180"/>
      <c r="AL404" s="180"/>
      <c r="AM404" s="3" t="s">
        <v>371</v>
      </c>
      <c r="AN404" s="3" t="s">
        <v>371</v>
      </c>
      <c r="AO404" s="3" t="s">
        <v>371</v>
      </c>
      <c r="AP404" s="3" t="s">
        <v>92</v>
      </c>
      <c r="AR404" s="139"/>
      <c r="AS404" s="139"/>
      <c r="AT404" s="139"/>
      <c r="AU404" s="139"/>
      <c r="AV404" s="139"/>
    </row>
    <row r="405" spans="2:54" ht="15" customHeight="1" x14ac:dyDescent="0.4">
      <c r="B405" s="155"/>
      <c r="C405" s="155"/>
      <c r="D405" s="155"/>
      <c r="E405" s="155"/>
      <c r="F405" s="155"/>
      <c r="G405" s="7"/>
      <c r="H405" s="20"/>
      <c r="I405" s="500"/>
      <c r="J405" s="500"/>
      <c r="K405" s="500"/>
      <c r="L405" s="500"/>
      <c r="M405" s="24"/>
      <c r="N405" s="24"/>
      <c r="O405" s="24"/>
      <c r="P405" s="24"/>
      <c r="Q405" s="24"/>
      <c r="S405" s="56"/>
      <c r="U405" s="20"/>
      <c r="V405" s="38" t="s">
        <v>369</v>
      </c>
      <c r="W405" s="3" t="s">
        <v>370</v>
      </c>
      <c r="X405" s="38" t="s">
        <v>369</v>
      </c>
      <c r="Y405" s="1443">
        <v>420034006</v>
      </c>
      <c r="Z405" s="1443"/>
      <c r="AF405" s="3"/>
      <c r="AG405" s="3"/>
      <c r="AH405" s="51">
        <f>'Single Hung'!AI523</f>
        <v>0.18010000000000001</v>
      </c>
      <c r="AI405" s="39"/>
      <c r="AJ405" s="39"/>
      <c r="AK405" s="39"/>
      <c r="AL405" s="39">
        <f>AD$404*AH405+SUM(AI405:AK405)</f>
        <v>0.18010000000000001</v>
      </c>
      <c r="AM405" s="3" t="s">
        <v>371</v>
      </c>
      <c r="AN405" s="3" t="s">
        <v>371</v>
      </c>
      <c r="AO405" s="3" t="s">
        <v>371</v>
      </c>
      <c r="AP405" s="3" t="s">
        <v>92</v>
      </c>
      <c r="AR405" s="139"/>
      <c r="AS405" s="139"/>
      <c r="AT405" s="139"/>
      <c r="AU405" s="139"/>
      <c r="AV405" s="139"/>
    </row>
    <row r="406" spans="2:54" ht="15" customHeight="1" x14ac:dyDescent="0.4">
      <c r="B406" s="155"/>
      <c r="C406" s="155"/>
      <c r="D406" s="155"/>
      <c r="E406" s="155"/>
      <c r="F406" s="155"/>
      <c r="G406" s="7"/>
      <c r="H406" s="20"/>
      <c r="I406" s="500"/>
      <c r="J406" s="500"/>
      <c r="K406" s="500"/>
      <c r="L406" s="500"/>
      <c r="M406" s="24"/>
      <c r="N406" s="24"/>
      <c r="O406" s="24"/>
      <c r="P406" s="24"/>
      <c r="Q406" s="24"/>
      <c r="S406" s="56"/>
      <c r="U406" s="20"/>
      <c r="V406" s="38" t="s">
        <v>369</v>
      </c>
      <c r="W406" s="3" t="s">
        <v>372</v>
      </c>
      <c r="X406" s="38" t="s">
        <v>369</v>
      </c>
      <c r="Y406" s="1443">
        <v>420034021</v>
      </c>
      <c r="Z406" s="1443"/>
      <c r="AC406" s="56"/>
      <c r="AD406" s="56"/>
      <c r="AE406" s="3"/>
      <c r="AF406" s="3"/>
      <c r="AG406" s="3"/>
      <c r="AH406" s="51">
        <v>0.1661</v>
      </c>
      <c r="AI406" s="39"/>
      <c r="AJ406" s="39"/>
      <c r="AK406" s="39"/>
      <c r="AL406" s="39">
        <f>AD$404*AH406+SUM(AI406:AK406)</f>
        <v>0.1661</v>
      </c>
      <c r="AM406" s="3" t="s">
        <v>371</v>
      </c>
      <c r="AN406" s="3" t="s">
        <v>371</v>
      </c>
      <c r="AO406" s="3" t="s">
        <v>371</v>
      </c>
      <c r="AP406" s="3" t="s">
        <v>92</v>
      </c>
      <c r="AR406" s="139"/>
      <c r="AS406" s="139"/>
      <c r="AT406" s="139"/>
      <c r="AU406" s="139"/>
      <c r="AV406" s="139"/>
    </row>
    <row r="407" spans="2:54" ht="15" customHeight="1" thickBot="1" x14ac:dyDescent="0.45">
      <c r="B407" s="155"/>
      <c r="C407" s="155"/>
      <c r="D407" s="155"/>
      <c r="E407" s="155"/>
      <c r="F407" s="155"/>
      <c r="G407" s="7"/>
      <c r="H407" s="20"/>
      <c r="I407" s="500"/>
      <c r="J407" s="500"/>
      <c r="K407" s="500"/>
      <c r="L407" s="500"/>
      <c r="M407" s="24"/>
      <c r="N407" s="24"/>
      <c r="O407" s="24"/>
      <c r="P407" s="24"/>
      <c r="Q407" s="24"/>
      <c r="S407" s="56"/>
      <c r="U407" s="20"/>
      <c r="V407" s="38" t="s">
        <v>369</v>
      </c>
      <c r="W407" s="3" t="s">
        <v>373</v>
      </c>
      <c r="X407" s="38" t="s">
        <v>369</v>
      </c>
      <c r="Y407" s="1443">
        <v>420034034</v>
      </c>
      <c r="Z407" s="1443"/>
      <c r="AC407" s="56"/>
      <c r="AD407" s="56"/>
      <c r="AE407" s="3"/>
      <c r="AF407" s="3"/>
      <c r="AG407" s="3"/>
      <c r="AH407" s="51">
        <f>'Single Hung'!AI525</f>
        <v>0.89090000000000003</v>
      </c>
      <c r="AI407" s="39"/>
      <c r="AJ407" s="39"/>
      <c r="AK407" s="39"/>
      <c r="AL407" s="39">
        <f>AD$404*AH407+SUM(AI407:AK407)</f>
        <v>0.89090000000000003</v>
      </c>
      <c r="AM407" s="3" t="s">
        <v>371</v>
      </c>
      <c r="AN407" s="3" t="s">
        <v>371</v>
      </c>
      <c r="AO407" s="3" t="s">
        <v>371</v>
      </c>
      <c r="AP407" s="3" t="s">
        <v>92</v>
      </c>
      <c r="AR407" s="139"/>
      <c r="AS407" s="139"/>
      <c r="AT407" s="139"/>
      <c r="AU407" s="139"/>
      <c r="AV407" s="139"/>
    </row>
    <row r="408" spans="2:54" ht="15" customHeight="1" x14ac:dyDescent="0.4">
      <c r="B408" s="1896" t="s">
        <v>1863</v>
      </c>
      <c r="C408" s="114"/>
      <c r="D408" s="182"/>
      <c r="E408" s="182"/>
      <c r="F408" s="182"/>
      <c r="G408" s="173"/>
      <c r="H408" s="175"/>
      <c r="I408" s="448"/>
      <c r="J408" s="448"/>
      <c r="K408" s="448"/>
      <c r="L408" s="448"/>
      <c r="M408" s="178"/>
      <c r="N408" s="178"/>
      <c r="O408" s="178"/>
      <c r="P408" s="178"/>
      <c r="Q408" s="178"/>
      <c r="R408" s="116"/>
      <c r="S408" s="198">
        <v>1</v>
      </c>
      <c r="T408" s="116" t="s">
        <v>385</v>
      </c>
      <c r="U408" s="175"/>
      <c r="V408" s="179"/>
      <c r="W408" s="116"/>
      <c r="X408" s="179"/>
      <c r="Y408" s="1449"/>
      <c r="Z408" s="1449"/>
      <c r="AA408" s="175"/>
      <c r="AB408" s="116">
        <v>45</v>
      </c>
      <c r="AC408" s="116">
        <v>1</v>
      </c>
      <c r="AD408" s="198">
        <f>S408*AC408</f>
        <v>1</v>
      </c>
      <c r="AE408" s="116" t="s">
        <v>385</v>
      </c>
      <c r="AF408" s="179" t="s">
        <v>8</v>
      </c>
      <c r="AG408" s="179" t="s">
        <v>8</v>
      </c>
      <c r="AH408" s="185"/>
      <c r="AI408" s="180"/>
      <c r="AJ408" s="180"/>
      <c r="AK408" s="180"/>
      <c r="AL408" s="180"/>
      <c r="AM408" s="116" t="s">
        <v>92</v>
      </c>
      <c r="AN408" s="116" t="s">
        <v>92</v>
      </c>
      <c r="AO408" s="116" t="s">
        <v>92</v>
      </c>
      <c r="AP408" s="116" t="s">
        <v>371</v>
      </c>
      <c r="AQ408" s="116"/>
      <c r="AR408" s="139"/>
      <c r="AX408" s="139"/>
      <c r="AY408" s="139"/>
      <c r="AZ408" s="139"/>
      <c r="BA408" s="139"/>
      <c r="BB408" s="139"/>
    </row>
    <row r="409" spans="2:54" ht="15" customHeight="1" x14ac:dyDescent="0.4">
      <c r="B409" s="155"/>
      <c r="C409" s="155"/>
      <c r="D409" s="155"/>
      <c r="E409" s="155"/>
      <c r="F409" s="155"/>
      <c r="G409" s="7"/>
      <c r="H409" s="20"/>
      <c r="I409" s="500"/>
      <c r="J409" s="500"/>
      <c r="K409" s="500"/>
      <c r="L409" s="500"/>
      <c r="M409" s="24"/>
      <c r="N409" s="24"/>
      <c r="O409" s="24"/>
      <c r="P409" s="24"/>
      <c r="Q409" s="24"/>
      <c r="S409" s="56"/>
      <c r="U409" s="20"/>
      <c r="V409" s="38" t="s">
        <v>369</v>
      </c>
      <c r="W409" s="3" t="s">
        <v>370</v>
      </c>
      <c r="X409" s="38" t="s">
        <v>369</v>
      </c>
      <c r="Y409" s="1443">
        <v>420045003</v>
      </c>
      <c r="Z409" s="1443"/>
      <c r="AA409" s="20"/>
      <c r="AF409" s="3"/>
      <c r="AG409" s="3"/>
      <c r="AH409" s="51">
        <v>0.11788999999999999</v>
      </c>
      <c r="AI409" s="39"/>
      <c r="AJ409" s="39"/>
      <c r="AK409" s="39"/>
      <c r="AL409" s="39">
        <f>AD$408*AH409+SUM(AI409:AK409)</f>
        <v>0.11788999999999999</v>
      </c>
      <c r="AM409" s="3" t="s">
        <v>92</v>
      </c>
      <c r="AN409" s="3" t="s">
        <v>92</v>
      </c>
      <c r="AO409" s="3" t="s">
        <v>92</v>
      </c>
      <c r="AP409" s="3" t="s">
        <v>92</v>
      </c>
      <c r="AR409" s="139"/>
      <c r="AX409" s="139"/>
      <c r="AY409" s="139"/>
      <c r="AZ409" s="139"/>
      <c r="BA409" s="139"/>
      <c r="BB409" s="139"/>
    </row>
    <row r="410" spans="2:54" ht="15" customHeight="1" x14ac:dyDescent="0.4">
      <c r="B410" s="155"/>
      <c r="C410" s="155"/>
      <c r="D410" s="155"/>
      <c r="E410" s="155"/>
      <c r="F410" s="155"/>
      <c r="G410" s="7"/>
      <c r="H410" s="20"/>
      <c r="I410" s="500"/>
      <c r="J410" s="500"/>
      <c r="K410" s="500"/>
      <c r="L410" s="500"/>
      <c r="M410" s="24"/>
      <c r="N410" s="24"/>
      <c r="O410" s="24"/>
      <c r="P410" s="24"/>
      <c r="Q410" s="24"/>
      <c r="S410" s="56"/>
      <c r="U410" s="20"/>
      <c r="V410" s="38" t="s">
        <v>369</v>
      </c>
      <c r="W410" s="3" t="s">
        <v>372</v>
      </c>
      <c r="X410" s="38" t="s">
        <v>369</v>
      </c>
      <c r="Y410" s="1443">
        <v>420045021</v>
      </c>
      <c r="Z410" s="1443"/>
      <c r="AA410" s="20"/>
      <c r="AC410" s="56"/>
      <c r="AD410" s="56"/>
      <c r="AE410" s="3"/>
      <c r="AF410" s="3"/>
      <c r="AG410" s="3"/>
      <c r="AH410" s="51">
        <v>0.11788999999999999</v>
      </c>
      <c r="AI410" s="39"/>
      <c r="AJ410" s="39"/>
      <c r="AK410" s="39"/>
      <c r="AL410" s="39">
        <f>AD$408*AH410+SUM(AI410:AK410)</f>
        <v>0.11788999999999999</v>
      </c>
      <c r="AM410" s="3" t="s">
        <v>92</v>
      </c>
      <c r="AN410" s="3" t="s">
        <v>92</v>
      </c>
      <c r="AO410" s="3" t="s">
        <v>92</v>
      </c>
      <c r="AP410" s="3" t="s">
        <v>92</v>
      </c>
      <c r="AR410" s="139"/>
      <c r="AX410" s="139"/>
      <c r="AY410" s="139"/>
      <c r="AZ410" s="139"/>
      <c r="BA410" s="139"/>
      <c r="BB410" s="139"/>
    </row>
    <row r="411" spans="2:54" ht="15" customHeight="1" x14ac:dyDescent="0.4">
      <c r="B411" s="155"/>
      <c r="C411" s="155"/>
      <c r="D411" s="155"/>
      <c r="E411" s="155"/>
      <c r="F411" s="155"/>
      <c r="G411" s="7"/>
      <c r="H411" s="20"/>
      <c r="I411" s="500"/>
      <c r="J411" s="500"/>
      <c r="K411" s="500"/>
      <c r="L411" s="500"/>
      <c r="M411" s="24"/>
      <c r="N411" s="24"/>
      <c r="O411" s="24"/>
      <c r="P411" s="24"/>
      <c r="Q411" s="24"/>
      <c r="S411" s="56"/>
      <c r="U411" s="20"/>
      <c r="V411" s="38" t="s">
        <v>369</v>
      </c>
      <c r="W411" s="3" t="s">
        <v>373</v>
      </c>
      <c r="X411" s="38" t="s">
        <v>369</v>
      </c>
      <c r="Y411" s="1443">
        <v>420034033</v>
      </c>
      <c r="Z411" s="1443"/>
      <c r="AA411" s="20"/>
      <c r="AC411" s="56"/>
      <c r="AD411" s="56"/>
      <c r="AE411" s="3"/>
      <c r="AF411" s="3"/>
      <c r="AG411" s="3"/>
      <c r="AH411" s="51">
        <v>0.11788999999999999</v>
      </c>
      <c r="AI411" s="39"/>
      <c r="AJ411" s="39"/>
      <c r="AK411" s="39"/>
      <c r="AL411" s="39">
        <f>AD$408*AH411+SUM(AI411:AK411)</f>
        <v>0.11788999999999999</v>
      </c>
      <c r="AM411" s="3" t="s">
        <v>92</v>
      </c>
      <c r="AN411" s="3" t="s">
        <v>92</v>
      </c>
      <c r="AO411" s="3" t="s">
        <v>92</v>
      </c>
      <c r="AP411" s="3" t="s">
        <v>92</v>
      </c>
      <c r="AR411" s="139"/>
      <c r="AX411" s="139"/>
      <c r="AY411" s="139"/>
      <c r="AZ411" s="139"/>
      <c r="BA411" s="139"/>
      <c r="BB411" s="139"/>
    </row>
    <row r="412" spans="2:54" ht="15" customHeight="1" thickBot="1" x14ac:dyDescent="0.45">
      <c r="B412" s="925"/>
      <c r="C412" s="925"/>
      <c r="D412" s="925"/>
      <c r="E412" s="925"/>
      <c r="F412" s="925"/>
      <c r="G412" s="924"/>
      <c r="H412" s="887"/>
      <c r="I412" s="1494"/>
      <c r="J412" s="1494"/>
      <c r="K412" s="1494"/>
      <c r="L412" s="1494"/>
      <c r="M412" s="1020"/>
      <c r="N412" s="1020"/>
      <c r="O412" s="1020"/>
      <c r="P412" s="1020"/>
      <c r="Q412" s="1020"/>
      <c r="R412" s="889"/>
      <c r="S412" s="1156"/>
      <c r="T412" s="889"/>
      <c r="U412" s="887"/>
      <c r="V412" s="888" t="s">
        <v>369</v>
      </c>
      <c r="W412" s="889" t="s">
        <v>375</v>
      </c>
      <c r="X412" s="888" t="s">
        <v>369</v>
      </c>
      <c r="Y412" s="1444">
        <v>420045133</v>
      </c>
      <c r="Z412" s="1444"/>
      <c r="AA412" s="887"/>
      <c r="AB412" s="889"/>
      <c r="AC412" s="1156"/>
      <c r="AD412" s="1156"/>
      <c r="AE412" s="889"/>
      <c r="AF412" s="889"/>
      <c r="AG412" s="889"/>
      <c r="AH412" s="937"/>
      <c r="AI412" s="947"/>
      <c r="AJ412" s="947"/>
      <c r="AK412" s="947"/>
      <c r="AL412" s="947">
        <f>AD$408*AH412+SUM(AI412:AK412)</f>
        <v>0</v>
      </c>
      <c r="AM412" s="889" t="s">
        <v>92</v>
      </c>
      <c r="AN412" s="889" t="s">
        <v>92</v>
      </c>
      <c r="AO412" s="889" t="s">
        <v>92</v>
      </c>
      <c r="AP412" s="889" t="s">
        <v>371</v>
      </c>
      <c r="AQ412" s="889"/>
      <c r="AR412" s="139"/>
      <c r="AX412" s="139"/>
      <c r="AY412" s="139"/>
      <c r="AZ412" s="139"/>
      <c r="BA412" s="139"/>
      <c r="BB412" s="139"/>
    </row>
    <row r="413" spans="2:54" ht="57.75" customHeight="1" thickBot="1" x14ac:dyDescent="0.45">
      <c r="B413" s="1193" t="s">
        <v>561</v>
      </c>
      <c r="C413" s="924"/>
      <c r="D413" s="924"/>
      <c r="E413" s="924"/>
      <c r="F413" s="924"/>
      <c r="G413" s="924"/>
      <c r="H413" s="948"/>
      <c r="I413" s="949"/>
      <c r="J413" s="889"/>
      <c r="K413" s="889"/>
      <c r="L413" s="889"/>
      <c r="M413" s="945"/>
      <c r="N413" s="945"/>
      <c r="O413" s="945"/>
      <c r="P413" s="945"/>
      <c r="Q413" s="945"/>
      <c r="R413" s="889"/>
      <c r="S413" s="1156">
        <v>1</v>
      </c>
      <c r="T413" s="889" t="s">
        <v>385</v>
      </c>
      <c r="U413" s="948"/>
      <c r="V413" s="888"/>
      <c r="W413" s="889"/>
      <c r="X413" s="888"/>
      <c r="Y413" s="1444">
        <v>430063010</v>
      </c>
      <c r="Z413" s="1444"/>
      <c r="AA413" s="948"/>
      <c r="AB413" s="889">
        <v>45</v>
      </c>
      <c r="AC413" s="889">
        <v>1</v>
      </c>
      <c r="AD413" s="1156">
        <f>AC413</f>
        <v>1</v>
      </c>
      <c r="AE413" s="889" t="s">
        <v>385</v>
      </c>
      <c r="AF413" s="888"/>
      <c r="AG413" s="888"/>
      <c r="AH413" s="942">
        <f>'Single Hung'!AI532</f>
        <v>8.9700000000000002E-2</v>
      </c>
      <c r="AI413" s="1157"/>
      <c r="AJ413" s="1157"/>
      <c r="AK413" s="1157"/>
      <c r="AL413" s="947">
        <f>AD$413*AH413+SUM(AI413:AK413)</f>
        <v>8.9700000000000002E-2</v>
      </c>
      <c r="AM413" s="889" t="s">
        <v>81</v>
      </c>
      <c r="AN413" s="889" t="s">
        <v>81</v>
      </c>
      <c r="AO413" s="889" t="s">
        <v>81</v>
      </c>
      <c r="AP413" s="889" t="s">
        <v>81</v>
      </c>
      <c r="AQ413" s="889"/>
      <c r="AR413" s="139"/>
      <c r="AS413" s="139"/>
      <c r="AT413" s="139"/>
      <c r="AU413" s="139"/>
      <c r="AV413" s="139"/>
    </row>
    <row r="414" spans="2:54" ht="56.25" customHeight="1" thickBot="1" x14ac:dyDescent="0.45">
      <c r="B414" s="1158" t="s">
        <v>563</v>
      </c>
      <c r="C414" s="135"/>
      <c r="D414" s="135"/>
      <c r="E414" s="135"/>
      <c r="F414" s="135"/>
      <c r="G414" s="135"/>
      <c r="H414" s="491"/>
      <c r="I414" s="556"/>
      <c r="J414" s="136"/>
      <c r="K414" s="136"/>
      <c r="L414" s="136"/>
      <c r="M414" s="506"/>
      <c r="N414" s="506"/>
      <c r="O414" s="506"/>
      <c r="P414" s="506"/>
      <c r="Q414" s="506"/>
      <c r="R414" s="136"/>
      <c r="S414" s="507">
        <v>1</v>
      </c>
      <c r="T414" s="136" t="s">
        <v>385</v>
      </c>
      <c r="U414" s="491"/>
      <c r="V414" s="1161"/>
      <c r="W414" s="1161"/>
      <c r="X414" s="1161"/>
      <c r="Y414" s="1516">
        <v>430064010</v>
      </c>
      <c r="Z414" s="1516"/>
      <c r="AA414" s="491"/>
      <c r="AB414" s="136">
        <v>45</v>
      </c>
      <c r="AC414" s="136">
        <v>1</v>
      </c>
      <c r="AD414" s="507">
        <f>AC414</f>
        <v>1</v>
      </c>
      <c r="AE414" s="136" t="s">
        <v>385</v>
      </c>
      <c r="AF414" s="557"/>
      <c r="AG414" s="557"/>
      <c r="AH414" s="1159">
        <f>'Single Hung'!AI533</f>
        <v>8.9700000000000002E-2</v>
      </c>
      <c r="AI414" s="1160"/>
      <c r="AJ414" s="1160"/>
      <c r="AK414" s="1160"/>
      <c r="AL414" s="137">
        <f>AD$414*AH414+SUM(AI414:AK414)</f>
        <v>8.9700000000000002E-2</v>
      </c>
      <c r="AM414" s="136" t="s">
        <v>81</v>
      </c>
      <c r="AN414" s="136" t="s">
        <v>81</v>
      </c>
      <c r="AO414" s="136" t="s">
        <v>81</v>
      </c>
      <c r="AP414" s="136" t="s">
        <v>81</v>
      </c>
      <c r="AQ414" s="136"/>
      <c r="AR414" s="139"/>
      <c r="AS414" s="139"/>
      <c r="AT414" s="139"/>
      <c r="AU414" s="139"/>
      <c r="AV414" s="139"/>
    </row>
    <row r="415" spans="2:54" ht="15" customHeight="1" x14ac:dyDescent="0.4">
      <c r="B415" s="494" t="s">
        <v>564</v>
      </c>
      <c r="C415" s="7"/>
      <c r="D415" s="7"/>
      <c r="E415" s="7"/>
      <c r="F415" s="7"/>
      <c r="G415" s="7"/>
      <c r="I415" s="8"/>
      <c r="S415" s="56">
        <v>1</v>
      </c>
      <c r="T415" s="3" t="s">
        <v>385</v>
      </c>
      <c r="U415" s="20"/>
      <c r="V415" s="38"/>
      <c r="X415" s="38"/>
      <c r="Y415" s="1443"/>
      <c r="Z415" s="1443"/>
      <c r="AB415" s="3">
        <v>45</v>
      </c>
      <c r="AC415" s="3">
        <v>2</v>
      </c>
      <c r="AD415" s="56">
        <v>2</v>
      </c>
      <c r="AE415" s="3" t="s">
        <v>385</v>
      </c>
      <c r="AF415" s="38"/>
      <c r="AG415" s="38"/>
      <c r="AH415" s="3"/>
      <c r="AI415" s="477"/>
      <c r="AJ415" s="477"/>
      <c r="AK415" s="477"/>
      <c r="AL415" s="3"/>
      <c r="AP415" s="3" t="s">
        <v>81</v>
      </c>
      <c r="AU415" s="139"/>
      <c r="AV415" s="139"/>
      <c r="AW415" s="139"/>
      <c r="AX415" s="139"/>
      <c r="AY415" s="139"/>
    </row>
    <row r="416" spans="2:54" ht="15" customHeight="1" x14ac:dyDescent="0.4">
      <c r="B416" s="494"/>
      <c r="C416" s="7"/>
      <c r="D416" s="7"/>
      <c r="E416" s="7"/>
      <c r="F416" s="7"/>
      <c r="G416" s="7"/>
      <c r="I416" s="8"/>
      <c r="T416" s="42" t="s">
        <v>565</v>
      </c>
      <c r="U416" s="20"/>
      <c r="V416" s="38" t="s">
        <v>369</v>
      </c>
      <c r="W416" s="3" t="s">
        <v>370</v>
      </c>
      <c r="X416" s="38" t="s">
        <v>369</v>
      </c>
      <c r="Y416" s="1443">
        <v>600146003</v>
      </c>
      <c r="Z416" s="1443"/>
      <c r="AD416" s="56"/>
      <c r="AE416" s="3"/>
      <c r="AF416" s="38"/>
      <c r="AG416" s="38"/>
      <c r="AH416" s="492">
        <f>'Single Hung'!AI535</f>
        <v>1.7100000000000001E-2</v>
      </c>
      <c r="AI416" s="477"/>
      <c r="AJ416" s="477"/>
      <c r="AK416" s="477"/>
      <c r="AL416" s="39">
        <f>AD$415*AH416+SUM(AI416:AK416)</f>
        <v>3.4200000000000001E-2</v>
      </c>
      <c r="AM416" s="3" t="s">
        <v>81</v>
      </c>
      <c r="AN416" s="3" t="s">
        <v>81</v>
      </c>
      <c r="AO416" s="3" t="s">
        <v>92</v>
      </c>
      <c r="AP416" s="3" t="s">
        <v>92</v>
      </c>
      <c r="AU416" s="139"/>
      <c r="AV416" s="139"/>
      <c r="AW416" s="139"/>
      <c r="AX416" s="139"/>
      <c r="AY416" s="139"/>
    </row>
    <row r="417" spans="1:51" ht="15" customHeight="1" x14ac:dyDescent="0.4">
      <c r="B417" s="494"/>
      <c r="C417" s="7"/>
      <c r="D417" s="7"/>
      <c r="E417" s="7"/>
      <c r="F417" s="7"/>
      <c r="G417" s="7"/>
      <c r="I417" s="8"/>
      <c r="T417" s="42" t="s">
        <v>566</v>
      </c>
      <c r="U417" s="20"/>
      <c r="V417" s="38" t="s">
        <v>369</v>
      </c>
      <c r="W417" s="3" t="s">
        <v>372</v>
      </c>
      <c r="X417" s="38" t="s">
        <v>369</v>
      </c>
      <c r="Y417" s="1443">
        <v>600146021</v>
      </c>
      <c r="Z417" s="1443"/>
      <c r="AD417" s="56"/>
      <c r="AE417" s="3"/>
      <c r="AF417" s="38"/>
      <c r="AG417" s="38"/>
      <c r="AH417" s="492">
        <f>'Single Hung'!AI536</f>
        <v>1.5100000000000001E-2</v>
      </c>
      <c r="AI417" s="477"/>
      <c r="AJ417" s="477"/>
      <c r="AK417" s="477"/>
      <c r="AL417" s="39">
        <f>AD$415*AH417+SUM(AI417:AK417)</f>
        <v>3.0200000000000001E-2</v>
      </c>
      <c r="AM417" s="3" t="s">
        <v>92</v>
      </c>
      <c r="AN417" s="3" t="s">
        <v>92</v>
      </c>
      <c r="AO417" s="3" t="s">
        <v>92</v>
      </c>
      <c r="AP417" s="3" t="s">
        <v>92</v>
      </c>
      <c r="AU417" s="139"/>
      <c r="AV417" s="139"/>
      <c r="AW417" s="139"/>
      <c r="AX417" s="139"/>
      <c r="AY417" s="139"/>
    </row>
    <row r="418" spans="1:51" ht="15" customHeight="1" x14ac:dyDescent="0.4">
      <c r="B418" s="494"/>
      <c r="C418" s="7"/>
      <c r="D418" s="7"/>
      <c r="E418" s="7"/>
      <c r="F418" s="7"/>
      <c r="G418" s="7"/>
      <c r="I418" s="8"/>
      <c r="T418" s="42" t="s">
        <v>567</v>
      </c>
      <c r="U418" s="20"/>
      <c r="V418" s="38" t="s">
        <v>369</v>
      </c>
      <c r="W418" s="3" t="s">
        <v>373</v>
      </c>
      <c r="X418" s="38" t="s">
        <v>369</v>
      </c>
      <c r="Y418" s="1443">
        <v>600146033</v>
      </c>
      <c r="Z418" s="1443"/>
      <c r="AD418" s="56"/>
      <c r="AE418" s="3"/>
      <c r="AF418" s="38"/>
      <c r="AG418" s="38"/>
      <c r="AH418" s="492">
        <f>'Single Hung'!AI537</f>
        <v>1.5100000000000001E-2</v>
      </c>
      <c r="AI418" s="477"/>
      <c r="AJ418" s="477"/>
      <c r="AK418" s="477"/>
      <c r="AL418" s="39">
        <f>AD$415*AH418+SUM(AI418:AK418)</f>
        <v>3.0200000000000001E-2</v>
      </c>
      <c r="AM418" s="3" t="s">
        <v>92</v>
      </c>
      <c r="AN418" s="3" t="s">
        <v>92</v>
      </c>
      <c r="AO418" s="3" t="s">
        <v>81</v>
      </c>
      <c r="AP418" s="3" t="s">
        <v>92</v>
      </c>
      <c r="AU418" s="139"/>
      <c r="AV418" s="139"/>
      <c r="AW418" s="139"/>
      <c r="AX418" s="139"/>
      <c r="AY418" s="139"/>
    </row>
    <row r="419" spans="1:51" ht="15" customHeight="1" thickBot="1" x14ac:dyDescent="0.45">
      <c r="B419" s="1193"/>
      <c r="C419" s="924"/>
      <c r="D419" s="924"/>
      <c r="E419" s="924"/>
      <c r="F419" s="924"/>
      <c r="G419" s="924"/>
      <c r="H419" s="948"/>
      <c r="I419" s="949"/>
      <c r="J419" s="889"/>
      <c r="K419" s="889"/>
      <c r="L419" s="889"/>
      <c r="M419" s="945"/>
      <c r="N419" s="945"/>
      <c r="O419" s="945"/>
      <c r="P419" s="945"/>
      <c r="Q419" s="945"/>
      <c r="R419" s="889"/>
      <c r="S419" s="945"/>
      <c r="T419" s="1154" t="s">
        <v>2385</v>
      </c>
      <c r="U419" s="887"/>
      <c r="V419" s="888" t="s">
        <v>369</v>
      </c>
      <c r="W419" s="889" t="s">
        <v>375</v>
      </c>
      <c r="X419" s="888" t="s">
        <v>369</v>
      </c>
      <c r="Y419" s="1444">
        <v>600146133</v>
      </c>
      <c r="Z419" s="1444"/>
      <c r="AA419" s="948"/>
      <c r="AB419" s="889"/>
      <c r="AC419" s="889"/>
      <c r="AD419" s="1156"/>
      <c r="AE419" s="889"/>
      <c r="AF419" s="888"/>
      <c r="AG419" s="888"/>
      <c r="AH419" s="942"/>
      <c r="AI419" s="1157"/>
      <c r="AJ419" s="1157"/>
      <c r="AK419" s="1157"/>
      <c r="AL419" s="39">
        <f>AD$415*AH419+SUM(AI419:AK419)</f>
        <v>0</v>
      </c>
      <c r="AM419" s="889" t="s">
        <v>92</v>
      </c>
      <c r="AN419" s="889" t="s">
        <v>92</v>
      </c>
      <c r="AO419" s="889" t="s">
        <v>92</v>
      </c>
      <c r="AP419" s="889" t="s">
        <v>81</v>
      </c>
      <c r="AQ419" s="889"/>
      <c r="AU419" s="139"/>
      <c r="AV419" s="139"/>
      <c r="AW419" s="139"/>
      <c r="AX419" s="139"/>
      <c r="AY419" s="139"/>
    </row>
    <row r="420" spans="1:51" ht="58.5" customHeight="1" thickBot="1" x14ac:dyDescent="0.45">
      <c r="B420" s="1162" t="s">
        <v>1251</v>
      </c>
      <c r="C420" s="136"/>
      <c r="D420" s="136"/>
      <c r="E420" s="135"/>
      <c r="F420" s="136"/>
      <c r="G420" s="135"/>
      <c r="H420" s="491"/>
      <c r="I420" s="556"/>
      <c r="J420" s="136"/>
      <c r="K420" s="136"/>
      <c r="L420" s="136"/>
      <c r="M420" s="506"/>
      <c r="N420" s="506"/>
      <c r="O420" s="506"/>
      <c r="P420" s="506"/>
      <c r="Q420" s="506"/>
      <c r="R420" s="136"/>
      <c r="S420" s="507">
        <v>1</v>
      </c>
      <c r="T420" s="136" t="s">
        <v>385</v>
      </c>
      <c r="U420" s="491"/>
      <c r="V420" s="557" t="s">
        <v>1252</v>
      </c>
      <c r="W420" s="136" t="s">
        <v>1252</v>
      </c>
      <c r="X420" s="557" t="s">
        <v>1252</v>
      </c>
      <c r="Y420" s="1516">
        <v>440151000</v>
      </c>
      <c r="Z420" s="1516"/>
      <c r="AA420" s="491"/>
      <c r="AB420" s="136">
        <v>45</v>
      </c>
      <c r="AC420" s="136">
        <v>2</v>
      </c>
      <c r="AD420" s="507">
        <f>S420*AC420</f>
        <v>2</v>
      </c>
      <c r="AE420" s="136" t="s">
        <v>385</v>
      </c>
      <c r="AF420" s="557"/>
      <c r="AG420" s="557"/>
      <c r="AH420" s="1159">
        <f>'Single Hung'!AI539</f>
        <v>2.8899999999999999E-2</v>
      </c>
      <c r="AI420" s="137"/>
      <c r="AJ420" s="137"/>
      <c r="AK420" s="137"/>
      <c r="AL420" s="137">
        <f>AD$414*AH420+SUM(AI420:AK420)</f>
        <v>2.8899999999999999E-2</v>
      </c>
      <c r="AM420" s="136" t="s">
        <v>81</v>
      </c>
      <c r="AN420" s="136" t="s">
        <v>81</v>
      </c>
      <c r="AO420" s="136" t="s">
        <v>81</v>
      </c>
      <c r="AP420" s="136" t="s">
        <v>81</v>
      </c>
      <c r="AQ420" s="136"/>
      <c r="AU420" s="139"/>
      <c r="AV420" s="139"/>
      <c r="AW420" s="139"/>
      <c r="AX420" s="139"/>
      <c r="AY420" s="139"/>
    </row>
    <row r="421" spans="1:51" ht="15" customHeight="1" x14ac:dyDescent="0.4">
      <c r="B421" s="36" t="s">
        <v>1253</v>
      </c>
      <c r="C421" s="7"/>
      <c r="D421" s="7"/>
      <c r="E421" s="7"/>
      <c r="F421" s="7"/>
      <c r="G421" s="7"/>
      <c r="I421" s="8"/>
      <c r="S421" s="56">
        <v>1</v>
      </c>
      <c r="T421" s="3" t="s">
        <v>385</v>
      </c>
      <c r="V421" s="38"/>
      <c r="X421" s="38"/>
      <c r="Y421" s="1443"/>
      <c r="Z421" s="1443"/>
      <c r="AB421" s="3">
        <v>45</v>
      </c>
      <c r="AC421" s="3">
        <v>2</v>
      </c>
      <c r="AD421" s="56">
        <f>S421*AC421</f>
        <v>2</v>
      </c>
      <c r="AE421" s="3" t="s">
        <v>385</v>
      </c>
      <c r="AF421" s="38"/>
      <c r="AG421" s="38"/>
      <c r="AI421" s="39"/>
      <c r="AJ421" s="39"/>
      <c r="AK421" s="39"/>
      <c r="AM421" s="3" t="s">
        <v>81</v>
      </c>
      <c r="AN421" s="3" t="s">
        <v>81</v>
      </c>
      <c r="AO421" s="3" t="s">
        <v>81</v>
      </c>
      <c r="AP421" s="3" t="s">
        <v>81</v>
      </c>
      <c r="AU421" s="139"/>
      <c r="AV421" s="139"/>
      <c r="AW421" s="139"/>
      <c r="AX421" s="139"/>
      <c r="AY421" s="139"/>
    </row>
    <row r="422" spans="1:51" ht="15" customHeight="1" x14ac:dyDescent="0.4">
      <c r="B422" s="36"/>
      <c r="C422" s="7"/>
      <c r="D422" s="7"/>
      <c r="E422" s="7"/>
      <c r="F422" s="7"/>
      <c r="G422" s="7"/>
      <c r="I422" s="8"/>
      <c r="S422" s="56"/>
      <c r="V422" s="38" t="s">
        <v>369</v>
      </c>
      <c r="W422" s="3" t="s">
        <v>370</v>
      </c>
      <c r="X422" s="38" t="s">
        <v>369</v>
      </c>
      <c r="Y422" s="1443">
        <v>420027003</v>
      </c>
      <c r="Z422" s="1443"/>
      <c r="AD422" s="56"/>
      <c r="AE422" s="3"/>
      <c r="AF422" s="38"/>
      <c r="AG422" s="38"/>
      <c r="AH422" s="492">
        <v>6.8000000000000005E-2</v>
      </c>
      <c r="AI422" s="477"/>
      <c r="AJ422" s="477"/>
      <c r="AK422" s="477"/>
      <c r="AL422" s="39">
        <f t="shared" ref="AL422:AL424" si="75">AD$421*AH422+SUM(AI422:AK422)</f>
        <v>0.13600000000000001</v>
      </c>
      <c r="AM422" s="3" t="s">
        <v>81</v>
      </c>
      <c r="AN422" s="3" t="s">
        <v>81</v>
      </c>
      <c r="AO422" s="3" t="s">
        <v>371</v>
      </c>
      <c r="AP422" s="3" t="s">
        <v>92</v>
      </c>
      <c r="AU422" s="139"/>
      <c r="AV422" s="139"/>
      <c r="AW422" s="139"/>
      <c r="AX422" s="139"/>
      <c r="AY422" s="139"/>
    </row>
    <row r="423" spans="1:51" ht="15" customHeight="1" x14ac:dyDescent="0.4">
      <c r="B423" s="36"/>
      <c r="C423" s="7"/>
      <c r="D423" s="7"/>
      <c r="E423" s="7"/>
      <c r="F423" s="7"/>
      <c r="G423" s="7"/>
      <c r="I423" s="8"/>
      <c r="S423" s="56"/>
      <c r="V423" s="38" t="s">
        <v>369</v>
      </c>
      <c r="W423" s="3" t="s">
        <v>372</v>
      </c>
      <c r="X423" s="38" t="s">
        <v>369</v>
      </c>
      <c r="Y423" s="1443">
        <v>420027021</v>
      </c>
      <c r="Z423" s="1443"/>
      <c r="AD423" s="56"/>
      <c r="AE423" s="3"/>
      <c r="AF423" s="38"/>
      <c r="AG423" s="38"/>
      <c r="AH423" s="492">
        <v>6.8000000000000005E-2</v>
      </c>
      <c r="AI423" s="477"/>
      <c r="AJ423" s="477"/>
      <c r="AK423" s="477"/>
      <c r="AL423" s="39">
        <f t="shared" si="75"/>
        <v>0.13600000000000001</v>
      </c>
      <c r="AM423" s="3" t="s">
        <v>371</v>
      </c>
      <c r="AN423" s="3" t="s">
        <v>371</v>
      </c>
      <c r="AO423" s="3" t="s">
        <v>371</v>
      </c>
      <c r="AP423" s="3" t="s">
        <v>92</v>
      </c>
      <c r="AU423" s="139"/>
      <c r="AV423" s="139"/>
      <c r="AW423" s="139"/>
      <c r="AX423" s="139"/>
      <c r="AY423" s="139"/>
    </row>
    <row r="424" spans="1:51" ht="15" customHeight="1" x14ac:dyDescent="0.4">
      <c r="B424" s="36"/>
      <c r="C424" s="7"/>
      <c r="D424" s="7"/>
      <c r="E424" s="7"/>
      <c r="F424" s="7"/>
      <c r="G424" s="7"/>
      <c r="I424" s="8"/>
      <c r="S424" s="56"/>
      <c r="V424" s="38" t="s">
        <v>369</v>
      </c>
      <c r="W424" s="3" t="s">
        <v>373</v>
      </c>
      <c r="X424" s="38" t="s">
        <v>369</v>
      </c>
      <c r="Y424" s="1443">
        <v>420027033</v>
      </c>
      <c r="Z424" s="1443"/>
      <c r="AD424" s="56"/>
      <c r="AE424" s="3"/>
      <c r="AF424" s="38"/>
      <c r="AG424" s="38"/>
      <c r="AH424" s="492">
        <v>6.8000000000000005E-2</v>
      </c>
      <c r="AI424" s="39"/>
      <c r="AJ424" s="39"/>
      <c r="AK424" s="39"/>
      <c r="AL424" s="39">
        <f t="shared" si="75"/>
        <v>0.13600000000000001</v>
      </c>
      <c r="AM424" s="3" t="s">
        <v>371</v>
      </c>
      <c r="AN424" s="3" t="s">
        <v>371</v>
      </c>
      <c r="AO424" s="3" t="s">
        <v>371</v>
      </c>
      <c r="AP424" s="3" t="s">
        <v>92</v>
      </c>
      <c r="AU424" s="139"/>
      <c r="AV424" s="139"/>
      <c r="AW424" s="139"/>
      <c r="AX424" s="139"/>
      <c r="AY424" s="139"/>
    </row>
    <row r="425" spans="1:51" ht="15" customHeight="1" x14ac:dyDescent="0.4">
      <c r="B425" s="36"/>
      <c r="C425" s="7"/>
      <c r="D425" s="7"/>
      <c r="E425" s="7"/>
      <c r="F425" s="7"/>
      <c r="G425" s="7"/>
      <c r="I425" s="8"/>
      <c r="S425" s="56"/>
      <c r="V425" s="38" t="s">
        <v>369</v>
      </c>
      <c r="W425" s="3" t="s">
        <v>375</v>
      </c>
      <c r="X425" s="38" t="s">
        <v>369</v>
      </c>
      <c r="Y425" s="1443">
        <v>420027133</v>
      </c>
      <c r="Z425" s="1443"/>
      <c r="AD425" s="56"/>
      <c r="AE425" s="3"/>
      <c r="AF425" s="38"/>
      <c r="AG425" s="38"/>
      <c r="AH425" s="1030">
        <v>6.8000000000000005E-2</v>
      </c>
      <c r="AI425" s="39"/>
      <c r="AJ425" s="39"/>
      <c r="AK425" s="39"/>
      <c r="AL425" s="39">
        <f>AD$421*AH425+SUM(AI425:AK425)</f>
        <v>0.13600000000000001</v>
      </c>
      <c r="AM425" s="3" t="s">
        <v>371</v>
      </c>
      <c r="AN425" s="3" t="s">
        <v>371</v>
      </c>
      <c r="AO425" s="3" t="s">
        <v>371</v>
      </c>
      <c r="AP425" s="3" t="s">
        <v>81</v>
      </c>
      <c r="AU425" s="139"/>
      <c r="AV425" s="139"/>
      <c r="AW425" s="139"/>
      <c r="AX425" s="139"/>
      <c r="AY425" s="139"/>
    </row>
    <row r="426" spans="1:51" ht="15" customHeight="1" x14ac:dyDescent="0.4">
      <c r="B426" s="36"/>
      <c r="C426" s="7"/>
      <c r="D426" s="7"/>
      <c r="E426" s="7"/>
      <c r="F426" s="7"/>
      <c r="G426" s="7"/>
      <c r="I426" s="8"/>
      <c r="S426" s="56"/>
      <c r="V426" s="38" t="s">
        <v>369</v>
      </c>
      <c r="W426" s="3" t="s">
        <v>374</v>
      </c>
      <c r="X426" s="38" t="s">
        <v>369</v>
      </c>
      <c r="Y426" s="1443">
        <v>420027090</v>
      </c>
      <c r="Z426" s="1443"/>
      <c r="AD426" s="56"/>
      <c r="AE426" s="3"/>
      <c r="AF426" s="38"/>
      <c r="AG426" s="38"/>
      <c r="AH426" s="51">
        <v>6.8000000000000005E-2</v>
      </c>
      <c r="AI426" s="39"/>
      <c r="AJ426" s="39"/>
      <c r="AK426" s="39"/>
      <c r="AL426" s="39">
        <f>AD$421*AH426+SUM(AI426:AK426)</f>
        <v>0.13600000000000001</v>
      </c>
      <c r="AM426" s="3" t="s">
        <v>371</v>
      </c>
      <c r="AN426" s="3" t="s">
        <v>371</v>
      </c>
      <c r="AO426" s="3" t="s">
        <v>81</v>
      </c>
      <c r="AP426" s="3" t="s">
        <v>92</v>
      </c>
      <c r="AU426" s="139"/>
      <c r="AV426" s="139"/>
      <c r="AW426" s="139"/>
      <c r="AX426" s="139"/>
      <c r="AY426" s="139"/>
    </row>
    <row r="427" spans="1:51" ht="15" customHeight="1" thickBot="1" x14ac:dyDescent="0.45">
      <c r="B427" s="943"/>
      <c r="C427" s="924"/>
      <c r="D427" s="924"/>
      <c r="E427" s="924"/>
      <c r="F427" s="924"/>
      <c r="G427" s="924"/>
      <c r="H427" s="948"/>
      <c r="I427" s="949"/>
      <c r="J427" s="889"/>
      <c r="K427" s="889"/>
      <c r="L427" s="889"/>
      <c r="M427" s="945"/>
      <c r="N427" s="945"/>
      <c r="O427" s="945"/>
      <c r="P427" s="945"/>
      <c r="Q427" s="945"/>
      <c r="R427" s="889"/>
      <c r="S427" s="1156"/>
      <c r="T427" s="889"/>
      <c r="U427" s="948"/>
      <c r="V427" s="1876" t="s">
        <v>369</v>
      </c>
      <c r="W427" s="1877" t="s">
        <v>1849</v>
      </c>
      <c r="X427" s="1876" t="s">
        <v>369</v>
      </c>
      <c r="Y427" s="1878">
        <v>420027148</v>
      </c>
      <c r="Z427" s="1444"/>
      <c r="AA427" s="948"/>
      <c r="AB427" s="889"/>
      <c r="AC427" s="889"/>
      <c r="AD427" s="1156"/>
      <c r="AE427" s="889"/>
      <c r="AF427" s="888"/>
      <c r="AG427" s="888"/>
      <c r="AH427" s="937">
        <v>0</v>
      </c>
      <c r="AI427" s="947"/>
      <c r="AJ427" s="947"/>
      <c r="AK427" s="947"/>
      <c r="AL427" s="947">
        <f>AD$421*AH427+SUM(AI427:AK427)</f>
        <v>0</v>
      </c>
      <c r="AM427" s="889" t="s">
        <v>371</v>
      </c>
      <c r="AN427" s="889" t="s">
        <v>371</v>
      </c>
      <c r="AO427" s="889" t="s">
        <v>81</v>
      </c>
      <c r="AP427" s="889" t="s">
        <v>92</v>
      </c>
      <c r="AQ427" s="889"/>
      <c r="AU427" s="139"/>
      <c r="AV427" s="139"/>
      <c r="AW427" s="139"/>
      <c r="AX427" s="139"/>
      <c r="AY427" s="139"/>
    </row>
    <row r="428" spans="1:51" ht="15" customHeight="1" x14ac:dyDescent="0.4">
      <c r="B428" s="641" t="s">
        <v>1254</v>
      </c>
      <c r="C428" s="642"/>
      <c r="D428" s="642"/>
      <c r="E428" s="642"/>
      <c r="F428" s="642"/>
      <c r="G428" s="642"/>
      <c r="H428" s="3"/>
      <c r="I428" s="643"/>
      <c r="J428" s="643"/>
      <c r="K428" s="643"/>
      <c r="L428" s="643"/>
      <c r="M428" s="644"/>
      <c r="N428" s="644"/>
      <c r="O428" s="644"/>
      <c r="P428" s="644"/>
      <c r="Q428" s="644"/>
      <c r="R428" s="643"/>
      <c r="S428" s="644"/>
      <c r="T428" s="643"/>
      <c r="U428" s="643"/>
      <c r="V428" s="642"/>
      <c r="W428" s="642"/>
      <c r="X428" s="642"/>
      <c r="Y428" s="645"/>
      <c r="Z428" s="645"/>
      <c r="AA428" s="643"/>
      <c r="AB428" s="645"/>
      <c r="AC428" s="643"/>
      <c r="AD428" s="644"/>
      <c r="AE428" s="643"/>
      <c r="AF428" s="643"/>
      <c r="AG428" s="643"/>
      <c r="AH428" s="646"/>
      <c r="AI428" s="647"/>
      <c r="AJ428" s="647"/>
      <c r="AK428" s="648" t="s">
        <v>808</v>
      </c>
      <c r="AL428" s="649">
        <f>SUBTOTAL(109,AL429:AL440)</f>
        <v>4.8013105135163325</v>
      </c>
      <c r="AM428" s="647"/>
      <c r="AN428" s="647"/>
      <c r="AO428" s="647"/>
      <c r="AP428" s="647"/>
      <c r="AQ428" s="647"/>
      <c r="AU428" s="139"/>
      <c r="AV428" s="139"/>
      <c r="AW428" s="139"/>
      <c r="AX428" s="139"/>
      <c r="AY428" s="139"/>
    </row>
    <row r="429" spans="1:51" ht="15" customHeight="1" x14ac:dyDescent="0.4">
      <c r="A429" s="3" t="s">
        <v>809</v>
      </c>
      <c r="B429" s="4" t="s">
        <v>2059</v>
      </c>
      <c r="D429" s="8"/>
      <c r="E429" s="8"/>
      <c r="F429" s="8"/>
      <c r="G429" s="3"/>
      <c r="H429" s="370"/>
      <c r="I429" s="47" t="s">
        <v>1184</v>
      </c>
      <c r="L429" s="5"/>
      <c r="Q429" s="3"/>
      <c r="R429" s="5"/>
      <c r="S429" s="5">
        <f>((SL2FGW*2)+(SL2FGH*2))/12/1565</f>
        <v>6.8357827476038342E-3</v>
      </c>
      <c r="T429" s="3" t="s">
        <v>815</v>
      </c>
      <c r="V429" s="38" t="s">
        <v>8</v>
      </c>
      <c r="W429" s="3" t="s">
        <v>422</v>
      </c>
      <c r="X429" s="38" t="s">
        <v>8</v>
      </c>
      <c r="Y429" s="1443">
        <v>610023014</v>
      </c>
      <c r="Z429" s="56">
        <v>39844</v>
      </c>
      <c r="AB429" s="3">
        <v>45</v>
      </c>
      <c r="AC429" s="5"/>
      <c r="AD429" s="5">
        <f>S429</f>
        <v>6.8357827476038342E-3</v>
      </c>
      <c r="AE429" s="3" t="s">
        <v>815</v>
      </c>
      <c r="AF429" s="38" t="s">
        <v>8</v>
      </c>
      <c r="AG429" s="38" t="s">
        <v>8</v>
      </c>
      <c r="AH429" s="492">
        <f>AH623</f>
        <v>27.652000000000001</v>
      </c>
      <c r="AI429" s="477"/>
      <c r="AJ429" s="477"/>
      <c r="AK429" s="477"/>
      <c r="AL429" s="51">
        <f>AD429*AH429+SUM(AI429:AK429)</f>
        <v>0.18902306453674123</v>
      </c>
      <c r="AM429" s="3" t="s">
        <v>81</v>
      </c>
      <c r="AN429" s="3" t="s">
        <v>81</v>
      </c>
      <c r="AO429" s="3" t="s">
        <v>92</v>
      </c>
      <c r="AP429" s="3" t="s">
        <v>81</v>
      </c>
      <c r="AU429" s="139"/>
      <c r="AV429" s="139"/>
      <c r="AW429" s="139"/>
      <c r="AX429" s="139"/>
      <c r="AY429" s="139"/>
    </row>
    <row r="430" spans="1:51" ht="15" customHeight="1" x14ac:dyDescent="0.4">
      <c r="B430" s="573" t="s">
        <v>1255</v>
      </c>
      <c r="C430" s="694"/>
      <c r="D430" s="694"/>
      <c r="E430" s="694"/>
      <c r="F430" s="694"/>
      <c r="G430" s="577"/>
      <c r="H430" s="695"/>
      <c r="I430" s="577"/>
      <c r="J430" s="577"/>
      <c r="K430" s="577"/>
      <c r="L430" s="575"/>
      <c r="M430" s="575"/>
      <c r="N430" s="575"/>
      <c r="O430" s="575"/>
      <c r="P430" s="575"/>
      <c r="Q430" s="577"/>
      <c r="R430" s="575"/>
      <c r="S430" s="575">
        <v>1</v>
      </c>
      <c r="T430" s="577" t="s">
        <v>811</v>
      </c>
      <c r="U430" s="574"/>
      <c r="V430" s="573"/>
      <c r="W430" s="573"/>
      <c r="X430" s="576"/>
      <c r="Y430" s="1460">
        <v>610023014001</v>
      </c>
      <c r="Z430" s="577">
        <v>30359</v>
      </c>
      <c r="AA430" s="574"/>
      <c r="AB430" s="577">
        <v>45</v>
      </c>
      <c r="AC430" s="575"/>
      <c r="AD430" s="577">
        <v>1</v>
      </c>
      <c r="AE430" s="577" t="s">
        <v>811</v>
      </c>
      <c r="AF430" s="579" t="s">
        <v>8</v>
      </c>
      <c r="AG430" s="579" t="s">
        <v>8</v>
      </c>
      <c r="AH430" s="673">
        <f>'Single Hung'!AI781</f>
        <v>2.5501</v>
      </c>
      <c r="AI430" s="580"/>
      <c r="AJ430" s="580"/>
      <c r="AK430" s="580"/>
      <c r="AL430" s="626">
        <f>AD430*AH430+SUM(AI430:AK430)</f>
        <v>2.5501</v>
      </c>
      <c r="AM430" s="577" t="s">
        <v>92</v>
      </c>
      <c r="AN430" s="577" t="s">
        <v>92</v>
      </c>
      <c r="AO430" s="577" t="s">
        <v>92</v>
      </c>
      <c r="AP430" s="577" t="s">
        <v>371</v>
      </c>
      <c r="AQ430" s="577"/>
      <c r="AU430" s="139"/>
      <c r="AV430" s="139"/>
      <c r="AW430" s="139"/>
      <c r="AX430" s="139"/>
      <c r="AY430" s="139"/>
    </row>
    <row r="431" spans="1:51" ht="15" customHeight="1" x14ac:dyDescent="0.4">
      <c r="B431" s="4" t="s">
        <v>813</v>
      </c>
      <c r="D431" s="36"/>
      <c r="E431" s="36"/>
      <c r="F431" s="36"/>
      <c r="G431" s="500"/>
      <c r="H431" s="370"/>
      <c r="I431" s="47" t="s">
        <v>814</v>
      </c>
      <c r="L431" s="5"/>
      <c r="Q431" s="3"/>
      <c r="R431" s="5"/>
      <c r="S431" s="5">
        <f>((SL2FGW*2)+(SL2FGH*2))/12/392</f>
        <v>2.7290816326530614E-2</v>
      </c>
      <c r="T431" s="3" t="s">
        <v>815</v>
      </c>
      <c r="V431" s="38" t="s">
        <v>8</v>
      </c>
      <c r="W431" s="3" t="s">
        <v>422</v>
      </c>
      <c r="X431" s="38" t="s">
        <v>8</v>
      </c>
      <c r="Y431" s="1443">
        <v>610027000</v>
      </c>
      <c r="Z431" s="56">
        <v>251924</v>
      </c>
      <c r="AB431" s="3">
        <v>45</v>
      </c>
      <c r="AC431" s="5"/>
      <c r="AD431" s="5">
        <f>S431</f>
        <v>2.7290816326530614E-2</v>
      </c>
      <c r="AE431" s="3" t="s">
        <v>815</v>
      </c>
      <c r="AF431" s="38" t="s">
        <v>8</v>
      </c>
      <c r="AG431" s="38" t="s">
        <v>8</v>
      </c>
      <c r="AH431" s="492">
        <f>'Single Hung'!AI784</f>
        <v>68.66</v>
      </c>
      <c r="AI431" s="477"/>
      <c r="AJ431" s="477"/>
      <c r="AK431" s="477"/>
      <c r="AL431" s="51">
        <f>AD431*AH431+SUM(AI431:AK431)</f>
        <v>1.8737874489795918</v>
      </c>
      <c r="AM431" s="3" t="s">
        <v>92</v>
      </c>
      <c r="AN431" s="3" t="s">
        <v>92</v>
      </c>
      <c r="AO431" s="3" t="s">
        <v>81</v>
      </c>
      <c r="AP431" s="3" t="s">
        <v>92</v>
      </c>
      <c r="AU431" s="139"/>
      <c r="AV431" s="139"/>
      <c r="AW431" s="139"/>
      <c r="AX431" s="139"/>
      <c r="AY431" s="139"/>
    </row>
    <row r="432" spans="1:51" ht="15" customHeight="1" x14ac:dyDescent="0.4">
      <c r="B432" s="4" t="s">
        <v>2172</v>
      </c>
      <c r="D432" s="36"/>
      <c r="E432" s="36"/>
      <c r="F432" s="36"/>
      <c r="G432" s="500"/>
      <c r="H432" s="370"/>
      <c r="I432" s="47"/>
      <c r="L432" s="5"/>
      <c r="Q432" s="3"/>
      <c r="R432" s="5"/>
      <c r="V432" s="38"/>
      <c r="X432" s="38"/>
      <c r="Y432" s="1445">
        <v>610027000002</v>
      </c>
      <c r="Z432" s="56">
        <v>251931</v>
      </c>
      <c r="AC432" s="5"/>
      <c r="AE432" s="3"/>
      <c r="AF432" s="38"/>
      <c r="AG432" s="38"/>
      <c r="AH432" s="492"/>
      <c r="AI432" s="477"/>
      <c r="AJ432" s="477"/>
      <c r="AK432" s="477"/>
      <c r="AL432" s="51"/>
      <c r="AM432" s="3" t="s">
        <v>371</v>
      </c>
      <c r="AN432" s="3" t="s">
        <v>371</v>
      </c>
      <c r="AO432" s="3" t="s">
        <v>371</v>
      </c>
      <c r="AP432" s="3" t="s">
        <v>92</v>
      </c>
      <c r="AU432" s="139"/>
      <c r="AV432" s="139"/>
      <c r="AW432" s="139"/>
      <c r="AX432" s="139"/>
      <c r="AY432" s="139"/>
    </row>
    <row r="433" spans="1:51" ht="15" customHeight="1" x14ac:dyDescent="0.4">
      <c r="B433" s="4" t="s">
        <v>1256</v>
      </c>
      <c r="D433" s="36"/>
      <c r="E433" s="36"/>
      <c r="F433" s="36"/>
      <c r="G433" s="500"/>
      <c r="H433" s="370"/>
      <c r="I433" s="47" t="s">
        <v>814</v>
      </c>
      <c r="L433" s="5"/>
      <c r="Q433" s="3"/>
      <c r="R433" s="5"/>
      <c r="S433" s="5">
        <f>((SL2FGW*2)+(SL2FGH*2))/12/392</f>
        <v>2.7290816326530614E-2</v>
      </c>
      <c r="T433" s="3" t="s">
        <v>815</v>
      </c>
      <c r="V433" s="38" t="s">
        <v>8</v>
      </c>
      <c r="W433" s="3" t="s">
        <v>817</v>
      </c>
      <c r="X433" s="38" t="s">
        <v>8</v>
      </c>
      <c r="Y433" s="1445">
        <v>610007010001</v>
      </c>
      <c r="Z433" s="1445"/>
      <c r="AB433" s="3">
        <v>45</v>
      </c>
      <c r="AC433" s="5"/>
      <c r="AD433" s="5">
        <f>S433/10.3*128</f>
        <v>0.33914800871805034</v>
      </c>
      <c r="AE433" s="3" t="s">
        <v>811</v>
      </c>
      <c r="AF433" s="38" t="s">
        <v>8</v>
      </c>
      <c r="AG433" s="38" t="s">
        <v>8</v>
      </c>
      <c r="AH433" s="492">
        <f>'Single Hung'!AI786</f>
        <v>5.47</v>
      </c>
      <c r="AI433" s="477"/>
      <c r="AJ433" s="477"/>
      <c r="AK433" s="477"/>
      <c r="AL433" s="51"/>
      <c r="AM433" s="3" t="s">
        <v>92</v>
      </c>
      <c r="AN433" s="3" t="s">
        <v>92</v>
      </c>
      <c r="AO433" s="3" t="s">
        <v>92</v>
      </c>
      <c r="AP433" s="3" t="s">
        <v>92</v>
      </c>
      <c r="AU433" s="139"/>
      <c r="AV433" s="139"/>
      <c r="AW433" s="139"/>
      <c r="AX433" s="139"/>
      <c r="AY433" s="139"/>
    </row>
    <row r="434" spans="1:51" ht="15" customHeight="1" x14ac:dyDescent="0.4">
      <c r="B434" s="573" t="s">
        <v>1257</v>
      </c>
      <c r="C434" s="694"/>
      <c r="D434" s="622"/>
      <c r="E434" s="622"/>
      <c r="F434" s="622"/>
      <c r="G434" s="223"/>
      <c r="H434" s="695"/>
      <c r="I434" s="577"/>
      <c r="J434" s="577"/>
      <c r="K434" s="577"/>
      <c r="L434" s="575"/>
      <c r="M434" s="575"/>
      <c r="N434" s="575"/>
      <c r="O434" s="575"/>
      <c r="P434" s="575"/>
      <c r="Q434" s="577"/>
      <c r="R434" s="575"/>
      <c r="S434" s="575" t="s">
        <v>1258</v>
      </c>
      <c r="T434" s="577" t="s">
        <v>815</v>
      </c>
      <c r="U434" s="574"/>
      <c r="V434" s="579" t="s">
        <v>8</v>
      </c>
      <c r="W434" s="577" t="s">
        <v>817</v>
      </c>
      <c r="X434" s="579" t="s">
        <v>8</v>
      </c>
      <c r="Y434" s="1460">
        <v>610007010002</v>
      </c>
      <c r="Z434" s="1460"/>
      <c r="AA434" s="574"/>
      <c r="AB434" s="577">
        <v>45</v>
      </c>
      <c r="AC434" s="575"/>
      <c r="AD434" s="575" t="str">
        <f t="shared" ref="AD434" si="76">S434</f>
        <v>?</v>
      </c>
      <c r="AE434" s="577" t="s">
        <v>815</v>
      </c>
      <c r="AF434" s="579" t="s">
        <v>8</v>
      </c>
      <c r="AG434" s="579" t="s">
        <v>8</v>
      </c>
      <c r="AH434" s="1000">
        <f>'Single Hung'!AI787</f>
        <v>0</v>
      </c>
      <c r="AI434" s="580"/>
      <c r="AJ434" s="580"/>
      <c r="AK434" s="580"/>
      <c r="AL434" s="626"/>
      <c r="AM434" s="577" t="s">
        <v>92</v>
      </c>
      <c r="AN434" s="577" t="s">
        <v>92</v>
      </c>
      <c r="AO434" s="577" t="s">
        <v>92</v>
      </c>
      <c r="AP434" s="577" t="s">
        <v>92</v>
      </c>
      <c r="AQ434" s="577"/>
      <c r="AU434" s="139"/>
      <c r="AV434" s="139"/>
      <c r="AW434" s="139"/>
      <c r="AX434" s="139"/>
      <c r="AY434" s="139"/>
    </row>
    <row r="435" spans="1:51" ht="15" customHeight="1" x14ac:dyDescent="0.4">
      <c r="B435" s="4" t="s">
        <v>819</v>
      </c>
      <c r="D435" s="8"/>
      <c r="E435" s="8"/>
      <c r="F435" s="8"/>
      <c r="G435" s="3"/>
      <c r="H435" s="370"/>
      <c r="I435" s="8" t="s">
        <v>2062</v>
      </c>
      <c r="J435" s="495"/>
      <c r="L435" s="5"/>
      <c r="Q435" s="3"/>
      <c r="R435" s="5"/>
      <c r="S435" s="56">
        <v>1</v>
      </c>
      <c r="T435" s="3" t="s">
        <v>385</v>
      </c>
      <c r="V435" s="38" t="s">
        <v>8</v>
      </c>
      <c r="W435" s="3" t="s">
        <v>821</v>
      </c>
      <c r="X435" s="38" t="s">
        <v>8</v>
      </c>
      <c r="Y435" s="1443">
        <v>620001000</v>
      </c>
      <c r="Z435" s="1443"/>
      <c r="AA435" s="14">
        <v>45</v>
      </c>
      <c r="AB435" s="3">
        <v>45</v>
      </c>
      <c r="AC435" s="5"/>
      <c r="AD435" s="56">
        <v>3</v>
      </c>
      <c r="AE435" s="3" t="s">
        <v>385</v>
      </c>
      <c r="AF435" s="38" t="s">
        <v>8</v>
      </c>
      <c r="AG435" s="38" t="s">
        <v>8</v>
      </c>
      <c r="AH435" s="492">
        <f>'Single Hung'!AI788</f>
        <v>1.01E-2</v>
      </c>
      <c r="AI435" s="477"/>
      <c r="AJ435" s="477"/>
      <c r="AK435" s="477"/>
      <c r="AL435" s="51">
        <f>AD435*AH435+SUM(AI435:AK435)</f>
        <v>3.0300000000000001E-2</v>
      </c>
      <c r="AM435" s="3" t="s">
        <v>81</v>
      </c>
      <c r="AN435" s="3" t="s">
        <v>81</v>
      </c>
      <c r="AO435" s="3" t="s">
        <v>81</v>
      </c>
      <c r="AP435" s="3" t="s">
        <v>81</v>
      </c>
      <c r="AU435" s="139"/>
      <c r="AV435" s="139"/>
      <c r="AW435" s="139"/>
      <c r="AX435" s="139"/>
      <c r="AY435" s="139"/>
    </row>
    <row r="436" spans="1:51" ht="15" customHeight="1" x14ac:dyDescent="0.4">
      <c r="B436" s="4" t="s">
        <v>822</v>
      </c>
      <c r="D436" s="8"/>
      <c r="E436" s="3"/>
      <c r="F436" s="8"/>
      <c r="G436" s="3"/>
      <c r="H436" s="370"/>
      <c r="L436" s="5"/>
      <c r="Q436" s="3"/>
      <c r="R436" s="5"/>
      <c r="S436" s="56">
        <v>1</v>
      </c>
      <c r="T436" s="3" t="s">
        <v>385</v>
      </c>
      <c r="V436" s="38" t="s">
        <v>8</v>
      </c>
      <c r="W436" s="3" t="s">
        <v>817</v>
      </c>
      <c r="X436" s="38" t="s">
        <v>8</v>
      </c>
      <c r="Y436" s="1443">
        <v>620007000</v>
      </c>
      <c r="Z436" s="1443"/>
      <c r="AB436" s="3">
        <v>45</v>
      </c>
      <c r="AC436" s="5"/>
      <c r="AD436" s="56">
        <v>0</v>
      </c>
      <c r="AE436" s="3" t="s">
        <v>385</v>
      </c>
      <c r="AF436" s="38" t="s">
        <v>8</v>
      </c>
      <c r="AG436" s="38" t="s">
        <v>8</v>
      </c>
      <c r="AH436" s="492">
        <f>'Single Hung'!AI789</f>
        <v>1.3100000000000001E-2</v>
      </c>
      <c r="AI436" s="477"/>
      <c r="AJ436" s="477"/>
      <c r="AK436" s="477"/>
      <c r="AL436" s="51">
        <f t="shared" ref="AL436:AL438" si="77">AD436*AH436+SUM(AI436:AK436)</f>
        <v>0</v>
      </c>
      <c r="AM436" s="3" t="s">
        <v>371</v>
      </c>
      <c r="AN436" s="3" t="s">
        <v>371</v>
      </c>
      <c r="AO436" s="3" t="s">
        <v>371</v>
      </c>
      <c r="AP436" s="3" t="s">
        <v>371</v>
      </c>
      <c r="AU436" s="139"/>
      <c r="AV436" s="139"/>
      <c r="AW436" s="139"/>
      <c r="AX436" s="139"/>
      <c r="AY436" s="139"/>
    </row>
    <row r="437" spans="1:51" ht="15" customHeight="1" x14ac:dyDescent="0.4">
      <c r="B437" s="4" t="s">
        <v>823</v>
      </c>
      <c r="D437" s="8"/>
      <c r="E437" s="8"/>
      <c r="F437" s="8"/>
      <c r="G437" s="3"/>
      <c r="H437" s="370"/>
      <c r="L437" s="5"/>
      <c r="Q437" s="3"/>
      <c r="R437" s="5"/>
      <c r="S437" s="56">
        <v>1</v>
      </c>
      <c r="T437" s="3" t="s">
        <v>385</v>
      </c>
      <c r="V437" s="38" t="s">
        <v>8</v>
      </c>
      <c r="W437" s="3" t="s">
        <v>824</v>
      </c>
      <c r="X437" s="38" t="s">
        <v>8</v>
      </c>
      <c r="Y437" s="1443">
        <v>620002000</v>
      </c>
      <c r="Z437" s="1443"/>
      <c r="AA437" s="14">
        <v>45</v>
      </c>
      <c r="AB437" s="3">
        <v>45</v>
      </c>
      <c r="AC437" s="5"/>
      <c r="AD437" s="56">
        <v>0</v>
      </c>
      <c r="AE437" s="3" t="s">
        <v>385</v>
      </c>
      <c r="AF437" s="38" t="s">
        <v>8</v>
      </c>
      <c r="AG437" s="38" t="s">
        <v>8</v>
      </c>
      <c r="AH437" s="492">
        <f>'Single Hung'!AI790</f>
        <v>1.55E-2</v>
      </c>
      <c r="AI437" s="477"/>
      <c r="AJ437" s="477"/>
      <c r="AK437" s="477"/>
      <c r="AL437" s="51">
        <f t="shared" si="77"/>
        <v>0</v>
      </c>
      <c r="AM437" s="3" t="s">
        <v>371</v>
      </c>
      <c r="AN437" s="3" t="s">
        <v>371</v>
      </c>
      <c r="AO437" s="3" t="s">
        <v>371</v>
      </c>
      <c r="AP437" s="3" t="s">
        <v>371</v>
      </c>
      <c r="AU437" s="139"/>
      <c r="AV437" s="139"/>
      <c r="AW437" s="139"/>
      <c r="AX437" s="139"/>
      <c r="AY437" s="139"/>
    </row>
    <row r="438" spans="1:51" ht="15" customHeight="1" x14ac:dyDescent="0.4">
      <c r="B438" s="4" t="s">
        <v>825</v>
      </c>
      <c r="D438" s="8"/>
      <c r="E438" s="8"/>
      <c r="F438" s="8"/>
      <c r="G438" s="3"/>
      <c r="H438" s="370"/>
      <c r="I438" s="8" t="s">
        <v>2064</v>
      </c>
      <c r="L438" s="5"/>
      <c r="Q438" s="3"/>
      <c r="R438" s="5"/>
      <c r="S438" s="56">
        <v>1</v>
      </c>
      <c r="T438" s="3" t="s">
        <v>385</v>
      </c>
      <c r="V438" s="38" t="s">
        <v>8</v>
      </c>
      <c r="W438" s="3" t="s">
        <v>821</v>
      </c>
      <c r="X438" s="38" t="s">
        <v>8</v>
      </c>
      <c r="Y438" s="1443">
        <v>620003000</v>
      </c>
      <c r="Z438" s="1443"/>
      <c r="AA438" s="14">
        <v>45</v>
      </c>
      <c r="AB438" s="3">
        <v>45</v>
      </c>
      <c r="AC438" s="5"/>
      <c r="AD438" s="56">
        <f>IF((SL2Height&lt;SL2TwoLockCutoff),6,7)</f>
        <v>7</v>
      </c>
      <c r="AE438" s="3" t="s">
        <v>385</v>
      </c>
      <c r="AF438" s="38" t="s">
        <v>8</v>
      </c>
      <c r="AG438" s="38" t="s">
        <v>8</v>
      </c>
      <c r="AH438" s="492">
        <f>'Single Hung'!AI791</f>
        <v>1.38E-2</v>
      </c>
      <c r="AI438" s="477"/>
      <c r="AJ438" s="477"/>
      <c r="AK438" s="477"/>
      <c r="AL438" s="51">
        <f t="shared" si="77"/>
        <v>9.6599999999999991E-2</v>
      </c>
      <c r="AM438" s="3" t="s">
        <v>81</v>
      </c>
      <c r="AN438" s="3" t="s">
        <v>81</v>
      </c>
      <c r="AO438" s="3" t="s">
        <v>81</v>
      </c>
      <c r="AP438" s="3" t="s">
        <v>81</v>
      </c>
      <c r="AU438" s="139"/>
      <c r="AV438" s="139"/>
      <c r="AW438" s="139"/>
      <c r="AX438" s="139"/>
      <c r="AY438" s="139"/>
    </row>
    <row r="439" spans="1:51" ht="15" customHeight="1" x14ac:dyDescent="0.4">
      <c r="B439" s="4" t="s">
        <v>827</v>
      </c>
      <c r="D439" s="8"/>
      <c r="E439" s="3"/>
      <c r="F439" s="8"/>
      <c r="G439" s="3"/>
      <c r="H439" s="370"/>
      <c r="L439" s="5"/>
      <c r="Q439" s="3"/>
      <c r="R439" s="5"/>
      <c r="S439" s="56">
        <v>1</v>
      </c>
      <c r="T439" s="3" t="s">
        <v>385</v>
      </c>
      <c r="V439" s="38" t="s">
        <v>8</v>
      </c>
      <c r="W439" s="3" t="s">
        <v>817</v>
      </c>
      <c r="X439" s="38" t="s">
        <v>8</v>
      </c>
      <c r="Y439" s="1443">
        <v>620008000</v>
      </c>
      <c r="Z439" s="1443"/>
      <c r="AB439" s="3">
        <v>45</v>
      </c>
      <c r="AC439" s="5"/>
      <c r="AD439" s="56">
        <v>0</v>
      </c>
      <c r="AE439" s="3" t="s">
        <v>385</v>
      </c>
      <c r="AF439" s="38" t="s">
        <v>8</v>
      </c>
      <c r="AG439" s="38" t="s">
        <v>8</v>
      </c>
      <c r="AH439" s="492">
        <f>'Single Hung'!AI792</f>
        <v>1.54E-2</v>
      </c>
      <c r="AI439" s="477"/>
      <c r="AJ439" s="477"/>
      <c r="AK439" s="477"/>
      <c r="AL439" s="51">
        <f>AD439*AH439+SUM(AI439:AK439)</f>
        <v>0</v>
      </c>
      <c r="AM439" s="3" t="s">
        <v>371</v>
      </c>
      <c r="AN439" s="3" t="s">
        <v>371</v>
      </c>
      <c r="AO439" s="3" t="s">
        <v>371</v>
      </c>
      <c r="AP439" s="3" t="s">
        <v>371</v>
      </c>
      <c r="AU439" s="139"/>
      <c r="AV439" s="139"/>
      <c r="AW439" s="139"/>
      <c r="AX439" s="139"/>
      <c r="AY439" s="139"/>
    </row>
    <row r="440" spans="1:51" ht="15" customHeight="1" thickBot="1" x14ac:dyDescent="0.45">
      <c r="B440" s="968" t="s">
        <v>828</v>
      </c>
      <c r="C440" s="949"/>
      <c r="D440" s="949"/>
      <c r="E440" s="949"/>
      <c r="F440" s="949"/>
      <c r="G440" s="889"/>
      <c r="H440" s="1206"/>
      <c r="I440" s="949" t="s">
        <v>2063</v>
      </c>
      <c r="J440" s="889"/>
      <c r="K440" s="889"/>
      <c r="L440" s="945"/>
      <c r="M440" s="945"/>
      <c r="N440" s="945"/>
      <c r="O440" s="945"/>
      <c r="P440" s="945"/>
      <c r="Q440" s="889"/>
      <c r="R440" s="945"/>
      <c r="S440" s="1156">
        <v>1</v>
      </c>
      <c r="T440" s="889" t="s">
        <v>385</v>
      </c>
      <c r="U440" s="948"/>
      <c r="V440" s="888" t="s">
        <v>8</v>
      </c>
      <c r="W440" s="889" t="s">
        <v>824</v>
      </c>
      <c r="X440" s="888" t="s">
        <v>8</v>
      </c>
      <c r="Y440" s="1444">
        <v>620004000</v>
      </c>
      <c r="Z440" s="1444"/>
      <c r="AA440" s="948">
        <v>45</v>
      </c>
      <c r="AB440" s="889">
        <v>45</v>
      </c>
      <c r="AC440" s="945"/>
      <c r="AD440" s="1156">
        <v>3</v>
      </c>
      <c r="AE440" s="889" t="s">
        <v>385</v>
      </c>
      <c r="AF440" s="888" t="s">
        <v>8</v>
      </c>
      <c r="AG440" s="888" t="s">
        <v>8</v>
      </c>
      <c r="AH440" s="942">
        <f>'Single Hung'!AI793</f>
        <v>2.0500000000000001E-2</v>
      </c>
      <c r="AI440" s="1157"/>
      <c r="AJ440" s="1157"/>
      <c r="AK440" s="1157"/>
      <c r="AL440" s="937">
        <f t="shared" ref="AL440" si="78">AH440*AD440</f>
        <v>6.1499999999999999E-2</v>
      </c>
      <c r="AM440" s="889" t="s">
        <v>81</v>
      </c>
      <c r="AN440" s="889" t="s">
        <v>81</v>
      </c>
      <c r="AO440" s="889" t="s">
        <v>81</v>
      </c>
      <c r="AP440" s="889" t="s">
        <v>81</v>
      </c>
      <c r="AQ440" s="889"/>
      <c r="AU440" s="139"/>
      <c r="AV440" s="139"/>
      <c r="AW440" s="139"/>
      <c r="AX440" s="139"/>
      <c r="AY440" s="139"/>
    </row>
    <row r="441" spans="1:51" ht="15" customHeight="1" thickBot="1" x14ac:dyDescent="0.45">
      <c r="B441" s="36"/>
      <c r="C441" s="7"/>
      <c r="D441" s="7"/>
      <c r="E441" s="7"/>
      <c r="F441" s="7"/>
      <c r="G441" s="7"/>
      <c r="H441" s="500"/>
      <c r="I441" s="500"/>
      <c r="J441" s="500"/>
      <c r="K441" s="500"/>
      <c r="L441" s="500"/>
      <c r="M441" s="24"/>
      <c r="N441" s="24"/>
      <c r="O441" s="24"/>
      <c r="P441" s="24"/>
      <c r="Q441" s="24"/>
      <c r="R441" s="500"/>
      <c r="S441" s="24"/>
      <c r="T441" s="500"/>
      <c r="U441" s="500"/>
      <c r="V441" s="7"/>
      <c r="W441" s="7"/>
      <c r="X441" s="7"/>
      <c r="AA441" s="500"/>
      <c r="AC441" s="500"/>
      <c r="AD441" s="24"/>
      <c r="AE441" s="500"/>
      <c r="AF441" s="500"/>
      <c r="AG441" s="500"/>
      <c r="AH441" s="9"/>
      <c r="AI441" s="9"/>
      <c r="AJ441" s="9"/>
      <c r="AK441" s="3"/>
      <c r="AL441" s="3"/>
      <c r="AS441" s="139"/>
      <c r="AT441" s="139"/>
      <c r="AU441" s="139"/>
    </row>
    <row r="442" spans="1:51" ht="27" customHeight="1" thickTop="1" thickBot="1" x14ac:dyDescent="0.45">
      <c r="B442" s="793" t="str">
        <f>"Sash: "&amp;FIXED(SL2SW,3)&amp;" x "&amp;FIXED(SL2SH,3)</f>
        <v>Sash: 22.375 x 44.625</v>
      </c>
      <c r="C442" s="794"/>
      <c r="D442" s="795"/>
      <c r="E442" s="795"/>
      <c r="F442" s="795"/>
      <c r="G442" s="795"/>
      <c r="H442" s="796"/>
      <c r="I442" s="796"/>
      <c r="J442" s="796"/>
      <c r="K442" s="796"/>
      <c r="L442" s="796"/>
      <c r="M442" s="797"/>
      <c r="N442" s="797"/>
      <c r="O442" s="797"/>
      <c r="P442" s="797"/>
      <c r="Q442" s="797"/>
      <c r="R442" s="796"/>
      <c r="S442" s="797"/>
      <c r="T442" s="796"/>
      <c r="U442" s="796"/>
      <c r="V442" s="798"/>
      <c r="W442" s="796"/>
      <c r="X442" s="798"/>
      <c r="Y442" s="796"/>
      <c r="Z442" s="796"/>
      <c r="AA442" s="796"/>
      <c r="AB442" s="796"/>
      <c r="AC442" s="796"/>
      <c r="AD442" s="797"/>
      <c r="AE442" s="796"/>
      <c r="AF442" s="796"/>
      <c r="AG442" s="796"/>
      <c r="AH442" s="799"/>
      <c r="AI442" s="799"/>
      <c r="AJ442" s="799"/>
      <c r="AK442" s="1011" t="s">
        <v>2243</v>
      </c>
      <c r="AL442" s="799">
        <f>AL445+AL545+AL572+AL581+AL622</f>
        <v>59.058144334954271</v>
      </c>
      <c r="AM442" s="799"/>
      <c r="AN442" s="799"/>
      <c r="AO442" s="799"/>
      <c r="AP442" s="799"/>
      <c r="AQ442" s="799"/>
      <c r="AR442" s="139"/>
      <c r="AS442" s="139"/>
      <c r="AT442" s="139"/>
      <c r="AU442" s="139"/>
    </row>
    <row r="443" spans="1:51" ht="15" customHeight="1" thickTop="1" x14ac:dyDescent="0.4">
      <c r="A443" s="3" t="s">
        <v>830</v>
      </c>
      <c r="B443" s="7" t="s">
        <v>830</v>
      </c>
      <c r="C443" s="7"/>
      <c r="D443" s="4" t="s">
        <v>831</v>
      </c>
      <c r="E443" s="7"/>
      <c r="F443" s="7"/>
      <c r="G443" s="7"/>
      <c r="I443" s="3" t="s">
        <v>392</v>
      </c>
      <c r="J443" s="3" t="s">
        <v>346</v>
      </c>
      <c r="K443" s="3">
        <v>2</v>
      </c>
      <c r="L443" s="3" t="s">
        <v>348</v>
      </c>
      <c r="M443" s="5">
        <v>-1.375</v>
      </c>
      <c r="P443" s="3" t="s">
        <v>348</v>
      </c>
      <c r="Q443" s="5" t="s">
        <v>2342</v>
      </c>
      <c r="R443" s="3" t="s">
        <v>352</v>
      </c>
      <c r="S443" s="5">
        <f>SL2Width/K443+M443+SL2SORnd</f>
        <v>22.375</v>
      </c>
      <c r="T443" s="3" t="s">
        <v>366</v>
      </c>
      <c r="V443" s="38"/>
      <c r="X443" s="38"/>
      <c r="AH443" s="477"/>
      <c r="AI443" s="39"/>
      <c r="AJ443" s="39"/>
      <c r="AK443" s="39"/>
      <c r="AL443" s="477"/>
      <c r="AR443" s="139"/>
      <c r="AS443" s="139"/>
      <c r="AT443" s="139"/>
      <c r="AU443" s="139"/>
    </row>
    <row r="444" spans="1:51" ht="15" customHeight="1" thickBot="1" x14ac:dyDescent="0.45">
      <c r="A444" s="3" t="s">
        <v>832</v>
      </c>
      <c r="B444" s="7" t="s">
        <v>832</v>
      </c>
      <c r="C444" s="7"/>
      <c r="D444" s="4" t="s">
        <v>831</v>
      </c>
      <c r="E444" s="7"/>
      <c r="F444" s="7"/>
      <c r="G444" s="7"/>
      <c r="I444" s="3" t="s">
        <v>365</v>
      </c>
      <c r="L444" s="3" t="s">
        <v>348</v>
      </c>
      <c r="M444" s="5">
        <v>-2.875</v>
      </c>
      <c r="P444" s="3"/>
      <c r="R444" s="3" t="s">
        <v>352</v>
      </c>
      <c r="S444" s="5">
        <f>SL2Height+M444</f>
        <v>44.625</v>
      </c>
      <c r="T444" s="3" t="s">
        <v>366</v>
      </c>
      <c r="V444" s="38"/>
      <c r="X444" s="38"/>
      <c r="AH444" s="477"/>
      <c r="AI444" s="39"/>
      <c r="AJ444" s="39"/>
      <c r="AK444" s="39"/>
      <c r="AR444" s="139"/>
      <c r="AS444" s="139"/>
      <c r="AT444" s="139"/>
      <c r="AU444" s="139"/>
    </row>
    <row r="445" spans="1:51" ht="15" customHeight="1" x14ac:dyDescent="0.4">
      <c r="B445" s="800" t="s">
        <v>833</v>
      </c>
      <c r="C445" s="800"/>
      <c r="D445" s="800"/>
      <c r="E445" s="800"/>
      <c r="F445" s="800"/>
      <c r="G445" s="800"/>
      <c r="H445" s="801"/>
      <c r="I445" s="801"/>
      <c r="J445" s="801"/>
      <c r="K445" s="801"/>
      <c r="L445" s="801"/>
      <c r="M445" s="802"/>
      <c r="N445" s="802"/>
      <c r="O445" s="802"/>
      <c r="P445" s="802"/>
      <c r="Q445" s="802"/>
      <c r="R445" s="801"/>
      <c r="S445" s="802"/>
      <c r="T445" s="801"/>
      <c r="U445" s="801"/>
      <c r="V445" s="800"/>
      <c r="W445" s="800"/>
      <c r="X445" s="800"/>
      <c r="Y445" s="803"/>
      <c r="Z445" s="803"/>
      <c r="AA445" s="801"/>
      <c r="AB445" s="803"/>
      <c r="AC445" s="801"/>
      <c r="AD445" s="802"/>
      <c r="AE445" s="801"/>
      <c r="AF445" s="801"/>
      <c r="AG445" s="801"/>
      <c r="AH445" s="804"/>
      <c r="AI445" s="805"/>
      <c r="AJ445" s="805"/>
      <c r="AK445" s="807" t="s">
        <v>2244</v>
      </c>
      <c r="AL445" s="805">
        <f>SUBTOTAL(109,AL454:AL522)</f>
        <v>20.194436966666668</v>
      </c>
      <c r="AM445" s="805"/>
      <c r="AN445" s="805"/>
      <c r="AO445" s="805"/>
      <c r="AP445" s="805"/>
      <c r="AQ445" s="805"/>
      <c r="AR445" s="139"/>
      <c r="AU445" s="139"/>
      <c r="AV445" s="139"/>
      <c r="AW445" s="139"/>
      <c r="AX445" s="139"/>
      <c r="AY445" s="139"/>
    </row>
    <row r="446" spans="1:51" ht="15" customHeight="1" thickBot="1" x14ac:dyDescent="0.45">
      <c r="B446" s="7"/>
      <c r="C446" s="7"/>
      <c r="D446" s="7"/>
      <c r="E446" s="7"/>
      <c r="F446" s="7"/>
      <c r="G446" s="7"/>
      <c r="H446" s="500"/>
      <c r="I446" s="500"/>
      <c r="J446" s="500"/>
      <c r="K446" s="500"/>
      <c r="L446" s="500"/>
      <c r="M446" s="24"/>
      <c r="N446" s="24"/>
      <c r="O446" s="24"/>
      <c r="P446" s="24"/>
      <c r="Q446" s="24"/>
      <c r="R446" s="500"/>
      <c r="S446" s="24"/>
      <c r="T446" s="500"/>
      <c r="U446" s="500"/>
      <c r="V446" s="7"/>
      <c r="W446" s="7"/>
      <c r="X446" s="7"/>
      <c r="AA446" s="500"/>
      <c r="AC446" s="500"/>
      <c r="AD446" s="24"/>
      <c r="AE446" s="500"/>
      <c r="AF446" s="500"/>
      <c r="AG446" s="500"/>
      <c r="AH446" s="478"/>
      <c r="AI446" s="9"/>
      <c r="AJ446" s="9"/>
      <c r="AK446" s="806"/>
      <c r="AL446" s="9"/>
      <c r="AM446" s="1213"/>
      <c r="AN446" s="1213"/>
      <c r="AO446" s="1213"/>
      <c r="AP446" s="1213"/>
      <c r="AQ446" s="1213"/>
      <c r="AR446" s="139"/>
      <c r="AU446" s="139"/>
      <c r="AV446" s="139"/>
      <c r="AW446" s="139"/>
      <c r="AX446" s="139"/>
      <c r="AY446" s="139"/>
    </row>
    <row r="447" spans="1:51" ht="15" customHeight="1" x14ac:dyDescent="0.4">
      <c r="A447" s="3" t="s">
        <v>835</v>
      </c>
      <c r="B447" s="181" t="s">
        <v>1259</v>
      </c>
      <c r="C447" s="114"/>
      <c r="D447" s="138"/>
      <c r="E447" s="138"/>
      <c r="F447" s="138"/>
      <c r="G447" s="173"/>
      <c r="H447" s="193"/>
      <c r="I447" s="448" t="s">
        <v>461</v>
      </c>
      <c r="J447" s="116"/>
      <c r="K447" s="116" t="s">
        <v>365</v>
      </c>
      <c r="L447" s="116" t="s">
        <v>465</v>
      </c>
      <c r="M447" s="709">
        <v>25</v>
      </c>
      <c r="N447" s="177"/>
      <c r="O447" s="177"/>
      <c r="P447" s="177"/>
      <c r="Q447" s="177"/>
      <c r="R447" s="381"/>
      <c r="S447" s="177"/>
      <c r="T447" s="381"/>
      <c r="U447" s="193"/>
      <c r="V447" s="179"/>
      <c r="W447" s="116"/>
      <c r="X447" s="179"/>
      <c r="Y447" s="116"/>
      <c r="Z447" s="116"/>
      <c r="AA447" s="193"/>
      <c r="AB447" s="116"/>
      <c r="AC447" s="480"/>
      <c r="AD447" s="177"/>
      <c r="AE447" s="177"/>
      <c r="AF447" s="177"/>
      <c r="AG447" s="177"/>
      <c r="AH447" s="481"/>
      <c r="AI447" s="180"/>
      <c r="AJ447" s="180"/>
      <c r="AK447" s="180"/>
      <c r="AL447" s="481"/>
      <c r="AR447" s="139"/>
      <c r="AS447" s="139"/>
      <c r="AT447" s="139"/>
      <c r="AU447" s="139"/>
    </row>
    <row r="448" spans="1:51" ht="15" customHeight="1" x14ac:dyDescent="0.4">
      <c r="B448" s="36"/>
      <c r="C448" s="3"/>
      <c r="D448" s="3"/>
      <c r="E448" s="3"/>
      <c r="F448" s="3"/>
      <c r="G448" s="7"/>
      <c r="H448" s="20"/>
      <c r="I448" s="577" t="s">
        <v>365</v>
      </c>
      <c r="J448" s="579" t="s">
        <v>346</v>
      </c>
      <c r="K448" s="577">
        <v>2</v>
      </c>
      <c r="L448" s="577" t="s">
        <v>348</v>
      </c>
      <c r="M448" s="575">
        <v>-2.3130000000000002</v>
      </c>
      <c r="N448" s="575"/>
      <c r="O448" s="575"/>
      <c r="P448" s="577"/>
      <c r="Q448" s="575"/>
      <c r="R448" s="577" t="s">
        <v>352</v>
      </c>
      <c r="S448" s="625">
        <f>SL2Height/K448+M448</f>
        <v>21.437000000000001</v>
      </c>
      <c r="T448" s="577" t="s">
        <v>366</v>
      </c>
      <c r="U448" s="20"/>
      <c r="V448" s="438" t="str">
        <f>IF(SL2Width&lt;M447,"√","")</f>
        <v/>
      </c>
      <c r="W448" s="4" t="s">
        <v>838</v>
      </c>
      <c r="X448" s="7"/>
      <c r="AA448" s="20"/>
      <c r="AE448" s="3"/>
      <c r="AF448" s="38"/>
      <c r="AG448" s="3"/>
      <c r="AH448" s="39"/>
      <c r="AI448" s="39"/>
      <c r="AJ448" s="39"/>
      <c r="AK448" s="39"/>
      <c r="AR448" s="139"/>
      <c r="AS448" s="139"/>
      <c r="AT448" s="139"/>
      <c r="AU448" s="139"/>
    </row>
    <row r="449" spans="1:47" ht="15" customHeight="1" x14ac:dyDescent="0.4">
      <c r="B449" s="36"/>
      <c r="C449" s="3"/>
      <c r="D449" s="3"/>
      <c r="E449" s="3"/>
      <c r="F449" s="3"/>
      <c r="G449" s="7"/>
      <c r="H449" s="20"/>
      <c r="I449" s="36" t="s">
        <v>464</v>
      </c>
      <c r="J449" s="38"/>
      <c r="K449" s="3" t="s">
        <v>365</v>
      </c>
      <c r="L449" s="3" t="s">
        <v>463</v>
      </c>
      <c r="M449" s="5">
        <f>M447</f>
        <v>25</v>
      </c>
      <c r="N449" s="5" t="s">
        <v>747</v>
      </c>
      <c r="O449" s="5">
        <v>38</v>
      </c>
      <c r="P449" s="3"/>
      <c r="U449" s="20"/>
      <c r="V449" s="7"/>
      <c r="W449" s="7"/>
      <c r="X449" s="7"/>
      <c r="AA449" s="20"/>
      <c r="AE449" s="3"/>
      <c r="AF449" s="38"/>
      <c r="AG449" s="3"/>
      <c r="AH449" s="39"/>
      <c r="AI449" s="39"/>
      <c r="AJ449" s="39"/>
      <c r="AK449" s="39"/>
      <c r="AR449" s="139"/>
      <c r="AS449" s="139"/>
      <c r="AT449" s="139"/>
      <c r="AU449" s="139"/>
    </row>
    <row r="450" spans="1:47" ht="15" customHeight="1" x14ac:dyDescent="0.4">
      <c r="B450" s="36"/>
      <c r="C450" s="3"/>
      <c r="D450" s="3"/>
      <c r="E450" s="3"/>
      <c r="F450" s="3"/>
      <c r="G450" s="7"/>
      <c r="H450" s="20"/>
      <c r="I450" s="577"/>
      <c r="J450" s="579"/>
      <c r="K450" s="577"/>
      <c r="L450" s="577"/>
      <c r="M450" s="575">
        <v>7.3129999999999997</v>
      </c>
      <c r="N450" s="575"/>
      <c r="O450" s="575"/>
      <c r="P450" s="577"/>
      <c r="Q450" s="575"/>
      <c r="R450" s="577" t="s">
        <v>352</v>
      </c>
      <c r="S450" s="625">
        <f>M450</f>
        <v>7.3129999999999997</v>
      </c>
      <c r="T450" s="577" t="s">
        <v>366</v>
      </c>
      <c r="U450" s="20"/>
      <c r="V450" s="438" t="str">
        <f>IF(AND(SL2Width&gt;=M449,SL2Width&lt;=O449),"√","")</f>
        <v/>
      </c>
      <c r="W450" s="4" t="str">
        <f>"two locks located at "&amp;S450&amp;" from end of lock stile before weld"</f>
        <v>two locks located at 7.313 from end of lock stile before weld</v>
      </c>
      <c r="X450" s="7"/>
      <c r="AA450" s="20"/>
      <c r="AE450" s="3"/>
      <c r="AF450" s="38"/>
      <c r="AG450" s="3"/>
      <c r="AH450" s="39"/>
      <c r="AI450" s="39"/>
      <c r="AJ450" s="39"/>
      <c r="AK450" s="39"/>
      <c r="AR450" s="139"/>
      <c r="AS450" s="139"/>
      <c r="AT450" s="139"/>
      <c r="AU450" s="139"/>
    </row>
    <row r="451" spans="1:47" ht="15" customHeight="1" x14ac:dyDescent="0.4">
      <c r="B451" s="36"/>
      <c r="C451" s="3"/>
      <c r="D451" s="3"/>
      <c r="E451" s="3"/>
      <c r="F451" s="3"/>
      <c r="G451" s="7"/>
      <c r="I451" s="36" t="s">
        <v>464</v>
      </c>
      <c r="J451" s="38"/>
      <c r="K451" s="3" t="s">
        <v>365</v>
      </c>
      <c r="L451" s="3" t="s">
        <v>1234</v>
      </c>
      <c r="M451" s="5">
        <f>O449</f>
        <v>38</v>
      </c>
      <c r="R451" s="376"/>
      <c r="T451" s="376"/>
      <c r="V451" s="38"/>
      <c r="X451" s="38"/>
      <c r="AC451" s="42"/>
      <c r="AH451" s="477"/>
      <c r="AI451" s="39"/>
      <c r="AJ451" s="39"/>
      <c r="AK451" s="39"/>
      <c r="AL451" s="477"/>
      <c r="AR451" s="139"/>
      <c r="AS451" s="139"/>
      <c r="AT451" s="139"/>
      <c r="AU451" s="139"/>
    </row>
    <row r="452" spans="1:47" ht="15" customHeight="1" x14ac:dyDescent="0.4">
      <c r="B452" s="36"/>
      <c r="C452" s="3"/>
      <c r="D452" s="3"/>
      <c r="E452" s="3"/>
      <c r="F452" s="3"/>
      <c r="G452" s="7"/>
      <c r="H452" s="20"/>
      <c r="J452" s="38"/>
      <c r="M452" s="5">
        <v>11.313000000000001</v>
      </c>
      <c r="P452" s="3"/>
      <c r="R452" s="3" t="s">
        <v>352</v>
      </c>
      <c r="S452" s="24">
        <f>M452</f>
        <v>11.313000000000001</v>
      </c>
      <c r="T452" s="3" t="s">
        <v>366</v>
      </c>
      <c r="U452" s="20"/>
      <c r="V452" s="438" t="str">
        <f>IF(SL2Width&gt;M451,"√","")</f>
        <v>√</v>
      </c>
      <c r="W452" s="4" t="str">
        <f>"two locks located at "&amp;S452&amp;" from end of lock stile before weld"</f>
        <v>two locks located at 11.313 from end of lock stile before weld</v>
      </c>
      <c r="X452" s="7"/>
      <c r="AA452" s="20"/>
      <c r="AE452" s="3"/>
      <c r="AF452" s="38"/>
      <c r="AG452" s="3"/>
      <c r="AH452" s="39"/>
      <c r="AI452" s="39"/>
      <c r="AJ452" s="39"/>
      <c r="AK452" s="39"/>
      <c r="AR452" s="139"/>
      <c r="AS452" s="139"/>
      <c r="AT452" s="139"/>
      <c r="AU452" s="139"/>
    </row>
    <row r="453" spans="1:47" ht="15" customHeight="1" thickBot="1" x14ac:dyDescent="0.45">
      <c r="B453" s="943"/>
      <c r="C453" s="889"/>
      <c r="D453" s="889"/>
      <c r="E453" s="889"/>
      <c r="F453" s="889"/>
      <c r="G453" s="924"/>
      <c r="H453" s="948"/>
      <c r="I453" s="889"/>
      <c r="J453" s="889"/>
      <c r="K453" s="889"/>
      <c r="L453" s="889"/>
      <c r="M453" s="945"/>
      <c r="N453" s="945"/>
      <c r="O453" s="945"/>
      <c r="P453" s="945"/>
      <c r="Q453" s="945"/>
      <c r="R453" s="970"/>
      <c r="S453" s="945"/>
      <c r="T453" s="970"/>
      <c r="U453" s="948"/>
      <c r="V453" s="888"/>
      <c r="W453" s="889"/>
      <c r="X453" s="888"/>
      <c r="Y453" s="889"/>
      <c r="Z453" s="889"/>
      <c r="AA453" s="948"/>
      <c r="AB453" s="889"/>
      <c r="AC453" s="1154"/>
      <c r="AD453" s="945"/>
      <c r="AE453" s="945"/>
      <c r="AF453" s="945"/>
      <c r="AG453" s="945"/>
      <c r="AH453" s="1157"/>
      <c r="AI453" s="947"/>
      <c r="AJ453" s="947"/>
      <c r="AK453" s="947"/>
      <c r="AL453" s="1157"/>
      <c r="AM453" s="889"/>
      <c r="AN453" s="889"/>
      <c r="AO453" s="889"/>
      <c r="AP453" s="889"/>
      <c r="AQ453" s="889"/>
      <c r="AR453" s="139"/>
      <c r="AS453" s="139"/>
      <c r="AT453" s="139"/>
      <c r="AU453" s="139"/>
    </row>
    <row r="454" spans="1:47" ht="15" customHeight="1" x14ac:dyDescent="0.4">
      <c r="A454" s="3" t="s">
        <v>1260</v>
      </c>
      <c r="B454" s="36" t="s">
        <v>1261</v>
      </c>
      <c r="C454" s="7"/>
      <c r="E454" s="7"/>
      <c r="F454" s="7"/>
      <c r="G454" s="7"/>
      <c r="I454" s="3" t="s">
        <v>392</v>
      </c>
      <c r="J454" s="3" t="s">
        <v>346</v>
      </c>
      <c r="K454" s="3">
        <v>2</v>
      </c>
      <c r="L454" s="3" t="s">
        <v>348</v>
      </c>
      <c r="M454" s="5">
        <v>-1.375</v>
      </c>
      <c r="N454" s="5" t="s">
        <v>348</v>
      </c>
      <c r="O454" s="5">
        <v>0.25</v>
      </c>
      <c r="P454" s="3" t="s">
        <v>348</v>
      </c>
      <c r="Q454" s="5" t="s">
        <v>2342</v>
      </c>
      <c r="R454" s="3" t="s">
        <v>352</v>
      </c>
      <c r="S454" s="5">
        <f>SL2Width/K454+M454+O454+SL2SORnd</f>
        <v>22.625</v>
      </c>
      <c r="T454" s="3" t="s">
        <v>366</v>
      </c>
      <c r="V454" s="38"/>
      <c r="X454" s="38"/>
      <c r="AB454" s="3">
        <v>45</v>
      </c>
      <c r="AC454" s="3">
        <v>2</v>
      </c>
      <c r="AD454" s="5">
        <f>AC454*S454/12</f>
        <v>3.7708333333333335</v>
      </c>
      <c r="AE454" s="3" t="s">
        <v>367</v>
      </c>
      <c r="AF454" s="38">
        <f>'Single Hung'!AG802</f>
        <v>0.39500000000000002</v>
      </c>
      <c r="AG454" s="5">
        <f>AF454*AtolbperftSL2</f>
        <v>0.24983749999999999</v>
      </c>
      <c r="AI454" s="39"/>
      <c r="AJ454" s="39"/>
      <c r="AK454" s="39"/>
      <c r="AM454" s="3" t="s">
        <v>81</v>
      </c>
      <c r="AN454" s="3" t="s">
        <v>81</v>
      </c>
      <c r="AO454" s="3" t="s">
        <v>81</v>
      </c>
      <c r="AP454" s="3" t="s">
        <v>81</v>
      </c>
      <c r="AR454" s="139"/>
      <c r="AS454" s="139"/>
      <c r="AT454" s="139"/>
      <c r="AU454" s="139"/>
    </row>
    <row r="455" spans="1:47" ht="15" customHeight="1" x14ac:dyDescent="0.4">
      <c r="B455" s="36"/>
      <c r="C455" s="155"/>
      <c r="D455" s="155"/>
      <c r="E455" s="155"/>
      <c r="F455" s="155"/>
      <c r="G455" s="155"/>
      <c r="V455" s="38" t="s">
        <v>369</v>
      </c>
      <c r="W455" s="3" t="s">
        <v>370</v>
      </c>
      <c r="X455" s="38" t="s">
        <v>369</v>
      </c>
      <c r="Y455" s="1443">
        <v>200184003</v>
      </c>
      <c r="Z455" s="1443"/>
      <c r="AE455" s="3"/>
      <c r="AF455" s="38"/>
      <c r="AH455" s="51">
        <v>0.29570000000000002</v>
      </c>
      <c r="AI455" s="39"/>
      <c r="AJ455" s="39"/>
      <c r="AK455" s="39"/>
      <c r="AL455" s="51">
        <f>AD$454*AH455+SUM(AI455:AK455)</f>
        <v>1.1150354166666667</v>
      </c>
      <c r="AM455" s="3" t="s">
        <v>81</v>
      </c>
      <c r="AN455" s="3" t="s">
        <v>81</v>
      </c>
      <c r="AO455" s="3" t="s">
        <v>371</v>
      </c>
      <c r="AP455" s="3" t="s">
        <v>92</v>
      </c>
      <c r="AR455" s="139"/>
      <c r="AS455" s="139"/>
      <c r="AT455" s="139"/>
      <c r="AU455" s="139"/>
    </row>
    <row r="456" spans="1:47" ht="15" customHeight="1" x14ac:dyDescent="0.4">
      <c r="B456" s="36"/>
      <c r="C456" s="155"/>
      <c r="D456" s="155"/>
      <c r="E456" s="155"/>
      <c r="F456" s="155"/>
      <c r="G456" s="155"/>
      <c r="P456" s="3"/>
      <c r="V456" s="38" t="s">
        <v>369</v>
      </c>
      <c r="W456" s="3" t="s">
        <v>372</v>
      </c>
      <c r="X456" s="38" t="s">
        <v>369</v>
      </c>
      <c r="Y456" s="1443">
        <v>200184021</v>
      </c>
      <c r="Z456" s="1443"/>
      <c r="AE456" s="3"/>
      <c r="AF456" s="3"/>
      <c r="AH456" s="51">
        <v>0.31340000000000001</v>
      </c>
      <c r="AI456" s="39"/>
      <c r="AJ456" s="39"/>
      <c r="AK456" s="39"/>
      <c r="AL456" s="51">
        <f t="shared" ref="AL456:AL459" si="79">AD$454*AH456+SUM(AI456:AK456)</f>
        <v>1.1817791666666668</v>
      </c>
      <c r="AM456" s="3" t="s">
        <v>371</v>
      </c>
      <c r="AN456" s="3" t="s">
        <v>371</v>
      </c>
      <c r="AO456" s="3" t="s">
        <v>371</v>
      </c>
      <c r="AP456" s="3" t="s">
        <v>92</v>
      </c>
      <c r="AR456" s="139"/>
      <c r="AS456" s="139"/>
      <c r="AT456" s="139"/>
      <c r="AU456" s="139"/>
    </row>
    <row r="457" spans="1:47" ht="15" customHeight="1" x14ac:dyDescent="0.4">
      <c r="B457" s="36"/>
      <c r="C457" s="155"/>
      <c r="D457" s="155"/>
      <c r="E457" s="155"/>
      <c r="F457" s="155"/>
      <c r="G457" s="155"/>
      <c r="P457" s="3"/>
      <c r="V457" s="38" t="s">
        <v>369</v>
      </c>
      <c r="W457" s="3" t="s">
        <v>373</v>
      </c>
      <c r="X457" s="38" t="s">
        <v>369</v>
      </c>
      <c r="Y457" s="1443">
        <v>200184033</v>
      </c>
      <c r="Z457" s="1443"/>
      <c r="AE457" s="3"/>
      <c r="AF457" s="3"/>
      <c r="AH457" s="51">
        <v>0.33800000000000002</v>
      </c>
      <c r="AI457" s="39"/>
      <c r="AJ457" s="39"/>
      <c r="AK457" s="39"/>
      <c r="AL457" s="51">
        <f t="shared" si="79"/>
        <v>1.2745416666666669</v>
      </c>
      <c r="AM457" s="3" t="s">
        <v>371</v>
      </c>
      <c r="AN457" s="3" t="s">
        <v>371</v>
      </c>
      <c r="AO457" s="3" t="s">
        <v>371</v>
      </c>
      <c r="AP457" s="3" t="s">
        <v>92</v>
      </c>
      <c r="AR457" s="139"/>
      <c r="AS457" s="139"/>
      <c r="AT457" s="139"/>
      <c r="AU457" s="139"/>
    </row>
    <row r="458" spans="1:47" ht="15" customHeight="1" x14ac:dyDescent="0.4">
      <c r="B458" s="36"/>
      <c r="C458" s="155"/>
      <c r="D458" s="155"/>
      <c r="E458" s="155"/>
      <c r="F458" s="155"/>
      <c r="G458" s="155"/>
      <c r="P458" s="3"/>
      <c r="V458" s="3" t="s">
        <v>2363</v>
      </c>
      <c r="W458" s="3" t="s">
        <v>370</v>
      </c>
      <c r="X458" s="38" t="s">
        <v>369</v>
      </c>
      <c r="Y458" s="1443">
        <v>200184127</v>
      </c>
      <c r="Z458" s="1443"/>
      <c r="AE458" s="3"/>
      <c r="AF458" s="3"/>
      <c r="AH458" s="51">
        <v>0.35560000000000003</v>
      </c>
      <c r="AI458" s="39"/>
      <c r="AJ458" s="39"/>
      <c r="AK458" s="39"/>
      <c r="AL458" s="51">
        <f t="shared" si="79"/>
        <v>1.3409083333333336</v>
      </c>
      <c r="AM458" s="3" t="s">
        <v>371</v>
      </c>
      <c r="AN458" s="3" t="s">
        <v>371</v>
      </c>
      <c r="AO458" s="3" t="s">
        <v>81</v>
      </c>
      <c r="AP458" s="3" t="s">
        <v>92</v>
      </c>
      <c r="AR458" s="139"/>
      <c r="AS458" s="139"/>
      <c r="AT458" s="139"/>
      <c r="AU458" s="139"/>
    </row>
    <row r="459" spans="1:47" ht="15" customHeight="1" x14ac:dyDescent="0.4">
      <c r="B459" s="36"/>
      <c r="C459" s="155"/>
      <c r="D459" s="155"/>
      <c r="E459" s="155"/>
      <c r="F459" s="155"/>
      <c r="G459" s="155"/>
      <c r="P459" s="3"/>
      <c r="V459" s="572" t="s">
        <v>2366</v>
      </c>
      <c r="W459" s="572" t="s">
        <v>370</v>
      </c>
      <c r="X459" s="571" t="s">
        <v>369</v>
      </c>
      <c r="Y459" s="1447">
        <v>200184128</v>
      </c>
      <c r="Z459" s="1443"/>
      <c r="AE459" s="3"/>
      <c r="AF459" s="3"/>
      <c r="AH459" s="51">
        <v>0.34370000000000001</v>
      </c>
      <c r="AI459" s="39"/>
      <c r="AJ459" s="39"/>
      <c r="AK459" s="39"/>
      <c r="AL459" s="51">
        <f t="shared" si="79"/>
        <v>1.2960354166666668</v>
      </c>
      <c r="AM459" s="3" t="s">
        <v>371</v>
      </c>
      <c r="AN459" s="3" t="s">
        <v>371</v>
      </c>
      <c r="AO459" s="3" t="s">
        <v>371</v>
      </c>
      <c r="AP459" s="3" t="s">
        <v>92</v>
      </c>
      <c r="AR459" s="139"/>
      <c r="AS459" s="139"/>
      <c r="AT459" s="139"/>
      <c r="AU459" s="139"/>
    </row>
    <row r="460" spans="1:47" ht="15" customHeight="1" x14ac:dyDescent="0.4">
      <c r="B460" s="36"/>
      <c r="C460" s="155"/>
      <c r="D460" s="155"/>
      <c r="E460" s="155"/>
      <c r="F460" s="155"/>
      <c r="G460" s="155"/>
      <c r="P460" s="3"/>
      <c r="V460" s="3" t="s">
        <v>2364</v>
      </c>
      <c r="W460" s="3" t="s">
        <v>370</v>
      </c>
      <c r="X460" s="38" t="s">
        <v>369</v>
      </c>
      <c r="Y460" s="1443">
        <v>200184129</v>
      </c>
      <c r="Z460" s="1443"/>
      <c r="AE460" s="3"/>
      <c r="AF460" s="3"/>
      <c r="AH460" s="51">
        <v>0.34370000000000001</v>
      </c>
      <c r="AI460" s="39"/>
      <c r="AJ460" s="39"/>
      <c r="AK460" s="39"/>
      <c r="AL460" s="51">
        <f>AD$454*AH460+SUM(AI460:AK460)</f>
        <v>1.2960354166666668</v>
      </c>
      <c r="AM460" s="3" t="s">
        <v>371</v>
      </c>
      <c r="AN460" s="3" t="s">
        <v>371</v>
      </c>
      <c r="AO460" s="3" t="s">
        <v>371</v>
      </c>
      <c r="AP460" s="3" t="s">
        <v>92</v>
      </c>
      <c r="AR460" s="139"/>
      <c r="AS460" s="139"/>
      <c r="AT460" s="139"/>
      <c r="AU460" s="139"/>
    </row>
    <row r="461" spans="1:47" ht="15" customHeight="1" x14ac:dyDescent="0.4">
      <c r="B461" s="36"/>
      <c r="C461" s="155"/>
      <c r="D461" s="155"/>
      <c r="E461" s="155"/>
      <c r="F461" s="155"/>
      <c r="G461" s="155"/>
      <c r="P461" s="3"/>
      <c r="V461" s="3" t="s">
        <v>2365</v>
      </c>
      <c r="W461" s="3" t="s">
        <v>370</v>
      </c>
      <c r="X461" s="38" t="s">
        <v>369</v>
      </c>
      <c r="Y461" s="1443">
        <v>200184180</v>
      </c>
      <c r="Z461" s="1443"/>
      <c r="AE461" s="3"/>
      <c r="AF461" s="3"/>
      <c r="AH461" s="844">
        <v>0.34370000000000001</v>
      </c>
      <c r="AI461" s="39"/>
      <c r="AJ461" s="39"/>
      <c r="AK461" s="39"/>
      <c r="AL461" s="51">
        <f t="shared" ref="AL461" si="80">AD$454*AH461+SUM(AI461:AK461)</f>
        <v>1.2960354166666668</v>
      </c>
      <c r="AM461" s="3" t="s">
        <v>371</v>
      </c>
      <c r="AN461" s="3" t="s">
        <v>371</v>
      </c>
      <c r="AO461" s="3" t="s">
        <v>371</v>
      </c>
      <c r="AP461" s="3" t="s">
        <v>92</v>
      </c>
      <c r="AR461" s="139"/>
      <c r="AS461" s="139"/>
      <c r="AT461" s="139"/>
      <c r="AU461" s="139"/>
    </row>
    <row r="462" spans="1:47" ht="15" customHeight="1" x14ac:dyDescent="0.4">
      <c r="B462" s="36"/>
      <c r="C462" s="155"/>
      <c r="D462" s="155"/>
      <c r="E462" s="155"/>
      <c r="F462" s="155"/>
      <c r="G462" s="155"/>
      <c r="P462" s="3"/>
      <c r="V462" s="112" t="s">
        <v>2367</v>
      </c>
      <c r="W462" s="112" t="s">
        <v>370</v>
      </c>
      <c r="X462" s="279" t="s">
        <v>369</v>
      </c>
      <c r="Y462" s="1871">
        <v>200184152</v>
      </c>
      <c r="Z462" s="1443"/>
      <c r="AE462" s="3"/>
      <c r="AF462" s="3"/>
      <c r="AH462" s="844">
        <v>0</v>
      </c>
      <c r="AI462" s="39"/>
      <c r="AJ462" s="39"/>
      <c r="AK462" s="39"/>
      <c r="AL462" s="51">
        <f>AD$454*AH462+SUM(AI462:AK462)</f>
        <v>0</v>
      </c>
      <c r="AM462" s="3" t="s">
        <v>371</v>
      </c>
      <c r="AN462" s="3" t="s">
        <v>371</v>
      </c>
      <c r="AO462" s="3" t="s">
        <v>371</v>
      </c>
      <c r="AP462" s="3" t="s">
        <v>92</v>
      </c>
      <c r="AR462" s="139"/>
      <c r="AS462" s="139"/>
      <c r="AT462" s="139"/>
      <c r="AU462" s="139"/>
    </row>
    <row r="463" spans="1:47" ht="15" customHeight="1" x14ac:dyDescent="0.4">
      <c r="B463" s="36"/>
      <c r="C463" s="623"/>
      <c r="D463" s="623"/>
      <c r="E463" s="623"/>
      <c r="F463" s="623"/>
      <c r="G463" s="623"/>
      <c r="H463" s="574"/>
      <c r="I463" s="577"/>
      <c r="J463" s="577"/>
      <c r="K463" s="577"/>
      <c r="L463" s="577"/>
      <c r="M463" s="575"/>
      <c r="N463" s="575"/>
      <c r="O463" s="575"/>
      <c r="P463" s="577"/>
      <c r="Q463" s="575"/>
      <c r="R463" s="577"/>
      <c r="S463" s="575"/>
      <c r="T463" s="577"/>
      <c r="U463" s="574"/>
      <c r="V463" s="577" t="s">
        <v>2365</v>
      </c>
      <c r="W463" s="577" t="s">
        <v>370</v>
      </c>
      <c r="X463" s="579" t="s">
        <v>2365</v>
      </c>
      <c r="Y463" s="1446">
        <v>200184181</v>
      </c>
      <c r="Z463" s="1446"/>
      <c r="AA463" s="574"/>
      <c r="AB463" s="577"/>
      <c r="AC463" s="577"/>
      <c r="AD463" s="575"/>
      <c r="AE463" s="577"/>
      <c r="AF463" s="577"/>
      <c r="AG463" s="575"/>
      <c r="AH463" s="999"/>
      <c r="AI463" s="581"/>
      <c r="AJ463" s="581"/>
      <c r="AK463" s="581"/>
      <c r="AL463" s="626">
        <f>AD$454*AH463+SUM(AI463:AK463)</f>
        <v>0</v>
      </c>
      <c r="AM463" s="577" t="s">
        <v>92</v>
      </c>
      <c r="AN463" s="577" t="s">
        <v>92</v>
      </c>
      <c r="AO463" s="577" t="s">
        <v>92</v>
      </c>
      <c r="AP463" s="577" t="s">
        <v>81</v>
      </c>
      <c r="AQ463" s="577"/>
      <c r="AR463" s="139"/>
      <c r="AS463" s="139"/>
      <c r="AT463" s="139"/>
      <c r="AU463" s="139"/>
    </row>
    <row r="464" spans="1:47" ht="15" customHeight="1" x14ac:dyDescent="0.4">
      <c r="B464" s="36"/>
      <c r="C464" s="447" t="s">
        <v>1220</v>
      </c>
      <c r="D464" s="155"/>
      <c r="E464" s="155"/>
      <c r="F464" s="155"/>
      <c r="G464" s="155"/>
      <c r="I464" s="3" t="s">
        <v>392</v>
      </c>
      <c r="J464" s="3" t="s">
        <v>346</v>
      </c>
      <c r="K464" s="3">
        <v>2</v>
      </c>
      <c r="L464" s="3" t="s">
        <v>348</v>
      </c>
      <c r="M464" s="5">
        <f>M454</f>
        <v>-1.375</v>
      </c>
      <c r="N464" s="5" t="s">
        <v>348</v>
      </c>
      <c r="O464" s="5">
        <v>0.25</v>
      </c>
      <c r="P464" s="3" t="s">
        <v>348</v>
      </c>
      <c r="Q464" s="5" t="s">
        <v>2342</v>
      </c>
      <c r="R464" s="3" t="s">
        <v>352</v>
      </c>
      <c r="S464" s="5">
        <f>SL2Width/K464+M464+O464+SL2SORnd</f>
        <v>22.625</v>
      </c>
      <c r="T464" s="3" t="s">
        <v>366</v>
      </c>
      <c r="V464" s="38" t="s">
        <v>369</v>
      </c>
      <c r="W464" s="3" t="s">
        <v>405</v>
      </c>
      <c r="X464" s="38" t="s">
        <v>369</v>
      </c>
      <c r="Y464" s="1443">
        <v>600042010</v>
      </c>
      <c r="Z464" s="1443"/>
      <c r="AB464" s="3">
        <v>45</v>
      </c>
      <c r="AC464" s="3">
        <v>2</v>
      </c>
      <c r="AD464" s="5">
        <f>S464*AC464/12</f>
        <v>3.7708333333333335</v>
      </c>
      <c r="AE464" s="3" t="s">
        <v>367</v>
      </c>
      <c r="AF464" s="3"/>
      <c r="AG464" s="3"/>
      <c r="AH464" s="51">
        <f>'Single Hung'!AI821</f>
        <v>2.7300000000000001E-2</v>
      </c>
      <c r="AI464" s="39"/>
      <c r="AJ464" s="39"/>
      <c r="AK464" s="39"/>
      <c r="AL464" s="51"/>
      <c r="AM464" s="3" t="s">
        <v>81</v>
      </c>
      <c r="AN464" s="3" t="s">
        <v>81</v>
      </c>
      <c r="AO464" s="3" t="s">
        <v>81</v>
      </c>
      <c r="AP464" s="3" t="s">
        <v>81</v>
      </c>
      <c r="AR464" s="139"/>
      <c r="AS464" s="139"/>
      <c r="AT464" s="139"/>
      <c r="AU464" s="139"/>
    </row>
    <row r="465" spans="1:47" ht="15" customHeight="1" thickBot="1" x14ac:dyDescent="0.45">
      <c r="B465" s="943"/>
      <c r="C465" s="944" t="s">
        <v>1221</v>
      </c>
      <c r="D465" s="925"/>
      <c r="E465" s="925"/>
      <c r="F465" s="925"/>
      <c r="G465" s="925"/>
      <c r="H465" s="948"/>
      <c r="I465" s="889"/>
      <c r="J465" s="889"/>
      <c r="K465" s="889"/>
      <c r="L465" s="889"/>
      <c r="M465" s="945"/>
      <c r="N465" s="945"/>
      <c r="O465" s="945"/>
      <c r="P465" s="889"/>
      <c r="Q465" s="945"/>
      <c r="R465" s="889"/>
      <c r="S465" s="945"/>
      <c r="T465" s="889"/>
      <c r="U465" s="948"/>
      <c r="V465" s="888" t="s">
        <v>369</v>
      </c>
      <c r="W465" s="889" t="s">
        <v>405</v>
      </c>
      <c r="X465" s="888" t="s">
        <v>369</v>
      </c>
      <c r="Y465" s="1444">
        <v>600050010</v>
      </c>
      <c r="Z465" s="1444"/>
      <c r="AA465" s="948"/>
      <c r="AB465" s="889"/>
      <c r="AC465" s="889"/>
      <c r="AD465" s="945"/>
      <c r="AE465" s="889"/>
      <c r="AF465" s="889"/>
      <c r="AG465" s="945"/>
      <c r="AH465" s="947"/>
      <c r="AI465" s="947"/>
      <c r="AJ465" s="947"/>
      <c r="AK465" s="947"/>
      <c r="AL465" s="947"/>
      <c r="AM465" s="889" t="s">
        <v>92</v>
      </c>
      <c r="AN465" s="889" t="s">
        <v>92</v>
      </c>
      <c r="AO465" s="889" t="s">
        <v>92</v>
      </c>
      <c r="AP465" s="889" t="s">
        <v>92</v>
      </c>
      <c r="AQ465" s="889"/>
      <c r="AR465" s="139"/>
      <c r="AS465" s="139"/>
      <c r="AT465" s="139"/>
      <c r="AU465" s="139"/>
    </row>
    <row r="466" spans="1:47" ht="15" customHeight="1" x14ac:dyDescent="0.4">
      <c r="A466" s="3" t="s">
        <v>1262</v>
      </c>
      <c r="B466" s="36" t="s">
        <v>1263</v>
      </c>
      <c r="C466" s="7"/>
      <c r="D466" s="4" t="s">
        <v>848</v>
      </c>
      <c r="E466" s="7"/>
      <c r="F466" s="7"/>
      <c r="G466" s="7"/>
      <c r="I466" s="3" t="s">
        <v>365</v>
      </c>
      <c r="L466" s="3" t="s">
        <v>348</v>
      </c>
      <c r="M466" s="5">
        <v>-2.875</v>
      </c>
      <c r="N466" s="5" t="s">
        <v>348</v>
      </c>
      <c r="O466" s="5">
        <v>0.25</v>
      </c>
      <c r="R466" s="376" t="s">
        <v>352</v>
      </c>
      <c r="S466" s="5">
        <f>SL2Height+M466+O466</f>
        <v>44.875</v>
      </c>
      <c r="T466" s="376" t="s">
        <v>366</v>
      </c>
      <c r="V466" s="38"/>
      <c r="X466" s="38"/>
      <c r="Y466" s="1443"/>
      <c r="Z466" s="1443"/>
      <c r="AB466" s="3">
        <v>45</v>
      </c>
      <c r="AC466" s="3">
        <v>1</v>
      </c>
      <c r="AD466" s="5">
        <f>AC466*S466/12</f>
        <v>3.7395833333333335</v>
      </c>
      <c r="AE466" s="3" t="s">
        <v>367</v>
      </c>
      <c r="AF466" s="38">
        <f>'Single Hung'!AG824</f>
        <v>0.49199999999999999</v>
      </c>
      <c r="AG466" s="5">
        <f>AF466*AtolbperftSL2</f>
        <v>0.31118999999999997</v>
      </c>
      <c r="AI466" s="39"/>
      <c r="AJ466" s="39"/>
      <c r="AK466" s="39"/>
      <c r="AM466" s="3" t="s">
        <v>81</v>
      </c>
      <c r="AN466" s="3" t="s">
        <v>81</v>
      </c>
      <c r="AO466" s="3" t="s">
        <v>81</v>
      </c>
      <c r="AP466" s="3" t="s">
        <v>81</v>
      </c>
      <c r="AR466" s="139"/>
      <c r="AS466" s="139"/>
      <c r="AT466" s="139"/>
      <c r="AU466" s="139"/>
    </row>
    <row r="467" spans="1:47" ht="15" customHeight="1" x14ac:dyDescent="0.4">
      <c r="B467" s="36"/>
      <c r="C467" s="7"/>
      <c r="D467" s="7"/>
      <c r="E467" s="7"/>
      <c r="F467" s="7"/>
      <c r="G467" s="7"/>
      <c r="R467" s="376"/>
      <c r="T467" s="376"/>
      <c r="V467" s="38" t="s">
        <v>369</v>
      </c>
      <c r="W467" s="3" t="s">
        <v>370</v>
      </c>
      <c r="X467" s="38" t="s">
        <v>369</v>
      </c>
      <c r="Y467" s="1443">
        <v>200131003</v>
      </c>
      <c r="Z467" s="1443"/>
      <c r="AE467" s="3"/>
      <c r="AF467" s="38"/>
      <c r="AH467" s="51">
        <f>'Single Hung'!AI825</f>
        <v>0</v>
      </c>
      <c r="AI467" s="39"/>
      <c r="AJ467" s="39"/>
      <c r="AK467" s="39"/>
      <c r="AL467" s="51">
        <f>AD$466*AH467+SUM(AI467:AK467)</f>
        <v>0</v>
      </c>
      <c r="AM467" s="3" t="s">
        <v>81</v>
      </c>
      <c r="AN467" s="3" t="s">
        <v>81</v>
      </c>
      <c r="AO467" s="3" t="s">
        <v>371</v>
      </c>
      <c r="AP467" s="3" t="s">
        <v>92</v>
      </c>
      <c r="AR467" s="139"/>
      <c r="AS467" s="139"/>
      <c r="AT467" s="139"/>
      <c r="AU467" s="139"/>
    </row>
    <row r="468" spans="1:47" ht="15" customHeight="1" x14ac:dyDescent="0.4">
      <c r="B468" s="36"/>
      <c r="C468" s="7"/>
      <c r="D468" s="7"/>
      <c r="E468" s="7"/>
      <c r="F468" s="7"/>
      <c r="G468" s="7"/>
      <c r="R468" s="376"/>
      <c r="T468" s="376"/>
      <c r="V468" s="38" t="s">
        <v>369</v>
      </c>
      <c r="W468" s="3" t="s">
        <v>372</v>
      </c>
      <c r="X468" s="38" t="s">
        <v>369</v>
      </c>
      <c r="Y468" s="1443">
        <v>200131021</v>
      </c>
      <c r="Z468" s="1443"/>
      <c r="AE468" s="3"/>
      <c r="AF468" s="3"/>
      <c r="AH468" s="51">
        <f>'Single Hung'!AI826</f>
        <v>0</v>
      </c>
      <c r="AI468" s="39"/>
      <c r="AJ468" s="39"/>
      <c r="AK468" s="39"/>
      <c r="AL468" s="51">
        <f t="shared" ref="AL468:AL475" si="81">AD$466*AH468+SUM(AI468:AK468)</f>
        <v>0</v>
      </c>
      <c r="AM468" s="3" t="s">
        <v>371</v>
      </c>
      <c r="AN468" s="3" t="s">
        <v>371</v>
      </c>
      <c r="AO468" s="3" t="s">
        <v>371</v>
      </c>
      <c r="AP468" s="3" t="s">
        <v>92</v>
      </c>
      <c r="AR468" s="139"/>
      <c r="AS468" s="139"/>
      <c r="AT468" s="139"/>
      <c r="AU468" s="139"/>
    </row>
    <row r="469" spans="1:47" ht="15" customHeight="1" x14ac:dyDescent="0.4">
      <c r="B469" s="36"/>
      <c r="C469" s="3"/>
      <c r="D469" s="3"/>
      <c r="E469" s="3"/>
      <c r="F469" s="3"/>
      <c r="G469" s="7"/>
      <c r="R469" s="376"/>
      <c r="T469" s="376"/>
      <c r="V469" s="38" t="s">
        <v>369</v>
      </c>
      <c r="W469" s="3" t="s">
        <v>373</v>
      </c>
      <c r="X469" s="38" t="s">
        <v>369</v>
      </c>
      <c r="Y469" s="1443">
        <v>200131033</v>
      </c>
      <c r="Z469" s="1443"/>
      <c r="AE469" s="3"/>
      <c r="AF469" s="3"/>
      <c r="AH469" s="51">
        <f>'Single Hung'!AI827</f>
        <v>0</v>
      </c>
      <c r="AI469" s="39"/>
      <c r="AJ469" s="39"/>
      <c r="AK469" s="39"/>
      <c r="AL469" s="51">
        <f t="shared" si="81"/>
        <v>0</v>
      </c>
      <c r="AM469" s="3" t="s">
        <v>371</v>
      </c>
      <c r="AN469" s="3" t="s">
        <v>371</v>
      </c>
      <c r="AO469" s="3" t="s">
        <v>371</v>
      </c>
      <c r="AP469" s="3" t="s">
        <v>92</v>
      </c>
      <c r="AR469" s="139"/>
      <c r="AS469" s="139"/>
      <c r="AT469" s="139"/>
      <c r="AU469" s="139"/>
    </row>
    <row r="470" spans="1:47" ht="15" customHeight="1" x14ac:dyDescent="0.4">
      <c r="B470" s="36"/>
      <c r="C470" s="3"/>
      <c r="D470" s="3"/>
      <c r="E470" s="3"/>
      <c r="F470" s="3"/>
      <c r="G470" s="7"/>
      <c r="R470" s="376"/>
      <c r="T470" s="376"/>
      <c r="V470" s="3" t="s">
        <v>2363</v>
      </c>
      <c r="W470" s="3" t="s">
        <v>370</v>
      </c>
      <c r="X470" s="38" t="s">
        <v>369</v>
      </c>
      <c r="Y470" s="1443">
        <v>200131127</v>
      </c>
      <c r="Z470" s="1443"/>
      <c r="AE470" s="3"/>
      <c r="AF470" s="3"/>
      <c r="AH470" s="51">
        <f>'Single Hung'!AI828</f>
        <v>0</v>
      </c>
      <c r="AI470" s="39"/>
      <c r="AJ470" s="39"/>
      <c r="AK470" s="39"/>
      <c r="AL470" s="51">
        <f t="shared" si="81"/>
        <v>0</v>
      </c>
      <c r="AM470" s="3" t="s">
        <v>371</v>
      </c>
      <c r="AN470" s="3" t="s">
        <v>371</v>
      </c>
      <c r="AO470" s="3" t="s">
        <v>81</v>
      </c>
      <c r="AP470" s="3" t="s">
        <v>92</v>
      </c>
      <c r="AR470" s="139"/>
      <c r="AS470" s="139"/>
      <c r="AT470" s="139"/>
      <c r="AU470" s="139"/>
    </row>
    <row r="471" spans="1:47" ht="15" customHeight="1" x14ac:dyDescent="0.4">
      <c r="B471" s="36"/>
      <c r="C471" s="3"/>
      <c r="D471" s="3"/>
      <c r="E471" s="3"/>
      <c r="F471" s="3"/>
      <c r="G471" s="7"/>
      <c r="R471" s="376"/>
      <c r="T471" s="376"/>
      <c r="V471" s="572" t="s">
        <v>2366</v>
      </c>
      <c r="W471" s="572" t="s">
        <v>370</v>
      </c>
      <c r="X471" s="571" t="s">
        <v>369</v>
      </c>
      <c r="Y471" s="1447">
        <v>200131128</v>
      </c>
      <c r="Z471" s="1443"/>
      <c r="AE471" s="3"/>
      <c r="AF471" s="3"/>
      <c r="AH471" s="51">
        <f>'Single Hung'!AI829</f>
        <v>0</v>
      </c>
      <c r="AI471" s="39"/>
      <c r="AJ471" s="39"/>
      <c r="AK471" s="39"/>
      <c r="AL471" s="51">
        <f t="shared" si="81"/>
        <v>0</v>
      </c>
      <c r="AM471" s="3" t="s">
        <v>371</v>
      </c>
      <c r="AN471" s="3" t="s">
        <v>371</v>
      </c>
      <c r="AO471" s="3" t="s">
        <v>371</v>
      </c>
      <c r="AP471" s="3" t="s">
        <v>92</v>
      </c>
      <c r="AR471" s="139"/>
      <c r="AS471" s="139"/>
      <c r="AT471" s="139"/>
      <c r="AU471" s="139"/>
    </row>
    <row r="472" spans="1:47" ht="15" customHeight="1" x14ac:dyDescent="0.4">
      <c r="B472" s="36"/>
      <c r="C472" s="3"/>
      <c r="D472" s="3"/>
      <c r="E472" s="3"/>
      <c r="F472" s="3"/>
      <c r="G472" s="7"/>
      <c r="R472" s="376"/>
      <c r="T472" s="376"/>
      <c r="V472" s="3" t="s">
        <v>2364</v>
      </c>
      <c r="W472" s="3" t="s">
        <v>370</v>
      </c>
      <c r="X472" s="38" t="s">
        <v>369</v>
      </c>
      <c r="Y472" s="1443">
        <v>200131129</v>
      </c>
      <c r="Z472" s="1443"/>
      <c r="AE472" s="3"/>
      <c r="AF472" s="3"/>
      <c r="AH472" s="51">
        <f>'Single Hung'!AI830</f>
        <v>0</v>
      </c>
      <c r="AI472" s="39"/>
      <c r="AJ472" s="39"/>
      <c r="AK472" s="39"/>
      <c r="AL472" s="51">
        <f>AD$466*AH472+SUM(AI472:AK472)</f>
        <v>0</v>
      </c>
      <c r="AM472" s="3" t="s">
        <v>371</v>
      </c>
      <c r="AN472" s="3" t="s">
        <v>371</v>
      </c>
      <c r="AO472" s="3" t="s">
        <v>371</v>
      </c>
      <c r="AP472" s="3" t="s">
        <v>92</v>
      </c>
      <c r="AR472" s="139"/>
      <c r="AS472" s="139"/>
      <c r="AT472" s="139"/>
      <c r="AU472" s="139"/>
    </row>
    <row r="473" spans="1:47" ht="15" customHeight="1" x14ac:dyDescent="0.4">
      <c r="B473" s="36"/>
      <c r="C473" s="3"/>
      <c r="D473" s="3"/>
      <c r="E473" s="3"/>
      <c r="F473" s="3"/>
      <c r="G473" s="7"/>
      <c r="R473" s="376"/>
      <c r="T473" s="376"/>
      <c r="V473" s="3" t="s">
        <v>2365</v>
      </c>
      <c r="W473" s="3" t="s">
        <v>370</v>
      </c>
      <c r="X473" s="38" t="s">
        <v>369</v>
      </c>
      <c r="Y473" s="1443">
        <v>200131180</v>
      </c>
      <c r="Z473" s="1443"/>
      <c r="AE473" s="3"/>
      <c r="AF473" s="3"/>
      <c r="AH473" s="844">
        <f>'Single Hung'!AI831</f>
        <v>0</v>
      </c>
      <c r="AI473" s="39"/>
      <c r="AJ473" s="39"/>
      <c r="AK473" s="39"/>
      <c r="AL473" s="51">
        <f t="shared" ref="AL473" si="82">AD$466*AH473+SUM(AI473:AK473)</f>
        <v>0</v>
      </c>
      <c r="AM473" s="3" t="s">
        <v>371</v>
      </c>
      <c r="AN473" s="3" t="s">
        <v>371</v>
      </c>
      <c r="AO473" s="3" t="s">
        <v>371</v>
      </c>
      <c r="AP473" s="3" t="s">
        <v>92</v>
      </c>
      <c r="AR473" s="139"/>
      <c r="AS473" s="139"/>
      <c r="AT473" s="139"/>
      <c r="AU473" s="139"/>
    </row>
    <row r="474" spans="1:47" ht="15" customHeight="1" x14ac:dyDescent="0.4">
      <c r="B474" s="36"/>
      <c r="C474" s="3"/>
      <c r="D474" s="3"/>
      <c r="E474" s="3"/>
      <c r="F474" s="3"/>
      <c r="G474" s="7"/>
      <c r="R474" s="376"/>
      <c r="T474" s="376"/>
      <c r="V474" s="112" t="s">
        <v>2367</v>
      </c>
      <c r="W474" s="112" t="s">
        <v>370</v>
      </c>
      <c r="X474" s="279" t="s">
        <v>369</v>
      </c>
      <c r="Y474" s="1871">
        <v>200131152</v>
      </c>
      <c r="Z474" s="1443"/>
      <c r="AE474" s="3"/>
      <c r="AF474" s="3"/>
      <c r="AH474" s="51">
        <v>0</v>
      </c>
      <c r="AI474" s="39"/>
      <c r="AJ474" s="39"/>
      <c r="AK474" s="39"/>
      <c r="AL474" s="51">
        <f t="shared" si="81"/>
        <v>0</v>
      </c>
      <c r="AM474" s="3" t="s">
        <v>371</v>
      </c>
      <c r="AN474" s="3" t="s">
        <v>371</v>
      </c>
      <c r="AO474" s="3" t="s">
        <v>371</v>
      </c>
      <c r="AP474" s="3" t="s">
        <v>92</v>
      </c>
      <c r="AR474" s="139"/>
      <c r="AS474" s="139"/>
      <c r="AT474" s="139"/>
      <c r="AU474" s="139"/>
    </row>
    <row r="475" spans="1:47" ht="15" customHeight="1" x14ac:dyDescent="0.4">
      <c r="B475" s="36"/>
      <c r="C475" s="577"/>
      <c r="D475" s="577"/>
      <c r="E475" s="577"/>
      <c r="F475" s="577"/>
      <c r="G475" s="221"/>
      <c r="H475" s="574"/>
      <c r="I475" s="577"/>
      <c r="J475" s="577"/>
      <c r="K475" s="577"/>
      <c r="L475" s="577"/>
      <c r="M475" s="575"/>
      <c r="N475" s="575"/>
      <c r="O475" s="575"/>
      <c r="P475" s="575"/>
      <c r="Q475" s="575"/>
      <c r="R475" s="578"/>
      <c r="S475" s="575"/>
      <c r="T475" s="578"/>
      <c r="U475" s="574"/>
      <c r="V475" s="577" t="s">
        <v>2365</v>
      </c>
      <c r="W475" s="577" t="s">
        <v>370</v>
      </c>
      <c r="X475" s="579" t="s">
        <v>2365</v>
      </c>
      <c r="Y475" s="1446">
        <v>200131181</v>
      </c>
      <c r="Z475" s="1446"/>
      <c r="AA475" s="574"/>
      <c r="AB475" s="577"/>
      <c r="AC475" s="577"/>
      <c r="AD475" s="575"/>
      <c r="AE475" s="577"/>
      <c r="AF475" s="577"/>
      <c r="AG475" s="575"/>
      <c r="AH475" s="626"/>
      <c r="AI475" s="581"/>
      <c r="AJ475" s="581"/>
      <c r="AK475" s="581"/>
      <c r="AL475" s="626">
        <f t="shared" si="81"/>
        <v>0</v>
      </c>
      <c r="AM475" s="577" t="s">
        <v>92</v>
      </c>
      <c r="AN475" s="577" t="s">
        <v>92</v>
      </c>
      <c r="AO475" s="577" t="s">
        <v>92</v>
      </c>
      <c r="AP475" s="577" t="s">
        <v>81</v>
      </c>
      <c r="AQ475" s="577"/>
      <c r="AR475" s="139"/>
      <c r="AS475" s="139"/>
      <c r="AT475" s="139"/>
      <c r="AU475" s="139"/>
    </row>
    <row r="476" spans="1:47" ht="15" customHeight="1" thickBot="1" x14ac:dyDescent="0.45">
      <c r="B476" s="36"/>
      <c r="C476" s="447" t="s">
        <v>1264</v>
      </c>
      <c r="D476" s="3"/>
      <c r="E476" s="155"/>
      <c r="F476" s="155"/>
      <c r="G476" s="7"/>
      <c r="H476" s="20"/>
      <c r="I476" s="3" t="s">
        <v>365</v>
      </c>
      <c r="L476" s="3" t="s">
        <v>348</v>
      </c>
      <c r="M476" s="5">
        <f>M466</f>
        <v>-2.875</v>
      </c>
      <c r="R476" s="376" t="s">
        <v>352</v>
      </c>
      <c r="S476" s="5">
        <f>SL2Height+M476</f>
        <v>44.625</v>
      </c>
      <c r="T476" s="376" t="s">
        <v>366</v>
      </c>
      <c r="U476" s="20"/>
      <c r="V476" s="38" t="s">
        <v>369</v>
      </c>
      <c r="W476" s="3" t="s">
        <v>405</v>
      </c>
      <c r="X476" s="38" t="s">
        <v>369</v>
      </c>
      <c r="Y476" s="1443">
        <v>600041010</v>
      </c>
      <c r="Z476" s="1443"/>
      <c r="AA476" s="20"/>
      <c r="AB476" s="3">
        <v>45</v>
      </c>
      <c r="AC476" s="3">
        <v>1</v>
      </c>
      <c r="AD476" s="5">
        <f>S476*AC476/12</f>
        <v>3.71875</v>
      </c>
      <c r="AE476" s="3" t="s">
        <v>367</v>
      </c>
      <c r="AF476" s="3"/>
      <c r="AG476" s="3"/>
      <c r="AH476" s="51">
        <f>'Single Hung'!AI842</f>
        <v>1.9400000000000001E-2</v>
      </c>
      <c r="AI476" s="39"/>
      <c r="AJ476" s="39"/>
      <c r="AK476" s="39"/>
      <c r="AL476" s="51">
        <f>AD$476*AH476+SUM(AI476:AK476)</f>
        <v>7.2143750000000006E-2</v>
      </c>
      <c r="AM476" s="889" t="s">
        <v>81</v>
      </c>
      <c r="AN476" s="889" t="s">
        <v>81</v>
      </c>
      <c r="AO476" s="889"/>
      <c r="AP476" s="889" t="s">
        <v>81</v>
      </c>
      <c r="AQ476" s="889"/>
      <c r="AR476" s="139"/>
      <c r="AS476" s="139"/>
      <c r="AT476" s="139"/>
      <c r="AU476" s="139"/>
    </row>
    <row r="477" spans="1:47" ht="15" customHeight="1" x14ac:dyDescent="0.4">
      <c r="A477" s="3" t="s">
        <v>1265</v>
      </c>
      <c r="B477" s="173" t="s">
        <v>1266</v>
      </c>
      <c r="C477" s="173"/>
      <c r="D477" s="173"/>
      <c r="E477" s="173"/>
      <c r="F477" s="173"/>
      <c r="G477" s="173"/>
      <c r="H477" s="193"/>
      <c r="I477" s="116" t="s">
        <v>365</v>
      </c>
      <c r="J477" s="116"/>
      <c r="K477" s="116"/>
      <c r="L477" s="116" t="s">
        <v>348</v>
      </c>
      <c r="M477" s="177">
        <v>-2.875</v>
      </c>
      <c r="N477" s="177"/>
      <c r="O477" s="177">
        <v>0.25</v>
      </c>
      <c r="P477" s="177"/>
      <c r="Q477" s="177"/>
      <c r="R477" s="116" t="s">
        <v>352</v>
      </c>
      <c r="S477" s="177">
        <f>SL2Height+M477+O477</f>
        <v>44.875</v>
      </c>
      <c r="T477" s="116" t="s">
        <v>366</v>
      </c>
      <c r="U477" s="193"/>
      <c r="V477" s="179"/>
      <c r="W477" s="179"/>
      <c r="X477" s="179"/>
      <c r="Y477" s="1449"/>
      <c r="Z477" s="1449"/>
      <c r="AA477" s="193"/>
      <c r="AB477" s="116">
        <v>45</v>
      </c>
      <c r="AC477" s="116">
        <v>1</v>
      </c>
      <c r="AD477" s="177">
        <f>AC477*S477/12</f>
        <v>3.7395833333333335</v>
      </c>
      <c r="AE477" s="116" t="s">
        <v>367</v>
      </c>
      <c r="AF477" s="179">
        <f>AF454</f>
        <v>0.39500000000000002</v>
      </c>
      <c r="AG477" s="177">
        <f>AF477*AtolbperftSL2</f>
        <v>0.24983749999999999</v>
      </c>
      <c r="AH477" s="185"/>
      <c r="AI477" s="180"/>
      <c r="AJ477" s="180"/>
      <c r="AK477" s="180"/>
      <c r="AL477" s="180"/>
      <c r="AM477" s="3" t="s">
        <v>81</v>
      </c>
      <c r="AN477" s="3" t="s">
        <v>81</v>
      </c>
      <c r="AO477" s="3" t="s">
        <v>81</v>
      </c>
      <c r="AP477" s="3" t="s">
        <v>81</v>
      </c>
      <c r="AR477" s="139"/>
      <c r="AS477" s="139"/>
      <c r="AT477" s="139"/>
      <c r="AU477" s="139"/>
    </row>
    <row r="478" spans="1:47" ht="15" customHeight="1" x14ac:dyDescent="0.4">
      <c r="B478" s="8"/>
      <c r="C478" s="7"/>
      <c r="D478" s="7"/>
      <c r="E478" s="7"/>
      <c r="F478" s="7"/>
      <c r="G478" s="7"/>
      <c r="M478" s="350"/>
      <c r="N478" s="350"/>
      <c r="O478" s="350"/>
      <c r="V478" s="38" t="s">
        <v>369</v>
      </c>
      <c r="W478" s="3" t="s">
        <v>370</v>
      </c>
      <c r="X478" s="38" t="s">
        <v>369</v>
      </c>
      <c r="Y478" s="1443">
        <v>200184003</v>
      </c>
      <c r="Z478" s="1443"/>
      <c r="AE478" s="3"/>
      <c r="AF478" s="38"/>
      <c r="AH478" s="51">
        <f t="shared" ref="AH478:AH483" si="83">AH455</f>
        <v>0.29570000000000002</v>
      </c>
      <c r="AI478" s="39"/>
      <c r="AJ478" s="39"/>
      <c r="AK478" s="39"/>
      <c r="AL478" s="51">
        <f>AD$477*AH478+SUM(AI478:AK478)</f>
        <v>1.1057947916666668</v>
      </c>
      <c r="AM478" s="3" t="s">
        <v>81</v>
      </c>
      <c r="AN478" s="3" t="s">
        <v>81</v>
      </c>
      <c r="AO478" s="3" t="s">
        <v>371</v>
      </c>
      <c r="AP478" s="3" t="s">
        <v>92</v>
      </c>
      <c r="AR478" s="139"/>
      <c r="AS478" s="139"/>
      <c r="AT478" s="139"/>
      <c r="AU478" s="139"/>
    </row>
    <row r="479" spans="1:47" ht="15" customHeight="1" x14ac:dyDescent="0.4">
      <c r="B479" s="8"/>
      <c r="C479" s="7"/>
      <c r="D479" s="7"/>
      <c r="E479" s="7"/>
      <c r="F479" s="7"/>
      <c r="G479" s="7"/>
      <c r="M479" s="350"/>
      <c r="N479" s="350"/>
      <c r="O479" s="350"/>
      <c r="V479" s="38" t="s">
        <v>369</v>
      </c>
      <c r="W479" s="3" t="s">
        <v>372</v>
      </c>
      <c r="X479" s="38" t="s">
        <v>369</v>
      </c>
      <c r="Y479" s="1443">
        <v>200184021</v>
      </c>
      <c r="Z479" s="1443"/>
      <c r="AE479" s="3"/>
      <c r="AF479" s="3"/>
      <c r="AH479" s="51">
        <f t="shared" si="83"/>
        <v>0.31340000000000001</v>
      </c>
      <c r="AI479" s="39"/>
      <c r="AJ479" s="39"/>
      <c r="AK479" s="39"/>
      <c r="AL479" s="51">
        <f t="shared" ref="AL479:AL486" si="84">AD$477*AH479+SUM(AI479:AK479)</f>
        <v>1.1719854166666668</v>
      </c>
      <c r="AM479" s="3" t="s">
        <v>371</v>
      </c>
      <c r="AN479" s="3" t="s">
        <v>371</v>
      </c>
      <c r="AO479" s="3" t="s">
        <v>371</v>
      </c>
      <c r="AP479" s="3" t="s">
        <v>92</v>
      </c>
      <c r="AR479" s="139"/>
      <c r="AS479" s="139"/>
      <c r="AT479" s="139"/>
      <c r="AU479" s="139"/>
    </row>
    <row r="480" spans="1:47" ht="15" customHeight="1" x14ac:dyDescent="0.4">
      <c r="B480" s="8"/>
      <c r="C480" s="7"/>
      <c r="D480" s="7"/>
      <c r="E480" s="7"/>
      <c r="F480" s="7"/>
      <c r="G480" s="7"/>
      <c r="M480" s="350"/>
      <c r="N480" s="350"/>
      <c r="O480" s="350"/>
      <c r="V480" s="38" t="s">
        <v>369</v>
      </c>
      <c r="W480" s="3" t="s">
        <v>373</v>
      </c>
      <c r="X480" s="38" t="s">
        <v>369</v>
      </c>
      <c r="Y480" s="1443">
        <v>200184033</v>
      </c>
      <c r="Z480" s="1443"/>
      <c r="AE480" s="3"/>
      <c r="AF480" s="3"/>
      <c r="AH480" s="51">
        <f t="shared" si="83"/>
        <v>0.33800000000000002</v>
      </c>
      <c r="AI480" s="39"/>
      <c r="AJ480" s="39"/>
      <c r="AK480" s="39"/>
      <c r="AL480" s="51">
        <f t="shared" si="84"/>
        <v>1.2639791666666669</v>
      </c>
      <c r="AM480" s="3" t="s">
        <v>371</v>
      </c>
      <c r="AN480" s="3" t="s">
        <v>371</v>
      </c>
      <c r="AO480" s="3" t="s">
        <v>371</v>
      </c>
      <c r="AP480" s="3" t="s">
        <v>92</v>
      </c>
      <c r="AR480" s="139"/>
      <c r="AS480" s="139"/>
      <c r="AT480" s="139"/>
      <c r="AU480" s="139"/>
    </row>
    <row r="481" spans="1:47" ht="15" customHeight="1" x14ac:dyDescent="0.4">
      <c r="B481" s="8"/>
      <c r="C481" s="7"/>
      <c r="D481" s="7"/>
      <c r="E481" s="7"/>
      <c r="F481" s="7"/>
      <c r="G481" s="7"/>
      <c r="M481" s="350"/>
      <c r="N481" s="350"/>
      <c r="O481" s="350"/>
      <c r="V481" s="3" t="s">
        <v>2363</v>
      </c>
      <c r="W481" s="3" t="s">
        <v>370</v>
      </c>
      <c r="X481" s="38" t="s">
        <v>369</v>
      </c>
      <c r="Y481" s="1443">
        <v>200184127</v>
      </c>
      <c r="Z481" s="1443"/>
      <c r="AE481" s="3"/>
      <c r="AF481" s="3"/>
      <c r="AH481" s="51">
        <f t="shared" si="83"/>
        <v>0.35560000000000003</v>
      </c>
      <c r="AI481" s="39"/>
      <c r="AJ481" s="39"/>
      <c r="AK481" s="39"/>
      <c r="AL481" s="51">
        <f t="shared" si="84"/>
        <v>1.3297958333333335</v>
      </c>
      <c r="AM481" s="3" t="s">
        <v>371</v>
      </c>
      <c r="AN481" s="3" t="s">
        <v>371</v>
      </c>
      <c r="AO481" s="3" t="s">
        <v>81</v>
      </c>
      <c r="AP481" s="3" t="s">
        <v>92</v>
      </c>
      <c r="AR481" s="139"/>
      <c r="AS481" s="139"/>
      <c r="AT481" s="139"/>
      <c r="AU481" s="139"/>
    </row>
    <row r="482" spans="1:47" ht="15" customHeight="1" x14ac:dyDescent="0.4">
      <c r="B482" s="8"/>
      <c r="C482" s="7"/>
      <c r="D482" s="7"/>
      <c r="E482" s="7"/>
      <c r="F482" s="7"/>
      <c r="G482" s="7"/>
      <c r="M482" s="350"/>
      <c r="N482" s="350"/>
      <c r="O482" s="350"/>
      <c r="V482" s="572" t="s">
        <v>2366</v>
      </c>
      <c r="W482" s="572" t="s">
        <v>370</v>
      </c>
      <c r="X482" s="571" t="s">
        <v>369</v>
      </c>
      <c r="Y482" s="1447">
        <v>200184128</v>
      </c>
      <c r="Z482" s="1443"/>
      <c r="AE482" s="3"/>
      <c r="AF482" s="3"/>
      <c r="AH482" s="51">
        <f t="shared" si="83"/>
        <v>0.34370000000000001</v>
      </c>
      <c r="AI482" s="39"/>
      <c r="AJ482" s="39"/>
      <c r="AK482" s="39"/>
      <c r="AL482" s="51">
        <f t="shared" si="84"/>
        <v>1.2852947916666668</v>
      </c>
      <c r="AM482" s="3" t="s">
        <v>371</v>
      </c>
      <c r="AN482" s="3" t="s">
        <v>371</v>
      </c>
      <c r="AO482" s="3" t="s">
        <v>371</v>
      </c>
      <c r="AP482" s="3" t="s">
        <v>92</v>
      </c>
      <c r="AR482" s="139"/>
      <c r="AS482" s="139"/>
      <c r="AT482" s="139"/>
      <c r="AU482" s="139"/>
    </row>
    <row r="483" spans="1:47" ht="15" customHeight="1" x14ac:dyDescent="0.4">
      <c r="B483" s="8"/>
      <c r="C483" s="7"/>
      <c r="D483" s="7"/>
      <c r="E483" s="7"/>
      <c r="F483" s="7"/>
      <c r="G483" s="7"/>
      <c r="M483" s="350"/>
      <c r="N483" s="350"/>
      <c r="O483" s="350"/>
      <c r="V483" s="3" t="s">
        <v>2364</v>
      </c>
      <c r="W483" s="3" t="s">
        <v>370</v>
      </c>
      <c r="X483" s="38" t="s">
        <v>369</v>
      </c>
      <c r="Y483" s="1443">
        <v>200184129</v>
      </c>
      <c r="Z483" s="1443"/>
      <c r="AE483" s="3"/>
      <c r="AF483" s="3"/>
      <c r="AH483" s="51">
        <f t="shared" si="83"/>
        <v>0.34370000000000001</v>
      </c>
      <c r="AI483" s="39"/>
      <c r="AJ483" s="39"/>
      <c r="AK483" s="39"/>
      <c r="AL483" s="51">
        <f>AD$477*AH483+SUM(AI483:AK483)</f>
        <v>1.2852947916666668</v>
      </c>
      <c r="AM483" s="3" t="s">
        <v>371</v>
      </c>
      <c r="AN483" s="3" t="s">
        <v>371</v>
      </c>
      <c r="AO483" s="3" t="s">
        <v>371</v>
      </c>
      <c r="AP483" s="3" t="s">
        <v>92</v>
      </c>
      <c r="AR483" s="139"/>
      <c r="AS483" s="139"/>
      <c r="AT483" s="139"/>
      <c r="AU483" s="139"/>
    </row>
    <row r="484" spans="1:47" ht="15" customHeight="1" x14ac:dyDescent="0.4">
      <c r="B484" s="8"/>
      <c r="C484" s="7"/>
      <c r="D484" s="7"/>
      <c r="E484" s="7"/>
      <c r="F484" s="7"/>
      <c r="G484" s="7"/>
      <c r="M484" s="350"/>
      <c r="N484" s="350"/>
      <c r="O484" s="350"/>
      <c r="V484" s="3" t="s">
        <v>2365</v>
      </c>
      <c r="W484" s="3" t="s">
        <v>370</v>
      </c>
      <c r="X484" s="38" t="s">
        <v>369</v>
      </c>
      <c r="Y484" s="1443">
        <v>200184180</v>
      </c>
      <c r="Z484" s="1443"/>
      <c r="AE484" s="3"/>
      <c r="AF484" s="3"/>
      <c r="AH484" s="844">
        <v>0</v>
      </c>
      <c r="AI484" s="39"/>
      <c r="AJ484" s="39"/>
      <c r="AK484" s="39"/>
      <c r="AL484" s="51">
        <f t="shared" ref="AL484" si="85">AD$477*AH484+SUM(AI484:AK484)</f>
        <v>0</v>
      </c>
      <c r="AM484" s="3" t="s">
        <v>371</v>
      </c>
      <c r="AN484" s="3" t="s">
        <v>371</v>
      </c>
      <c r="AO484" s="3" t="s">
        <v>371</v>
      </c>
      <c r="AP484" s="3" t="s">
        <v>92</v>
      </c>
      <c r="AR484" s="139"/>
      <c r="AS484" s="139"/>
      <c r="AT484" s="139"/>
      <c r="AU484" s="139"/>
    </row>
    <row r="485" spans="1:47" ht="15" customHeight="1" x14ac:dyDescent="0.4">
      <c r="B485" s="8"/>
      <c r="C485" s="7"/>
      <c r="D485" s="7"/>
      <c r="E485" s="7"/>
      <c r="F485" s="7"/>
      <c r="G485" s="7"/>
      <c r="M485" s="350"/>
      <c r="N485" s="350"/>
      <c r="O485" s="350"/>
      <c r="V485" s="112" t="s">
        <v>2367</v>
      </c>
      <c r="W485" s="112" t="s">
        <v>370</v>
      </c>
      <c r="X485" s="279" t="s">
        <v>369</v>
      </c>
      <c r="Y485" s="1871">
        <v>200184152</v>
      </c>
      <c r="Z485" s="1443"/>
      <c r="AE485" s="3"/>
      <c r="AF485" s="3"/>
      <c r="AH485" s="844">
        <v>0</v>
      </c>
      <c r="AI485" s="39"/>
      <c r="AJ485" s="39"/>
      <c r="AK485" s="39"/>
      <c r="AL485" s="51">
        <f t="shared" si="84"/>
        <v>0</v>
      </c>
      <c r="AM485" s="3" t="s">
        <v>371</v>
      </c>
      <c r="AN485" s="3" t="s">
        <v>371</v>
      </c>
      <c r="AO485" s="3" t="s">
        <v>371</v>
      </c>
      <c r="AP485" s="3" t="s">
        <v>92</v>
      </c>
      <c r="AR485" s="139"/>
      <c r="AS485" s="139"/>
      <c r="AT485" s="139"/>
      <c r="AU485" s="139"/>
    </row>
    <row r="486" spans="1:47" ht="15" customHeight="1" x14ac:dyDescent="0.4">
      <c r="B486" s="8"/>
      <c r="C486" s="221"/>
      <c r="D486" s="221"/>
      <c r="E486" s="221"/>
      <c r="F486" s="221"/>
      <c r="G486" s="221"/>
      <c r="H486" s="574"/>
      <c r="I486" s="577"/>
      <c r="J486" s="577"/>
      <c r="K486" s="577"/>
      <c r="L486" s="577"/>
      <c r="M486" s="808"/>
      <c r="N486" s="808"/>
      <c r="O486" s="808"/>
      <c r="P486" s="575"/>
      <c r="Q486" s="575"/>
      <c r="R486" s="577"/>
      <c r="S486" s="575"/>
      <c r="T486" s="577"/>
      <c r="U486" s="574"/>
      <c r="V486" s="577" t="s">
        <v>2365</v>
      </c>
      <c r="W486" s="577" t="s">
        <v>370</v>
      </c>
      <c r="X486" s="579" t="s">
        <v>2365</v>
      </c>
      <c r="Y486" s="1446">
        <v>200184181</v>
      </c>
      <c r="Z486" s="1446"/>
      <c r="AA486" s="574"/>
      <c r="AB486" s="577"/>
      <c r="AC486" s="577"/>
      <c r="AD486" s="575"/>
      <c r="AE486" s="577"/>
      <c r="AF486" s="577"/>
      <c r="AG486" s="575"/>
      <c r="AH486" s="999"/>
      <c r="AI486" s="581"/>
      <c r="AJ486" s="581"/>
      <c r="AK486" s="581"/>
      <c r="AL486" s="626">
        <f t="shared" si="84"/>
        <v>0</v>
      </c>
      <c r="AM486" s="577" t="s">
        <v>92</v>
      </c>
      <c r="AN486" s="577" t="s">
        <v>92</v>
      </c>
      <c r="AO486" s="577" t="s">
        <v>92</v>
      </c>
      <c r="AP486" s="577" t="s">
        <v>81</v>
      </c>
      <c r="AQ486" s="577"/>
      <c r="AR486" s="139"/>
      <c r="AS486" s="139"/>
      <c r="AT486" s="139"/>
      <c r="AU486" s="139"/>
    </row>
    <row r="487" spans="1:47" ht="15" customHeight="1" x14ac:dyDescent="0.4">
      <c r="B487" s="36"/>
      <c r="C487" s="447" t="s">
        <v>1220</v>
      </c>
      <c r="D487" s="155"/>
      <c r="E487" s="155"/>
      <c r="F487" s="155"/>
      <c r="G487" s="155"/>
      <c r="I487" s="3" t="s">
        <v>365</v>
      </c>
      <c r="L487" s="3" t="s">
        <v>348</v>
      </c>
      <c r="M487" s="5">
        <f>M477</f>
        <v>-2.875</v>
      </c>
      <c r="P487" s="3"/>
      <c r="R487" s="3" t="s">
        <v>352</v>
      </c>
      <c r="S487" s="5">
        <f>SL2Height+M487</f>
        <v>44.625</v>
      </c>
      <c r="T487" s="3" t="s">
        <v>366</v>
      </c>
      <c r="V487" s="38" t="s">
        <v>369</v>
      </c>
      <c r="W487" s="3" t="s">
        <v>405</v>
      </c>
      <c r="X487" s="38" t="s">
        <v>369</v>
      </c>
      <c r="Y487" s="1443">
        <v>600042010</v>
      </c>
      <c r="Z487" s="1443"/>
      <c r="AB487" s="3">
        <v>45</v>
      </c>
      <c r="AC487" s="3">
        <v>2</v>
      </c>
      <c r="AD487" s="5">
        <f>S487*AC487/12</f>
        <v>7.4375</v>
      </c>
      <c r="AE487" s="3" t="s">
        <v>367</v>
      </c>
      <c r="AF487" s="3"/>
      <c r="AG487" s="3"/>
      <c r="AH487" s="51">
        <f>AH464</f>
        <v>2.7300000000000001E-2</v>
      </c>
      <c r="AI487" s="39"/>
      <c r="AJ487" s="39"/>
      <c r="AK487" s="39"/>
      <c r="AL487" s="51"/>
      <c r="AM487" s="3" t="s">
        <v>81</v>
      </c>
      <c r="AN487" s="3" t="s">
        <v>81</v>
      </c>
      <c r="AO487" s="3" t="s">
        <v>81</v>
      </c>
      <c r="AP487" s="3" t="s">
        <v>81</v>
      </c>
      <c r="AR487" s="140"/>
      <c r="AS487" s="139"/>
      <c r="AT487" s="139"/>
      <c r="AU487" s="139"/>
    </row>
    <row r="488" spans="1:47" ht="15" customHeight="1" thickBot="1" x14ac:dyDescent="0.45">
      <c r="B488" s="943"/>
      <c r="C488" s="944" t="s">
        <v>1221</v>
      </c>
      <c r="D488" s="925"/>
      <c r="E488" s="925"/>
      <c r="F488" s="925"/>
      <c r="G488" s="925"/>
      <c r="H488" s="948"/>
      <c r="I488" s="889"/>
      <c r="J488" s="889"/>
      <c r="K488" s="889"/>
      <c r="L488" s="889"/>
      <c r="M488" s="945"/>
      <c r="N488" s="945"/>
      <c r="O488" s="945"/>
      <c r="P488" s="889"/>
      <c r="Q488" s="945"/>
      <c r="R488" s="889"/>
      <c r="S488" s="945"/>
      <c r="T488" s="889"/>
      <c r="U488" s="948"/>
      <c r="V488" s="888" t="s">
        <v>369</v>
      </c>
      <c r="W488" s="889" t="s">
        <v>405</v>
      </c>
      <c r="X488" s="888" t="s">
        <v>369</v>
      </c>
      <c r="Y488" s="1444">
        <v>600050010</v>
      </c>
      <c r="Z488" s="1444"/>
      <c r="AA488" s="948"/>
      <c r="AB488" s="889"/>
      <c r="AC488" s="889"/>
      <c r="AD488" s="945"/>
      <c r="AE488" s="889"/>
      <c r="AF488" s="889"/>
      <c r="AG488" s="945"/>
      <c r="AH488" s="947"/>
      <c r="AI488" s="947"/>
      <c r="AJ488" s="947"/>
      <c r="AK488" s="947"/>
      <c r="AM488" s="889" t="s">
        <v>92</v>
      </c>
      <c r="AN488" s="889" t="s">
        <v>92</v>
      </c>
      <c r="AO488" s="889" t="s">
        <v>92</v>
      </c>
      <c r="AP488" s="889" t="s">
        <v>92</v>
      </c>
      <c r="AQ488" s="889"/>
      <c r="AR488" s="140"/>
      <c r="AS488" s="139"/>
      <c r="AT488" s="139"/>
      <c r="AU488" s="139"/>
    </row>
    <row r="489" spans="1:47" ht="15" customHeight="1" x14ac:dyDescent="0.4">
      <c r="A489" s="3" t="s">
        <v>503</v>
      </c>
      <c r="B489" s="173" t="s">
        <v>1267</v>
      </c>
      <c r="C489" s="138"/>
      <c r="D489" s="138"/>
      <c r="E489" s="138"/>
      <c r="F489" s="138"/>
      <c r="G489" s="173"/>
      <c r="H489" s="193"/>
      <c r="I489" s="116" t="s">
        <v>392</v>
      </c>
      <c r="J489" s="116" t="s">
        <v>346</v>
      </c>
      <c r="K489" s="116">
        <v>2</v>
      </c>
      <c r="L489" s="116" t="s">
        <v>348</v>
      </c>
      <c r="M489" s="177">
        <v>-3.282</v>
      </c>
      <c r="N489" s="177"/>
      <c r="O489" s="177"/>
      <c r="P489" s="177" t="s">
        <v>348</v>
      </c>
      <c r="Q489" s="177" t="s">
        <v>2342</v>
      </c>
      <c r="R489" s="116" t="s">
        <v>352</v>
      </c>
      <c r="S489" s="177">
        <f>SL2Width/K489+M489+SL2SORnd</f>
        <v>20.468</v>
      </c>
      <c r="T489" s="116" t="s">
        <v>366</v>
      </c>
      <c r="U489" s="193"/>
      <c r="V489" s="138"/>
      <c r="W489" s="138"/>
      <c r="X489" s="138"/>
      <c r="Y489" s="1449"/>
      <c r="Z489" s="1449"/>
      <c r="AA489" s="193"/>
      <c r="AB489" s="116">
        <v>45</v>
      </c>
      <c r="AC489" s="116">
        <v>2</v>
      </c>
      <c r="AD489" s="177">
        <f>AC489*S489/12</f>
        <v>3.4113333333333333</v>
      </c>
      <c r="AE489" s="116" t="s">
        <v>367</v>
      </c>
      <c r="AF489" s="179">
        <v>2.8000000000000001E-2</v>
      </c>
      <c r="AG489" s="177">
        <f>AF489*AtolbperftSL2</f>
        <v>1.771E-2</v>
      </c>
      <c r="AH489" s="185"/>
      <c r="AI489" s="180"/>
      <c r="AJ489" s="180"/>
      <c r="AK489" s="180"/>
      <c r="AL489" s="180"/>
      <c r="AM489" s="3" t="s">
        <v>81</v>
      </c>
      <c r="AN489" s="3" t="s">
        <v>81</v>
      </c>
      <c r="AO489" s="3" t="s">
        <v>81</v>
      </c>
      <c r="AP489" s="3" t="s">
        <v>92</v>
      </c>
      <c r="AR489" s="139"/>
      <c r="AS489" s="139"/>
      <c r="AT489" s="139"/>
      <c r="AU489" s="139"/>
    </row>
    <row r="490" spans="1:47" ht="15" customHeight="1" x14ac:dyDescent="0.4">
      <c r="B490" s="36"/>
      <c r="C490" s="7"/>
      <c r="D490" s="7"/>
      <c r="E490" s="7"/>
      <c r="F490" s="7"/>
      <c r="G490" s="7"/>
      <c r="V490" s="38" t="s">
        <v>369</v>
      </c>
      <c r="W490" s="3" t="s">
        <v>370</v>
      </c>
      <c r="X490" s="38" t="s">
        <v>369</v>
      </c>
      <c r="Y490" s="1443">
        <v>200170003</v>
      </c>
      <c r="Z490" s="1443"/>
      <c r="AE490" s="3"/>
      <c r="AF490" s="38"/>
      <c r="AH490" s="51">
        <f>AH525</f>
        <v>5.4600000000000003E-2</v>
      </c>
      <c r="AI490" s="39"/>
      <c r="AJ490" s="39"/>
      <c r="AK490" s="39"/>
      <c r="AL490" s="51">
        <f t="shared" ref="AL490:AL495" si="86">AD$489*AH490+SUM(AI490:AK490)</f>
        <v>0.1862588</v>
      </c>
      <c r="AM490" s="3" t="s">
        <v>81</v>
      </c>
      <c r="AN490" s="3" t="s">
        <v>81</v>
      </c>
      <c r="AO490" s="3" t="s">
        <v>371</v>
      </c>
      <c r="AP490" s="3" t="s">
        <v>92</v>
      </c>
      <c r="AR490" s="139"/>
      <c r="AS490" s="139"/>
      <c r="AT490" s="139"/>
      <c r="AU490" s="139"/>
    </row>
    <row r="491" spans="1:47" ht="15" customHeight="1" x14ac:dyDescent="0.4">
      <c r="B491" s="1947" t="s">
        <v>2393</v>
      </c>
      <c r="C491" s="7"/>
      <c r="D491" s="7"/>
      <c r="E491" s="7"/>
      <c r="F491" s="7"/>
      <c r="G491" s="7"/>
      <c r="V491" s="38" t="s">
        <v>369</v>
      </c>
      <c r="W491" s="3" t="s">
        <v>372</v>
      </c>
      <c r="X491" s="38" t="s">
        <v>369</v>
      </c>
      <c r="Y491" s="1443">
        <v>200170021</v>
      </c>
      <c r="Z491" s="1443"/>
      <c r="AE491" s="3"/>
      <c r="AF491" s="38"/>
      <c r="AH491" s="51">
        <f>AH526</f>
        <v>5.74E-2</v>
      </c>
      <c r="AI491" s="39"/>
      <c r="AJ491" s="39"/>
      <c r="AK491" s="39"/>
      <c r="AL491" s="51">
        <f t="shared" si="86"/>
        <v>0.19581053333333334</v>
      </c>
      <c r="AM491" s="3" t="s">
        <v>371</v>
      </c>
      <c r="AN491" s="3" t="s">
        <v>371</v>
      </c>
      <c r="AO491" s="3" t="s">
        <v>371</v>
      </c>
      <c r="AP491" s="3" t="s">
        <v>92</v>
      </c>
      <c r="AR491" s="139"/>
      <c r="AS491" s="139"/>
      <c r="AT491" s="139"/>
      <c r="AU491" s="139"/>
    </row>
    <row r="492" spans="1:47" ht="15" customHeight="1" x14ac:dyDescent="0.4">
      <c r="B492" s="8"/>
      <c r="C492" s="7"/>
      <c r="D492" s="7"/>
      <c r="E492" s="7"/>
      <c r="F492" s="7"/>
      <c r="G492" s="7"/>
      <c r="M492" s="350"/>
      <c r="N492" s="350"/>
      <c r="O492" s="350"/>
      <c r="V492" s="38" t="s">
        <v>369</v>
      </c>
      <c r="W492" s="3" t="s">
        <v>373</v>
      </c>
      <c r="X492" s="38" t="s">
        <v>369</v>
      </c>
      <c r="Y492" s="1443">
        <v>200170033</v>
      </c>
      <c r="Z492" s="1443"/>
      <c r="AE492" s="3"/>
      <c r="AF492" s="38"/>
      <c r="AH492" s="51">
        <f>AH527</f>
        <v>5.8000000000000003E-2</v>
      </c>
      <c r="AI492" s="39"/>
      <c r="AJ492" s="39"/>
      <c r="AK492" s="39"/>
      <c r="AL492" s="51">
        <f t="shared" si="86"/>
        <v>0.19785733333333333</v>
      </c>
      <c r="AM492" s="3" t="s">
        <v>371</v>
      </c>
      <c r="AN492" s="3" t="s">
        <v>371</v>
      </c>
      <c r="AO492" s="3" t="s">
        <v>371</v>
      </c>
      <c r="AP492" s="3" t="s">
        <v>92</v>
      </c>
      <c r="AR492" s="139"/>
      <c r="AS492" s="139"/>
      <c r="AT492" s="139"/>
      <c r="AU492" s="139"/>
    </row>
    <row r="493" spans="1:47" ht="15" customHeight="1" x14ac:dyDescent="0.4">
      <c r="B493" s="8"/>
      <c r="C493" s="7"/>
      <c r="D493" s="7"/>
      <c r="E493" s="7"/>
      <c r="F493" s="7"/>
      <c r="G493" s="7"/>
      <c r="M493" s="350"/>
      <c r="N493" s="350"/>
      <c r="O493" s="350"/>
      <c r="V493" s="38" t="s">
        <v>369</v>
      </c>
      <c r="W493" s="3" t="s">
        <v>374</v>
      </c>
      <c r="X493" s="38" t="s">
        <v>369</v>
      </c>
      <c r="Y493" s="1443">
        <v>200170090</v>
      </c>
      <c r="Z493" s="1443"/>
      <c r="AE493" s="3"/>
      <c r="AF493" s="38"/>
      <c r="AH493" s="51">
        <f>AH528</f>
        <v>0.10829999999999999</v>
      </c>
      <c r="AI493" s="39"/>
      <c r="AJ493" s="39"/>
      <c r="AK493" s="39"/>
      <c r="AL493" s="51">
        <f t="shared" si="86"/>
        <v>0.36944739999999998</v>
      </c>
      <c r="AM493" s="3" t="s">
        <v>371</v>
      </c>
      <c r="AN493" s="3" t="s">
        <v>371</v>
      </c>
      <c r="AO493" s="3" t="s">
        <v>81</v>
      </c>
      <c r="AP493" s="3" t="s">
        <v>92</v>
      </c>
      <c r="AR493" s="139"/>
      <c r="AS493" s="139"/>
      <c r="AT493" s="139"/>
      <c r="AU493" s="139"/>
    </row>
    <row r="494" spans="1:47" ht="15" customHeight="1" x14ac:dyDescent="0.4">
      <c r="B494" s="8"/>
      <c r="C494" s="7"/>
      <c r="D494" s="7"/>
      <c r="E494" s="7"/>
      <c r="F494" s="7"/>
      <c r="G494" s="7"/>
      <c r="M494" s="350"/>
      <c r="N494" s="350"/>
      <c r="O494" s="350"/>
      <c r="T494" s="842"/>
      <c r="V494" s="279" t="s">
        <v>369</v>
      </c>
      <c r="W494" s="112" t="s">
        <v>375</v>
      </c>
      <c r="X494" s="279" t="s">
        <v>369</v>
      </c>
      <c r="Y494" s="1871">
        <v>200170133</v>
      </c>
      <c r="Z494" s="1443"/>
      <c r="AE494" s="3"/>
      <c r="AF494" s="38"/>
      <c r="AH494" s="844">
        <f>AH529</f>
        <v>0</v>
      </c>
      <c r="AI494" s="39"/>
      <c r="AJ494" s="39"/>
      <c r="AK494" s="39"/>
      <c r="AL494" s="51">
        <f t="shared" si="86"/>
        <v>0</v>
      </c>
      <c r="AM494" s="3" t="s">
        <v>371</v>
      </c>
      <c r="AN494" s="3" t="s">
        <v>371</v>
      </c>
      <c r="AO494" s="3" t="s">
        <v>371</v>
      </c>
      <c r="AP494" s="3" t="s">
        <v>92</v>
      </c>
      <c r="AR494" s="139"/>
      <c r="AS494" s="139"/>
      <c r="AT494" s="139"/>
      <c r="AU494" s="139"/>
    </row>
    <row r="495" spans="1:47" ht="15" customHeight="1" thickBot="1" x14ac:dyDescent="0.45">
      <c r="B495" s="949"/>
      <c r="C495" s="924"/>
      <c r="D495" s="924"/>
      <c r="E495" s="924"/>
      <c r="F495" s="924"/>
      <c r="G495" s="924"/>
      <c r="H495" s="948"/>
      <c r="I495" s="889"/>
      <c r="J495" s="889"/>
      <c r="K495" s="889"/>
      <c r="L495" s="889"/>
      <c r="M495" s="950"/>
      <c r="N495" s="950"/>
      <c r="O495" s="950"/>
      <c r="P495" s="945"/>
      <c r="Q495" s="945"/>
      <c r="R495" s="889"/>
      <c r="S495" s="945"/>
      <c r="T495" s="889"/>
      <c r="U495" s="948"/>
      <c r="V495" s="1876" t="s">
        <v>369</v>
      </c>
      <c r="W495" s="1877" t="s">
        <v>1849</v>
      </c>
      <c r="X495" s="1876" t="s">
        <v>369</v>
      </c>
      <c r="Y495" s="1878">
        <v>200170148</v>
      </c>
      <c r="Z495" s="1444"/>
      <c r="AA495" s="948"/>
      <c r="AB495" s="889"/>
      <c r="AC495" s="889"/>
      <c r="AD495" s="945"/>
      <c r="AE495" s="889"/>
      <c r="AF495" s="888"/>
      <c r="AG495" s="945"/>
      <c r="AH495" s="937">
        <v>0</v>
      </c>
      <c r="AI495" s="947"/>
      <c r="AJ495" s="947"/>
      <c r="AK495" s="947"/>
      <c r="AL495" s="937">
        <f t="shared" si="86"/>
        <v>0</v>
      </c>
      <c r="AM495" s="889" t="s">
        <v>371</v>
      </c>
      <c r="AN495" s="889" t="s">
        <v>371</v>
      </c>
      <c r="AO495" s="889" t="s">
        <v>81</v>
      </c>
      <c r="AP495" s="889" t="s">
        <v>92</v>
      </c>
      <c r="AQ495" s="889"/>
      <c r="AR495" s="139"/>
      <c r="AS495" s="139"/>
      <c r="AT495" s="139"/>
      <c r="AU495" s="139"/>
    </row>
    <row r="496" spans="1:47" ht="15" customHeight="1" x14ac:dyDescent="0.4">
      <c r="A496" s="3" t="s">
        <v>1166</v>
      </c>
      <c r="B496" s="173" t="s">
        <v>1268</v>
      </c>
      <c r="C496" s="138"/>
      <c r="D496" s="138"/>
      <c r="E496" s="138"/>
      <c r="F496" s="138"/>
      <c r="G496" s="173"/>
      <c r="H496" s="193"/>
      <c r="I496" s="116" t="s">
        <v>392</v>
      </c>
      <c r="J496" s="116" t="s">
        <v>346</v>
      </c>
      <c r="K496" s="116">
        <v>2</v>
      </c>
      <c r="L496" s="116" t="s">
        <v>348</v>
      </c>
      <c r="M496" s="177">
        <v>-3.2189999999999999</v>
      </c>
      <c r="N496" s="177"/>
      <c r="O496" s="177"/>
      <c r="P496" s="177" t="s">
        <v>348</v>
      </c>
      <c r="Q496" s="177" t="s">
        <v>2342</v>
      </c>
      <c r="R496" s="116" t="s">
        <v>352</v>
      </c>
      <c r="S496" s="177">
        <f>SL2Width/K496+M496+SL2SORnd</f>
        <v>20.530999999999999</v>
      </c>
      <c r="T496" s="116" t="s">
        <v>366</v>
      </c>
      <c r="U496" s="193"/>
      <c r="V496" s="138"/>
      <c r="W496" s="138"/>
      <c r="X496" s="138"/>
      <c r="Y496" s="1449"/>
      <c r="Z496" s="1449"/>
      <c r="AA496" s="193"/>
      <c r="AB496" s="116">
        <v>45</v>
      </c>
      <c r="AC496" s="116">
        <v>1</v>
      </c>
      <c r="AD496" s="177">
        <f>AC496*S496/12</f>
        <v>1.7109166666666666</v>
      </c>
      <c r="AE496" s="116" t="s">
        <v>367</v>
      </c>
      <c r="AF496" s="179">
        <v>4.3999999999999997E-2</v>
      </c>
      <c r="AG496" s="177">
        <f>AF496*AtolbperftSL2</f>
        <v>2.7829999999999997E-2</v>
      </c>
      <c r="AH496" s="185"/>
      <c r="AI496" s="180"/>
      <c r="AJ496" s="180"/>
      <c r="AK496" s="180"/>
      <c r="AL496" s="180"/>
      <c r="AM496" s="3" t="s">
        <v>371</v>
      </c>
      <c r="AN496" s="3" t="s">
        <v>371</v>
      </c>
      <c r="AO496" s="3" t="s">
        <v>371</v>
      </c>
      <c r="AP496" s="3" t="s">
        <v>81</v>
      </c>
      <c r="AR496" s="139"/>
      <c r="AS496" s="139"/>
      <c r="AT496" s="139"/>
      <c r="AU496" s="139"/>
    </row>
    <row r="497" spans="1:47" ht="15" customHeight="1" x14ac:dyDescent="0.4">
      <c r="B497" s="36"/>
      <c r="C497" s="7"/>
      <c r="D497" s="7"/>
      <c r="E497" s="7"/>
      <c r="F497" s="7"/>
      <c r="G497" s="7"/>
      <c r="V497" s="38" t="s">
        <v>369</v>
      </c>
      <c r="W497" s="3" t="s">
        <v>370</v>
      </c>
      <c r="X497" s="38" t="s">
        <v>369</v>
      </c>
      <c r="Y497" s="1443">
        <v>200171003</v>
      </c>
      <c r="Z497" s="1443"/>
      <c r="AE497" s="3"/>
      <c r="AF497" s="38"/>
      <c r="AH497" s="51">
        <f>AH532</f>
        <v>5.7099999999999998E-2</v>
      </c>
      <c r="AI497" s="39"/>
      <c r="AJ497" s="39"/>
      <c r="AK497" s="39"/>
      <c r="AL497" s="51">
        <f t="shared" ref="AL497:AL502" si="87">AD$496*AH497+SUM(AI497:AK497)</f>
        <v>9.7693341666666655E-2</v>
      </c>
      <c r="AM497" s="3" t="s">
        <v>371</v>
      </c>
      <c r="AN497" s="3" t="s">
        <v>371</v>
      </c>
      <c r="AO497" s="3" t="s">
        <v>371</v>
      </c>
      <c r="AP497" s="3" t="s">
        <v>92</v>
      </c>
      <c r="AR497" s="139"/>
      <c r="AS497" s="139"/>
      <c r="AT497" s="139"/>
      <c r="AU497" s="139"/>
    </row>
    <row r="498" spans="1:47" ht="15" customHeight="1" x14ac:dyDescent="0.4">
      <c r="B498" s="36"/>
      <c r="C498" s="7"/>
      <c r="D498" s="7"/>
      <c r="E498" s="7"/>
      <c r="F498" s="7"/>
      <c r="G498" s="7"/>
      <c r="V498" s="38" t="s">
        <v>369</v>
      </c>
      <c r="W498" s="3" t="s">
        <v>372</v>
      </c>
      <c r="X498" s="38" t="s">
        <v>369</v>
      </c>
      <c r="Y498" s="1443">
        <v>200171021</v>
      </c>
      <c r="Z498" s="1443"/>
      <c r="AE498" s="3"/>
      <c r="AF498" s="38"/>
      <c r="AH498" s="51">
        <f>AH533</f>
        <v>6.1199999999999997E-2</v>
      </c>
      <c r="AI498" s="39"/>
      <c r="AJ498" s="39"/>
      <c r="AK498" s="39"/>
      <c r="AL498" s="51">
        <f t="shared" si="87"/>
        <v>0.1047081</v>
      </c>
      <c r="AM498" s="3" t="s">
        <v>371</v>
      </c>
      <c r="AN498" s="3" t="s">
        <v>371</v>
      </c>
      <c r="AO498" s="3" t="s">
        <v>371</v>
      </c>
      <c r="AP498" s="3" t="s">
        <v>92</v>
      </c>
      <c r="AR498" s="139"/>
      <c r="AS498" s="139"/>
      <c r="AT498" s="139"/>
      <c r="AU498" s="139"/>
    </row>
    <row r="499" spans="1:47" ht="15" customHeight="1" x14ac:dyDescent="0.4">
      <c r="B499" s="8"/>
      <c r="C499" s="7"/>
      <c r="D499" s="7"/>
      <c r="E499" s="7"/>
      <c r="F499" s="7"/>
      <c r="G499" s="7"/>
      <c r="M499" s="350"/>
      <c r="N499" s="350"/>
      <c r="O499" s="350"/>
      <c r="V499" s="38" t="s">
        <v>369</v>
      </c>
      <c r="W499" s="3" t="s">
        <v>373</v>
      </c>
      <c r="X499" s="38" t="s">
        <v>369</v>
      </c>
      <c r="Y499" s="1443">
        <v>200171033</v>
      </c>
      <c r="Z499" s="1443"/>
      <c r="AE499" s="3"/>
      <c r="AF499" s="38"/>
      <c r="AH499" s="51">
        <f>AH534</f>
        <v>6.2199999999999998E-2</v>
      </c>
      <c r="AI499" s="39"/>
      <c r="AJ499" s="39"/>
      <c r="AK499" s="39"/>
      <c r="AL499" s="51">
        <f t="shared" si="87"/>
        <v>0.10641901666666666</v>
      </c>
      <c r="AM499" s="3" t="s">
        <v>371</v>
      </c>
      <c r="AN499" s="3" t="s">
        <v>371</v>
      </c>
      <c r="AO499" s="3" t="s">
        <v>371</v>
      </c>
      <c r="AP499" s="3" t="s">
        <v>92</v>
      </c>
      <c r="AR499" s="139"/>
      <c r="AS499" s="139"/>
      <c r="AT499" s="139"/>
      <c r="AU499" s="139"/>
    </row>
    <row r="500" spans="1:47" ht="15" customHeight="1" x14ac:dyDescent="0.4">
      <c r="B500" s="8"/>
      <c r="C500" s="7"/>
      <c r="D500" s="7"/>
      <c r="E500" s="7"/>
      <c r="F500" s="7"/>
      <c r="G500" s="7"/>
      <c r="M500" s="350"/>
      <c r="N500" s="350"/>
      <c r="O500" s="350"/>
      <c r="V500" s="38" t="s">
        <v>369</v>
      </c>
      <c r="W500" s="3" t="s">
        <v>374</v>
      </c>
      <c r="X500" s="38" t="s">
        <v>369</v>
      </c>
      <c r="Y500" s="1443">
        <v>200171090</v>
      </c>
      <c r="Z500" s="1443"/>
      <c r="AE500" s="3"/>
      <c r="AF500" s="38"/>
      <c r="AH500" s="51">
        <f>AH535</f>
        <v>0.1129</v>
      </c>
      <c r="AI500" s="39"/>
      <c r="AJ500" s="39"/>
      <c r="AK500" s="39"/>
      <c r="AL500" s="51">
        <f t="shared" si="87"/>
        <v>0.19316249166666666</v>
      </c>
      <c r="AM500" s="3" t="s">
        <v>371</v>
      </c>
      <c r="AN500" s="3" t="s">
        <v>371</v>
      </c>
      <c r="AO500" s="3" t="s">
        <v>371</v>
      </c>
      <c r="AP500" s="3" t="s">
        <v>92</v>
      </c>
      <c r="AR500" s="139"/>
      <c r="AS500" s="139"/>
      <c r="AT500" s="139"/>
      <c r="AU500" s="139"/>
    </row>
    <row r="501" spans="1:47" ht="15" customHeight="1" x14ac:dyDescent="0.4">
      <c r="B501" s="8"/>
      <c r="C501" s="7"/>
      <c r="D501" s="7"/>
      <c r="E501" s="7"/>
      <c r="F501" s="7"/>
      <c r="G501" s="7"/>
      <c r="M501" s="350"/>
      <c r="N501" s="350"/>
      <c r="O501" s="350"/>
      <c r="V501" s="38" t="s">
        <v>369</v>
      </c>
      <c r="W501" s="3" t="s">
        <v>375</v>
      </c>
      <c r="X501" s="38" t="s">
        <v>369</v>
      </c>
      <c r="Y501" s="1443">
        <v>200171133</v>
      </c>
      <c r="Z501" s="1443"/>
      <c r="AE501" s="3"/>
      <c r="AF501" s="38"/>
      <c r="AH501" s="844">
        <f>AH536</f>
        <v>0.1469</v>
      </c>
      <c r="AI501" s="39"/>
      <c r="AJ501" s="39"/>
      <c r="AK501" s="39"/>
      <c r="AL501" s="51">
        <f t="shared" si="87"/>
        <v>0.25133365833333332</v>
      </c>
      <c r="AM501" s="3" t="s">
        <v>371</v>
      </c>
      <c r="AN501" s="3" t="s">
        <v>371</v>
      </c>
      <c r="AO501" s="3" t="s">
        <v>371</v>
      </c>
      <c r="AP501" s="3" t="s">
        <v>81</v>
      </c>
      <c r="AR501" s="139"/>
      <c r="AS501" s="139"/>
      <c r="AT501" s="139"/>
      <c r="AU501" s="139"/>
    </row>
    <row r="502" spans="1:47" ht="15" customHeight="1" thickBot="1" x14ac:dyDescent="0.45">
      <c r="B502" s="8"/>
      <c r="C502" s="7"/>
      <c r="D502" s="7"/>
      <c r="E502" s="7"/>
      <c r="F502" s="7"/>
      <c r="G502" s="7"/>
      <c r="M502" s="350"/>
      <c r="N502" s="350"/>
      <c r="O502" s="350"/>
      <c r="T502" s="889"/>
      <c r="U502" s="948"/>
      <c r="V502" s="1876" t="s">
        <v>369</v>
      </c>
      <c r="W502" s="1877" t="s">
        <v>1849</v>
      </c>
      <c r="X502" s="1876" t="s">
        <v>369</v>
      </c>
      <c r="Y502" s="1878">
        <v>200171148</v>
      </c>
      <c r="Z502" s="1444"/>
      <c r="AA502" s="948"/>
      <c r="AB502" s="889"/>
      <c r="AC502" s="889"/>
      <c r="AD502" s="945"/>
      <c r="AE502" s="889"/>
      <c r="AF502" s="888"/>
      <c r="AG502" s="945"/>
      <c r="AH502" s="937">
        <v>0</v>
      </c>
      <c r="AI502" s="947"/>
      <c r="AJ502" s="947"/>
      <c r="AK502" s="947"/>
      <c r="AL502" s="937">
        <f t="shared" si="87"/>
        <v>0</v>
      </c>
      <c r="AM502" s="889" t="s">
        <v>371</v>
      </c>
      <c r="AN502" s="889" t="s">
        <v>371</v>
      </c>
      <c r="AO502" s="889" t="s">
        <v>371</v>
      </c>
      <c r="AP502" s="889" t="s">
        <v>92</v>
      </c>
      <c r="AQ502" s="889"/>
      <c r="AR502" s="139"/>
      <c r="AS502" s="139"/>
      <c r="AT502" s="139"/>
      <c r="AU502" s="139"/>
    </row>
    <row r="503" spans="1:47" ht="15" customHeight="1" x14ac:dyDescent="0.4">
      <c r="B503" s="173" t="s">
        <v>1269</v>
      </c>
      <c r="C503" s="138"/>
      <c r="D503" s="138"/>
      <c r="E503" s="138"/>
      <c r="F503" s="138"/>
      <c r="G503" s="173"/>
      <c r="H503" s="193"/>
      <c r="I503" s="116" t="s">
        <v>392</v>
      </c>
      <c r="J503" s="116" t="s">
        <v>346</v>
      </c>
      <c r="K503" s="116">
        <v>2</v>
      </c>
      <c r="L503" s="116" t="s">
        <v>348</v>
      </c>
      <c r="M503" s="177">
        <v>-3.2189999999999999</v>
      </c>
      <c r="N503" s="177"/>
      <c r="O503" s="177"/>
      <c r="P503" s="177" t="s">
        <v>348</v>
      </c>
      <c r="Q503" s="177" t="s">
        <v>2342</v>
      </c>
      <c r="R503" s="116" t="s">
        <v>352</v>
      </c>
      <c r="S503" s="177">
        <f>SL2Width/K503+M503+SL2SORnd</f>
        <v>20.530999999999999</v>
      </c>
      <c r="T503" s="3" t="s">
        <v>366</v>
      </c>
      <c r="V503" s="38"/>
      <c r="X503" s="38"/>
      <c r="Y503" s="1443"/>
      <c r="Z503" s="1443"/>
      <c r="AB503" s="3">
        <v>45</v>
      </c>
      <c r="AC503" s="3">
        <v>1</v>
      </c>
      <c r="AD503" s="5">
        <f>AC503*S503/12</f>
        <v>1.7109166666666666</v>
      </c>
      <c r="AE503" s="3" t="s">
        <v>367</v>
      </c>
      <c r="AF503" s="38">
        <v>4.1000000000000002E-2</v>
      </c>
      <c r="AG503" s="5">
        <f>AF503*AtolbperftSL2</f>
        <v>2.5932500000000001E-2</v>
      </c>
      <c r="AH503" s="39"/>
      <c r="AI503" s="39"/>
      <c r="AJ503" s="39"/>
      <c r="AK503" s="39"/>
      <c r="AM503" s="3" t="s">
        <v>371</v>
      </c>
      <c r="AN503" s="3" t="s">
        <v>371</v>
      </c>
      <c r="AO503" s="3" t="s">
        <v>371</v>
      </c>
      <c r="AP503" s="3" t="s">
        <v>92</v>
      </c>
      <c r="AR503" s="139"/>
      <c r="AS503" s="139"/>
      <c r="AT503" s="139"/>
      <c r="AU503" s="139"/>
    </row>
    <row r="504" spans="1:47" ht="15" customHeight="1" x14ac:dyDescent="0.4">
      <c r="B504" s="8"/>
      <c r="C504" s="7"/>
      <c r="D504" s="7"/>
      <c r="E504" s="7"/>
      <c r="F504" s="7"/>
      <c r="G504" s="7"/>
      <c r="M504" s="350"/>
      <c r="N504" s="350"/>
      <c r="O504" s="350"/>
      <c r="V504" s="38" t="s">
        <v>369</v>
      </c>
      <c r="W504" s="3" t="s">
        <v>370</v>
      </c>
      <c r="X504" s="38" t="s">
        <v>369</v>
      </c>
      <c r="Y504" s="1443">
        <v>200190003</v>
      </c>
      <c r="Z504" s="1443"/>
      <c r="AE504" s="3"/>
      <c r="AF504" s="38"/>
      <c r="AH504" s="51">
        <f>AH539</f>
        <v>5.0599999999999999E-2</v>
      </c>
      <c r="AI504" s="39"/>
      <c r="AJ504" s="39"/>
      <c r="AK504" s="39"/>
      <c r="AL504" s="51">
        <f t="shared" ref="AL504:AL509" si="88">AD$503*AH504+SUM(AI504:AK504)</f>
        <v>8.6572383333333336E-2</v>
      </c>
      <c r="AM504" s="3" t="s">
        <v>371</v>
      </c>
      <c r="AN504" s="3" t="s">
        <v>371</v>
      </c>
      <c r="AO504" s="3" t="s">
        <v>371</v>
      </c>
      <c r="AP504" s="3" t="s">
        <v>92</v>
      </c>
      <c r="AR504" s="139"/>
      <c r="AS504" s="139"/>
      <c r="AT504" s="139"/>
      <c r="AU504" s="139"/>
    </row>
    <row r="505" spans="1:47" ht="15" customHeight="1" x14ac:dyDescent="0.4">
      <c r="B505" s="8"/>
      <c r="C505" s="7"/>
      <c r="D505" s="7"/>
      <c r="E505" s="7"/>
      <c r="F505" s="7"/>
      <c r="G505" s="7"/>
      <c r="M505" s="350"/>
      <c r="N505" s="350"/>
      <c r="O505" s="350"/>
      <c r="V505" s="38" t="s">
        <v>369</v>
      </c>
      <c r="W505" s="3" t="s">
        <v>372</v>
      </c>
      <c r="X505" s="38" t="s">
        <v>369</v>
      </c>
      <c r="Y505" s="1443">
        <v>200190021</v>
      </c>
      <c r="Z505" s="1443"/>
      <c r="AE505" s="3"/>
      <c r="AF505" s="38"/>
      <c r="AH505" s="51">
        <f>AH540</f>
        <v>5.6800000000000003E-2</v>
      </c>
      <c r="AI505" s="39"/>
      <c r="AJ505" s="39"/>
      <c r="AK505" s="39"/>
      <c r="AL505" s="51">
        <f t="shared" si="88"/>
        <v>9.7180066666666676E-2</v>
      </c>
      <c r="AM505" s="3" t="s">
        <v>371</v>
      </c>
      <c r="AN505" s="3" t="s">
        <v>371</v>
      </c>
      <c r="AO505" s="3" t="s">
        <v>371</v>
      </c>
      <c r="AP505" s="3" t="s">
        <v>92</v>
      </c>
      <c r="AR505" s="139"/>
      <c r="AS505" s="139"/>
      <c r="AT505" s="139"/>
      <c r="AU505" s="139"/>
    </row>
    <row r="506" spans="1:47" ht="15" customHeight="1" x14ac:dyDescent="0.4">
      <c r="B506" s="8"/>
      <c r="C506" s="7"/>
      <c r="D506" s="7"/>
      <c r="E506" s="7"/>
      <c r="F506" s="7"/>
      <c r="G506" s="7"/>
      <c r="M506" s="350"/>
      <c r="N506" s="350"/>
      <c r="O506" s="350"/>
      <c r="V506" s="38" t="s">
        <v>369</v>
      </c>
      <c r="W506" s="3" t="s">
        <v>373</v>
      </c>
      <c r="X506" s="38" t="s">
        <v>369</v>
      </c>
      <c r="Y506" s="1443">
        <v>200190033</v>
      </c>
      <c r="Z506" s="1443"/>
      <c r="AE506" s="3"/>
      <c r="AF506" s="38"/>
      <c r="AH506" s="51">
        <f>AH541</f>
        <v>6.1600000000000002E-2</v>
      </c>
      <c r="AI506" s="39"/>
      <c r="AJ506" s="39"/>
      <c r="AK506" s="39"/>
      <c r="AL506" s="51">
        <f t="shared" si="88"/>
        <v>0.10539246666666667</v>
      </c>
      <c r="AM506" s="3" t="s">
        <v>371</v>
      </c>
      <c r="AN506" s="3" t="s">
        <v>371</v>
      </c>
      <c r="AO506" s="3" t="s">
        <v>371</v>
      </c>
      <c r="AP506" s="3" t="s">
        <v>92</v>
      </c>
      <c r="AR506" s="139"/>
      <c r="AS506" s="139"/>
      <c r="AT506" s="139"/>
      <c r="AU506" s="139"/>
    </row>
    <row r="507" spans="1:47" ht="15" customHeight="1" x14ac:dyDescent="0.4">
      <c r="B507" s="8"/>
      <c r="C507" s="7"/>
      <c r="D507" s="7"/>
      <c r="E507" s="7"/>
      <c r="F507" s="7"/>
      <c r="G507" s="7"/>
      <c r="M507" s="350"/>
      <c r="N507" s="350"/>
      <c r="O507" s="350"/>
      <c r="V507" s="38" t="s">
        <v>369</v>
      </c>
      <c r="W507" s="3" t="s">
        <v>374</v>
      </c>
      <c r="X507" s="38" t="s">
        <v>369</v>
      </c>
      <c r="Y507" s="1443">
        <v>200190090</v>
      </c>
      <c r="Z507" s="1443"/>
      <c r="AE507" s="3"/>
      <c r="AF507" s="38"/>
      <c r="AH507" s="51">
        <f>AH542</f>
        <v>0.1077</v>
      </c>
      <c r="AI507" s="39"/>
      <c r="AJ507" s="39"/>
      <c r="AK507" s="39"/>
      <c r="AL507" s="51">
        <f t="shared" si="88"/>
        <v>0.18426572499999999</v>
      </c>
      <c r="AM507" s="3" t="s">
        <v>371</v>
      </c>
      <c r="AN507" s="3" t="s">
        <v>371</v>
      </c>
      <c r="AO507" s="3" t="s">
        <v>371</v>
      </c>
      <c r="AP507" s="3" t="s">
        <v>92</v>
      </c>
      <c r="AR507" s="139"/>
      <c r="AS507" s="139"/>
      <c r="AT507" s="139"/>
      <c r="AU507" s="139"/>
    </row>
    <row r="508" spans="1:47" ht="15" customHeight="1" x14ac:dyDescent="0.4">
      <c r="B508" s="8"/>
      <c r="C508" s="7"/>
      <c r="D508" s="7"/>
      <c r="E508" s="7"/>
      <c r="F508" s="7"/>
      <c r="G508" s="7"/>
      <c r="M508" s="350"/>
      <c r="N508" s="350"/>
      <c r="O508" s="350"/>
      <c r="V508" s="38" t="s">
        <v>369</v>
      </c>
      <c r="W508" s="3" t="s">
        <v>375</v>
      </c>
      <c r="X508" s="38" t="s">
        <v>369</v>
      </c>
      <c r="Y508" s="1443">
        <v>200190133</v>
      </c>
      <c r="Z508" s="1443"/>
      <c r="AE508" s="3"/>
      <c r="AF508" s="38"/>
      <c r="AH508" s="844">
        <f>AH543</f>
        <v>0.14069999999999999</v>
      </c>
      <c r="AI508" s="39"/>
      <c r="AJ508" s="39"/>
      <c r="AK508" s="39"/>
      <c r="AL508" s="51">
        <f t="shared" si="88"/>
        <v>0.24072597499999998</v>
      </c>
      <c r="AM508" s="3" t="s">
        <v>371</v>
      </c>
      <c r="AN508" s="3" t="s">
        <v>371</v>
      </c>
      <c r="AO508" s="3" t="s">
        <v>371</v>
      </c>
      <c r="AP508" s="3" t="s">
        <v>371</v>
      </c>
      <c r="AR508" s="139"/>
      <c r="AS508" s="139"/>
      <c r="AT508" s="139"/>
      <c r="AU508" s="139"/>
    </row>
    <row r="509" spans="1:47" ht="15" customHeight="1" thickBot="1" x14ac:dyDescent="0.45">
      <c r="B509" s="8"/>
      <c r="C509" s="7"/>
      <c r="D509" s="7"/>
      <c r="E509" s="7"/>
      <c r="F509" s="7"/>
      <c r="G509" s="7"/>
      <c r="M509" s="350"/>
      <c r="N509" s="350"/>
      <c r="O509" s="350"/>
      <c r="V509" s="1876" t="s">
        <v>369</v>
      </c>
      <c r="W509" s="1877" t="s">
        <v>1849</v>
      </c>
      <c r="X509" s="1876" t="s">
        <v>369</v>
      </c>
      <c r="Y509" s="1878">
        <v>200190148</v>
      </c>
      <c r="Z509" s="1444"/>
      <c r="AA509" s="948"/>
      <c r="AB509" s="889"/>
      <c r="AC509" s="889"/>
      <c r="AD509" s="945"/>
      <c r="AE509" s="889"/>
      <c r="AF509" s="888"/>
      <c r="AG509" s="945"/>
      <c r="AH509" s="937">
        <v>0</v>
      </c>
      <c r="AI509" s="947"/>
      <c r="AJ509" s="947"/>
      <c r="AK509" s="947"/>
      <c r="AL509" s="937">
        <f t="shared" si="88"/>
        <v>0</v>
      </c>
      <c r="AM509" s="889" t="s">
        <v>371</v>
      </c>
      <c r="AN509" s="889" t="s">
        <v>371</v>
      </c>
      <c r="AO509" s="889" t="s">
        <v>371</v>
      </c>
      <c r="AP509" s="889" t="s">
        <v>92</v>
      </c>
      <c r="AQ509" s="889"/>
      <c r="AR509" s="139"/>
      <c r="AS509" s="139"/>
      <c r="AT509" s="139"/>
      <c r="AU509" s="139"/>
    </row>
    <row r="510" spans="1:47" ht="15" customHeight="1" x14ac:dyDescent="0.4">
      <c r="A510" s="3" t="s">
        <v>1169</v>
      </c>
      <c r="B510" s="173" t="s">
        <v>1270</v>
      </c>
      <c r="C510" s="138"/>
      <c r="D510" s="138"/>
      <c r="E510" s="138"/>
      <c r="F510" s="138"/>
      <c r="G510" s="173"/>
      <c r="H510" s="193"/>
      <c r="I510" s="116" t="s">
        <v>392</v>
      </c>
      <c r="J510" s="116" t="s">
        <v>346</v>
      </c>
      <c r="K510" s="116">
        <v>2</v>
      </c>
      <c r="L510" s="116" t="s">
        <v>348</v>
      </c>
      <c r="M510" s="177">
        <v>-3.282</v>
      </c>
      <c r="N510" s="177"/>
      <c r="O510" s="177"/>
      <c r="P510" s="177" t="s">
        <v>348</v>
      </c>
      <c r="Q510" s="177" t="s">
        <v>2342</v>
      </c>
      <c r="R510" s="116" t="s">
        <v>352</v>
      </c>
      <c r="S510" s="177">
        <f>SL2Width/K510+M510+SL2SORnd</f>
        <v>20.468</v>
      </c>
      <c r="T510" s="116" t="s">
        <v>366</v>
      </c>
      <c r="U510" s="193"/>
      <c r="V510" s="138"/>
      <c r="W510" s="138"/>
      <c r="X510" s="138"/>
      <c r="Y510" s="1449"/>
      <c r="Z510" s="1449"/>
      <c r="AA510" s="193"/>
      <c r="AB510" s="116">
        <v>45</v>
      </c>
      <c r="AC510" s="116">
        <v>1</v>
      </c>
      <c r="AD510" s="177">
        <f>AC510*S510/12</f>
        <v>1.7056666666666667</v>
      </c>
      <c r="AE510" s="116" t="s">
        <v>367</v>
      </c>
      <c r="AF510" s="179">
        <v>4.3999999999999997E-2</v>
      </c>
      <c r="AG510" s="177">
        <f>AF510*AtolbperftSL2</f>
        <v>2.7829999999999997E-2</v>
      </c>
      <c r="AH510" s="185"/>
      <c r="AI510" s="180"/>
      <c r="AJ510" s="180"/>
      <c r="AK510" s="180"/>
      <c r="AL510" s="180"/>
      <c r="AM510" s="3" t="s">
        <v>371</v>
      </c>
      <c r="AN510" s="3" t="s">
        <v>371</v>
      </c>
      <c r="AO510" s="3" t="s">
        <v>371</v>
      </c>
      <c r="AP510" s="3" t="s">
        <v>81</v>
      </c>
      <c r="AR510" s="139"/>
      <c r="AS510" s="139"/>
      <c r="AT510" s="139"/>
      <c r="AU510" s="139"/>
    </row>
    <row r="511" spans="1:47" ht="15" customHeight="1" x14ac:dyDescent="0.4">
      <c r="B511" s="36"/>
      <c r="C511" s="7"/>
      <c r="D511" s="7"/>
      <c r="E511" s="7"/>
      <c r="F511" s="7"/>
      <c r="G511" s="7"/>
      <c r="V511" s="38" t="s">
        <v>369</v>
      </c>
      <c r="W511" s="3" t="s">
        <v>370</v>
      </c>
      <c r="X511" s="38" t="s">
        <v>369</v>
      </c>
      <c r="Y511" s="1443">
        <v>200171003</v>
      </c>
      <c r="Z511" s="1443"/>
      <c r="AE511" s="3"/>
      <c r="AF511" s="38"/>
      <c r="AH511" s="51">
        <f>AH497</f>
        <v>5.7099999999999998E-2</v>
      </c>
      <c r="AI511" s="39"/>
      <c r="AJ511" s="39"/>
      <c r="AK511" s="39"/>
      <c r="AL511" s="51">
        <f t="shared" ref="AL511:AL516" si="89">AD$510*AH511+SUM(AI511:AK511)</f>
        <v>9.7393566666666667E-2</v>
      </c>
      <c r="AM511" s="3" t="s">
        <v>371</v>
      </c>
      <c r="AN511" s="3" t="s">
        <v>371</v>
      </c>
      <c r="AO511" s="3" t="s">
        <v>371</v>
      </c>
      <c r="AP511" s="3" t="s">
        <v>92</v>
      </c>
      <c r="AR511" s="139"/>
      <c r="AS511" s="139"/>
      <c r="AT511" s="139"/>
      <c r="AU511" s="139"/>
    </row>
    <row r="512" spans="1:47" ht="15" customHeight="1" x14ac:dyDescent="0.4">
      <c r="B512" s="36"/>
      <c r="C512" s="7"/>
      <c r="D512" s="7"/>
      <c r="E512" s="7"/>
      <c r="F512" s="7"/>
      <c r="G512" s="7"/>
      <c r="V512" s="38" t="s">
        <v>369</v>
      </c>
      <c r="W512" s="3" t="s">
        <v>372</v>
      </c>
      <c r="X512" s="38" t="s">
        <v>369</v>
      </c>
      <c r="Y512" s="1443">
        <v>200171021</v>
      </c>
      <c r="Z512" s="1443"/>
      <c r="AE512" s="3"/>
      <c r="AF512" s="38"/>
      <c r="AH512" s="51">
        <f>AH498</f>
        <v>6.1199999999999997E-2</v>
      </c>
      <c r="AI512" s="39"/>
      <c r="AJ512" s="39"/>
      <c r="AK512" s="39"/>
      <c r="AL512" s="51">
        <f t="shared" si="89"/>
        <v>0.1043868</v>
      </c>
      <c r="AM512" s="3" t="s">
        <v>371</v>
      </c>
      <c r="AN512" s="3" t="s">
        <v>371</v>
      </c>
      <c r="AO512" s="3" t="s">
        <v>371</v>
      </c>
      <c r="AP512" s="3" t="s">
        <v>92</v>
      </c>
      <c r="AR512" s="139"/>
      <c r="AS512" s="139"/>
      <c r="AT512" s="139"/>
      <c r="AU512" s="139"/>
    </row>
    <row r="513" spans="1:47" ht="15" customHeight="1" x14ac:dyDescent="0.4">
      <c r="B513" s="8"/>
      <c r="C513" s="7"/>
      <c r="D513" s="7"/>
      <c r="E513" s="7"/>
      <c r="F513" s="7"/>
      <c r="G513" s="7"/>
      <c r="M513" s="350"/>
      <c r="N513" s="350"/>
      <c r="O513" s="350"/>
      <c r="V513" s="38" t="s">
        <v>369</v>
      </c>
      <c r="W513" s="3" t="s">
        <v>373</v>
      </c>
      <c r="X513" s="38" t="s">
        <v>369</v>
      </c>
      <c r="Y513" s="1443">
        <v>200171033</v>
      </c>
      <c r="Z513" s="1443"/>
      <c r="AE513" s="3"/>
      <c r="AF513" s="38"/>
      <c r="AH513" s="51">
        <f>AH499</f>
        <v>6.2199999999999998E-2</v>
      </c>
      <c r="AI513" s="39"/>
      <c r="AJ513" s="39"/>
      <c r="AK513" s="39"/>
      <c r="AL513" s="51">
        <f t="shared" si="89"/>
        <v>0.10609246666666666</v>
      </c>
      <c r="AM513" s="3" t="s">
        <v>371</v>
      </c>
      <c r="AN513" s="3" t="s">
        <v>371</v>
      </c>
      <c r="AO513" s="3" t="s">
        <v>371</v>
      </c>
      <c r="AP513" s="3" t="s">
        <v>92</v>
      </c>
      <c r="AR513" s="139"/>
      <c r="AS513" s="139"/>
      <c r="AT513" s="139"/>
      <c r="AU513" s="139"/>
    </row>
    <row r="514" spans="1:47" ht="15" customHeight="1" x14ac:dyDescent="0.4">
      <c r="B514" s="8"/>
      <c r="C514" s="7"/>
      <c r="D514" s="7"/>
      <c r="E514" s="7"/>
      <c r="F514" s="7"/>
      <c r="G514" s="7"/>
      <c r="M514" s="350"/>
      <c r="N514" s="350"/>
      <c r="O514" s="350"/>
      <c r="V514" s="38" t="s">
        <v>369</v>
      </c>
      <c r="W514" s="3" t="s">
        <v>374</v>
      </c>
      <c r="X514" s="38" t="s">
        <v>369</v>
      </c>
      <c r="Y514" s="1443">
        <v>200171090</v>
      </c>
      <c r="Z514" s="1443"/>
      <c r="AE514" s="3"/>
      <c r="AF514" s="38"/>
      <c r="AH514" s="51">
        <f>AH500</f>
        <v>0.1129</v>
      </c>
      <c r="AI514" s="39"/>
      <c r="AJ514" s="39"/>
      <c r="AK514" s="39"/>
      <c r="AL514" s="51">
        <f t="shared" si="89"/>
        <v>0.19256976666666667</v>
      </c>
      <c r="AM514" s="3" t="s">
        <v>371</v>
      </c>
      <c r="AN514" s="3" t="s">
        <v>371</v>
      </c>
      <c r="AO514" s="3" t="s">
        <v>371</v>
      </c>
      <c r="AP514" s="3" t="s">
        <v>92</v>
      </c>
      <c r="AR514" s="139"/>
      <c r="AS514" s="139"/>
      <c r="AT514" s="139"/>
      <c r="AU514" s="139"/>
    </row>
    <row r="515" spans="1:47" ht="15" customHeight="1" x14ac:dyDescent="0.4">
      <c r="B515" s="8"/>
      <c r="C515" s="7"/>
      <c r="D515" s="7"/>
      <c r="E515" s="7"/>
      <c r="F515" s="7"/>
      <c r="G515" s="7"/>
      <c r="M515" s="350"/>
      <c r="N515" s="350"/>
      <c r="O515" s="350"/>
      <c r="V515" s="38" t="s">
        <v>369</v>
      </c>
      <c r="W515" s="3" t="s">
        <v>375</v>
      </c>
      <c r="X515" s="38" t="s">
        <v>369</v>
      </c>
      <c r="Y515" s="1443">
        <v>200171133</v>
      </c>
      <c r="Z515" s="1443"/>
      <c r="AE515" s="3"/>
      <c r="AF515" s="38"/>
      <c r="AH515" s="844">
        <f>AH501</f>
        <v>0.1469</v>
      </c>
      <c r="AI515" s="39"/>
      <c r="AJ515" s="39"/>
      <c r="AK515" s="39"/>
      <c r="AL515" s="51">
        <f t="shared" si="89"/>
        <v>0.25056243333333333</v>
      </c>
      <c r="AM515" s="3" t="s">
        <v>371</v>
      </c>
      <c r="AN515" s="3" t="s">
        <v>371</v>
      </c>
      <c r="AO515" s="3" t="s">
        <v>371</v>
      </c>
      <c r="AP515" s="3" t="s">
        <v>81</v>
      </c>
      <c r="AR515" s="139"/>
      <c r="AS515" s="139"/>
      <c r="AT515" s="139"/>
      <c r="AU515" s="139"/>
    </row>
    <row r="516" spans="1:47" ht="15" customHeight="1" thickBot="1" x14ac:dyDescent="0.45">
      <c r="B516" s="8"/>
      <c r="C516" s="7"/>
      <c r="D516" s="7"/>
      <c r="E516" s="7"/>
      <c r="F516" s="7"/>
      <c r="G516" s="7"/>
      <c r="M516" s="350"/>
      <c r="N516" s="350"/>
      <c r="O516" s="350"/>
      <c r="U516" s="948"/>
      <c r="V516" s="1876" t="s">
        <v>369</v>
      </c>
      <c r="W516" s="1877" t="s">
        <v>1849</v>
      </c>
      <c r="X516" s="1876" t="s">
        <v>369</v>
      </c>
      <c r="Y516" s="1878">
        <v>200171148</v>
      </c>
      <c r="Z516" s="1444"/>
      <c r="AA516" s="948"/>
      <c r="AB516" s="889"/>
      <c r="AC516" s="889"/>
      <c r="AD516" s="945"/>
      <c r="AE516" s="889"/>
      <c r="AF516" s="888"/>
      <c r="AG516" s="945"/>
      <c r="AH516" s="937">
        <v>0</v>
      </c>
      <c r="AI516" s="947"/>
      <c r="AJ516" s="947"/>
      <c r="AK516" s="947"/>
      <c r="AL516" s="937">
        <f t="shared" si="89"/>
        <v>0</v>
      </c>
      <c r="AM516" s="889" t="s">
        <v>371</v>
      </c>
      <c r="AN516" s="889" t="s">
        <v>371</v>
      </c>
      <c r="AO516" s="889" t="s">
        <v>371</v>
      </c>
      <c r="AP516" s="889" t="s">
        <v>92</v>
      </c>
      <c r="AQ516" s="889"/>
      <c r="AR516" s="139"/>
      <c r="AS516" s="139"/>
      <c r="AT516" s="139"/>
      <c r="AU516" s="139"/>
    </row>
    <row r="517" spans="1:47" ht="15" customHeight="1" x14ac:dyDescent="0.4">
      <c r="B517" s="173" t="s">
        <v>1271</v>
      </c>
      <c r="C517" s="138"/>
      <c r="D517" s="138"/>
      <c r="E517" s="138"/>
      <c r="F517" s="138"/>
      <c r="G517" s="173"/>
      <c r="H517" s="193"/>
      <c r="I517" s="116" t="s">
        <v>392</v>
      </c>
      <c r="J517" s="116" t="s">
        <v>346</v>
      </c>
      <c r="K517" s="116">
        <v>2</v>
      </c>
      <c r="L517" s="116" t="s">
        <v>348</v>
      </c>
      <c r="M517" s="177">
        <v>-3.282</v>
      </c>
      <c r="N517" s="177"/>
      <c r="O517" s="177"/>
      <c r="P517" s="177" t="s">
        <v>348</v>
      </c>
      <c r="Q517" s="177" t="s">
        <v>2342</v>
      </c>
      <c r="R517" s="116" t="s">
        <v>352</v>
      </c>
      <c r="S517" s="177">
        <f>SL2Width/K517+M517+SL2SORnd</f>
        <v>20.468</v>
      </c>
      <c r="T517" s="116" t="s">
        <v>366</v>
      </c>
      <c r="V517" s="38"/>
      <c r="X517" s="38"/>
      <c r="Y517" s="1443"/>
      <c r="Z517" s="1443"/>
      <c r="AB517" s="3">
        <v>45</v>
      </c>
      <c r="AC517" s="3">
        <v>1</v>
      </c>
      <c r="AD517" s="5">
        <f>AC517*S517/12</f>
        <v>1.7056666666666667</v>
      </c>
      <c r="AE517" s="3" t="s">
        <v>367</v>
      </c>
      <c r="AF517" s="38">
        <v>4.1000000000000002E-2</v>
      </c>
      <c r="AG517" s="5">
        <f>AF517*AtolbperftSL2</f>
        <v>2.5932500000000001E-2</v>
      </c>
      <c r="AH517" s="39"/>
      <c r="AI517" s="39"/>
      <c r="AJ517" s="39"/>
      <c r="AK517" s="39"/>
      <c r="AM517" s="3" t="s">
        <v>371</v>
      </c>
      <c r="AN517" s="3" t="s">
        <v>371</v>
      </c>
      <c r="AO517" s="3" t="s">
        <v>371</v>
      </c>
      <c r="AP517" s="3" t="s">
        <v>92</v>
      </c>
      <c r="AR517" s="139"/>
      <c r="AS517" s="139"/>
      <c r="AT517" s="139"/>
      <c r="AU517" s="139"/>
    </row>
    <row r="518" spans="1:47" ht="15" customHeight="1" x14ac:dyDescent="0.4">
      <c r="B518" s="8"/>
      <c r="C518" s="7"/>
      <c r="D518" s="7"/>
      <c r="E518" s="7"/>
      <c r="F518" s="7"/>
      <c r="G518" s="7"/>
      <c r="M518" s="350"/>
      <c r="N518" s="350"/>
      <c r="O518" s="350"/>
      <c r="V518" s="38" t="s">
        <v>369</v>
      </c>
      <c r="W518" s="3" t="s">
        <v>370</v>
      </c>
      <c r="X518" s="38" t="s">
        <v>369</v>
      </c>
      <c r="Y518" s="1443">
        <v>200190003</v>
      </c>
      <c r="Z518" s="1443"/>
      <c r="AE518" s="3"/>
      <c r="AF518" s="38"/>
      <c r="AH518" s="51">
        <f>AH504</f>
        <v>5.0599999999999999E-2</v>
      </c>
      <c r="AI518" s="39"/>
      <c r="AJ518" s="39"/>
      <c r="AK518" s="39"/>
      <c r="AL518" s="51">
        <f t="shared" ref="AL518:AL523" si="90">AD$517*AH518+SUM(AI518:AK518)</f>
        <v>8.630673333333333E-2</v>
      </c>
      <c r="AM518" s="3" t="s">
        <v>371</v>
      </c>
      <c r="AN518" s="3" t="s">
        <v>371</v>
      </c>
      <c r="AO518" s="3" t="s">
        <v>371</v>
      </c>
      <c r="AP518" s="3" t="s">
        <v>92</v>
      </c>
      <c r="AR518" s="139"/>
      <c r="AS518" s="139"/>
      <c r="AT518" s="139"/>
      <c r="AU518" s="139"/>
    </row>
    <row r="519" spans="1:47" ht="15" customHeight="1" x14ac:dyDescent="0.4">
      <c r="B519" s="8"/>
      <c r="C519" s="7"/>
      <c r="D519" s="7"/>
      <c r="E519" s="7"/>
      <c r="F519" s="7"/>
      <c r="G519" s="7"/>
      <c r="M519" s="350"/>
      <c r="N519" s="350"/>
      <c r="O519" s="350"/>
      <c r="V519" s="38" t="s">
        <v>369</v>
      </c>
      <c r="W519" s="3" t="s">
        <v>372</v>
      </c>
      <c r="X519" s="38" t="s">
        <v>369</v>
      </c>
      <c r="Y519" s="1443">
        <v>200190021</v>
      </c>
      <c r="Z519" s="1443"/>
      <c r="AE519" s="3"/>
      <c r="AF519" s="38"/>
      <c r="AH519" s="51">
        <f>AH505</f>
        <v>5.6800000000000003E-2</v>
      </c>
      <c r="AI519" s="39"/>
      <c r="AJ519" s="39"/>
      <c r="AK519" s="39"/>
      <c r="AL519" s="51">
        <f t="shared" si="90"/>
        <v>9.6881866666666677E-2</v>
      </c>
      <c r="AM519" s="3" t="s">
        <v>371</v>
      </c>
      <c r="AN519" s="3" t="s">
        <v>371</v>
      </c>
      <c r="AO519" s="3" t="s">
        <v>371</v>
      </c>
      <c r="AP519" s="3" t="s">
        <v>92</v>
      </c>
      <c r="AR519" s="139"/>
      <c r="AS519" s="139"/>
      <c r="AT519" s="139"/>
      <c r="AU519" s="139"/>
    </row>
    <row r="520" spans="1:47" ht="15" customHeight="1" x14ac:dyDescent="0.4">
      <c r="B520" s="8"/>
      <c r="C520" s="7"/>
      <c r="D520" s="7"/>
      <c r="E520" s="7"/>
      <c r="F520" s="7"/>
      <c r="G520" s="7"/>
      <c r="M520" s="350"/>
      <c r="N520" s="350"/>
      <c r="O520" s="350"/>
      <c r="V520" s="38" t="s">
        <v>369</v>
      </c>
      <c r="W520" s="3" t="s">
        <v>373</v>
      </c>
      <c r="X520" s="38" t="s">
        <v>369</v>
      </c>
      <c r="Y520" s="1443">
        <v>200190033</v>
      </c>
      <c r="Z520" s="1443"/>
      <c r="AE520" s="3"/>
      <c r="AF520" s="38"/>
      <c r="AH520" s="51">
        <f>AH506</f>
        <v>6.1600000000000002E-2</v>
      </c>
      <c r="AI520" s="39"/>
      <c r="AJ520" s="39"/>
      <c r="AK520" s="39"/>
      <c r="AL520" s="51">
        <f t="shared" si="90"/>
        <v>0.10506906666666667</v>
      </c>
      <c r="AM520" s="3" t="s">
        <v>371</v>
      </c>
      <c r="AN520" s="3" t="s">
        <v>371</v>
      </c>
      <c r="AO520" s="3" t="s">
        <v>371</v>
      </c>
      <c r="AP520" s="3" t="s">
        <v>92</v>
      </c>
      <c r="AR520" s="139"/>
      <c r="AS520" s="139"/>
      <c r="AT520" s="139"/>
      <c r="AU520" s="139"/>
    </row>
    <row r="521" spans="1:47" ht="15" customHeight="1" x14ac:dyDescent="0.4">
      <c r="B521" s="8"/>
      <c r="C521" s="7"/>
      <c r="D521" s="7"/>
      <c r="E521" s="7"/>
      <c r="F521" s="7"/>
      <c r="G521" s="7"/>
      <c r="M521" s="350"/>
      <c r="N521" s="350"/>
      <c r="O521" s="350"/>
      <c r="V521" s="38" t="s">
        <v>369</v>
      </c>
      <c r="W521" s="3" t="s">
        <v>374</v>
      </c>
      <c r="X521" s="38" t="s">
        <v>369</v>
      </c>
      <c r="Y521" s="1443">
        <v>200190090</v>
      </c>
      <c r="Z521" s="1443"/>
      <c r="AE521" s="3"/>
      <c r="AF521" s="38"/>
      <c r="AH521" s="51">
        <f>AH507</f>
        <v>0.1077</v>
      </c>
      <c r="AI521" s="39"/>
      <c r="AJ521" s="39"/>
      <c r="AK521" s="39"/>
      <c r="AL521" s="51">
        <f t="shared" si="90"/>
        <v>0.18370030000000001</v>
      </c>
      <c r="AM521" s="3" t="s">
        <v>371</v>
      </c>
      <c r="AN521" s="3" t="s">
        <v>371</v>
      </c>
      <c r="AO521" s="3" t="s">
        <v>371</v>
      </c>
      <c r="AP521" s="3" t="s">
        <v>92</v>
      </c>
      <c r="AR521" s="139"/>
      <c r="AS521" s="139"/>
      <c r="AT521" s="139"/>
      <c r="AU521" s="139"/>
    </row>
    <row r="522" spans="1:47" ht="15" customHeight="1" x14ac:dyDescent="0.4">
      <c r="B522" s="8"/>
      <c r="C522" s="7"/>
      <c r="D522" s="7"/>
      <c r="E522" s="7"/>
      <c r="F522" s="7"/>
      <c r="G522" s="7"/>
      <c r="M522" s="350"/>
      <c r="N522" s="350"/>
      <c r="O522" s="350"/>
      <c r="V522" s="38" t="s">
        <v>369</v>
      </c>
      <c r="W522" s="3" t="s">
        <v>375</v>
      </c>
      <c r="X522" s="38" t="s">
        <v>369</v>
      </c>
      <c r="Y522" s="1443">
        <v>200190133</v>
      </c>
      <c r="Z522" s="1443"/>
      <c r="AE522" s="3"/>
      <c r="AF522" s="38"/>
      <c r="AH522" s="844">
        <f>AH508</f>
        <v>0.14069999999999999</v>
      </c>
      <c r="AI522" s="39"/>
      <c r="AJ522" s="39"/>
      <c r="AK522" s="39"/>
      <c r="AL522" s="51">
        <f t="shared" si="90"/>
        <v>0.23998729999999999</v>
      </c>
      <c r="AM522" s="3" t="s">
        <v>371</v>
      </c>
      <c r="AN522" s="3" t="s">
        <v>371</v>
      </c>
      <c r="AO522" s="3" t="s">
        <v>371</v>
      </c>
      <c r="AP522" s="3" t="s">
        <v>371</v>
      </c>
      <c r="AR522" s="139"/>
      <c r="AS522" s="139"/>
      <c r="AT522" s="139"/>
      <c r="AU522" s="139"/>
    </row>
    <row r="523" spans="1:47" ht="15" customHeight="1" thickBot="1" x14ac:dyDescent="0.45">
      <c r="B523" s="949"/>
      <c r="C523" s="924"/>
      <c r="D523" s="924"/>
      <c r="E523" s="924"/>
      <c r="F523" s="924"/>
      <c r="G523" s="924"/>
      <c r="H523" s="948"/>
      <c r="I523" s="889"/>
      <c r="J523" s="889"/>
      <c r="K523" s="889"/>
      <c r="L523" s="889"/>
      <c r="M523" s="950"/>
      <c r="N523" s="950"/>
      <c r="O523" s="950"/>
      <c r="P523" s="945"/>
      <c r="Q523" s="945"/>
      <c r="R523" s="889"/>
      <c r="S523" s="945"/>
      <c r="T523" s="889"/>
      <c r="U523" s="948"/>
      <c r="V523" s="1876" t="s">
        <v>369</v>
      </c>
      <c r="W523" s="1877" t="s">
        <v>1849</v>
      </c>
      <c r="X523" s="1876" t="s">
        <v>369</v>
      </c>
      <c r="Y523" s="1878">
        <v>200190148</v>
      </c>
      <c r="Z523" s="1444"/>
      <c r="AA523" s="948"/>
      <c r="AB523" s="889"/>
      <c r="AC523" s="889"/>
      <c r="AD523" s="945"/>
      <c r="AE523" s="889"/>
      <c r="AF523" s="888"/>
      <c r="AG523" s="945"/>
      <c r="AH523" s="937">
        <v>0</v>
      </c>
      <c r="AI523" s="947"/>
      <c r="AJ523" s="947"/>
      <c r="AK523" s="947"/>
      <c r="AL523" s="937">
        <f t="shared" si="90"/>
        <v>0</v>
      </c>
      <c r="AM523" s="889" t="s">
        <v>371</v>
      </c>
      <c r="AN523" s="889" t="s">
        <v>371</v>
      </c>
      <c r="AO523" s="889" t="s">
        <v>371</v>
      </c>
      <c r="AP523" s="889" t="s">
        <v>92</v>
      </c>
      <c r="AQ523" s="889"/>
      <c r="AR523" s="139"/>
      <c r="AS523" s="139"/>
      <c r="AT523" s="139"/>
      <c r="AU523" s="139"/>
    </row>
    <row r="524" spans="1:47" ht="15" customHeight="1" x14ac:dyDescent="0.4">
      <c r="A524" s="3" t="s">
        <v>496</v>
      </c>
      <c r="B524" s="173" t="s">
        <v>853</v>
      </c>
      <c r="C524" s="173"/>
      <c r="D524" s="173"/>
      <c r="E524" s="173"/>
      <c r="F524" s="173"/>
      <c r="G524" s="173"/>
      <c r="H524" s="193"/>
      <c r="I524" s="116" t="s">
        <v>365</v>
      </c>
      <c r="J524" s="116"/>
      <c r="K524" s="116"/>
      <c r="L524" s="116" t="s">
        <v>348</v>
      </c>
      <c r="M524" s="177">
        <v>-5.0629999999999997</v>
      </c>
      <c r="N524" s="497"/>
      <c r="O524" s="497"/>
      <c r="P524" s="177"/>
      <c r="Q524" s="177"/>
      <c r="R524" s="116" t="s">
        <v>352</v>
      </c>
      <c r="S524" s="177">
        <f>SL2Height+M524</f>
        <v>42.436999999999998</v>
      </c>
      <c r="T524" s="116" t="s">
        <v>366</v>
      </c>
      <c r="U524" s="193"/>
      <c r="V524" s="138"/>
      <c r="W524" s="138"/>
      <c r="X524" s="138"/>
      <c r="Y524" s="1449"/>
      <c r="Z524" s="1449"/>
      <c r="AA524" s="193"/>
      <c r="AB524" s="116">
        <v>45</v>
      </c>
      <c r="AC524" s="116">
        <v>2</v>
      </c>
      <c r="AD524" s="177">
        <f>AC524*S524/12</f>
        <v>7.0728333333333326</v>
      </c>
      <c r="AE524" s="116" t="s">
        <v>367</v>
      </c>
      <c r="AF524" s="179">
        <v>2.8000000000000001E-2</v>
      </c>
      <c r="AG524" s="177">
        <f>AF524*AtolbperftSL2</f>
        <v>1.771E-2</v>
      </c>
      <c r="AH524" s="185"/>
      <c r="AI524" s="180"/>
      <c r="AJ524" s="180"/>
      <c r="AK524" s="180"/>
      <c r="AL524" s="180"/>
      <c r="AM524" s="3" t="s">
        <v>81</v>
      </c>
      <c r="AN524" s="3" t="s">
        <v>81</v>
      </c>
      <c r="AO524" s="3" t="s">
        <v>81</v>
      </c>
      <c r="AP524" s="3" t="s">
        <v>92</v>
      </c>
      <c r="AR524" s="139"/>
      <c r="AS524" s="139"/>
      <c r="AT524" s="139"/>
      <c r="AU524" s="139"/>
    </row>
    <row r="525" spans="1:47" ht="15" customHeight="1" x14ac:dyDescent="0.4">
      <c r="B525" s="7"/>
      <c r="C525" s="7"/>
      <c r="D525" s="7"/>
      <c r="E525" s="7"/>
      <c r="F525" s="7"/>
      <c r="G525" s="7"/>
      <c r="V525" s="38" t="s">
        <v>369</v>
      </c>
      <c r="W525" s="3" t="s">
        <v>370</v>
      </c>
      <c r="X525" s="38" t="s">
        <v>369</v>
      </c>
      <c r="Y525" s="1443">
        <v>200170003</v>
      </c>
      <c r="Z525" s="1443"/>
      <c r="AE525" s="3"/>
      <c r="AF525" s="38"/>
      <c r="AH525" s="51">
        <f>'Single Hung'!AI888</f>
        <v>5.4600000000000003E-2</v>
      </c>
      <c r="AI525" s="39"/>
      <c r="AJ525" s="39"/>
      <c r="AK525" s="39"/>
      <c r="AL525" s="51">
        <f>AD$524*AH525+SUM(AI525:AK525)</f>
        <v>0.38617669999999998</v>
      </c>
      <c r="AM525" s="3" t="s">
        <v>81</v>
      </c>
      <c r="AN525" s="3" t="s">
        <v>81</v>
      </c>
      <c r="AO525" s="3" t="s">
        <v>371</v>
      </c>
      <c r="AP525" s="3" t="s">
        <v>92</v>
      </c>
      <c r="AR525" s="139"/>
      <c r="AS525" s="139"/>
      <c r="AT525" s="139"/>
      <c r="AU525" s="139"/>
    </row>
    <row r="526" spans="1:47" ht="15" customHeight="1" x14ac:dyDescent="0.4">
      <c r="B526" s="1947" t="s">
        <v>2393</v>
      </c>
      <c r="C526" s="7"/>
      <c r="D526" s="7"/>
      <c r="E526" s="7"/>
      <c r="F526" s="7"/>
      <c r="G526" s="7"/>
      <c r="V526" s="38" t="s">
        <v>369</v>
      </c>
      <c r="W526" s="3" t="s">
        <v>372</v>
      </c>
      <c r="X526" s="38" t="s">
        <v>369</v>
      </c>
      <c r="Y526" s="1443">
        <v>200170021</v>
      </c>
      <c r="Z526" s="1443"/>
      <c r="AE526" s="3"/>
      <c r="AF526" s="38"/>
      <c r="AH526" s="51">
        <f>'Single Hung'!AI889</f>
        <v>5.74E-2</v>
      </c>
      <c r="AI526" s="39"/>
      <c r="AJ526" s="39"/>
      <c r="AK526" s="39"/>
      <c r="AL526" s="51">
        <f t="shared" ref="AL526:AL530" si="91">AD$524*AH526+SUM(AI526:AK526)</f>
        <v>0.40598063333333329</v>
      </c>
      <c r="AM526" s="3" t="s">
        <v>371</v>
      </c>
      <c r="AN526" s="3" t="s">
        <v>371</v>
      </c>
      <c r="AO526" s="3" t="s">
        <v>371</v>
      </c>
      <c r="AP526" s="3" t="s">
        <v>92</v>
      </c>
      <c r="AR526" s="139"/>
      <c r="AS526" s="139"/>
      <c r="AT526" s="139"/>
      <c r="AU526" s="139"/>
    </row>
    <row r="527" spans="1:47" ht="15" customHeight="1" x14ac:dyDescent="0.4">
      <c r="B527" s="8"/>
      <c r="C527" s="7"/>
      <c r="D527" s="7"/>
      <c r="E527" s="7"/>
      <c r="F527" s="7"/>
      <c r="G527" s="7"/>
      <c r="M527" s="350"/>
      <c r="N527" s="350"/>
      <c r="O527" s="350"/>
      <c r="V527" s="38" t="s">
        <v>369</v>
      </c>
      <c r="W527" s="3" t="s">
        <v>373</v>
      </c>
      <c r="X527" s="38" t="s">
        <v>369</v>
      </c>
      <c r="Y527" s="1443">
        <v>200170033</v>
      </c>
      <c r="Z527" s="1443"/>
      <c r="AE527" s="3"/>
      <c r="AF527" s="38"/>
      <c r="AH527" s="51">
        <f>'Single Hung'!AI890</f>
        <v>5.8000000000000003E-2</v>
      </c>
      <c r="AI527" s="39"/>
      <c r="AJ527" s="39"/>
      <c r="AK527" s="39"/>
      <c r="AL527" s="51">
        <f t="shared" si="91"/>
        <v>0.4102243333333333</v>
      </c>
      <c r="AM527" s="3" t="s">
        <v>371</v>
      </c>
      <c r="AN527" s="3" t="s">
        <v>371</v>
      </c>
      <c r="AO527" s="3" t="s">
        <v>371</v>
      </c>
      <c r="AP527" s="3" t="s">
        <v>92</v>
      </c>
      <c r="AR527" s="139"/>
      <c r="AS527" s="139"/>
      <c r="AT527" s="139"/>
      <c r="AU527" s="139"/>
    </row>
    <row r="528" spans="1:47" ht="15" customHeight="1" x14ac:dyDescent="0.4">
      <c r="B528" s="8"/>
      <c r="C528" s="7"/>
      <c r="D528" s="7"/>
      <c r="E528" s="7"/>
      <c r="F528" s="7"/>
      <c r="G528" s="7"/>
      <c r="M528" s="350"/>
      <c r="N528" s="350"/>
      <c r="O528" s="350"/>
      <c r="V528" s="38" t="s">
        <v>369</v>
      </c>
      <c r="W528" s="3" t="s">
        <v>374</v>
      </c>
      <c r="X528" s="38" t="s">
        <v>369</v>
      </c>
      <c r="Y528" s="1443">
        <v>200170090</v>
      </c>
      <c r="Z528" s="1443"/>
      <c r="AE528" s="3"/>
      <c r="AF528" s="38"/>
      <c r="AH528" s="51">
        <f>'Single Hung'!AI891</f>
        <v>0.10829999999999999</v>
      </c>
      <c r="AI528" s="39"/>
      <c r="AJ528" s="39"/>
      <c r="AK528" s="39"/>
      <c r="AL528" s="51">
        <f>AD$524*AH528+SUM(AI528:AK528)</f>
        <v>0.76598784999999991</v>
      </c>
      <c r="AM528" s="3" t="s">
        <v>371</v>
      </c>
      <c r="AN528" s="3" t="s">
        <v>371</v>
      </c>
      <c r="AO528" s="3" t="s">
        <v>81</v>
      </c>
      <c r="AP528" s="3" t="s">
        <v>92</v>
      </c>
      <c r="AR528" s="139"/>
      <c r="AS528" s="139"/>
      <c r="AT528" s="139"/>
      <c r="AU528" s="139"/>
    </row>
    <row r="529" spans="1:47" ht="15" customHeight="1" x14ac:dyDescent="0.4">
      <c r="B529" s="8"/>
      <c r="C529" s="7"/>
      <c r="D529" s="7"/>
      <c r="E529" s="7"/>
      <c r="F529" s="7"/>
      <c r="G529" s="7"/>
      <c r="M529" s="350"/>
      <c r="N529" s="350"/>
      <c r="O529" s="350"/>
      <c r="T529" s="842"/>
      <c r="V529" s="279" t="s">
        <v>369</v>
      </c>
      <c r="W529" s="112" t="s">
        <v>375</v>
      </c>
      <c r="X529" s="279" t="s">
        <v>369</v>
      </c>
      <c r="Y529" s="1871">
        <v>200170133</v>
      </c>
      <c r="Z529" s="1443"/>
      <c r="AE529" s="3"/>
      <c r="AF529" s="38"/>
      <c r="AH529" s="844">
        <f>'Single Hung'!AI892</f>
        <v>0</v>
      </c>
      <c r="AI529" s="39"/>
      <c r="AJ529" s="39"/>
      <c r="AK529" s="39"/>
      <c r="AL529" s="51">
        <f t="shared" ref="AL529" si="92">AD$524*AH529+SUM(AI529:AK529)</f>
        <v>0</v>
      </c>
      <c r="AM529" s="3" t="s">
        <v>371</v>
      </c>
      <c r="AN529" s="3" t="s">
        <v>371</v>
      </c>
      <c r="AO529" s="3" t="s">
        <v>371</v>
      </c>
      <c r="AP529" s="3" t="s">
        <v>92</v>
      </c>
      <c r="AR529" s="139"/>
      <c r="AS529" s="139"/>
      <c r="AT529" s="139"/>
      <c r="AU529" s="139"/>
    </row>
    <row r="530" spans="1:47" ht="15" customHeight="1" thickBot="1" x14ac:dyDescent="0.45">
      <c r="B530" s="949"/>
      <c r="C530" s="924"/>
      <c r="D530" s="924"/>
      <c r="E530" s="924"/>
      <c r="F530" s="924"/>
      <c r="G530" s="924"/>
      <c r="H530" s="948"/>
      <c r="I530" s="889"/>
      <c r="J530" s="889"/>
      <c r="K530" s="889"/>
      <c r="L530" s="889"/>
      <c r="M530" s="950"/>
      <c r="N530" s="950"/>
      <c r="O530" s="950"/>
      <c r="P530" s="945"/>
      <c r="Q530" s="945"/>
      <c r="R530" s="889"/>
      <c r="S530" s="945"/>
      <c r="T530" s="889"/>
      <c r="U530" s="948"/>
      <c r="V530" s="1876" t="s">
        <v>369</v>
      </c>
      <c r="W530" s="1877" t="s">
        <v>1849</v>
      </c>
      <c r="X530" s="1876" t="s">
        <v>369</v>
      </c>
      <c r="Y530" s="1878">
        <v>200170148</v>
      </c>
      <c r="Z530" s="1444"/>
      <c r="AA530" s="948"/>
      <c r="AB530" s="889"/>
      <c r="AC530" s="889"/>
      <c r="AD530" s="945"/>
      <c r="AE530" s="889"/>
      <c r="AF530" s="888"/>
      <c r="AG530" s="945"/>
      <c r="AH530" s="937">
        <v>0</v>
      </c>
      <c r="AI530" s="947"/>
      <c r="AJ530" s="947"/>
      <c r="AK530" s="947"/>
      <c r="AL530" s="937">
        <f t="shared" si="91"/>
        <v>0</v>
      </c>
      <c r="AM530" s="889" t="s">
        <v>371</v>
      </c>
      <c r="AN530" s="889" t="s">
        <v>371</v>
      </c>
      <c r="AO530" s="889" t="s">
        <v>81</v>
      </c>
      <c r="AP530" s="889" t="s">
        <v>92</v>
      </c>
      <c r="AQ530" s="889"/>
      <c r="AR530" s="139"/>
      <c r="AS530" s="139"/>
      <c r="AT530" s="139"/>
      <c r="AU530" s="139"/>
    </row>
    <row r="531" spans="1:47" ht="15" customHeight="1" x14ac:dyDescent="0.4">
      <c r="A531" s="3" t="s">
        <v>498</v>
      </c>
      <c r="B531" s="173" t="s">
        <v>854</v>
      </c>
      <c r="C531" s="173"/>
      <c r="D531" s="173"/>
      <c r="E531" s="173"/>
      <c r="F531" s="173"/>
      <c r="G531" s="173"/>
      <c r="H531" s="193"/>
      <c r="I531" s="116" t="s">
        <v>365</v>
      </c>
      <c r="J531" s="116"/>
      <c r="K531" s="116"/>
      <c r="L531" s="116" t="s">
        <v>348</v>
      </c>
      <c r="M531" s="177">
        <v>-5.0629999999999997</v>
      </c>
      <c r="N531" s="497"/>
      <c r="O531" s="497"/>
      <c r="P531" s="177"/>
      <c r="Q531" s="177"/>
      <c r="R531" s="116" t="s">
        <v>352</v>
      </c>
      <c r="S531" s="177">
        <f>SL2Height+M531</f>
        <v>42.436999999999998</v>
      </c>
      <c r="T531" s="116" t="s">
        <v>366</v>
      </c>
      <c r="U531" s="193"/>
      <c r="V531" s="138"/>
      <c r="W531" s="138"/>
      <c r="X531" s="138"/>
      <c r="Y531" s="1449"/>
      <c r="Z531" s="1449"/>
      <c r="AA531" s="193"/>
      <c r="AB531" s="116">
        <v>45</v>
      </c>
      <c r="AC531" s="116">
        <v>2</v>
      </c>
      <c r="AD531" s="177">
        <f>AC531*S531/12</f>
        <v>7.0728333333333326</v>
      </c>
      <c r="AE531" s="116" t="s">
        <v>367</v>
      </c>
      <c r="AF531" s="179">
        <v>4.3999999999999997E-2</v>
      </c>
      <c r="AG531" s="177">
        <f>AF531*AtolbperftSL2</f>
        <v>2.7829999999999997E-2</v>
      </c>
      <c r="AH531" s="185"/>
      <c r="AI531" s="180"/>
      <c r="AJ531" s="180"/>
      <c r="AK531" s="180"/>
      <c r="AL531" s="180"/>
      <c r="AM531" s="3" t="s">
        <v>371</v>
      </c>
      <c r="AN531" s="3" t="s">
        <v>371</v>
      </c>
      <c r="AO531" s="3" t="s">
        <v>371</v>
      </c>
      <c r="AP531" s="3" t="s">
        <v>81</v>
      </c>
      <c r="AR531" s="139"/>
      <c r="AS531" s="139"/>
      <c r="AT531" s="139"/>
      <c r="AU531" s="139"/>
    </row>
    <row r="532" spans="1:47" ht="15" customHeight="1" x14ac:dyDescent="0.4">
      <c r="B532" s="7"/>
      <c r="C532" s="7"/>
      <c r="D532" s="7"/>
      <c r="E532" s="7"/>
      <c r="F532" s="7"/>
      <c r="G532" s="7"/>
      <c r="V532" s="38" t="s">
        <v>369</v>
      </c>
      <c r="W532" s="3" t="s">
        <v>370</v>
      </c>
      <c r="X532" s="38" t="s">
        <v>369</v>
      </c>
      <c r="Y532" s="1443">
        <v>200171003</v>
      </c>
      <c r="Z532" s="1443"/>
      <c r="AE532" s="3"/>
      <c r="AF532" s="38"/>
      <c r="AH532" s="51">
        <f>'Single Hung'!AI895</f>
        <v>5.7099999999999998E-2</v>
      </c>
      <c r="AI532" s="39"/>
      <c r="AJ532" s="39"/>
      <c r="AK532" s="39"/>
      <c r="AL532" s="51">
        <f>AD$531*AH532+SUM(AI532:AK532)</f>
        <v>0.4038587833333333</v>
      </c>
      <c r="AM532" s="3" t="s">
        <v>371</v>
      </c>
      <c r="AN532" s="3" t="s">
        <v>371</v>
      </c>
      <c r="AO532" s="3" t="s">
        <v>371</v>
      </c>
      <c r="AP532" s="3" t="s">
        <v>92</v>
      </c>
      <c r="AR532" s="139"/>
      <c r="AS532" s="139"/>
      <c r="AT532" s="139"/>
      <c r="AU532" s="139"/>
    </row>
    <row r="533" spans="1:47" ht="15" customHeight="1" x14ac:dyDescent="0.4">
      <c r="B533" s="7"/>
      <c r="C533" s="7"/>
      <c r="D533" s="7"/>
      <c r="E533" s="7"/>
      <c r="F533" s="7"/>
      <c r="G533" s="7"/>
      <c r="V533" s="38" t="s">
        <v>369</v>
      </c>
      <c r="W533" s="3" t="s">
        <v>372</v>
      </c>
      <c r="X533" s="38" t="s">
        <v>369</v>
      </c>
      <c r="Y533" s="1443">
        <v>200171021</v>
      </c>
      <c r="Z533" s="1443"/>
      <c r="AE533" s="3"/>
      <c r="AF533" s="38"/>
      <c r="AH533" s="51">
        <f>'Single Hung'!AI896</f>
        <v>6.1199999999999997E-2</v>
      </c>
      <c r="AI533" s="39"/>
      <c r="AJ533" s="39"/>
      <c r="AK533" s="39"/>
      <c r="AL533" s="51">
        <f t="shared" ref="AL533:AL534" si="93">AD$531*AH533+SUM(AI533:AK533)</f>
        <v>0.43285739999999995</v>
      </c>
      <c r="AM533" s="3" t="s">
        <v>371</v>
      </c>
      <c r="AN533" s="3" t="s">
        <v>371</v>
      </c>
      <c r="AO533" s="3" t="s">
        <v>371</v>
      </c>
      <c r="AP533" s="3" t="s">
        <v>92</v>
      </c>
      <c r="AR533" s="139"/>
      <c r="AS533" s="139"/>
      <c r="AT533" s="139"/>
      <c r="AU533" s="139"/>
    </row>
    <row r="534" spans="1:47" ht="15" customHeight="1" x14ac:dyDescent="0.4">
      <c r="B534" s="8"/>
      <c r="C534" s="7"/>
      <c r="D534" s="7"/>
      <c r="E534" s="7"/>
      <c r="F534" s="7"/>
      <c r="G534" s="7"/>
      <c r="M534" s="350"/>
      <c r="N534" s="350"/>
      <c r="O534" s="350"/>
      <c r="V534" s="38" t="s">
        <v>369</v>
      </c>
      <c r="W534" s="3" t="s">
        <v>373</v>
      </c>
      <c r="X534" s="38" t="s">
        <v>369</v>
      </c>
      <c r="Y534" s="1443">
        <v>200171033</v>
      </c>
      <c r="Z534" s="1443"/>
      <c r="AE534" s="3"/>
      <c r="AF534" s="38"/>
      <c r="AH534" s="51">
        <f>'Single Hung'!AI897</f>
        <v>6.2199999999999998E-2</v>
      </c>
      <c r="AI534" s="39"/>
      <c r="AJ534" s="39"/>
      <c r="AK534" s="39"/>
      <c r="AL534" s="51">
        <f t="shared" si="93"/>
        <v>0.43993023333333325</v>
      </c>
      <c r="AM534" s="3" t="s">
        <v>371</v>
      </c>
      <c r="AN534" s="3" t="s">
        <v>371</v>
      </c>
      <c r="AO534" s="3" t="s">
        <v>371</v>
      </c>
      <c r="AP534" s="3" t="s">
        <v>92</v>
      </c>
      <c r="AR534" s="139"/>
      <c r="AS534" s="139"/>
      <c r="AT534" s="139"/>
      <c r="AU534" s="139"/>
    </row>
    <row r="535" spans="1:47" ht="15" customHeight="1" x14ac:dyDescent="0.4">
      <c r="B535" s="8"/>
      <c r="C535" s="7"/>
      <c r="D535" s="7"/>
      <c r="E535" s="7"/>
      <c r="F535" s="7"/>
      <c r="G535" s="7"/>
      <c r="M535" s="350"/>
      <c r="N535" s="350"/>
      <c r="O535" s="350"/>
      <c r="V535" s="38" t="s">
        <v>369</v>
      </c>
      <c r="W535" s="3" t="s">
        <v>374</v>
      </c>
      <c r="X535" s="38" t="s">
        <v>369</v>
      </c>
      <c r="Y535" s="1443">
        <v>200171090</v>
      </c>
      <c r="Z535" s="1443"/>
      <c r="AE535" s="3"/>
      <c r="AF535" s="38"/>
      <c r="AH535" s="51">
        <f>'Single Hung'!AI898</f>
        <v>0.1129</v>
      </c>
      <c r="AI535" s="39"/>
      <c r="AJ535" s="39"/>
      <c r="AK535" s="39"/>
      <c r="AL535" s="51">
        <f>AD$531*AH535+SUM(AI535:AK535)</f>
        <v>0.79852288333333321</v>
      </c>
      <c r="AM535" s="3" t="s">
        <v>371</v>
      </c>
      <c r="AN535" s="3" t="s">
        <v>371</v>
      </c>
      <c r="AO535" s="3" t="s">
        <v>371</v>
      </c>
      <c r="AP535" s="3" t="s">
        <v>92</v>
      </c>
      <c r="AR535" s="139"/>
      <c r="AS535" s="139"/>
      <c r="AT535" s="139"/>
      <c r="AU535" s="139"/>
    </row>
    <row r="536" spans="1:47" ht="15" customHeight="1" x14ac:dyDescent="0.4">
      <c r="B536" s="8"/>
      <c r="C536" s="7"/>
      <c r="D536" s="7"/>
      <c r="E536" s="7"/>
      <c r="F536" s="7"/>
      <c r="G536" s="7"/>
      <c r="M536" s="350"/>
      <c r="N536" s="350"/>
      <c r="O536" s="350"/>
      <c r="V536" s="38" t="s">
        <v>369</v>
      </c>
      <c r="W536" s="3" t="s">
        <v>375</v>
      </c>
      <c r="X536" s="38" t="s">
        <v>369</v>
      </c>
      <c r="Y536" s="1443">
        <v>200171133</v>
      </c>
      <c r="Z536" s="1443"/>
      <c r="AE536" s="3"/>
      <c r="AF536" s="38"/>
      <c r="AH536" s="844">
        <f>'Single Hung'!AI899</f>
        <v>0.1469</v>
      </c>
      <c r="AI536" s="39"/>
      <c r="AJ536" s="39"/>
      <c r="AK536" s="39"/>
      <c r="AL536" s="51">
        <f t="shared" ref="AL536:AL537" si="94">AD$531*AH536+SUM(AI536:AK536)</f>
        <v>1.0389992166666666</v>
      </c>
      <c r="AM536" s="3" t="s">
        <v>371</v>
      </c>
      <c r="AN536" s="3" t="s">
        <v>371</v>
      </c>
      <c r="AO536" s="3" t="s">
        <v>371</v>
      </c>
      <c r="AP536" s="3" t="s">
        <v>81</v>
      </c>
      <c r="AR536" s="139"/>
      <c r="AS536" s="139"/>
      <c r="AT536" s="139"/>
      <c r="AU536" s="139"/>
    </row>
    <row r="537" spans="1:47" ht="15" customHeight="1" thickBot="1" x14ac:dyDescent="0.45">
      <c r="V537" s="1876" t="s">
        <v>369</v>
      </c>
      <c r="W537" s="1877" t="s">
        <v>1849</v>
      </c>
      <c r="X537" s="1876" t="s">
        <v>369</v>
      </c>
      <c r="Y537" s="1878">
        <v>200171148</v>
      </c>
      <c r="Z537" s="889"/>
      <c r="AA537" s="948"/>
      <c r="AH537" s="937"/>
      <c r="AI537" s="937"/>
      <c r="AJ537" s="937"/>
      <c r="AK537" s="937"/>
      <c r="AL537" s="937">
        <f t="shared" si="94"/>
        <v>0</v>
      </c>
      <c r="AM537" s="889" t="s">
        <v>92</v>
      </c>
      <c r="AN537" s="889" t="s">
        <v>92</v>
      </c>
      <c r="AO537" s="889" t="s">
        <v>92</v>
      </c>
      <c r="AP537" s="889" t="s">
        <v>92</v>
      </c>
      <c r="AQ537" s="889"/>
    </row>
    <row r="538" spans="1:47" ht="15" customHeight="1" x14ac:dyDescent="0.4">
      <c r="B538" s="173" t="s">
        <v>855</v>
      </c>
      <c r="C538" s="173"/>
      <c r="D538" s="173"/>
      <c r="E538" s="173"/>
      <c r="F538" s="173"/>
      <c r="G538" s="173"/>
      <c r="H538" s="193"/>
      <c r="I538" s="116" t="s">
        <v>365</v>
      </c>
      <c r="J538" s="116"/>
      <c r="K538" s="116"/>
      <c r="L538" s="116" t="s">
        <v>348</v>
      </c>
      <c r="M538" s="177">
        <v>-5.0629999999999997</v>
      </c>
      <c r="N538" s="497"/>
      <c r="O538" s="497"/>
      <c r="P538" s="177"/>
      <c r="Q538" s="177"/>
      <c r="R538" s="116" t="s">
        <v>352</v>
      </c>
      <c r="S538" s="177">
        <f>SL2Height+M538</f>
        <v>42.436999999999998</v>
      </c>
      <c r="T538" s="116" t="s">
        <v>366</v>
      </c>
      <c r="V538" s="38"/>
      <c r="X538" s="38"/>
      <c r="Y538" s="1443"/>
      <c r="Z538" s="1443"/>
      <c r="AB538" s="116">
        <v>45</v>
      </c>
      <c r="AC538" s="116">
        <v>2</v>
      </c>
      <c r="AD538" s="177">
        <f>AC538*S538/12</f>
        <v>7.0728333333333326</v>
      </c>
      <c r="AE538" s="116" t="s">
        <v>367</v>
      </c>
      <c r="AF538" s="179">
        <v>4.1000000000000002E-2</v>
      </c>
      <c r="AG538" s="177">
        <f>AF538*AtolbperftSL2</f>
        <v>2.5932500000000001E-2</v>
      </c>
      <c r="AH538" s="39"/>
      <c r="AI538" s="39"/>
      <c r="AJ538" s="39"/>
      <c r="AK538" s="39"/>
      <c r="AM538" s="3" t="s">
        <v>371</v>
      </c>
      <c r="AN538" s="3" t="s">
        <v>371</v>
      </c>
      <c r="AO538" s="3" t="s">
        <v>371</v>
      </c>
      <c r="AP538" s="3" t="s">
        <v>92</v>
      </c>
      <c r="AR538" s="139"/>
      <c r="AS538" s="139"/>
      <c r="AT538" s="139"/>
      <c r="AU538" s="139"/>
    </row>
    <row r="539" spans="1:47" ht="15" customHeight="1" x14ac:dyDescent="0.4">
      <c r="B539" s="8"/>
      <c r="C539" s="7"/>
      <c r="D539" s="7"/>
      <c r="E539" s="7"/>
      <c r="F539" s="7"/>
      <c r="G539" s="7"/>
      <c r="M539" s="350"/>
      <c r="N539" s="350"/>
      <c r="O539" s="350"/>
      <c r="V539" s="38" t="s">
        <v>369</v>
      </c>
      <c r="W539" s="3" t="s">
        <v>370</v>
      </c>
      <c r="X539" s="38" t="s">
        <v>369</v>
      </c>
      <c r="Y539" s="1443">
        <v>200190003</v>
      </c>
      <c r="Z539" s="1443"/>
      <c r="AE539" s="3"/>
      <c r="AF539" s="38"/>
      <c r="AH539" s="51">
        <f>'Single Hung'!AI902</f>
        <v>5.0599999999999999E-2</v>
      </c>
      <c r="AI539" s="39"/>
      <c r="AJ539" s="39"/>
      <c r="AK539" s="39"/>
      <c r="AL539" s="51">
        <f>AD$538*AH539+SUM(AI539:AK539)</f>
        <v>0.35788536666666665</v>
      </c>
      <c r="AM539" s="3" t="s">
        <v>371</v>
      </c>
      <c r="AN539" s="3" t="s">
        <v>371</v>
      </c>
      <c r="AO539" s="3" t="s">
        <v>371</v>
      </c>
      <c r="AP539" s="3" t="s">
        <v>92</v>
      </c>
      <c r="AR539" s="139"/>
      <c r="AS539" s="139"/>
      <c r="AT539" s="139"/>
      <c r="AU539" s="139"/>
    </row>
    <row r="540" spans="1:47" ht="15" customHeight="1" x14ac:dyDescent="0.4">
      <c r="B540" s="8"/>
      <c r="C540" s="7"/>
      <c r="D540" s="7"/>
      <c r="E540" s="7"/>
      <c r="F540" s="7"/>
      <c r="G540" s="7"/>
      <c r="M540" s="350"/>
      <c r="N540" s="350"/>
      <c r="O540" s="350"/>
      <c r="V540" s="38" t="s">
        <v>369</v>
      </c>
      <c r="W540" s="3" t="s">
        <v>372</v>
      </c>
      <c r="X540" s="38" t="s">
        <v>369</v>
      </c>
      <c r="Y540" s="1443">
        <v>200190021</v>
      </c>
      <c r="Z540" s="1443"/>
      <c r="AE540" s="3"/>
      <c r="AF540" s="38"/>
      <c r="AH540" s="51">
        <f>'Single Hung'!AI903</f>
        <v>5.6800000000000003E-2</v>
      </c>
      <c r="AI540" s="39"/>
      <c r="AJ540" s="39"/>
      <c r="AK540" s="39"/>
      <c r="AL540" s="51">
        <f t="shared" ref="AL540:AL541" si="95">AD$538*AH540+SUM(AI540:AK540)</f>
        <v>0.40173693333333332</v>
      </c>
      <c r="AM540" s="3" t="s">
        <v>371</v>
      </c>
      <c r="AN540" s="3" t="s">
        <v>371</v>
      </c>
      <c r="AO540" s="3" t="s">
        <v>371</v>
      </c>
      <c r="AP540" s="3" t="s">
        <v>92</v>
      </c>
      <c r="AR540" s="139"/>
      <c r="AS540" s="139"/>
      <c r="AT540" s="139"/>
      <c r="AU540" s="139"/>
    </row>
    <row r="541" spans="1:47" ht="15" customHeight="1" x14ac:dyDescent="0.4">
      <c r="B541" s="8"/>
      <c r="C541" s="7"/>
      <c r="D541" s="7"/>
      <c r="E541" s="7"/>
      <c r="F541" s="7"/>
      <c r="G541" s="7"/>
      <c r="M541" s="350"/>
      <c r="N541" s="350"/>
      <c r="O541" s="350"/>
      <c r="V541" s="38" t="s">
        <v>369</v>
      </c>
      <c r="W541" s="3" t="s">
        <v>373</v>
      </c>
      <c r="X541" s="38" t="s">
        <v>369</v>
      </c>
      <c r="Y541" s="1443">
        <v>200190033</v>
      </c>
      <c r="Z541" s="1443"/>
      <c r="AE541" s="3"/>
      <c r="AF541" s="38"/>
      <c r="AH541" s="51">
        <f>'Single Hung'!AI904</f>
        <v>6.1600000000000002E-2</v>
      </c>
      <c r="AI541" s="39"/>
      <c r="AJ541" s="39"/>
      <c r="AK541" s="39"/>
      <c r="AL541" s="51">
        <f t="shared" si="95"/>
        <v>0.43568653333333329</v>
      </c>
      <c r="AM541" s="3" t="s">
        <v>371</v>
      </c>
      <c r="AN541" s="3" t="s">
        <v>371</v>
      </c>
      <c r="AO541" s="3" t="s">
        <v>371</v>
      </c>
      <c r="AP541" s="3" t="s">
        <v>92</v>
      </c>
      <c r="AR541" s="139"/>
      <c r="AS541" s="139"/>
      <c r="AT541" s="139"/>
      <c r="AU541" s="139"/>
    </row>
    <row r="542" spans="1:47" ht="15" customHeight="1" x14ac:dyDescent="0.4">
      <c r="B542" s="8"/>
      <c r="C542" s="7"/>
      <c r="D542" s="7"/>
      <c r="E542" s="7"/>
      <c r="F542" s="7"/>
      <c r="G542" s="7"/>
      <c r="M542" s="350"/>
      <c r="N542" s="350"/>
      <c r="O542" s="350"/>
      <c r="V542" s="38" t="s">
        <v>369</v>
      </c>
      <c r="W542" s="3" t="s">
        <v>374</v>
      </c>
      <c r="X542" s="38" t="s">
        <v>369</v>
      </c>
      <c r="Y542" s="1443">
        <v>200190090</v>
      </c>
      <c r="Z542" s="1443"/>
      <c r="AE542" s="3"/>
      <c r="AF542" s="38"/>
      <c r="AH542" s="51">
        <f>'Single Hung'!AI905</f>
        <v>0.1077</v>
      </c>
      <c r="AI542" s="39"/>
      <c r="AJ542" s="39"/>
      <c r="AK542" s="39"/>
      <c r="AL542" s="51">
        <f>AD$538*AH542+SUM(AI542:AK542)</f>
        <v>0.76174414999999995</v>
      </c>
      <c r="AM542" s="3" t="s">
        <v>371</v>
      </c>
      <c r="AN542" s="3" t="s">
        <v>371</v>
      </c>
      <c r="AO542" s="3" t="s">
        <v>371</v>
      </c>
      <c r="AP542" s="3" t="s">
        <v>92</v>
      </c>
      <c r="AR542" s="139"/>
      <c r="AS542" s="139"/>
      <c r="AT542" s="139"/>
      <c r="AU542" s="139"/>
    </row>
    <row r="543" spans="1:47" ht="15" customHeight="1" x14ac:dyDescent="0.4">
      <c r="B543" s="8"/>
      <c r="C543" s="7"/>
      <c r="D543" s="7"/>
      <c r="E543" s="7"/>
      <c r="F543" s="7"/>
      <c r="G543" s="7"/>
      <c r="M543" s="350"/>
      <c r="N543" s="350"/>
      <c r="O543" s="350"/>
      <c r="V543" s="38" t="s">
        <v>369</v>
      </c>
      <c r="W543" s="3" t="s">
        <v>375</v>
      </c>
      <c r="X543" s="38" t="s">
        <v>369</v>
      </c>
      <c r="Y543" s="1443">
        <v>200190133</v>
      </c>
      <c r="Z543" s="1443"/>
      <c r="AE543" s="3"/>
      <c r="AF543" s="38"/>
      <c r="AH543" s="844">
        <f>'Single Hung'!AI906</f>
        <v>0.14069999999999999</v>
      </c>
      <c r="AI543" s="39"/>
      <c r="AJ543" s="39"/>
      <c r="AK543" s="39"/>
      <c r="AL543" s="51">
        <f t="shared" ref="AL543" si="96">AD$538*AH543+SUM(AI543:AK543)</f>
        <v>0.99514764999999983</v>
      </c>
      <c r="AM543" s="3" t="s">
        <v>371</v>
      </c>
      <c r="AN543" s="3" t="s">
        <v>371</v>
      </c>
      <c r="AO543" s="3" t="s">
        <v>371</v>
      </c>
      <c r="AP543" s="3" t="s">
        <v>371</v>
      </c>
      <c r="AR543" s="139"/>
      <c r="AS543" s="139"/>
      <c r="AT543" s="139"/>
      <c r="AU543" s="139"/>
    </row>
    <row r="544" spans="1:47" ht="15" customHeight="1" thickBot="1" x14ac:dyDescent="0.45">
      <c r="B544" s="949"/>
      <c r="C544" s="924"/>
      <c r="D544" s="924"/>
      <c r="E544" s="924"/>
      <c r="F544" s="924"/>
      <c r="G544" s="924"/>
      <c r="H544" s="948"/>
      <c r="I544" s="889"/>
      <c r="J544" s="889"/>
      <c r="K544" s="889"/>
      <c r="L544" s="889"/>
      <c r="M544" s="950"/>
      <c r="N544" s="950"/>
      <c r="O544" s="950"/>
      <c r="P544" s="945"/>
      <c r="Q544" s="945"/>
      <c r="R544" s="889"/>
      <c r="S544" s="945"/>
      <c r="T544" s="889"/>
      <c r="U544" s="948"/>
      <c r="V544" s="1876" t="s">
        <v>369</v>
      </c>
      <c r="W544" s="1877" t="s">
        <v>1849</v>
      </c>
      <c r="X544" s="1876" t="s">
        <v>369</v>
      </c>
      <c r="Y544" s="1878">
        <v>200190148</v>
      </c>
      <c r="Z544" s="1444"/>
      <c r="AA544" s="948"/>
      <c r="AB544" s="889"/>
      <c r="AC544" s="889"/>
      <c r="AD544" s="945"/>
      <c r="AE544" s="889"/>
      <c r="AF544" s="888"/>
      <c r="AG544" s="945"/>
      <c r="AH544" s="937">
        <v>0</v>
      </c>
      <c r="AI544" s="947"/>
      <c r="AJ544" s="947"/>
      <c r="AK544" s="947"/>
      <c r="AL544" s="937">
        <f t="shared" ref="AL544" si="97">AD$538*AH544+SUM(AI544:AK544)</f>
        <v>0</v>
      </c>
      <c r="AM544" s="889" t="s">
        <v>371</v>
      </c>
      <c r="AN544" s="889" t="s">
        <v>371</v>
      </c>
      <c r="AO544" s="889" t="s">
        <v>371</v>
      </c>
      <c r="AP544" s="889" t="s">
        <v>92</v>
      </c>
      <c r="AQ544" s="889"/>
      <c r="AR544" s="139"/>
      <c r="AS544" s="139"/>
      <c r="AT544" s="139"/>
      <c r="AU544" s="139"/>
    </row>
    <row r="545" spans="1:51" ht="15" customHeight="1" x14ac:dyDescent="0.4">
      <c r="B545" s="641" t="s">
        <v>857</v>
      </c>
      <c r="C545" s="642"/>
      <c r="D545" s="642"/>
      <c r="E545" s="642"/>
      <c r="F545" s="642"/>
      <c r="G545" s="642"/>
      <c r="H545" s="643"/>
      <c r="I545" s="643"/>
      <c r="J545" s="643"/>
      <c r="K545" s="643"/>
      <c r="L545" s="643"/>
      <c r="M545" s="644"/>
      <c r="N545" s="644"/>
      <c r="O545" s="644"/>
      <c r="P545" s="644"/>
      <c r="Q545" s="644"/>
      <c r="R545" s="643"/>
      <c r="S545" s="644"/>
      <c r="T545" s="643"/>
      <c r="U545" s="643"/>
      <c r="V545" s="642"/>
      <c r="W545" s="642"/>
      <c r="X545" s="642"/>
      <c r="Y545" s="645"/>
      <c r="Z545" s="645"/>
      <c r="AA545" s="643"/>
      <c r="AB545" s="645"/>
      <c r="AC545" s="643"/>
      <c r="AD545" s="644"/>
      <c r="AE545" s="643"/>
      <c r="AF545" s="643"/>
      <c r="AG545" s="643"/>
      <c r="AH545" s="646"/>
      <c r="AI545" s="647"/>
      <c r="AJ545" s="647"/>
      <c r="AK545" s="648" t="s">
        <v>858</v>
      </c>
      <c r="AL545" s="649">
        <f>SUBTOTAL(109,AL546:AL571)</f>
        <v>0</v>
      </c>
      <c r="AM545" s="647"/>
      <c r="AN545" s="647"/>
      <c r="AO545" s="647"/>
      <c r="AP545" s="647"/>
      <c r="AQ545" s="647"/>
      <c r="AR545" s="139"/>
      <c r="AU545" s="139"/>
      <c r="AV545" s="139"/>
      <c r="AW545" s="139"/>
      <c r="AX545" s="139"/>
      <c r="AY545" s="139"/>
    </row>
    <row r="546" spans="1:51" ht="15" customHeight="1" thickBot="1" x14ac:dyDescent="0.45">
      <c r="C546" s="155"/>
      <c r="D546" s="155"/>
      <c r="E546" s="155"/>
      <c r="F546" s="925"/>
      <c r="G546" s="924"/>
      <c r="V546" s="889"/>
      <c r="AI546" s="937"/>
      <c r="AJ546" s="937"/>
      <c r="AK546" s="937"/>
      <c r="AM546" s="889"/>
      <c r="AN546" s="889"/>
      <c r="AO546" s="889"/>
      <c r="AP546" s="889"/>
      <c r="AQ546" s="889"/>
      <c r="AR546" s="139"/>
      <c r="AS546" s="139"/>
      <c r="AT546" s="139"/>
      <c r="AU546" s="139"/>
    </row>
    <row r="547" spans="1:51" ht="15" customHeight="1" x14ac:dyDescent="0.4">
      <c r="A547" s="3" t="s">
        <v>861</v>
      </c>
      <c r="B547" s="173" t="s">
        <v>1272</v>
      </c>
      <c r="C547" s="182"/>
      <c r="D547" s="138"/>
      <c r="E547" s="182"/>
      <c r="F547" s="434" t="s">
        <v>873</v>
      </c>
      <c r="G547" s="712">
        <f>G553</f>
        <v>3</v>
      </c>
      <c r="H547" s="193"/>
      <c r="I547" s="665">
        <v>23.5</v>
      </c>
      <c r="J547" s="666" t="s">
        <v>1273</v>
      </c>
      <c r="K547" s="116"/>
      <c r="L547" s="116"/>
      <c r="M547" s="177"/>
      <c r="N547" s="177"/>
      <c r="O547" s="177"/>
      <c r="P547" s="177"/>
      <c r="Q547" s="178"/>
      <c r="R547" s="116"/>
      <c r="S547" s="177"/>
      <c r="T547" s="116"/>
      <c r="U547" s="193"/>
      <c r="V547" s="667" t="str">
        <f>IF(OR(SL2Width&lt;I547,SL2Height&lt;I548),"√","")</f>
        <v/>
      </c>
      <c r="W547" s="668" t="str">
        <f>" If Width &lt; "&amp;I547&amp;" (minimum width) OR Height &lt; "&amp;I548&amp;" (minimum height) no reinforcement is required in the Lock Stile"</f>
        <v xml:space="preserve"> If Width &lt; 23.5 (minimum width) OR Height &lt; 11.5 (minimum height) no reinforcement is required in the Lock Stile</v>
      </c>
      <c r="X547" s="448"/>
      <c r="Y547" s="116"/>
      <c r="Z547" s="116"/>
      <c r="AA547" s="193"/>
      <c r="AB547" s="116"/>
      <c r="AC547" s="116"/>
      <c r="AD547" s="177"/>
      <c r="AE547" s="177"/>
      <c r="AF547" s="177"/>
      <c r="AG547" s="177"/>
      <c r="AH547" s="185"/>
      <c r="AI547" s="39"/>
      <c r="AJ547" s="39"/>
      <c r="AK547" s="39"/>
      <c r="AL547" s="180"/>
      <c r="AR547" s="139"/>
      <c r="AS547" s="139"/>
      <c r="AT547" s="139"/>
      <c r="AU547" s="139"/>
    </row>
    <row r="548" spans="1:51" ht="15" customHeight="1" x14ac:dyDescent="0.4">
      <c r="B548" s="7"/>
      <c r="C548" s="155"/>
      <c r="D548" s="155"/>
      <c r="E548" s="155"/>
      <c r="F548" s="434" t="s">
        <v>520</v>
      </c>
      <c r="G548" s="711">
        <v>3.75</v>
      </c>
      <c r="H548" s="20"/>
      <c r="I548" s="669">
        <v>11.5</v>
      </c>
      <c r="J548" s="201" t="s">
        <v>1274</v>
      </c>
      <c r="Q548" s="437"/>
      <c r="R548" s="500"/>
      <c r="S548" s="376"/>
      <c r="V548" s="1007" t="str">
        <f>IF(AND(SL2Width&gt;=I547,SL2Height&gt;=I548),"√","")</f>
        <v>√</v>
      </c>
      <c r="W548" s="880" t="str">
        <f>" If Width &gt;= "&amp;I547&amp;" (minimum width) AND Height &gt;= "&amp;I548&amp;" (minimum height) reinforcement is required in the Lock Stile"</f>
        <v xml:space="preserve"> If Width &gt;= 23.5 (minimum width) AND Height &gt;= 11.5 (minimum height) reinforcement is required in the Lock Stile</v>
      </c>
      <c r="X548" s="24"/>
      <c r="Y548" s="56"/>
      <c r="Z548" s="56"/>
      <c r="AA548" s="20"/>
      <c r="AE548" s="3"/>
      <c r="AF548" s="38"/>
      <c r="AG548" s="38"/>
      <c r="AH548" s="39"/>
      <c r="AI548" s="39"/>
      <c r="AJ548" s="39"/>
      <c r="AK548" s="39"/>
      <c r="AR548" s="139"/>
      <c r="AS548" s="139"/>
      <c r="AT548" s="139"/>
      <c r="AU548" s="139"/>
    </row>
    <row r="549" spans="1:51" ht="15" customHeight="1" x14ac:dyDescent="0.4">
      <c r="B549" s="7"/>
      <c r="C549" s="155"/>
      <c r="D549" s="155"/>
      <c r="E549" s="155"/>
      <c r="F549" s="434" t="s">
        <v>866</v>
      </c>
      <c r="G549" s="712">
        <v>0</v>
      </c>
      <c r="H549" s="20"/>
      <c r="Q549" s="24"/>
      <c r="S549" s="724" t="s">
        <v>1275</v>
      </c>
      <c r="T549" s="725"/>
      <c r="U549" s="810"/>
      <c r="V549" s="726"/>
      <c r="W549" s="726" t="s">
        <v>1276</v>
      </c>
      <c r="X549" s="726" t="s">
        <v>522</v>
      </c>
      <c r="AI549" s="39"/>
      <c r="AJ549" s="39"/>
      <c r="AK549" s="39"/>
      <c r="AR549" s="139"/>
      <c r="AS549" s="139"/>
      <c r="AT549" s="139"/>
      <c r="AU549" s="139"/>
    </row>
    <row r="550" spans="1:51" ht="15" customHeight="1" x14ac:dyDescent="0.4">
      <c r="B550" s="7"/>
      <c r="C550" s="155"/>
      <c r="E550" s="155"/>
      <c r="J550" s="436" t="str">
        <f xml:space="preserve"> "Length = INT ( ( UH - " &amp;FIXED(G548,2)&amp;") / "&amp;FIXED(G547,2)&amp;" ) *"&amp;FIXED(G547,2)</f>
        <v>Length = INT ( ( UH - 3.75) / 3.00 ) *3.00</v>
      </c>
      <c r="S550" s="376">
        <f>INT((SL2Height-G548)/G547)*G547</f>
        <v>42</v>
      </c>
      <c r="T550" s="3" t="s">
        <v>366</v>
      </c>
      <c r="W550" s="530">
        <f>LOOKUP(S550,S553:S571,O553:O571)*AC550</f>
        <v>1.764</v>
      </c>
      <c r="X550" s="24" t="str">
        <f>LOOKUP(S550,S553:S571,Q553:Q571)</f>
        <v>J</v>
      </c>
      <c r="Y550" s="1445">
        <f>LOOKUP(S550,S553:S571,Y553:Y571)</f>
        <v>250013000010</v>
      </c>
      <c r="Z550" s="1445"/>
      <c r="AA550" s="20"/>
      <c r="AB550" s="3">
        <v>45</v>
      </c>
      <c r="AC550" s="3">
        <f>IF(V548&lt;&gt;"",1,0)</f>
        <v>1</v>
      </c>
      <c r="AE550" s="3"/>
      <c r="AF550" s="38"/>
      <c r="AG550" s="38"/>
      <c r="AH550" s="51">
        <f>LOOKUP(S550,S553:S571,AH553:AH571)</f>
        <v>0</v>
      </c>
      <c r="AI550" s="39"/>
      <c r="AJ550" s="39"/>
      <c r="AK550" s="39"/>
      <c r="AL550" s="51">
        <f>AC550*AH550+SUM(AI550:AK550)</f>
        <v>0</v>
      </c>
      <c r="AR550" s="139"/>
      <c r="AS550" s="139"/>
      <c r="AT550" s="139"/>
      <c r="AU550" s="139"/>
    </row>
    <row r="551" spans="1:51" ht="15" customHeight="1" thickBot="1" x14ac:dyDescent="0.45">
      <c r="B551" s="7"/>
      <c r="C551" s="155"/>
      <c r="D551" s="155"/>
      <c r="E551" s="925"/>
      <c r="F551" s="1243"/>
      <c r="G551" s="1246"/>
      <c r="H551" s="887"/>
      <c r="I551" s="889"/>
      <c r="J551" s="889"/>
      <c r="K551" s="889"/>
      <c r="L551" s="889"/>
      <c r="M551" s="945"/>
      <c r="N551" s="945"/>
      <c r="O551" s="945"/>
      <c r="P551" s="945"/>
      <c r="Q551" s="945"/>
      <c r="R551" s="889"/>
      <c r="S551" s="945"/>
      <c r="T551" s="889"/>
      <c r="U551" s="948"/>
      <c r="V551" s="889"/>
      <c r="W551" s="889"/>
      <c r="X551" s="889"/>
      <c r="Y551" s="1451"/>
      <c r="Z551" s="1451"/>
      <c r="AA551" s="948"/>
      <c r="AB551" s="889"/>
      <c r="AC551" s="889"/>
      <c r="AD551" s="945"/>
      <c r="AE551" s="945"/>
      <c r="AF551" s="888"/>
      <c r="AG551" s="947"/>
      <c r="AH551" s="947"/>
      <c r="AI551" s="947"/>
      <c r="AJ551" s="947"/>
      <c r="AK551" s="947"/>
      <c r="AL551" s="947"/>
      <c r="AM551" s="889"/>
      <c r="AN551" s="889"/>
      <c r="AO551" s="889"/>
      <c r="AP551" s="889"/>
      <c r="AQ551" s="889"/>
      <c r="AR551" s="139"/>
      <c r="AS551" s="139"/>
      <c r="AT551" s="139"/>
      <c r="AU551" s="139"/>
    </row>
    <row r="552" spans="1:51" ht="15" customHeight="1" x14ac:dyDescent="0.4">
      <c r="C552" s="4"/>
      <c r="D552" s="155"/>
      <c r="E552" s="155"/>
      <c r="F552" s="461" t="s">
        <v>868</v>
      </c>
      <c r="G552" s="714">
        <v>0.504</v>
      </c>
      <c r="O552" s="724" t="s">
        <v>1277</v>
      </c>
      <c r="P552" s="809"/>
      <c r="Q552" s="724" t="s">
        <v>522</v>
      </c>
      <c r="R552" s="725"/>
      <c r="S552" s="724" t="s">
        <v>523</v>
      </c>
      <c r="T552" s="725"/>
      <c r="U552" s="810"/>
      <c r="V552" s="811"/>
      <c r="W552" s="811"/>
      <c r="X552" s="811"/>
      <c r="Y552" s="1517" t="s">
        <v>356</v>
      </c>
      <c r="Z552" s="1517"/>
      <c r="AE552" s="3"/>
      <c r="AF552" s="38"/>
      <c r="AG552" s="39"/>
      <c r="AH552" s="39"/>
      <c r="AI552" s="39"/>
      <c r="AJ552" s="39"/>
      <c r="AK552" s="39"/>
      <c r="AL552" s="501"/>
      <c r="AR552" s="139"/>
      <c r="AS552" s="139"/>
      <c r="AT552" s="139"/>
      <c r="AU552" s="139"/>
    </row>
    <row r="553" spans="1:51" ht="15" customHeight="1" x14ac:dyDescent="0.4">
      <c r="C553" s="4"/>
      <c r="D553" s="155"/>
      <c r="E553" s="155"/>
      <c r="F553" s="434" t="s">
        <v>519</v>
      </c>
      <c r="G553" s="711">
        <v>3</v>
      </c>
      <c r="O553" s="5">
        <v>0</v>
      </c>
      <c r="Q553" s="439" t="s">
        <v>529</v>
      </c>
      <c r="S553" s="5">
        <v>0</v>
      </c>
      <c r="T553" s="3" t="s">
        <v>366</v>
      </c>
      <c r="V553" s="4"/>
      <c r="W553" s="4"/>
      <c r="X553" s="4"/>
      <c r="Y553" s="1445" t="s">
        <v>529</v>
      </c>
      <c r="Z553" s="1445"/>
      <c r="AE553" s="3"/>
      <c r="AF553" s="38"/>
      <c r="AG553" s="39"/>
      <c r="AH553" s="39"/>
      <c r="AI553" s="39"/>
      <c r="AJ553" s="39"/>
      <c r="AK553" s="39"/>
      <c r="AL553" s="501"/>
      <c r="AR553" s="139"/>
      <c r="AS553" s="139"/>
      <c r="AT553" s="139"/>
      <c r="AU553" s="139"/>
    </row>
    <row r="554" spans="1:51" ht="15" customHeight="1" x14ac:dyDescent="0.4">
      <c r="B554" s="3"/>
      <c r="C554" s="4"/>
      <c r="D554" s="155"/>
      <c r="E554" s="155"/>
      <c r="F554" s="434" t="s">
        <v>878</v>
      </c>
      <c r="G554" s="711">
        <v>15</v>
      </c>
      <c r="O554" s="5">
        <f t="shared" ref="O554:O571" si="98">S554/12*$G$552</f>
        <v>0.63</v>
      </c>
      <c r="Q554" s="439" t="s">
        <v>70</v>
      </c>
      <c r="R554" s="440" t="s">
        <v>352</v>
      </c>
      <c r="S554" s="376">
        <f>G554</f>
        <v>15</v>
      </c>
      <c r="T554" s="3" t="s">
        <v>366</v>
      </c>
      <c r="V554" s="4"/>
      <c r="W554" s="4"/>
      <c r="X554" s="4"/>
      <c r="Y554" s="1454">
        <v>250013000001</v>
      </c>
      <c r="Z554" s="1454"/>
      <c r="AA554" s="20"/>
      <c r="AB554" s="3">
        <v>45</v>
      </c>
      <c r="AC554" s="3">
        <v>1</v>
      </c>
      <c r="AD554" s="5">
        <f>AC554*S554/12</f>
        <v>1.25</v>
      </c>
      <c r="AE554" s="3" t="s">
        <v>367</v>
      </c>
      <c r="AF554" s="38"/>
      <c r="AG554" s="39"/>
      <c r="AH554" s="844">
        <f>'Single Hung'!AI931</f>
        <v>0</v>
      </c>
      <c r="AI554" s="39"/>
      <c r="AJ554" s="39"/>
      <c r="AK554" s="39"/>
      <c r="AL554" s="501"/>
      <c r="AR554" s="139"/>
      <c r="AS554" s="139"/>
      <c r="AT554" s="139"/>
      <c r="AU554" s="139"/>
    </row>
    <row r="555" spans="1:51" ht="15" customHeight="1" x14ac:dyDescent="0.4">
      <c r="D555" s="155"/>
      <c r="E555" s="155"/>
      <c r="F555" s="3"/>
      <c r="G555" s="3"/>
      <c r="O555" s="5">
        <f t="shared" si="98"/>
        <v>0.75600000000000001</v>
      </c>
      <c r="Q555" s="439" t="s">
        <v>81</v>
      </c>
      <c r="R555" s="440" t="s">
        <v>352</v>
      </c>
      <c r="S555" s="376">
        <f>S554+G553</f>
        <v>18</v>
      </c>
      <c r="T555" s="3" t="s">
        <v>366</v>
      </c>
      <c r="V555" s="4"/>
      <c r="W555" s="4"/>
      <c r="X555" s="4"/>
      <c r="Y555" s="1454">
        <v>250013000002</v>
      </c>
      <c r="Z555" s="1454"/>
      <c r="AA555" s="20"/>
      <c r="AB555" s="3">
        <v>45</v>
      </c>
      <c r="AC555" s="3">
        <v>1</v>
      </c>
      <c r="AD555" s="5">
        <f t="shared" ref="AD555:AD567" si="99">AC555*S555/12</f>
        <v>1.5</v>
      </c>
      <c r="AE555" s="3" t="s">
        <v>367</v>
      </c>
      <c r="AF555" s="38"/>
      <c r="AG555" s="39"/>
      <c r="AH555" s="51">
        <f>'Single Hung'!AI932</f>
        <v>1.1913</v>
      </c>
      <c r="AI555" s="39"/>
      <c r="AJ555" s="39"/>
      <c r="AK555" s="39"/>
      <c r="AL555" s="501"/>
      <c r="AR555" s="139"/>
      <c r="AS555" s="139"/>
      <c r="AT555" s="139"/>
      <c r="AU555" s="139"/>
    </row>
    <row r="556" spans="1:51" ht="15" customHeight="1" x14ac:dyDescent="0.4">
      <c r="D556" s="155"/>
      <c r="E556" s="155"/>
      <c r="F556" s="155"/>
      <c r="G556" s="155"/>
      <c r="O556" s="5">
        <f t="shared" si="98"/>
        <v>0.88200000000000001</v>
      </c>
      <c r="Q556" s="439" t="s">
        <v>531</v>
      </c>
      <c r="R556" s="440" t="s">
        <v>352</v>
      </c>
      <c r="S556" s="376">
        <f t="shared" ref="S556:S571" si="100">S555+$G$553</f>
        <v>21</v>
      </c>
      <c r="T556" s="3" t="s">
        <v>366</v>
      </c>
      <c r="V556" s="4"/>
      <c r="W556" s="4"/>
      <c r="X556" s="4"/>
      <c r="Y556" s="1454">
        <v>250013000003</v>
      </c>
      <c r="Z556" s="1454"/>
      <c r="AA556" s="20"/>
      <c r="AB556" s="3">
        <v>45</v>
      </c>
      <c r="AC556" s="3">
        <v>1</v>
      </c>
      <c r="AD556" s="5">
        <f t="shared" si="99"/>
        <v>1.75</v>
      </c>
      <c r="AE556" s="3" t="s">
        <v>367</v>
      </c>
      <c r="AF556" s="38"/>
      <c r="AG556" s="39"/>
      <c r="AH556" s="51">
        <f>'Single Hung'!AI933</f>
        <v>0.87050000000000005</v>
      </c>
      <c r="AI556" s="39"/>
      <c r="AJ556" s="39"/>
      <c r="AK556" s="39"/>
      <c r="AL556" s="501"/>
      <c r="AR556" s="139"/>
      <c r="AS556" s="139"/>
      <c r="AT556" s="139"/>
      <c r="AU556" s="139"/>
    </row>
    <row r="557" spans="1:51" ht="15" customHeight="1" x14ac:dyDescent="0.4">
      <c r="B557" s="3"/>
      <c r="D557" s="155"/>
      <c r="E557" s="155"/>
      <c r="F557" s="3"/>
      <c r="G557" s="3"/>
      <c r="O557" s="5">
        <f t="shared" si="98"/>
        <v>1.008</v>
      </c>
      <c r="Q557" s="439" t="s">
        <v>94</v>
      </c>
      <c r="R557" s="440" t="s">
        <v>352</v>
      </c>
      <c r="S557" s="376">
        <f t="shared" si="100"/>
        <v>24</v>
      </c>
      <c r="T557" s="3" t="s">
        <v>366</v>
      </c>
      <c r="V557" s="4"/>
      <c r="W557" s="4"/>
      <c r="X557" s="4"/>
      <c r="Y557" s="1454">
        <v>250013000004</v>
      </c>
      <c r="Z557" s="1454"/>
      <c r="AA557" s="20"/>
      <c r="AB557" s="3">
        <v>45</v>
      </c>
      <c r="AC557" s="3">
        <v>1</v>
      </c>
      <c r="AD557" s="5">
        <f t="shared" si="99"/>
        <v>2</v>
      </c>
      <c r="AE557" s="3" t="s">
        <v>367</v>
      </c>
      <c r="AF557" s="38"/>
      <c r="AG557" s="39"/>
      <c r="AH557" s="51">
        <f>'Single Hung'!AI934</f>
        <v>1.5880000000000001</v>
      </c>
      <c r="AI557" s="39"/>
      <c r="AJ557" s="39"/>
      <c r="AK557" s="39"/>
      <c r="AL557" s="501"/>
      <c r="AR557" s="139"/>
      <c r="AS557" s="139"/>
      <c r="AT557" s="139"/>
      <c r="AU557" s="139"/>
    </row>
    <row r="558" spans="1:51" ht="15" customHeight="1" x14ac:dyDescent="0.4">
      <c r="B558" s="3"/>
      <c r="C558" s="4"/>
      <c r="D558" s="155"/>
      <c r="E558" s="155"/>
      <c r="F558" s="3"/>
      <c r="G558" s="3"/>
      <c r="O558" s="5">
        <f t="shared" si="98"/>
        <v>1.1339999999999999</v>
      </c>
      <c r="Q558" s="439" t="s">
        <v>112</v>
      </c>
      <c r="R558" s="440" t="s">
        <v>352</v>
      </c>
      <c r="S558" s="376">
        <f t="shared" si="100"/>
        <v>27</v>
      </c>
      <c r="T558" s="3" t="s">
        <v>366</v>
      </c>
      <c r="V558" s="4"/>
      <c r="W558" s="4"/>
      <c r="X558" s="4"/>
      <c r="Y558" s="1454">
        <v>250013000005</v>
      </c>
      <c r="Z558" s="1454"/>
      <c r="AA558" s="20"/>
      <c r="AB558" s="3">
        <v>45</v>
      </c>
      <c r="AC558" s="3">
        <v>1</v>
      </c>
      <c r="AD558" s="5">
        <f t="shared" si="99"/>
        <v>2.25</v>
      </c>
      <c r="AE558" s="3" t="s">
        <v>367</v>
      </c>
      <c r="AF558" s="38"/>
      <c r="AG558" s="39"/>
      <c r="AH558" s="51">
        <f>'Single Hung'!AI935</f>
        <v>1.6452</v>
      </c>
      <c r="AI558" s="39"/>
      <c r="AJ558" s="39"/>
      <c r="AK558" s="39"/>
      <c r="AL558" s="501"/>
      <c r="AR558" s="139"/>
      <c r="AS558" s="139"/>
      <c r="AT558" s="139"/>
      <c r="AU558" s="139"/>
    </row>
    <row r="559" spans="1:51" ht="15" customHeight="1" x14ac:dyDescent="0.4">
      <c r="C559" s="442"/>
      <c r="D559" s="155"/>
      <c r="E559" s="155"/>
      <c r="F559" s="3"/>
      <c r="G559" s="3"/>
      <c r="O559" s="5">
        <f t="shared" si="98"/>
        <v>1.26</v>
      </c>
      <c r="Q559" s="439" t="s">
        <v>128</v>
      </c>
      <c r="R559" s="440" t="s">
        <v>352</v>
      </c>
      <c r="S559" s="376">
        <f t="shared" si="100"/>
        <v>30</v>
      </c>
      <c r="T559" s="3" t="s">
        <v>366</v>
      </c>
      <c r="V559" s="4"/>
      <c r="W559" s="4"/>
      <c r="X559" s="4"/>
      <c r="Y559" s="1454">
        <v>250013000006</v>
      </c>
      <c r="Z559" s="1454"/>
      <c r="AA559" s="20"/>
      <c r="AB559" s="3">
        <v>45</v>
      </c>
      <c r="AC559" s="3">
        <v>1</v>
      </c>
      <c r="AD559" s="5">
        <f t="shared" si="99"/>
        <v>2.5</v>
      </c>
      <c r="AE559" s="3" t="s">
        <v>367</v>
      </c>
      <c r="AF559" s="38"/>
      <c r="AG559" s="39"/>
      <c r="AH559" s="51">
        <f>'Single Hung'!AI936</f>
        <v>1.9855</v>
      </c>
      <c r="AI559" s="39"/>
      <c r="AJ559" s="39"/>
      <c r="AK559" s="39"/>
      <c r="AL559" s="501"/>
      <c r="AR559" s="139"/>
      <c r="AS559" s="139"/>
      <c r="AT559" s="139"/>
      <c r="AU559" s="139"/>
    </row>
    <row r="560" spans="1:51" ht="15" customHeight="1" x14ac:dyDescent="0.4">
      <c r="C560" s="443"/>
      <c r="D560" s="155"/>
      <c r="E560" s="155"/>
      <c r="F560" s="155"/>
      <c r="G560" s="155"/>
      <c r="O560" s="5">
        <f t="shared" si="98"/>
        <v>1.3860000000000001</v>
      </c>
      <c r="Q560" s="439" t="s">
        <v>155</v>
      </c>
      <c r="R560" s="440" t="s">
        <v>352</v>
      </c>
      <c r="S560" s="376">
        <f t="shared" si="100"/>
        <v>33</v>
      </c>
      <c r="T560" s="3" t="s">
        <v>366</v>
      </c>
      <c r="V560" s="4"/>
      <c r="W560" s="4"/>
      <c r="X560" s="4"/>
      <c r="Y560" s="1454">
        <v>250013000007</v>
      </c>
      <c r="Z560" s="1454"/>
      <c r="AA560" s="20"/>
      <c r="AB560" s="3">
        <v>45</v>
      </c>
      <c r="AC560" s="3">
        <v>1</v>
      </c>
      <c r="AD560" s="5">
        <f t="shared" si="99"/>
        <v>2.75</v>
      </c>
      <c r="AE560" s="3" t="s">
        <v>367</v>
      </c>
      <c r="AF560" s="38"/>
      <c r="AG560" s="39"/>
      <c r="AH560" s="51">
        <f>'Single Hung'!AI937</f>
        <v>2.0110999999999999</v>
      </c>
      <c r="AI560" s="39"/>
      <c r="AJ560" s="39"/>
      <c r="AK560" s="39"/>
      <c r="AL560" s="501"/>
      <c r="AR560" s="139"/>
      <c r="AS560" s="139"/>
      <c r="AT560" s="139"/>
      <c r="AU560" s="139"/>
    </row>
    <row r="561" spans="1:51" ht="15" customHeight="1" x14ac:dyDescent="0.4">
      <c r="C561" s="4"/>
      <c r="D561" s="155"/>
      <c r="E561" s="155"/>
      <c r="F561" s="155"/>
      <c r="G561" s="155"/>
      <c r="O561" s="5">
        <f t="shared" si="98"/>
        <v>1.512</v>
      </c>
      <c r="Q561" s="439" t="s">
        <v>163</v>
      </c>
      <c r="R561" s="440" t="s">
        <v>352</v>
      </c>
      <c r="S561" s="376">
        <f t="shared" si="100"/>
        <v>36</v>
      </c>
      <c r="T561" s="3" t="s">
        <v>366</v>
      </c>
      <c r="V561" s="4"/>
      <c r="W561" s="4"/>
      <c r="X561" s="4"/>
      <c r="Y561" s="1454">
        <v>250013000008</v>
      </c>
      <c r="Z561" s="1454"/>
      <c r="AA561" s="20"/>
      <c r="AB561" s="3">
        <v>45</v>
      </c>
      <c r="AC561" s="3">
        <v>1</v>
      </c>
      <c r="AD561" s="5">
        <f t="shared" si="99"/>
        <v>3</v>
      </c>
      <c r="AE561" s="3" t="s">
        <v>367</v>
      </c>
      <c r="AF561" s="38"/>
      <c r="AG561" s="39"/>
      <c r="AH561" s="844">
        <f>'Single Hung'!AI938</f>
        <v>0</v>
      </c>
      <c r="AI561" s="39"/>
      <c r="AJ561" s="39"/>
      <c r="AK561" s="39"/>
      <c r="AL561" s="501"/>
      <c r="AR561" s="139"/>
      <c r="AS561" s="139"/>
      <c r="AT561" s="139"/>
      <c r="AU561" s="139"/>
    </row>
    <row r="562" spans="1:51" ht="15" customHeight="1" x14ac:dyDescent="0.4">
      <c r="C562" s="4"/>
      <c r="D562" s="155"/>
      <c r="E562" s="155"/>
      <c r="F562" s="155"/>
      <c r="G562" s="155"/>
      <c r="O562" s="5">
        <f t="shared" si="98"/>
        <v>1.6379999999999999</v>
      </c>
      <c r="Q562" s="439" t="s">
        <v>175</v>
      </c>
      <c r="R562" s="440" t="s">
        <v>352</v>
      </c>
      <c r="S562" s="376">
        <f t="shared" si="100"/>
        <v>39</v>
      </c>
      <c r="T562" s="3" t="s">
        <v>366</v>
      </c>
      <c r="V562" s="4"/>
      <c r="W562" s="4"/>
      <c r="X562" s="4"/>
      <c r="Y562" s="1454">
        <v>250013000009</v>
      </c>
      <c r="Z562" s="1454"/>
      <c r="AA562" s="20"/>
      <c r="AB562" s="3">
        <v>45</v>
      </c>
      <c r="AC562" s="3">
        <v>1</v>
      </c>
      <c r="AD562" s="5">
        <f t="shared" si="99"/>
        <v>3.25</v>
      </c>
      <c r="AE562" s="3" t="s">
        <v>367</v>
      </c>
      <c r="AF562" s="38"/>
      <c r="AG562" s="39"/>
      <c r="AH562" s="844">
        <f>'Single Hung'!AI939</f>
        <v>0</v>
      </c>
      <c r="AI562" s="39"/>
      <c r="AJ562" s="39"/>
      <c r="AK562" s="39"/>
      <c r="AL562" s="501"/>
      <c r="AR562" s="139"/>
      <c r="AS562" s="139"/>
      <c r="AT562" s="139"/>
      <c r="AU562" s="139"/>
    </row>
    <row r="563" spans="1:51" ht="15" customHeight="1" x14ac:dyDescent="0.4">
      <c r="C563" s="4"/>
      <c r="D563" s="155"/>
      <c r="E563" s="155"/>
      <c r="F563" s="155"/>
      <c r="G563" s="155"/>
      <c r="O563" s="5">
        <f t="shared" si="98"/>
        <v>1.764</v>
      </c>
      <c r="Q563" s="439" t="s">
        <v>533</v>
      </c>
      <c r="R563" s="440" t="s">
        <v>352</v>
      </c>
      <c r="S563" s="376">
        <f t="shared" si="100"/>
        <v>42</v>
      </c>
      <c r="T563" s="3" t="s">
        <v>366</v>
      </c>
      <c r="V563" s="4"/>
      <c r="W563" s="4"/>
      <c r="X563" s="4"/>
      <c r="Y563" s="1454">
        <v>250013000010</v>
      </c>
      <c r="Z563" s="1454"/>
      <c r="AA563" s="20"/>
      <c r="AB563" s="3">
        <v>45</v>
      </c>
      <c r="AC563" s="3">
        <v>1</v>
      </c>
      <c r="AD563" s="5">
        <f t="shared" si="99"/>
        <v>3.5</v>
      </c>
      <c r="AE563" s="3" t="s">
        <v>367</v>
      </c>
      <c r="AF563" s="38"/>
      <c r="AG563" s="39"/>
      <c r="AH563" s="844">
        <f>'Single Hung'!AI940</f>
        <v>0</v>
      </c>
      <c r="AI563" s="39"/>
      <c r="AJ563" s="39"/>
      <c r="AK563" s="39"/>
      <c r="AL563" s="501"/>
      <c r="AR563" s="139"/>
      <c r="AS563" s="139"/>
      <c r="AT563" s="139"/>
      <c r="AU563" s="139"/>
    </row>
    <row r="564" spans="1:51" ht="15" customHeight="1" x14ac:dyDescent="0.4">
      <c r="C564" s="4"/>
      <c r="D564" s="155"/>
      <c r="E564" s="155"/>
      <c r="F564" s="434"/>
      <c r="G564" s="3"/>
      <c r="O564" s="5">
        <f t="shared" si="98"/>
        <v>1.8900000000000001</v>
      </c>
      <c r="Q564" s="439" t="s">
        <v>534</v>
      </c>
      <c r="R564" s="440" t="s">
        <v>352</v>
      </c>
      <c r="S564" s="376">
        <f t="shared" si="100"/>
        <v>45</v>
      </c>
      <c r="T564" s="3" t="s">
        <v>366</v>
      </c>
      <c r="V564" s="4"/>
      <c r="W564" s="4"/>
      <c r="X564" s="4"/>
      <c r="Y564" s="1454">
        <v>250013000011</v>
      </c>
      <c r="Z564" s="1454"/>
      <c r="AA564" s="20"/>
      <c r="AB564" s="3">
        <v>45</v>
      </c>
      <c r="AC564" s="3">
        <v>1</v>
      </c>
      <c r="AD564" s="5">
        <f t="shared" si="99"/>
        <v>3.75</v>
      </c>
      <c r="AE564" s="3" t="s">
        <v>367</v>
      </c>
      <c r="AF564" s="38"/>
      <c r="AG564" s="39"/>
      <c r="AH564" s="844">
        <f>'Single Hung'!AI941</f>
        <v>0</v>
      </c>
      <c r="AI564" s="39"/>
      <c r="AJ564" s="39"/>
      <c r="AK564" s="39"/>
      <c r="AL564" s="501"/>
      <c r="AR564" s="139"/>
      <c r="AS564" s="139"/>
      <c r="AT564" s="139"/>
      <c r="AU564" s="139"/>
    </row>
    <row r="565" spans="1:51" ht="15" customHeight="1" x14ac:dyDescent="0.4">
      <c r="C565" s="4"/>
      <c r="D565" s="155"/>
      <c r="E565" s="155"/>
      <c r="F565" s="434"/>
      <c r="G565" s="498"/>
      <c r="O565" s="5">
        <f t="shared" si="98"/>
        <v>2.016</v>
      </c>
      <c r="Q565" s="439" t="s">
        <v>535</v>
      </c>
      <c r="R565" s="440" t="s">
        <v>352</v>
      </c>
      <c r="S565" s="376">
        <f t="shared" si="100"/>
        <v>48</v>
      </c>
      <c r="T565" s="3" t="s">
        <v>366</v>
      </c>
      <c r="V565" s="4"/>
      <c r="W565" s="4"/>
      <c r="X565" s="4"/>
      <c r="Y565" s="1454">
        <v>250013000012</v>
      </c>
      <c r="Z565" s="1454"/>
      <c r="AA565" s="20"/>
      <c r="AB565" s="3">
        <v>45</v>
      </c>
      <c r="AC565" s="3">
        <v>1</v>
      </c>
      <c r="AD565" s="5">
        <f t="shared" si="99"/>
        <v>4</v>
      </c>
      <c r="AE565" s="3" t="s">
        <v>367</v>
      </c>
      <c r="AF565" s="38"/>
      <c r="AG565" s="39"/>
      <c r="AH565" s="844">
        <f>'Single Hung'!AI942</f>
        <v>0</v>
      </c>
      <c r="AI565" s="39"/>
      <c r="AJ565" s="39"/>
      <c r="AK565" s="39"/>
      <c r="AL565" s="501"/>
      <c r="AR565" s="139"/>
      <c r="AS565" s="139"/>
      <c r="AT565" s="139"/>
      <c r="AU565" s="139"/>
    </row>
    <row r="566" spans="1:51" ht="15" customHeight="1" x14ac:dyDescent="0.4">
      <c r="C566" s="4"/>
      <c r="D566" s="155"/>
      <c r="E566" s="155"/>
      <c r="F566" s="434"/>
      <c r="G566" s="498"/>
      <c r="O566" s="5">
        <f t="shared" si="98"/>
        <v>2.1419999999999999</v>
      </c>
      <c r="Q566" s="439" t="s">
        <v>536</v>
      </c>
      <c r="R566" s="440" t="s">
        <v>352</v>
      </c>
      <c r="S566" s="376">
        <f t="shared" si="100"/>
        <v>51</v>
      </c>
      <c r="T566" s="3" t="s">
        <v>366</v>
      </c>
      <c r="V566" s="4"/>
      <c r="W566" s="4"/>
      <c r="X566" s="4"/>
      <c r="Y566" s="1454">
        <v>250013000013</v>
      </c>
      <c r="Z566" s="1454"/>
      <c r="AA566" s="20"/>
      <c r="AB566" s="3">
        <v>45</v>
      </c>
      <c r="AC566" s="3">
        <v>1</v>
      </c>
      <c r="AD566" s="5">
        <f t="shared" si="99"/>
        <v>4.25</v>
      </c>
      <c r="AE566" s="3" t="s">
        <v>367</v>
      </c>
      <c r="AF566" s="38"/>
      <c r="AG566" s="39"/>
      <c r="AH566" s="844">
        <f>'Single Hung'!AI943</f>
        <v>0</v>
      </c>
      <c r="AI566" s="39"/>
      <c r="AJ566" s="39"/>
      <c r="AK566" s="39"/>
      <c r="AL566" s="501"/>
      <c r="AR566" s="139"/>
      <c r="AS566" s="139"/>
      <c r="AT566" s="139"/>
      <c r="AU566" s="139"/>
    </row>
    <row r="567" spans="1:51" ht="15" customHeight="1" x14ac:dyDescent="0.4">
      <c r="C567" s="4"/>
      <c r="D567" s="155"/>
      <c r="E567" s="155"/>
      <c r="F567" s="461"/>
      <c r="G567" s="3"/>
      <c r="O567" s="5">
        <f t="shared" si="98"/>
        <v>2.2679999999999998</v>
      </c>
      <c r="Q567" s="439" t="s">
        <v>537</v>
      </c>
      <c r="R567" s="440" t="s">
        <v>352</v>
      </c>
      <c r="S567" s="376">
        <f t="shared" si="100"/>
        <v>54</v>
      </c>
      <c r="T567" s="3" t="s">
        <v>366</v>
      </c>
      <c r="V567" s="4"/>
      <c r="W567" s="4"/>
      <c r="X567" s="4"/>
      <c r="Y567" s="1454">
        <v>250013000014</v>
      </c>
      <c r="Z567" s="1454"/>
      <c r="AA567" s="20"/>
      <c r="AB567" s="3">
        <v>45</v>
      </c>
      <c r="AC567" s="3">
        <v>1</v>
      </c>
      <c r="AD567" s="5">
        <f t="shared" si="99"/>
        <v>4.5</v>
      </c>
      <c r="AE567" s="3" t="s">
        <v>367</v>
      </c>
      <c r="AF567" s="38"/>
      <c r="AG567" s="39"/>
      <c r="AH567" s="844">
        <f>'Single Hung'!AI944</f>
        <v>0</v>
      </c>
      <c r="AI567" s="39"/>
      <c r="AJ567" s="39"/>
      <c r="AK567" s="39"/>
      <c r="AL567" s="501"/>
      <c r="AR567" s="139"/>
      <c r="AS567" s="139"/>
      <c r="AT567" s="139"/>
      <c r="AU567" s="139"/>
    </row>
    <row r="568" spans="1:51" ht="15" customHeight="1" x14ac:dyDescent="0.4">
      <c r="C568" s="4"/>
      <c r="D568" s="155"/>
      <c r="E568" s="155"/>
      <c r="F568" s="155"/>
      <c r="G568" s="155"/>
      <c r="O568" s="5">
        <f t="shared" si="98"/>
        <v>2.3940000000000001</v>
      </c>
      <c r="Q568" s="439" t="s">
        <v>371</v>
      </c>
      <c r="R568" s="440" t="s">
        <v>352</v>
      </c>
      <c r="S568" s="376">
        <f t="shared" si="100"/>
        <v>57</v>
      </c>
      <c r="T568" s="3" t="s">
        <v>366</v>
      </c>
      <c r="V568" s="4"/>
      <c r="W568" s="4"/>
      <c r="X568" s="4"/>
      <c r="Y568" s="1454">
        <v>250013000015</v>
      </c>
      <c r="Z568" s="1454"/>
      <c r="AA568" s="20"/>
      <c r="AB568" s="3">
        <v>45</v>
      </c>
      <c r="AC568" s="3">
        <v>1</v>
      </c>
      <c r="AD568" s="5">
        <f>AC568*S568/12</f>
        <v>4.75</v>
      </c>
      <c r="AE568" s="3" t="s">
        <v>367</v>
      </c>
      <c r="AF568" s="38"/>
      <c r="AG568" s="39"/>
      <c r="AH568" s="844">
        <f>'Single Hung'!AI945</f>
        <v>0</v>
      </c>
      <c r="AI568" s="39"/>
      <c r="AJ568" s="39"/>
      <c r="AK568" s="39"/>
      <c r="AL568" s="501"/>
      <c r="AR568" s="139"/>
      <c r="AS568" s="139"/>
      <c r="AT568" s="139"/>
      <c r="AU568" s="139"/>
    </row>
    <row r="569" spans="1:51" ht="15" customHeight="1" x14ac:dyDescent="0.4">
      <c r="C569" s="4"/>
      <c r="D569" s="155"/>
      <c r="E569" s="155"/>
      <c r="F569" s="155"/>
      <c r="G569" s="155"/>
      <c r="O569" s="5">
        <f t="shared" si="98"/>
        <v>2.52</v>
      </c>
      <c r="Q569" s="439" t="s">
        <v>538</v>
      </c>
      <c r="R569" s="440" t="s">
        <v>352</v>
      </c>
      <c r="S569" s="376">
        <f t="shared" si="100"/>
        <v>60</v>
      </c>
      <c r="T569" s="3" t="s">
        <v>366</v>
      </c>
      <c r="V569" s="4"/>
      <c r="W569" s="4"/>
      <c r="X569" s="4"/>
      <c r="Y569" s="1454">
        <v>250013000016</v>
      </c>
      <c r="Z569" s="1454"/>
      <c r="AA569" s="20"/>
      <c r="AB569" s="3">
        <v>45</v>
      </c>
      <c r="AC569" s="3">
        <v>1</v>
      </c>
      <c r="AD569" s="5">
        <f>AC569*S569/12</f>
        <v>5</v>
      </c>
      <c r="AE569" s="3" t="s">
        <v>367</v>
      </c>
      <c r="AF569" s="38"/>
      <c r="AG569" s="39"/>
      <c r="AH569" s="844">
        <f>'Single Hung'!AI946</f>
        <v>0</v>
      </c>
      <c r="AI569" s="39"/>
      <c r="AJ569" s="39"/>
      <c r="AK569" s="39"/>
      <c r="AL569" s="501"/>
      <c r="AR569" s="139"/>
      <c r="AS569" s="139"/>
      <c r="AT569" s="139"/>
      <c r="AU569" s="139"/>
    </row>
    <row r="570" spans="1:51" ht="15" customHeight="1" x14ac:dyDescent="0.4">
      <c r="C570" s="4" t="s">
        <v>2245</v>
      </c>
      <c r="D570" s="155"/>
      <c r="E570" s="155"/>
      <c r="F570" s="155"/>
      <c r="G570" s="155"/>
      <c r="O570" s="5">
        <f t="shared" si="98"/>
        <v>2.6459999999999999</v>
      </c>
      <c r="Q570" s="439" t="s">
        <v>539</v>
      </c>
      <c r="R570" s="440" t="s">
        <v>352</v>
      </c>
      <c r="S570" s="376">
        <f t="shared" si="100"/>
        <v>63</v>
      </c>
      <c r="T570" s="3" t="s">
        <v>366</v>
      </c>
      <c r="V570" s="4"/>
      <c r="W570" s="4"/>
      <c r="X570" s="4"/>
      <c r="Y570" s="1454">
        <v>250013000017</v>
      </c>
      <c r="Z570" s="1454"/>
      <c r="AA570" s="20"/>
      <c r="AB570" s="3">
        <v>45</v>
      </c>
      <c r="AC570" s="3">
        <v>1</v>
      </c>
      <c r="AD570" s="5">
        <f>AC570*S570/12</f>
        <v>5.25</v>
      </c>
      <c r="AE570" s="3" t="s">
        <v>367</v>
      </c>
      <c r="AF570" s="38"/>
      <c r="AG570" s="39"/>
      <c r="AH570" s="844">
        <f>'Single Hung'!AI947</f>
        <v>0</v>
      </c>
      <c r="AI570" s="39"/>
      <c r="AJ570" s="39"/>
      <c r="AK570" s="39"/>
      <c r="AL570" s="501"/>
      <c r="AR570" s="139"/>
      <c r="AS570" s="139"/>
      <c r="AT570" s="139"/>
      <c r="AU570" s="139"/>
    </row>
    <row r="571" spans="1:51" ht="15" customHeight="1" thickBot="1" x14ac:dyDescent="0.45">
      <c r="B571" s="968"/>
      <c r="C571" s="968"/>
      <c r="D571" s="925"/>
      <c r="E571" s="925"/>
      <c r="F571" s="925"/>
      <c r="G571" s="925"/>
      <c r="H571" s="948"/>
      <c r="I571" s="889"/>
      <c r="J571" s="889"/>
      <c r="K571" s="889"/>
      <c r="L571" s="889"/>
      <c r="M571" s="945"/>
      <c r="N571" s="945"/>
      <c r="O571" s="945">
        <f t="shared" si="98"/>
        <v>2.7720000000000002</v>
      </c>
      <c r="P571" s="945"/>
      <c r="Q571" s="1192" t="s">
        <v>540</v>
      </c>
      <c r="R571" s="1005" t="s">
        <v>352</v>
      </c>
      <c r="S571" s="970">
        <f t="shared" si="100"/>
        <v>66</v>
      </c>
      <c r="T571" s="889" t="s">
        <v>366</v>
      </c>
      <c r="U571" s="948"/>
      <c r="V571" s="968"/>
      <c r="W571" s="968"/>
      <c r="X571" s="968"/>
      <c r="Y571" s="1461">
        <v>250013000018</v>
      </c>
      <c r="Z571" s="1461"/>
      <c r="AA571" s="887"/>
      <c r="AB571" s="889">
        <v>45</v>
      </c>
      <c r="AC571" s="889">
        <v>1</v>
      </c>
      <c r="AD571" s="945">
        <f>AC571*S571/12</f>
        <v>5.5</v>
      </c>
      <c r="AE571" s="889" t="s">
        <v>367</v>
      </c>
      <c r="AF571" s="888"/>
      <c r="AG571" s="947"/>
      <c r="AH571" s="998">
        <f>'Single Hung'!AI948</f>
        <v>4.3678999999999997</v>
      </c>
      <c r="AI571" s="947"/>
      <c r="AJ571" s="947"/>
      <c r="AK571" s="947"/>
      <c r="AL571" s="1247"/>
      <c r="AM571" s="889"/>
      <c r="AN571" s="889"/>
      <c r="AO571" s="889"/>
      <c r="AP571" s="889"/>
      <c r="AQ571" s="889"/>
      <c r="AR571" s="139"/>
      <c r="AS571" s="139"/>
      <c r="AT571" s="139"/>
      <c r="AU571" s="139"/>
    </row>
    <row r="572" spans="1:51" ht="15" customHeight="1" x14ac:dyDescent="0.4">
      <c r="A572" s="3" t="s">
        <v>2246</v>
      </c>
      <c r="B572" s="641" t="s">
        <v>880</v>
      </c>
      <c r="C572" s="642"/>
      <c r="D572" s="642"/>
      <c r="E572" s="642"/>
      <c r="F572" s="642"/>
      <c r="G572" s="642"/>
      <c r="H572" s="643"/>
      <c r="I572" s="643"/>
      <c r="J572" s="643"/>
      <c r="K572" s="643"/>
      <c r="L572" s="643"/>
      <c r="M572" s="644"/>
      <c r="N572" s="644"/>
      <c r="O572" s="644"/>
      <c r="P572" s="644"/>
      <c r="Q572" s="644"/>
      <c r="R572" s="643"/>
      <c r="S572" s="644"/>
      <c r="T572" s="643"/>
      <c r="U572" s="643"/>
      <c r="V572" s="642"/>
      <c r="W572" s="642"/>
      <c r="X572" s="642"/>
      <c r="Y572" s="645"/>
      <c r="Z572" s="645"/>
      <c r="AA572" s="643"/>
      <c r="AB572" s="645"/>
      <c r="AC572" s="643"/>
      <c r="AD572" s="644"/>
      <c r="AE572" s="643"/>
      <c r="AF572" s="643"/>
      <c r="AG572" s="643"/>
      <c r="AH572" s="646"/>
      <c r="AI572" s="647"/>
      <c r="AJ572" s="647"/>
      <c r="AK572" s="648" t="s">
        <v>881</v>
      </c>
      <c r="AL572" s="649">
        <f>SUBTOTAL(109,AL573:AL580)</f>
        <v>1.0452374999999998</v>
      </c>
      <c r="AM572" s="647" t="s">
        <v>371</v>
      </c>
      <c r="AN572" s="647" t="s">
        <v>371</v>
      </c>
      <c r="AO572" s="647" t="s">
        <v>371</v>
      </c>
      <c r="AP572" s="647" t="s">
        <v>371</v>
      </c>
      <c r="AQ572" s="647"/>
      <c r="AR572" s="139"/>
      <c r="AU572" s="139"/>
      <c r="AV572" s="139"/>
      <c r="AW572" s="139"/>
      <c r="AX572" s="139"/>
      <c r="AY572" s="139"/>
    </row>
    <row r="573" spans="1:51" ht="11.4" x14ac:dyDescent="0.4">
      <c r="B573" s="3"/>
      <c r="C573" s="4" t="s">
        <v>2247</v>
      </c>
      <c r="G573" s="3"/>
      <c r="I573" s="3" t="s">
        <v>365</v>
      </c>
      <c r="L573" s="5" t="s">
        <v>348</v>
      </c>
      <c r="M573" s="5">
        <v>-2</v>
      </c>
      <c r="Q573" s="3"/>
      <c r="R573" s="5" t="s">
        <v>352</v>
      </c>
      <c r="S573" s="5">
        <f>SL2Height+M573</f>
        <v>45.5</v>
      </c>
      <c r="T573" s="3" t="s">
        <v>366</v>
      </c>
      <c r="V573" s="4"/>
      <c r="W573" s="4"/>
      <c r="X573" s="56"/>
      <c r="Y573" s="1443">
        <v>640019000</v>
      </c>
      <c r="Z573" s="1443"/>
      <c r="AB573" s="3">
        <v>45</v>
      </c>
      <c r="AC573" s="56">
        <v>1</v>
      </c>
      <c r="AD573" s="376">
        <f>AC573*S573/12</f>
        <v>3.7916666666666665</v>
      </c>
      <c r="AE573" s="3" t="s">
        <v>367</v>
      </c>
      <c r="AF573" s="38"/>
      <c r="AG573" s="38"/>
      <c r="AH573" s="492">
        <f>'Single Hung'!AI950</f>
        <v>8.7300000000000003E-2</v>
      </c>
      <c r="AI573" s="39"/>
      <c r="AJ573" s="39"/>
      <c r="AK573" s="39"/>
      <c r="AL573" s="51">
        <f>AD$573*AH573+SUM(AI573:AK573)</f>
        <v>0.33101249999999999</v>
      </c>
      <c r="AM573" s="3" t="s">
        <v>371</v>
      </c>
      <c r="AN573" s="3" t="s">
        <v>371</v>
      </c>
      <c r="AO573" s="3" t="s">
        <v>371</v>
      </c>
      <c r="AP573" s="3" t="s">
        <v>371</v>
      </c>
      <c r="AR573" s="139"/>
      <c r="AS573" s="139"/>
      <c r="AT573" s="139"/>
      <c r="AU573" s="139"/>
    </row>
    <row r="574" spans="1:51" ht="11.4" x14ac:dyDescent="0.4">
      <c r="B574" s="3"/>
      <c r="C574" s="4"/>
      <c r="G574" s="3"/>
      <c r="L574" s="5"/>
      <c r="Q574" s="3"/>
      <c r="R574" s="5"/>
      <c r="V574" s="4"/>
      <c r="W574" s="4"/>
      <c r="X574" s="56"/>
      <c r="Y574" s="1443"/>
      <c r="Z574" s="1443"/>
      <c r="AC574" s="56"/>
      <c r="AD574" s="376"/>
      <c r="AE574" s="3"/>
      <c r="AF574" s="38"/>
      <c r="AG574" s="38"/>
      <c r="AH574" s="477"/>
      <c r="AI574" s="39"/>
      <c r="AJ574" s="39"/>
      <c r="AK574" s="39"/>
      <c r="AM574" s="3" t="s">
        <v>371</v>
      </c>
      <c r="AN574" s="3" t="s">
        <v>371</v>
      </c>
      <c r="AO574" s="3" t="s">
        <v>371</v>
      </c>
      <c r="AP574" s="3" t="s">
        <v>371</v>
      </c>
      <c r="AR574" s="139"/>
      <c r="AS574" s="139"/>
      <c r="AT574" s="139"/>
      <c r="AU574" s="139"/>
    </row>
    <row r="575" spans="1:51" ht="11.4" x14ac:dyDescent="0.4">
      <c r="B575" s="3"/>
      <c r="C575" s="4"/>
      <c r="G575" s="3"/>
      <c r="L575" s="5"/>
      <c r="Q575" s="3"/>
      <c r="R575" s="5"/>
      <c r="V575" s="4"/>
      <c r="W575" s="4"/>
      <c r="X575" s="56"/>
      <c r="Y575" s="1443"/>
      <c r="Z575" s="1443"/>
      <c r="AC575" s="56"/>
      <c r="AD575" s="376"/>
      <c r="AE575" s="3"/>
      <c r="AF575" s="38"/>
      <c r="AG575" s="38"/>
      <c r="AH575" s="477"/>
      <c r="AI575" s="39"/>
      <c r="AJ575" s="39"/>
      <c r="AK575" s="39"/>
      <c r="AM575" s="3" t="s">
        <v>371</v>
      </c>
      <c r="AN575" s="3" t="s">
        <v>371</v>
      </c>
      <c r="AO575" s="3" t="s">
        <v>371</v>
      </c>
      <c r="AP575" s="3" t="s">
        <v>371</v>
      </c>
      <c r="AR575" s="139"/>
      <c r="AS575" s="139"/>
      <c r="AT575" s="139"/>
      <c r="AU575" s="139"/>
    </row>
    <row r="576" spans="1:51" ht="12" thickBot="1" x14ac:dyDescent="0.45">
      <c r="B576" s="3"/>
      <c r="C576" s="968"/>
      <c r="D576" s="968"/>
      <c r="E576" s="968"/>
      <c r="F576" s="968"/>
      <c r="G576" s="889"/>
      <c r="H576" s="948"/>
      <c r="I576" s="889"/>
      <c r="J576" s="889"/>
      <c r="K576" s="889"/>
      <c r="L576" s="945"/>
      <c r="M576" s="945"/>
      <c r="N576" s="945"/>
      <c r="O576" s="945"/>
      <c r="P576" s="945"/>
      <c r="Q576" s="889"/>
      <c r="R576" s="945"/>
      <c r="S576" s="945"/>
      <c r="T576" s="889"/>
      <c r="U576" s="948"/>
      <c r="V576" s="968"/>
      <c r="W576" s="968"/>
      <c r="X576" s="1156"/>
      <c r="Y576" s="1444"/>
      <c r="Z576" s="1444"/>
      <c r="AA576" s="948"/>
      <c r="AB576" s="889"/>
      <c r="AC576" s="1156"/>
      <c r="AD576" s="970"/>
      <c r="AE576" s="889"/>
      <c r="AF576" s="888"/>
      <c r="AG576" s="888"/>
      <c r="AH576" s="1157"/>
      <c r="AI576" s="947"/>
      <c r="AJ576" s="947"/>
      <c r="AK576" s="947"/>
      <c r="AL576" s="947"/>
      <c r="AM576" s="889" t="s">
        <v>371</v>
      </c>
      <c r="AN576" s="889" t="s">
        <v>371</v>
      </c>
      <c r="AO576" s="889" t="s">
        <v>371</v>
      </c>
      <c r="AP576" s="889" t="s">
        <v>371</v>
      </c>
      <c r="AQ576" s="889"/>
      <c r="AR576" s="139"/>
      <c r="AS576" s="139"/>
      <c r="AT576" s="139"/>
      <c r="AU576" s="139"/>
    </row>
    <row r="577" spans="1:51" ht="15" customHeight="1" x14ac:dyDescent="0.4">
      <c r="B577" s="3"/>
      <c r="C577" s="4" t="s">
        <v>2248</v>
      </c>
      <c r="G577" s="3"/>
      <c r="I577" s="3" t="s">
        <v>365</v>
      </c>
      <c r="J577" s="38"/>
      <c r="L577" s="5" t="s">
        <v>348</v>
      </c>
      <c r="M577" s="5">
        <v>-2</v>
      </c>
      <c r="Q577" s="3"/>
      <c r="R577" s="5" t="s">
        <v>352</v>
      </c>
      <c r="S577" s="5">
        <f>SL2Height+M577</f>
        <v>45.5</v>
      </c>
      <c r="T577" s="3" t="s">
        <v>366</v>
      </c>
      <c r="V577" s="4"/>
      <c r="W577" s="4"/>
      <c r="X577" s="56"/>
      <c r="Y577" s="1443">
        <v>640020000</v>
      </c>
      <c r="Z577" s="1443"/>
      <c r="AB577" s="3">
        <v>45</v>
      </c>
      <c r="AC577" s="56">
        <v>1</v>
      </c>
      <c r="AD577" s="376">
        <f>AC577*S577/12</f>
        <v>3.7916666666666665</v>
      </c>
      <c r="AE577" s="3" t="s">
        <v>367</v>
      </c>
      <c r="AF577" s="38"/>
      <c r="AG577" s="38"/>
      <c r="AH577" s="492">
        <f>'Single Hung'!AI953</f>
        <v>9.6299999999999997E-2</v>
      </c>
      <c r="AI577" s="39"/>
      <c r="AJ577" s="39"/>
      <c r="AK577" s="39"/>
      <c r="AL577" s="51">
        <f>AD$577*AH577+SUM(AI577:AK577)</f>
        <v>0.36513749999999995</v>
      </c>
      <c r="AM577" s="3" t="s">
        <v>371</v>
      </c>
      <c r="AN577" s="3" t="s">
        <v>371</v>
      </c>
      <c r="AO577" s="3" t="s">
        <v>371</v>
      </c>
      <c r="AP577" s="3" t="s">
        <v>371</v>
      </c>
      <c r="AR577" s="139"/>
      <c r="AS577" s="139"/>
      <c r="AT577" s="139"/>
      <c r="AU577" s="139"/>
    </row>
    <row r="578" spans="1:51" ht="15" customHeight="1" x14ac:dyDescent="0.4">
      <c r="B578" s="3"/>
      <c r="C578" s="4"/>
      <c r="G578" s="3"/>
      <c r="J578" s="38"/>
      <c r="L578" s="5"/>
      <c r="Q578" s="3"/>
      <c r="R578" s="5"/>
      <c r="V578" s="4"/>
      <c r="W578" s="4"/>
      <c r="X578" s="56"/>
      <c r="Y578" s="1443"/>
      <c r="Z578" s="1443"/>
      <c r="AC578" s="56"/>
      <c r="AD578" s="376"/>
      <c r="AE578" s="3"/>
      <c r="AF578" s="38"/>
      <c r="AG578" s="38"/>
      <c r="AH578" s="477"/>
      <c r="AI578" s="39"/>
      <c r="AJ578" s="39"/>
      <c r="AK578" s="39"/>
      <c r="AM578" s="3" t="s">
        <v>371</v>
      </c>
      <c r="AN578" s="3" t="s">
        <v>371</v>
      </c>
      <c r="AO578" s="3" t="s">
        <v>371</v>
      </c>
      <c r="AP578" s="3" t="s">
        <v>371</v>
      </c>
      <c r="AR578" s="139"/>
      <c r="AS578" s="139"/>
      <c r="AT578" s="139"/>
      <c r="AU578" s="139"/>
    </row>
    <row r="579" spans="1:51" ht="15" customHeight="1" x14ac:dyDescent="0.4">
      <c r="B579" s="3"/>
      <c r="C579" s="4" t="s">
        <v>2249</v>
      </c>
      <c r="G579" s="3"/>
      <c r="I579" s="3" t="s">
        <v>392</v>
      </c>
      <c r="J579" s="38" t="s">
        <v>346</v>
      </c>
      <c r="K579" s="3">
        <v>2</v>
      </c>
      <c r="L579" s="5" t="s">
        <v>348</v>
      </c>
      <c r="M579" s="5">
        <v>-2</v>
      </c>
      <c r="P579" s="3" t="s">
        <v>348</v>
      </c>
      <c r="Q579" s="3" t="s">
        <v>2342</v>
      </c>
      <c r="R579" s="5" t="s">
        <v>352</v>
      </c>
      <c r="S579" s="5">
        <f>SL2Width/K579+M579+SL2SORnd</f>
        <v>21.75</v>
      </c>
      <c r="T579" s="3" t="s">
        <v>366</v>
      </c>
      <c r="V579" s="4"/>
      <c r="W579" s="4"/>
      <c r="X579" s="56"/>
      <c r="Y579" s="1443">
        <v>640020000</v>
      </c>
      <c r="Z579" s="1443"/>
      <c r="AB579" s="3">
        <v>45</v>
      </c>
      <c r="AC579" s="56">
        <v>2</v>
      </c>
      <c r="AD579" s="376">
        <f>AC579*S579/12</f>
        <v>3.625</v>
      </c>
      <c r="AE579" s="3" t="s">
        <v>367</v>
      </c>
      <c r="AF579" s="38"/>
      <c r="AG579" s="38"/>
      <c r="AH579" s="492">
        <f>AH577</f>
        <v>9.6299999999999997E-2</v>
      </c>
      <c r="AI579" s="39"/>
      <c r="AJ579" s="39"/>
      <c r="AK579" s="39"/>
      <c r="AL579" s="51">
        <f>AD$579*AH579+SUM(AI579:AK579)</f>
        <v>0.3490875</v>
      </c>
      <c r="AM579" s="3" t="s">
        <v>371</v>
      </c>
      <c r="AN579" s="3" t="s">
        <v>371</v>
      </c>
      <c r="AO579" s="3" t="s">
        <v>371</v>
      </c>
      <c r="AP579" s="3" t="s">
        <v>371</v>
      </c>
      <c r="AR579" s="139"/>
      <c r="AS579" s="139"/>
      <c r="AT579" s="139"/>
      <c r="AU579" s="139"/>
    </row>
    <row r="580" spans="1:51" ht="15" customHeight="1" thickBot="1" x14ac:dyDescent="0.45">
      <c r="B580" s="889"/>
      <c r="C580" s="968"/>
      <c r="D580" s="968"/>
      <c r="E580" s="968"/>
      <c r="F580" s="968"/>
      <c r="G580" s="889"/>
      <c r="H580" s="948"/>
      <c r="I580" s="889"/>
      <c r="J580" s="888"/>
      <c r="K580" s="889"/>
      <c r="L580" s="945"/>
      <c r="M580" s="945"/>
      <c r="N580" s="945"/>
      <c r="O580" s="945"/>
      <c r="P580" s="889"/>
      <c r="Q580" s="889"/>
      <c r="R580" s="945"/>
      <c r="S580" s="945"/>
      <c r="T580" s="889"/>
      <c r="U580" s="948"/>
      <c r="V580" s="968"/>
      <c r="W580" s="968"/>
      <c r="X580" s="1156"/>
      <c r="Y580" s="1444"/>
      <c r="Z580" s="1444"/>
      <c r="AA580" s="948"/>
      <c r="AB580" s="889"/>
      <c r="AC580" s="1156"/>
      <c r="AD580" s="970"/>
      <c r="AE580" s="889"/>
      <c r="AF580" s="888"/>
      <c r="AG580" s="888"/>
      <c r="AH580" s="1157"/>
      <c r="AI580" s="947"/>
      <c r="AJ580" s="947"/>
      <c r="AK580" s="947"/>
      <c r="AL580" s="947"/>
      <c r="AM580" s="889" t="s">
        <v>371</v>
      </c>
      <c r="AN580" s="889" t="s">
        <v>371</v>
      </c>
      <c r="AO580" s="889" t="s">
        <v>371</v>
      </c>
      <c r="AP580" s="889" t="s">
        <v>371</v>
      </c>
      <c r="AQ580" s="889"/>
      <c r="AR580" s="139"/>
      <c r="AS580" s="139"/>
      <c r="AT580" s="139"/>
      <c r="AU580" s="139"/>
    </row>
    <row r="581" spans="1:51" ht="15" customHeight="1" thickBot="1" x14ac:dyDescent="0.45">
      <c r="B581" s="1194" t="s">
        <v>888</v>
      </c>
      <c r="C581" s="1195"/>
      <c r="D581" s="1195"/>
      <c r="E581" s="1195"/>
      <c r="F581" s="1195"/>
      <c r="G581" s="1195"/>
      <c r="H581" s="1196"/>
      <c r="I581" s="1196"/>
      <c r="J581" s="1196"/>
      <c r="K581" s="1196"/>
      <c r="L581" s="1196"/>
      <c r="M581" s="1197"/>
      <c r="N581" s="1197"/>
      <c r="O581" s="1197"/>
      <c r="P581" s="1197"/>
      <c r="Q581" s="1197"/>
      <c r="R581" s="1196"/>
      <c r="S581" s="1197"/>
      <c r="T581" s="1196"/>
      <c r="U581" s="1196"/>
      <c r="V581" s="1195"/>
      <c r="W581" s="1195"/>
      <c r="X581" s="1195"/>
      <c r="Y581" s="1518"/>
      <c r="Z581" s="1518"/>
      <c r="AA581" s="1196"/>
      <c r="AB581" s="1198"/>
      <c r="AC581" s="1196"/>
      <c r="AD581" s="1197"/>
      <c r="AE581" s="1196"/>
      <c r="AF581" s="1196"/>
      <c r="AG581" s="1196"/>
      <c r="AH581" s="1199"/>
      <c r="AI581" s="904"/>
      <c r="AJ581" s="904"/>
      <c r="AK581" s="659" t="s">
        <v>889</v>
      </c>
      <c r="AL581" s="660">
        <f>SUBTOTAL(109,AL582:AL621)</f>
        <v>27.280800000000003</v>
      </c>
      <c r="AM581" s="904"/>
      <c r="AN581" s="904"/>
      <c r="AO581" s="904"/>
      <c r="AP581" s="904"/>
      <c r="AQ581" s="904"/>
      <c r="AR581" s="139"/>
      <c r="AU581" s="139"/>
      <c r="AV581" s="139"/>
      <c r="AW581" s="139"/>
      <c r="AX581" s="139"/>
      <c r="AY581" s="139"/>
    </row>
    <row r="582" spans="1:51" ht="15" customHeight="1" thickBot="1" x14ac:dyDescent="0.45">
      <c r="B582" s="7" t="s">
        <v>897</v>
      </c>
      <c r="C582" s="7"/>
      <c r="D582" s="7"/>
      <c r="E582" s="7"/>
      <c r="F582" s="7"/>
      <c r="G582" s="7"/>
      <c r="R582" s="945"/>
      <c r="S582" s="1156"/>
      <c r="T582" s="970"/>
      <c r="V582" s="38"/>
      <c r="X582" s="38"/>
      <c r="Y582" s="1443"/>
      <c r="Z582" s="1443"/>
      <c r="AB582" s="889"/>
      <c r="AC582" s="889"/>
      <c r="AD582" s="1156"/>
      <c r="AE582" s="889"/>
      <c r="AF582" s="38"/>
      <c r="AG582" s="38"/>
      <c r="AH582" s="477"/>
      <c r="AI582" s="1157"/>
      <c r="AJ582" s="1157"/>
      <c r="AK582" s="1157"/>
      <c r="AM582" s="136"/>
      <c r="AN582" s="136"/>
      <c r="AO582" s="136"/>
      <c r="AP582" s="136"/>
      <c r="AQ582" s="136"/>
      <c r="AR582" s="139"/>
      <c r="AS582" s="139"/>
      <c r="AT582" s="139"/>
      <c r="AU582" s="139"/>
    </row>
    <row r="583" spans="1:51" ht="15" customHeight="1" x14ac:dyDescent="0.4">
      <c r="A583" s="3" t="s">
        <v>898</v>
      </c>
      <c r="B583" s="3"/>
      <c r="C583" s="173" t="s">
        <v>899</v>
      </c>
      <c r="D583" s="138"/>
      <c r="E583" s="173"/>
      <c r="F583" s="138"/>
      <c r="G583" s="173"/>
      <c r="H583" s="193"/>
      <c r="I583" s="448" t="s">
        <v>461</v>
      </c>
      <c r="J583" s="116"/>
      <c r="K583" s="116" t="s">
        <v>365</v>
      </c>
      <c r="L583" s="116" t="s">
        <v>465</v>
      </c>
      <c r="M583" s="177">
        <f>SL2TwoLockCutoff</f>
        <v>25</v>
      </c>
      <c r="N583" s="177"/>
      <c r="O583" s="177"/>
      <c r="P583" s="177"/>
      <c r="Q583" s="177"/>
      <c r="R583" s="3" t="s">
        <v>352</v>
      </c>
      <c r="S583" s="56">
        <v>1</v>
      </c>
      <c r="T583" s="3" t="s">
        <v>385</v>
      </c>
      <c r="U583" s="193"/>
      <c r="V583" s="138"/>
      <c r="W583" s="138"/>
      <c r="X583" s="138"/>
      <c r="Y583" s="1449"/>
      <c r="Z583" s="1449"/>
      <c r="AA583" s="193"/>
      <c r="AB583" s="3">
        <v>45</v>
      </c>
      <c r="AC583" s="56">
        <f>IF(SL2Height&lt;M583,1,2)</f>
        <v>2</v>
      </c>
      <c r="AD583" s="56">
        <f>$AC$583*$S$583</f>
        <v>2</v>
      </c>
      <c r="AE583" s="3" t="s">
        <v>385</v>
      </c>
      <c r="AF583" s="179"/>
      <c r="AG583" s="179"/>
      <c r="AH583" s="180"/>
      <c r="AI583" s="39"/>
      <c r="AJ583" s="39"/>
      <c r="AK583" s="39"/>
      <c r="AL583" s="180"/>
      <c r="AM583" s="3" t="s">
        <v>81</v>
      </c>
      <c r="AN583" s="3" t="s">
        <v>371</v>
      </c>
      <c r="AO583" s="3" t="s">
        <v>81</v>
      </c>
      <c r="AP583" s="3" t="s">
        <v>81</v>
      </c>
      <c r="AR583" s="139"/>
      <c r="AS583" s="139"/>
      <c r="AT583" s="139"/>
      <c r="AU583" s="139"/>
    </row>
    <row r="584" spans="1:51" ht="15" customHeight="1" x14ac:dyDescent="0.4">
      <c r="B584" s="7"/>
      <c r="C584" s="4"/>
      <c r="E584" s="7"/>
      <c r="G584" s="7"/>
      <c r="I584" s="36" t="s">
        <v>464</v>
      </c>
      <c r="J584" s="38"/>
      <c r="K584" s="3" t="s">
        <v>365</v>
      </c>
      <c r="L584" s="3" t="s">
        <v>463</v>
      </c>
      <c r="M584" s="5">
        <f>SL2TwoLockCutoff</f>
        <v>25</v>
      </c>
      <c r="R584" s="3" t="s">
        <v>352</v>
      </c>
      <c r="S584" s="56">
        <v>2</v>
      </c>
      <c r="T584" s="3" t="s">
        <v>385</v>
      </c>
      <c r="V584" s="38" t="s">
        <v>369</v>
      </c>
      <c r="W584" s="3" t="s">
        <v>370</v>
      </c>
      <c r="X584" s="38" t="s">
        <v>369</v>
      </c>
      <c r="Y584" s="1443">
        <v>420126003</v>
      </c>
      <c r="Z584" s="1443"/>
      <c r="AF584" s="38"/>
      <c r="AG584" s="38"/>
      <c r="AH584" s="51">
        <f>'Single Hung'!AI987</f>
        <v>0.24</v>
      </c>
      <c r="AI584" s="39"/>
      <c r="AJ584" s="39"/>
      <c r="AK584" s="39"/>
      <c r="AL584" s="51">
        <f>AD$583*AH584+SUM(AI584:AK584)</f>
        <v>0.48</v>
      </c>
      <c r="AM584" s="3" t="s">
        <v>81</v>
      </c>
      <c r="AN584" s="3" t="s">
        <v>371</v>
      </c>
      <c r="AO584" s="3" t="s">
        <v>81</v>
      </c>
      <c r="AP584" s="3" t="s">
        <v>92</v>
      </c>
      <c r="AR584" s="139"/>
      <c r="AS584" s="139"/>
      <c r="AT584" s="139"/>
      <c r="AU584" s="139"/>
    </row>
    <row r="585" spans="1:51" ht="15" customHeight="1" x14ac:dyDescent="0.4">
      <c r="B585" s="36"/>
      <c r="C585" s="36"/>
      <c r="D585" s="36"/>
      <c r="E585" s="7"/>
      <c r="F585" s="36"/>
      <c r="G585" s="7"/>
      <c r="V585" s="38" t="s">
        <v>369</v>
      </c>
      <c r="W585" s="3" t="s">
        <v>372</v>
      </c>
      <c r="X585" s="38" t="s">
        <v>369</v>
      </c>
      <c r="Y585" s="1443">
        <v>420126021</v>
      </c>
      <c r="Z585" s="1443"/>
      <c r="AC585" s="56"/>
      <c r="AD585" s="56"/>
      <c r="AE585" s="3"/>
      <c r="AF585" s="38"/>
      <c r="AG585" s="38"/>
      <c r="AH585" s="51">
        <f>'Single Hung'!AI988</f>
        <v>0.24</v>
      </c>
      <c r="AI585" s="39"/>
      <c r="AJ585" s="39"/>
      <c r="AK585" s="39"/>
      <c r="AL585" s="51">
        <f t="shared" ref="AL585:AL587" si="101">AD$583*AH585+SUM(AI585:AK585)</f>
        <v>0.48</v>
      </c>
      <c r="AM585" s="3" t="s">
        <v>371</v>
      </c>
      <c r="AN585" s="3" t="s">
        <v>371</v>
      </c>
      <c r="AO585" s="3" t="s">
        <v>371</v>
      </c>
      <c r="AP585" s="3" t="s">
        <v>92</v>
      </c>
      <c r="AR585" s="139"/>
      <c r="AS585" s="139"/>
      <c r="AT585" s="139"/>
      <c r="AU585" s="139"/>
    </row>
    <row r="586" spans="1:51" ht="15" customHeight="1" x14ac:dyDescent="0.4">
      <c r="B586" s="36"/>
      <c r="C586" s="36"/>
      <c r="D586" s="36"/>
      <c r="E586" s="7"/>
      <c r="F586" s="36"/>
      <c r="G586" s="7"/>
      <c r="J586" s="38"/>
      <c r="V586" s="38" t="s">
        <v>369</v>
      </c>
      <c r="W586" s="3" t="s">
        <v>373</v>
      </c>
      <c r="X586" s="38" t="s">
        <v>369</v>
      </c>
      <c r="Y586" s="1443">
        <v>420126033</v>
      </c>
      <c r="Z586" s="1443"/>
      <c r="AC586" s="56"/>
      <c r="AD586" s="56"/>
      <c r="AE586" s="3"/>
      <c r="AF586" s="38"/>
      <c r="AG586" s="38"/>
      <c r="AH586" s="51">
        <f>'Single Hung'!AI989</f>
        <v>0.24</v>
      </c>
      <c r="AI586" s="39"/>
      <c r="AJ586" s="39"/>
      <c r="AK586" s="39"/>
      <c r="AL586" s="51">
        <f t="shared" si="101"/>
        <v>0.48</v>
      </c>
      <c r="AM586" s="3" t="s">
        <v>371</v>
      </c>
      <c r="AN586" s="3" t="s">
        <v>371</v>
      </c>
      <c r="AO586" s="3" t="s">
        <v>371</v>
      </c>
      <c r="AP586" s="3" t="s">
        <v>92</v>
      </c>
      <c r="AR586" s="139"/>
      <c r="AS586" s="139"/>
      <c r="AT586" s="139"/>
      <c r="AU586" s="139"/>
    </row>
    <row r="587" spans="1:51" ht="15" customHeight="1" thickBot="1" x14ac:dyDescent="0.45">
      <c r="B587" s="36"/>
      <c r="C587" s="943"/>
      <c r="D587" s="943"/>
      <c r="E587" s="924"/>
      <c r="F587" s="943"/>
      <c r="G587" s="924"/>
      <c r="H587" s="948"/>
      <c r="I587" s="889"/>
      <c r="J587" s="889"/>
      <c r="K587" s="889"/>
      <c r="L587" s="889"/>
      <c r="M587" s="945"/>
      <c r="N587" s="945"/>
      <c r="O587" s="945"/>
      <c r="P587" s="945"/>
      <c r="Q587" s="945"/>
      <c r="R587" s="889"/>
      <c r="S587" s="1156"/>
      <c r="T587" s="889"/>
      <c r="U587" s="948"/>
      <c r="V587" s="888" t="s">
        <v>369</v>
      </c>
      <c r="W587" s="889" t="s">
        <v>375</v>
      </c>
      <c r="X587" s="888" t="s">
        <v>369</v>
      </c>
      <c r="Y587" s="1444">
        <v>420126133</v>
      </c>
      <c r="Z587" s="1444"/>
      <c r="AA587" s="948"/>
      <c r="AB587" s="889"/>
      <c r="AC587" s="889"/>
      <c r="AD587" s="945"/>
      <c r="AE587" s="945"/>
      <c r="AF587" s="945"/>
      <c r="AG587" s="945"/>
      <c r="AH587" s="937"/>
      <c r="AI587" s="947"/>
      <c r="AJ587" s="947"/>
      <c r="AK587" s="947"/>
      <c r="AL587" s="937">
        <f t="shared" si="101"/>
        <v>0</v>
      </c>
      <c r="AM587" s="889" t="s">
        <v>92</v>
      </c>
      <c r="AN587" s="889" t="s">
        <v>92</v>
      </c>
      <c r="AO587" s="889" t="s">
        <v>92</v>
      </c>
      <c r="AP587" s="889" t="s">
        <v>81</v>
      </c>
      <c r="AQ587" s="889"/>
      <c r="AR587" s="139"/>
      <c r="AS587" s="139"/>
      <c r="AT587" s="139"/>
      <c r="AU587" s="139"/>
    </row>
    <row r="588" spans="1:51" ht="15" customHeight="1" x14ac:dyDescent="0.4">
      <c r="B588" s="3"/>
      <c r="C588" s="509" t="s">
        <v>1281</v>
      </c>
      <c r="D588" s="3"/>
      <c r="E588" s="7"/>
      <c r="F588" s="3"/>
      <c r="G588" s="7"/>
      <c r="I588" s="8" t="s">
        <v>901</v>
      </c>
      <c r="S588" s="56">
        <v>2</v>
      </c>
      <c r="T588" s="3" t="s">
        <v>385</v>
      </c>
      <c r="V588" s="38"/>
      <c r="X588" s="38"/>
      <c r="Y588" s="1443"/>
      <c r="Z588" s="1443"/>
      <c r="AB588" s="3">
        <v>45</v>
      </c>
      <c r="AC588" s="56">
        <f>AC583</f>
        <v>2</v>
      </c>
      <c r="AD588" s="56">
        <f>AC588*S588</f>
        <v>4</v>
      </c>
      <c r="AE588" s="3" t="s">
        <v>385</v>
      </c>
      <c r="AF588" s="38"/>
      <c r="AG588" s="38"/>
      <c r="AI588" s="39"/>
      <c r="AJ588" s="39"/>
      <c r="AK588" s="39"/>
      <c r="AM588" s="3" t="s">
        <v>81</v>
      </c>
      <c r="AN588" s="3" t="s">
        <v>371</v>
      </c>
      <c r="AO588" s="3" t="s">
        <v>81</v>
      </c>
      <c r="AP588" s="3" t="s">
        <v>81</v>
      </c>
      <c r="AR588" s="139"/>
      <c r="AS588" s="139"/>
      <c r="AT588" s="139"/>
      <c r="AU588" s="139"/>
    </row>
    <row r="589" spans="1:51" ht="15" customHeight="1" x14ac:dyDescent="0.4">
      <c r="B589" s="36"/>
      <c r="C589" s="7"/>
      <c r="D589" s="7"/>
      <c r="E589" s="7"/>
      <c r="F589" s="7"/>
      <c r="G589" s="7"/>
      <c r="I589" s="8"/>
      <c r="S589" s="56"/>
      <c r="V589" s="38" t="s">
        <v>369</v>
      </c>
      <c r="W589" s="3" t="s">
        <v>370</v>
      </c>
      <c r="X589" s="38" t="s">
        <v>369</v>
      </c>
      <c r="Y589" s="1443">
        <v>440029003</v>
      </c>
      <c r="Z589" s="1443"/>
      <c r="AD589" s="3"/>
      <c r="AE589" s="3"/>
      <c r="AF589" s="38"/>
      <c r="AG589" s="38"/>
      <c r="AH589" s="492">
        <f>'Single Hung'!AI992</f>
        <v>7.0000000000000001E-3</v>
      </c>
      <c r="AI589" s="39"/>
      <c r="AJ589" s="39"/>
      <c r="AK589" s="39"/>
      <c r="AL589" s="51">
        <f>AD$588*AH589+SUM(AI589:AK589)</f>
        <v>2.8000000000000001E-2</v>
      </c>
      <c r="AM589" s="3" t="s">
        <v>81</v>
      </c>
      <c r="AN589" s="3" t="s">
        <v>371</v>
      </c>
      <c r="AO589" s="3" t="s">
        <v>81</v>
      </c>
      <c r="AP589" s="3" t="s">
        <v>92</v>
      </c>
      <c r="AR589" s="139"/>
      <c r="AS589" s="139"/>
      <c r="AT589" s="139"/>
      <c r="AU589" s="139"/>
    </row>
    <row r="590" spans="1:51" ht="15" customHeight="1" x14ac:dyDescent="0.4">
      <c r="B590" s="36"/>
      <c r="C590" s="7"/>
      <c r="D590" s="7"/>
      <c r="E590" s="7"/>
      <c r="F590" s="7"/>
      <c r="G590" s="7"/>
      <c r="I590" s="8"/>
      <c r="S590" s="56"/>
      <c r="V590" s="38" t="s">
        <v>369</v>
      </c>
      <c r="W590" s="3" t="s">
        <v>372</v>
      </c>
      <c r="X590" s="38" t="s">
        <v>369</v>
      </c>
      <c r="Y590" s="1443">
        <v>440029021</v>
      </c>
      <c r="Z590" s="1443"/>
      <c r="AC590" s="56"/>
      <c r="AD590" s="56"/>
      <c r="AE590" s="3"/>
      <c r="AF590" s="38"/>
      <c r="AG590" s="38"/>
      <c r="AH590" s="492">
        <f>'Single Hung'!AI993</f>
        <v>7.0000000000000001E-3</v>
      </c>
      <c r="AI590" s="39"/>
      <c r="AJ590" s="39"/>
      <c r="AK590" s="39"/>
      <c r="AL590" s="51">
        <f t="shared" ref="AL590:AL592" si="102">AD$588*AH590+SUM(AI590:AK590)</f>
        <v>2.8000000000000001E-2</v>
      </c>
      <c r="AM590" s="3" t="s">
        <v>371</v>
      </c>
      <c r="AN590" s="3" t="s">
        <v>371</v>
      </c>
      <c r="AO590" s="3" t="s">
        <v>371</v>
      </c>
      <c r="AP590" s="3" t="s">
        <v>92</v>
      </c>
      <c r="AR590" s="139"/>
      <c r="AS590" s="139"/>
      <c r="AT590" s="139"/>
      <c r="AU590" s="139"/>
    </row>
    <row r="591" spans="1:51" ht="15" customHeight="1" x14ac:dyDescent="0.4">
      <c r="B591" s="36"/>
      <c r="C591" s="7"/>
      <c r="D591" s="7"/>
      <c r="E591" s="7"/>
      <c r="F591" s="7"/>
      <c r="G591" s="7"/>
      <c r="I591" s="8"/>
      <c r="S591" s="56"/>
      <c r="V591" s="38" t="s">
        <v>369</v>
      </c>
      <c r="W591" s="3" t="s">
        <v>373</v>
      </c>
      <c r="X591" s="38" t="s">
        <v>369</v>
      </c>
      <c r="Y591" s="1443">
        <v>440029033</v>
      </c>
      <c r="Z591" s="1443"/>
      <c r="AC591" s="56"/>
      <c r="AD591" s="56"/>
      <c r="AE591" s="3"/>
      <c r="AF591" s="38"/>
      <c r="AG591" s="38"/>
      <c r="AH591" s="492">
        <f>'Single Hung'!AI994</f>
        <v>6.7000000000000002E-3</v>
      </c>
      <c r="AI591" s="39"/>
      <c r="AJ591" s="39"/>
      <c r="AK591" s="39"/>
      <c r="AL591" s="51">
        <f t="shared" si="102"/>
        <v>2.6800000000000001E-2</v>
      </c>
      <c r="AM591" s="3" t="s">
        <v>371</v>
      </c>
      <c r="AN591" s="3" t="s">
        <v>371</v>
      </c>
      <c r="AO591" s="3" t="s">
        <v>371</v>
      </c>
      <c r="AP591" s="3" t="s">
        <v>92</v>
      </c>
      <c r="AR591" s="139"/>
      <c r="AS591" s="139"/>
      <c r="AT591" s="139"/>
      <c r="AU591" s="139"/>
    </row>
    <row r="592" spans="1:51" ht="15" customHeight="1" thickBot="1" x14ac:dyDescent="0.45">
      <c r="B592" s="36"/>
      <c r="C592" s="924"/>
      <c r="D592" s="924"/>
      <c r="E592" s="924"/>
      <c r="F592" s="924"/>
      <c r="G592" s="924"/>
      <c r="H592" s="948"/>
      <c r="I592" s="949"/>
      <c r="J592" s="889"/>
      <c r="K592" s="889"/>
      <c r="L592" s="889"/>
      <c r="M592" s="945"/>
      <c r="N592" s="945"/>
      <c r="O592" s="945"/>
      <c r="P592" s="945"/>
      <c r="Q592" s="945"/>
      <c r="R592" s="889"/>
      <c r="S592" s="1156"/>
      <c r="T592" s="889"/>
      <c r="U592" s="948"/>
      <c r="V592" s="888" t="s">
        <v>369</v>
      </c>
      <c r="W592" s="889" t="s">
        <v>375</v>
      </c>
      <c r="X592" s="888" t="s">
        <v>369</v>
      </c>
      <c r="Y592" s="1444">
        <v>440029133</v>
      </c>
      <c r="Z592" s="1444"/>
      <c r="AA592" s="948"/>
      <c r="AB592" s="889"/>
      <c r="AC592" s="1156"/>
      <c r="AD592" s="1156"/>
      <c r="AE592" s="889"/>
      <c r="AF592" s="888"/>
      <c r="AG592" s="888"/>
      <c r="AH592" s="942"/>
      <c r="AI592" s="947"/>
      <c r="AJ592" s="947"/>
      <c r="AK592" s="947"/>
      <c r="AL592" s="937">
        <f t="shared" si="102"/>
        <v>0</v>
      </c>
      <c r="AM592" s="889" t="s">
        <v>92</v>
      </c>
      <c r="AN592" s="889" t="s">
        <v>92</v>
      </c>
      <c r="AO592" s="889" t="s">
        <v>92</v>
      </c>
      <c r="AP592" s="889" t="s">
        <v>81</v>
      </c>
      <c r="AQ592" s="889"/>
      <c r="AR592" s="139"/>
      <c r="AS592" s="139"/>
      <c r="AT592" s="139"/>
      <c r="AU592" s="139"/>
    </row>
    <row r="593" spans="2:59" ht="15" customHeight="1" x14ac:dyDescent="0.4">
      <c r="B593" s="3"/>
      <c r="C593" s="509" t="s">
        <v>1282</v>
      </c>
      <c r="D593" s="3"/>
      <c r="E593" s="7"/>
      <c r="F593" s="3"/>
      <c r="G593" s="7"/>
      <c r="I593" s="8" t="s">
        <v>901</v>
      </c>
      <c r="S593" s="56">
        <v>2</v>
      </c>
      <c r="T593" s="3" t="s">
        <v>385</v>
      </c>
      <c r="V593" s="38"/>
      <c r="X593" s="38"/>
      <c r="Y593" s="1443"/>
      <c r="Z593" s="1443"/>
      <c r="AB593" s="3">
        <v>45</v>
      </c>
      <c r="AC593" s="56">
        <f>AC583</f>
        <v>2</v>
      </c>
      <c r="AD593" s="56">
        <f>AC593*S593</f>
        <v>4</v>
      </c>
      <c r="AE593" s="3" t="s">
        <v>385</v>
      </c>
      <c r="AF593" s="38" t="s">
        <v>8</v>
      </c>
      <c r="AG593" s="38" t="s">
        <v>8</v>
      </c>
      <c r="AH593" s="39"/>
      <c r="AI593" s="39"/>
      <c r="AJ593" s="39"/>
      <c r="AK593" s="39"/>
      <c r="AM593" s="3" t="s">
        <v>371</v>
      </c>
      <c r="AN593" s="3" t="s">
        <v>371</v>
      </c>
      <c r="AO593" s="3" t="s">
        <v>371</v>
      </c>
      <c r="AP593" s="3" t="s">
        <v>371</v>
      </c>
      <c r="AW593" s="3" t="s">
        <v>92</v>
      </c>
      <c r="AX593" s="3" t="s">
        <v>92</v>
      </c>
      <c r="AY593" s="3" t="s">
        <v>92</v>
      </c>
      <c r="AZ593" s="3" t="s">
        <v>92</v>
      </c>
      <c r="BA593" s="3" t="s">
        <v>92</v>
      </c>
      <c r="BB593" s="3" t="s">
        <v>92</v>
      </c>
      <c r="BC593" s="139"/>
      <c r="BD593" s="139"/>
      <c r="BE593" s="139"/>
      <c r="BF593" s="139"/>
      <c r="BG593" s="139"/>
    </row>
    <row r="594" spans="2:59" ht="15" customHeight="1" x14ac:dyDescent="0.4">
      <c r="B594" s="36"/>
      <c r="C594" s="7" t="s">
        <v>1283</v>
      </c>
      <c r="D594" s="7"/>
      <c r="E594" s="7"/>
      <c r="F594" s="7"/>
      <c r="G594" s="7"/>
      <c r="I594" s="8"/>
      <c r="S594" s="56"/>
      <c r="V594" s="38" t="s">
        <v>369</v>
      </c>
      <c r="W594" s="3" t="s">
        <v>370</v>
      </c>
      <c r="X594" s="38" t="s">
        <v>369</v>
      </c>
      <c r="Y594" s="1443">
        <v>440023003</v>
      </c>
      <c r="Z594" s="1443"/>
      <c r="AF594" s="3"/>
      <c r="AG594" s="3"/>
      <c r="AH594" s="492">
        <f>'Single Hung'!AI997</f>
        <v>3.7699999999999997E-2</v>
      </c>
      <c r="AI594" s="477"/>
      <c r="AJ594" s="477"/>
      <c r="AK594" s="477"/>
      <c r="AL594" s="51">
        <f>AD$593*AH594+SUM(AI594:AK594)</f>
        <v>0.15079999999999999</v>
      </c>
      <c r="AM594" s="3" t="s">
        <v>371</v>
      </c>
      <c r="AN594" s="3" t="s">
        <v>371</v>
      </c>
      <c r="AO594" s="3" t="s">
        <v>371</v>
      </c>
      <c r="AP594" s="3" t="s">
        <v>371</v>
      </c>
      <c r="AW594" s="3" t="s">
        <v>92</v>
      </c>
      <c r="AX594" s="3" t="s">
        <v>92</v>
      </c>
      <c r="AY594" s="3" t="s">
        <v>92</v>
      </c>
      <c r="AZ594" s="3" t="s">
        <v>92</v>
      </c>
      <c r="BA594" s="3" t="s">
        <v>92</v>
      </c>
      <c r="BB594" s="3" t="s">
        <v>92</v>
      </c>
      <c r="BC594" s="139"/>
      <c r="BD594" s="139"/>
      <c r="BE594" s="139"/>
      <c r="BF594" s="139"/>
      <c r="BG594" s="139"/>
    </row>
    <row r="595" spans="2:59" ht="15" customHeight="1" x14ac:dyDescent="0.4">
      <c r="B595" s="36"/>
      <c r="C595" s="7"/>
      <c r="D595" s="7"/>
      <c r="E595" s="7"/>
      <c r="F595" s="7"/>
      <c r="G595" s="7"/>
      <c r="I595" s="8"/>
      <c r="S595" s="56"/>
      <c r="V595" s="38" t="s">
        <v>369</v>
      </c>
      <c r="W595" s="3" t="s">
        <v>372</v>
      </c>
      <c r="X595" s="38" t="s">
        <v>369</v>
      </c>
      <c r="Y595" s="1443">
        <v>440023021</v>
      </c>
      <c r="Z595" s="1443"/>
      <c r="AD595" s="56"/>
      <c r="AE595" s="3"/>
      <c r="AF595" s="38"/>
      <c r="AG595" s="38"/>
      <c r="AH595" s="492">
        <f>'Single Hung'!AI998</f>
        <v>3.7699999999999997E-2</v>
      </c>
      <c r="AI595" s="477"/>
      <c r="AJ595" s="477"/>
      <c r="AK595" s="477"/>
      <c r="AL595" s="51">
        <f t="shared" ref="AL595:AL597" si="103">AD$593*AH595+SUM(AI595:AK595)</f>
        <v>0.15079999999999999</v>
      </c>
      <c r="AM595" s="3" t="s">
        <v>371</v>
      </c>
      <c r="AN595" s="3" t="s">
        <v>371</v>
      </c>
      <c r="AO595" s="3" t="s">
        <v>371</v>
      </c>
      <c r="AP595" s="3" t="s">
        <v>371</v>
      </c>
      <c r="AW595" s="3" t="s">
        <v>92</v>
      </c>
      <c r="AX595" s="3" t="s">
        <v>92</v>
      </c>
      <c r="AY595" s="3" t="s">
        <v>92</v>
      </c>
      <c r="AZ595" s="3" t="s">
        <v>92</v>
      </c>
      <c r="BA595" s="3" t="s">
        <v>92</v>
      </c>
      <c r="BB595" s="3" t="s">
        <v>92</v>
      </c>
      <c r="BC595" s="139"/>
      <c r="BD595" s="139"/>
      <c r="BE595" s="139"/>
      <c r="BF595" s="139"/>
      <c r="BG595" s="139"/>
    </row>
    <row r="596" spans="2:59" ht="15" customHeight="1" x14ac:dyDescent="0.4">
      <c r="B596" s="36"/>
      <c r="C596" s="7"/>
      <c r="D596" s="7"/>
      <c r="E596" s="7"/>
      <c r="F596" s="7"/>
      <c r="G596" s="7"/>
      <c r="I596" s="8"/>
      <c r="S596" s="56"/>
      <c r="V596" s="38" t="s">
        <v>369</v>
      </c>
      <c r="W596" s="3" t="s">
        <v>373</v>
      </c>
      <c r="X596" s="38" t="s">
        <v>369</v>
      </c>
      <c r="Y596" s="1443">
        <v>440023033</v>
      </c>
      <c r="Z596" s="1443"/>
      <c r="AD596" s="56"/>
      <c r="AE596" s="3"/>
      <c r="AF596" s="38"/>
      <c r="AG596" s="38"/>
      <c r="AH596" s="492">
        <f>'Single Hung'!AI999</f>
        <v>3.7699999999999997E-2</v>
      </c>
      <c r="AI596" s="477"/>
      <c r="AJ596" s="477"/>
      <c r="AK596" s="477"/>
      <c r="AL596" s="51">
        <f t="shared" si="103"/>
        <v>0.15079999999999999</v>
      </c>
      <c r="AM596" s="3" t="s">
        <v>371</v>
      </c>
      <c r="AN596" s="3" t="s">
        <v>371</v>
      </c>
      <c r="AO596" s="3" t="s">
        <v>371</v>
      </c>
      <c r="AP596" s="3" t="s">
        <v>371</v>
      </c>
      <c r="AW596" s="3" t="s">
        <v>92</v>
      </c>
      <c r="AX596" s="3" t="s">
        <v>92</v>
      </c>
      <c r="AY596" s="3" t="s">
        <v>92</v>
      </c>
      <c r="AZ596" s="3" t="s">
        <v>92</v>
      </c>
      <c r="BA596" s="3" t="s">
        <v>92</v>
      </c>
      <c r="BB596" s="3" t="s">
        <v>92</v>
      </c>
      <c r="BC596" s="139"/>
      <c r="BD596" s="139"/>
      <c r="BE596" s="139"/>
      <c r="BF596" s="139"/>
      <c r="BG596" s="139"/>
    </row>
    <row r="597" spans="2:59" ht="15" customHeight="1" thickBot="1" x14ac:dyDescent="0.45">
      <c r="B597" s="36"/>
      <c r="C597" s="924"/>
      <c r="D597" s="924"/>
      <c r="E597" s="924"/>
      <c r="F597" s="924"/>
      <c r="G597" s="924"/>
      <c r="H597" s="948"/>
      <c r="I597" s="949"/>
      <c r="J597" s="889"/>
      <c r="K597" s="889"/>
      <c r="L597" s="889"/>
      <c r="M597" s="945"/>
      <c r="N597" s="945"/>
      <c r="O597" s="945"/>
      <c r="P597" s="945"/>
      <c r="Q597" s="945"/>
      <c r="R597" s="889"/>
      <c r="S597" s="1156"/>
      <c r="T597" s="889"/>
      <c r="U597" s="948"/>
      <c r="V597" s="888" t="s">
        <v>369</v>
      </c>
      <c r="W597" s="889" t="s">
        <v>375</v>
      </c>
      <c r="X597" s="888" t="s">
        <v>369</v>
      </c>
      <c r="Y597" s="1444">
        <v>440023133</v>
      </c>
      <c r="Z597" s="1444"/>
      <c r="AA597" s="948"/>
      <c r="AB597" s="889"/>
      <c r="AC597" s="889"/>
      <c r="AD597" s="1156"/>
      <c r="AE597" s="889"/>
      <c r="AF597" s="888"/>
      <c r="AG597" s="888"/>
      <c r="AH597" s="942"/>
      <c r="AI597" s="1157"/>
      <c r="AJ597" s="1157"/>
      <c r="AK597" s="1157"/>
      <c r="AL597" s="937">
        <f t="shared" si="103"/>
        <v>0</v>
      </c>
      <c r="AM597" s="889" t="s">
        <v>371</v>
      </c>
      <c r="AN597" s="889" t="s">
        <v>371</v>
      </c>
      <c r="AO597" s="889" t="s">
        <v>371</v>
      </c>
      <c r="AP597" s="889" t="s">
        <v>371</v>
      </c>
      <c r="AQ597" s="889"/>
      <c r="BC597" s="139"/>
      <c r="BD597" s="139"/>
      <c r="BE597" s="139"/>
      <c r="BF597" s="139"/>
      <c r="BG597" s="139"/>
    </row>
    <row r="598" spans="2:59" ht="15" customHeight="1" x14ac:dyDescent="0.4">
      <c r="B598" s="3"/>
      <c r="C598" s="7" t="s">
        <v>1284</v>
      </c>
      <c r="E598" s="7"/>
      <c r="G598" s="7"/>
      <c r="I598" s="500" t="s">
        <v>461</v>
      </c>
      <c r="K598" s="3" t="s">
        <v>365</v>
      </c>
      <c r="L598" s="3" t="s">
        <v>465</v>
      </c>
      <c r="M598" s="5">
        <f>SL2TwoLockCutoff</f>
        <v>25</v>
      </c>
      <c r="R598" s="3" t="s">
        <v>352</v>
      </c>
      <c r="S598" s="56">
        <v>1</v>
      </c>
      <c r="T598" s="3" t="s">
        <v>385</v>
      </c>
      <c r="V598" s="38" t="s">
        <v>369</v>
      </c>
      <c r="W598" s="38" t="s">
        <v>369</v>
      </c>
      <c r="X598" s="38" t="s">
        <v>369</v>
      </c>
      <c r="Y598" s="1443">
        <v>420144000</v>
      </c>
      <c r="Z598" s="1443"/>
      <c r="AB598" s="3">
        <v>45</v>
      </c>
      <c r="AC598" s="56">
        <f>IF(SL2Height&lt;M598,1,2)</f>
        <v>2</v>
      </c>
      <c r="AD598" s="3">
        <f>AC598*S598</f>
        <v>2</v>
      </c>
      <c r="AE598" s="3" t="s">
        <v>385</v>
      </c>
      <c r="AF598" s="38" t="s">
        <v>8</v>
      </c>
      <c r="AG598" s="38" t="s">
        <v>8</v>
      </c>
      <c r="AH598" s="51">
        <f>'Single Hung'!AI1001</f>
        <v>1.03</v>
      </c>
      <c r="AI598" s="39"/>
      <c r="AJ598" s="39"/>
      <c r="AK598" s="39"/>
      <c r="AL598" s="51">
        <f>AD$598*AH598+SUM(AI598:AK598)</f>
        <v>2.06</v>
      </c>
      <c r="AM598" s="3" t="s">
        <v>371</v>
      </c>
      <c r="AN598" s="3" t="s">
        <v>81</v>
      </c>
      <c r="AO598" s="3" t="s">
        <v>371</v>
      </c>
      <c r="AP598" s="3" t="s">
        <v>371</v>
      </c>
      <c r="AR598" s="139"/>
      <c r="AS598" s="139"/>
      <c r="AT598" s="139"/>
      <c r="AU598" s="139"/>
    </row>
    <row r="599" spans="2:59" ht="15" customHeight="1" x14ac:dyDescent="0.4">
      <c r="B599" s="7"/>
      <c r="C599" s="4"/>
      <c r="E599" s="7"/>
      <c r="G599" s="7"/>
      <c r="I599" s="36" t="s">
        <v>464</v>
      </c>
      <c r="J599" s="38"/>
      <c r="K599" s="3" t="s">
        <v>365</v>
      </c>
      <c r="L599" s="3" t="s">
        <v>463</v>
      </c>
      <c r="M599" s="5">
        <f>SL2TwoLockCutoff</f>
        <v>25</v>
      </c>
      <c r="R599" s="3" t="s">
        <v>352</v>
      </c>
      <c r="S599" s="56">
        <v>2</v>
      </c>
      <c r="T599" s="3" t="s">
        <v>385</v>
      </c>
      <c r="V599" s="38"/>
      <c r="X599" s="38"/>
      <c r="Y599" s="1443"/>
      <c r="Z599" s="1443"/>
      <c r="AE599" s="3"/>
      <c r="AF599" s="3"/>
      <c r="AG599" s="3"/>
      <c r="AH599" s="39"/>
      <c r="AI599" s="39"/>
      <c r="AJ599" s="39"/>
      <c r="AK599" s="39"/>
      <c r="AM599" s="3" t="s">
        <v>371</v>
      </c>
      <c r="AN599" s="3" t="s">
        <v>81</v>
      </c>
      <c r="AO599" s="3" t="s">
        <v>371</v>
      </c>
      <c r="AP599" s="3" t="s">
        <v>371</v>
      </c>
      <c r="AR599" s="139"/>
      <c r="AS599" s="139"/>
      <c r="AT599" s="139"/>
      <c r="AU599" s="139"/>
    </row>
    <row r="600" spans="2:59" ht="15" customHeight="1" x14ac:dyDescent="0.4">
      <c r="B600" s="36"/>
      <c r="C600" s="36"/>
      <c r="D600" s="36"/>
      <c r="E600" s="7"/>
      <c r="F600" s="36"/>
      <c r="G600" s="7"/>
      <c r="M600" s="3"/>
      <c r="N600" s="3"/>
      <c r="O600" s="3"/>
      <c r="P600" s="3"/>
      <c r="Q600" s="3"/>
      <c r="S600" s="3"/>
      <c r="V600" s="38"/>
      <c r="X600" s="38"/>
      <c r="Y600" s="1443"/>
      <c r="Z600" s="1443"/>
      <c r="AE600" s="3"/>
      <c r="AF600" s="3"/>
      <c r="AG600" s="3"/>
      <c r="AH600" s="39"/>
      <c r="AI600" s="39"/>
      <c r="AJ600" s="39"/>
      <c r="AK600" s="39"/>
      <c r="AR600" s="139"/>
      <c r="AS600" s="139"/>
      <c r="AT600" s="139"/>
      <c r="AU600" s="139"/>
    </row>
    <row r="601" spans="2:59" ht="15" customHeight="1" x14ac:dyDescent="0.4">
      <c r="B601" s="36"/>
      <c r="C601" s="36"/>
      <c r="D601" s="36"/>
      <c r="E601" s="7"/>
      <c r="F601" s="36"/>
      <c r="G601" s="7"/>
      <c r="J601" s="38"/>
      <c r="S601" s="3"/>
      <c r="V601" s="38"/>
      <c r="X601" s="38"/>
      <c r="Y601" s="1443"/>
      <c r="Z601" s="1443"/>
      <c r="AE601" s="3"/>
      <c r="AF601" s="3"/>
      <c r="AG601" s="3"/>
      <c r="AH601" s="39"/>
      <c r="AI601" s="39"/>
      <c r="AJ601" s="39"/>
      <c r="AK601" s="39"/>
      <c r="AR601" s="139"/>
      <c r="AS601" s="139"/>
      <c r="AT601" s="139"/>
      <c r="AU601" s="139"/>
    </row>
    <row r="602" spans="2:59" ht="15" customHeight="1" thickBot="1" x14ac:dyDescent="0.45">
      <c r="B602" s="36"/>
      <c r="C602" s="943"/>
      <c r="D602" s="943"/>
      <c r="E602" s="924"/>
      <c r="F602" s="943"/>
      <c r="G602" s="924"/>
      <c r="H602" s="948"/>
      <c r="I602" s="889"/>
      <c r="J602" s="889"/>
      <c r="K602" s="889"/>
      <c r="L602" s="889"/>
      <c r="M602" s="945"/>
      <c r="N602" s="945"/>
      <c r="O602" s="945"/>
      <c r="P602" s="945"/>
      <c r="Q602" s="945"/>
      <c r="R602" s="889"/>
      <c r="S602" s="1156"/>
      <c r="T602" s="889"/>
      <c r="U602" s="948"/>
      <c r="V602" s="889"/>
      <c r="W602" s="889"/>
      <c r="X602" s="889"/>
      <c r="Y602" s="1444"/>
      <c r="Z602" s="1444"/>
      <c r="AA602" s="948"/>
      <c r="AB602" s="889"/>
      <c r="AC602" s="889"/>
      <c r="AD602" s="945"/>
      <c r="AE602" s="945"/>
      <c r="AF602" s="945"/>
      <c r="AG602" s="945"/>
      <c r="AH602" s="937"/>
      <c r="AI602" s="947"/>
      <c r="AJ602" s="947"/>
      <c r="AK602" s="947"/>
      <c r="AL602" s="947"/>
      <c r="AM602" s="889"/>
      <c r="AN602" s="889"/>
      <c r="AO602" s="889"/>
      <c r="AP602" s="889"/>
      <c r="AQ602" s="889"/>
      <c r="AR602" s="139"/>
      <c r="AS602" s="139"/>
      <c r="AT602" s="139"/>
      <c r="AU602" s="139"/>
    </row>
    <row r="603" spans="2:59" ht="15" customHeight="1" x14ac:dyDescent="0.4">
      <c r="B603" s="3"/>
      <c r="C603" s="476" t="s">
        <v>905</v>
      </c>
      <c r="D603" s="116"/>
      <c r="E603" s="173"/>
      <c r="F603" s="116"/>
      <c r="G603" s="173"/>
      <c r="H603" s="193"/>
      <c r="I603" s="114"/>
      <c r="J603" s="116"/>
      <c r="K603" s="116"/>
      <c r="L603" s="116"/>
      <c r="M603" s="177"/>
      <c r="N603" s="177"/>
      <c r="O603" s="177"/>
      <c r="P603" s="177"/>
      <c r="Q603" s="177"/>
      <c r="R603" s="116"/>
      <c r="S603" s="198">
        <v>4</v>
      </c>
      <c r="T603" s="116" t="s">
        <v>385</v>
      </c>
      <c r="U603" s="193"/>
      <c r="V603" s="179"/>
      <c r="W603" s="116"/>
      <c r="X603" s="179"/>
      <c r="Y603" s="1449"/>
      <c r="Z603" s="1449"/>
      <c r="AA603" s="193"/>
      <c r="AB603" s="3">
        <v>45</v>
      </c>
      <c r="AC603" s="56">
        <f>AC598</f>
        <v>2</v>
      </c>
      <c r="AD603" s="56">
        <f>AC603*S603</f>
        <v>8</v>
      </c>
      <c r="AE603" s="3" t="s">
        <v>367</v>
      </c>
      <c r="AF603" s="179" t="s">
        <v>8</v>
      </c>
      <c r="AG603" s="179" t="s">
        <v>8</v>
      </c>
      <c r="AH603" s="180"/>
      <c r="AI603" s="180"/>
      <c r="AJ603" s="180"/>
      <c r="AK603" s="180"/>
      <c r="AL603" s="180"/>
      <c r="AM603" s="3" t="s">
        <v>371</v>
      </c>
      <c r="AN603" s="3" t="s">
        <v>81</v>
      </c>
      <c r="AO603" s="3" t="s">
        <v>371</v>
      </c>
      <c r="AP603" s="3" t="s">
        <v>371</v>
      </c>
      <c r="AR603" s="139"/>
      <c r="AS603" s="139"/>
      <c r="AT603" s="139"/>
      <c r="AU603" s="139"/>
    </row>
    <row r="604" spans="2:59" ht="15" customHeight="1" x14ac:dyDescent="0.4">
      <c r="B604" s="36"/>
      <c r="C604" s="7"/>
      <c r="D604" s="7"/>
      <c r="E604" s="7"/>
      <c r="F604" s="7"/>
      <c r="G604" s="7"/>
      <c r="I604" s="8"/>
      <c r="S604" s="56"/>
      <c r="V604" s="38" t="s">
        <v>369</v>
      </c>
      <c r="W604" s="3" t="s">
        <v>370</v>
      </c>
      <c r="X604" s="38" t="s">
        <v>369</v>
      </c>
      <c r="Y604" s="1443">
        <v>440029003</v>
      </c>
      <c r="Z604" s="1443"/>
      <c r="AF604" s="3"/>
      <c r="AG604" s="3"/>
      <c r="AH604" s="492">
        <f>'Single Hung'!AI1006</f>
        <v>7.0000000000000001E-3</v>
      </c>
      <c r="AI604" s="39"/>
      <c r="AJ604" s="39"/>
      <c r="AK604" s="39"/>
      <c r="AL604" s="51">
        <f>AD$603*AH604+SUM(AI604:AK604)</f>
        <v>5.6000000000000001E-2</v>
      </c>
      <c r="AM604" s="3" t="s">
        <v>371</v>
      </c>
      <c r="AN604" s="3" t="s">
        <v>81</v>
      </c>
      <c r="AO604" s="3" t="s">
        <v>371</v>
      </c>
      <c r="AP604" s="3" t="s">
        <v>92</v>
      </c>
      <c r="AR604" s="139"/>
      <c r="AS604" s="139"/>
      <c r="AT604" s="139"/>
      <c r="AU604" s="139"/>
    </row>
    <row r="605" spans="2:59" ht="15" customHeight="1" x14ac:dyDescent="0.4">
      <c r="B605" s="36"/>
      <c r="C605" s="7"/>
      <c r="D605" s="7"/>
      <c r="E605" s="7"/>
      <c r="F605" s="7"/>
      <c r="G605" s="7"/>
      <c r="I605" s="8"/>
      <c r="S605" s="56"/>
      <c r="V605" s="38" t="s">
        <v>369</v>
      </c>
      <c r="W605" s="3" t="s">
        <v>372</v>
      </c>
      <c r="X605" s="38" t="s">
        <v>369</v>
      </c>
      <c r="Y605" s="1443">
        <v>440029021</v>
      </c>
      <c r="Z605" s="1443"/>
      <c r="AD605" s="56"/>
      <c r="AE605" s="3"/>
      <c r="AF605" s="38"/>
      <c r="AG605" s="38"/>
      <c r="AH605" s="492">
        <f>'Single Hung'!AI1007</f>
        <v>7.0000000000000001E-3</v>
      </c>
      <c r="AI605" s="39"/>
      <c r="AJ605" s="39"/>
      <c r="AK605" s="39"/>
      <c r="AL605" s="51">
        <f t="shared" ref="AL605:AL607" si="104">AD$603*AH605+SUM(AI605:AK605)</f>
        <v>5.6000000000000001E-2</v>
      </c>
      <c r="AM605" s="3" t="s">
        <v>371</v>
      </c>
      <c r="AN605" s="3" t="s">
        <v>371</v>
      </c>
      <c r="AO605" s="3" t="s">
        <v>371</v>
      </c>
      <c r="AP605" s="3" t="s">
        <v>92</v>
      </c>
      <c r="AR605" s="139"/>
      <c r="AS605" s="139"/>
      <c r="AT605" s="139"/>
      <c r="AU605" s="139"/>
    </row>
    <row r="606" spans="2:59" ht="15" customHeight="1" x14ac:dyDescent="0.4">
      <c r="B606" s="3"/>
      <c r="C606" s="7"/>
      <c r="D606" s="7"/>
      <c r="E606" s="7"/>
      <c r="F606" s="7"/>
      <c r="G606" s="7"/>
      <c r="I606" s="8"/>
      <c r="S606" s="56"/>
      <c r="V606" s="38" t="s">
        <v>369</v>
      </c>
      <c r="W606" s="3" t="s">
        <v>373</v>
      </c>
      <c r="X606" s="38" t="s">
        <v>369</v>
      </c>
      <c r="Y606" s="1443">
        <v>440029033</v>
      </c>
      <c r="Z606" s="1443"/>
      <c r="AD606" s="56"/>
      <c r="AE606" s="3"/>
      <c r="AF606" s="38"/>
      <c r="AG606" s="38"/>
      <c r="AH606" s="492">
        <f>'Single Hung'!AI1008</f>
        <v>6.7000000000000002E-3</v>
      </c>
      <c r="AI606" s="39"/>
      <c r="AJ606" s="39"/>
      <c r="AK606" s="39"/>
      <c r="AL606" s="51">
        <f t="shared" si="104"/>
        <v>5.3600000000000002E-2</v>
      </c>
      <c r="AM606" s="3" t="s">
        <v>371</v>
      </c>
      <c r="AN606" s="3" t="s">
        <v>371</v>
      </c>
      <c r="AO606" s="3" t="s">
        <v>371</v>
      </c>
      <c r="AP606" s="3" t="s">
        <v>92</v>
      </c>
      <c r="AR606" s="139"/>
      <c r="AS606" s="139"/>
      <c r="AT606" s="139"/>
      <c r="AU606" s="139"/>
    </row>
    <row r="607" spans="2:59" ht="15" customHeight="1" thickBot="1" x14ac:dyDescent="0.45">
      <c r="B607" s="3"/>
      <c r="C607" s="924"/>
      <c r="D607" s="924"/>
      <c r="E607" s="924"/>
      <c r="F607" s="924"/>
      <c r="G607" s="924"/>
      <c r="H607" s="948"/>
      <c r="I607" s="949"/>
      <c r="J607" s="889"/>
      <c r="K607" s="889"/>
      <c r="L607" s="889"/>
      <c r="M607" s="945"/>
      <c r="N607" s="945"/>
      <c r="O607" s="945"/>
      <c r="P607" s="945"/>
      <c r="Q607" s="945"/>
      <c r="R607" s="889"/>
      <c r="S607" s="1156"/>
      <c r="T607" s="889"/>
      <c r="U607" s="948"/>
      <c r="V607" s="888" t="s">
        <v>369</v>
      </c>
      <c r="W607" s="889" t="s">
        <v>375</v>
      </c>
      <c r="X607" s="888" t="s">
        <v>369</v>
      </c>
      <c r="Y607" s="1444">
        <v>440029133</v>
      </c>
      <c r="Z607" s="1444"/>
      <c r="AA607" s="948"/>
      <c r="AB607" s="889"/>
      <c r="AC607" s="889"/>
      <c r="AD607" s="1156"/>
      <c r="AE607" s="889"/>
      <c r="AF607" s="888"/>
      <c r="AG607" s="888"/>
      <c r="AH607" s="942"/>
      <c r="AI607" s="947"/>
      <c r="AJ607" s="947"/>
      <c r="AK607" s="947"/>
      <c r="AL607" s="937">
        <f t="shared" si="104"/>
        <v>0</v>
      </c>
      <c r="AM607" s="889" t="s">
        <v>92</v>
      </c>
      <c r="AN607" s="889" t="s">
        <v>92</v>
      </c>
      <c r="AO607" s="889" t="s">
        <v>92</v>
      </c>
      <c r="AP607" s="889" t="s">
        <v>371</v>
      </c>
      <c r="AQ607" s="889"/>
      <c r="AR607" s="139"/>
      <c r="AS607" s="139"/>
      <c r="AT607" s="139"/>
      <c r="AU607" s="139"/>
    </row>
    <row r="608" spans="2:59" ht="15" customHeight="1" x14ac:dyDescent="0.4">
      <c r="B608" s="3"/>
      <c r="C608" s="7" t="s">
        <v>2250</v>
      </c>
      <c r="E608" s="7"/>
      <c r="G608" s="7"/>
      <c r="I608" s="500" t="s">
        <v>461</v>
      </c>
      <c r="K608" s="3" t="s">
        <v>365</v>
      </c>
      <c r="L608" s="3" t="s">
        <v>465</v>
      </c>
      <c r="M608" s="5">
        <f>SL2TwoLockCutoff</f>
        <v>25</v>
      </c>
      <c r="R608" s="3" t="s">
        <v>352</v>
      </c>
      <c r="S608" s="56">
        <v>1</v>
      </c>
      <c r="T608" s="3" t="s">
        <v>385</v>
      </c>
      <c r="V608" s="4"/>
      <c r="W608" s="4"/>
      <c r="X608" s="4"/>
      <c r="Y608" s="1443"/>
      <c r="Z608" s="1443"/>
      <c r="AB608" s="3">
        <v>45</v>
      </c>
      <c r="AC608" s="56">
        <f>IF(SL2Height&lt;M608,1,2)</f>
        <v>2</v>
      </c>
      <c r="AD608" s="3">
        <f>AC608*S608</f>
        <v>2</v>
      </c>
      <c r="AE608" s="3" t="s">
        <v>385</v>
      </c>
      <c r="AF608" s="38" t="s">
        <v>8</v>
      </c>
      <c r="AG608" s="38" t="s">
        <v>8</v>
      </c>
      <c r="AH608" s="39"/>
      <c r="AI608" s="39"/>
      <c r="AJ608" s="39"/>
      <c r="AK608" s="39"/>
      <c r="AM608" s="3" t="s">
        <v>371</v>
      </c>
      <c r="AN608" s="3" t="s">
        <v>371</v>
      </c>
      <c r="AO608" s="3" t="s">
        <v>371</v>
      </c>
      <c r="AP608" s="3" t="s">
        <v>371</v>
      </c>
      <c r="AR608" s="139"/>
      <c r="AS608" s="139"/>
      <c r="AT608" s="139"/>
      <c r="AU608" s="139"/>
    </row>
    <row r="609" spans="1:51" ht="15" customHeight="1" x14ac:dyDescent="0.4">
      <c r="B609" s="7"/>
      <c r="C609" s="4"/>
      <c r="E609" s="7"/>
      <c r="G609" s="7"/>
      <c r="I609" s="36" t="s">
        <v>464</v>
      </c>
      <c r="J609" s="38"/>
      <c r="K609" s="3" t="s">
        <v>365</v>
      </c>
      <c r="L609" s="3" t="s">
        <v>463</v>
      </c>
      <c r="M609" s="5">
        <f>SL2TwoLockCutoff</f>
        <v>25</v>
      </c>
      <c r="R609" s="3" t="s">
        <v>352</v>
      </c>
      <c r="S609" s="56">
        <v>2</v>
      </c>
      <c r="T609" s="3" t="s">
        <v>385</v>
      </c>
      <c r="V609" s="38" t="s">
        <v>369</v>
      </c>
      <c r="W609" s="3" t="s">
        <v>370</v>
      </c>
      <c r="X609" s="38" t="s">
        <v>369</v>
      </c>
      <c r="Y609" s="1443">
        <v>420145003</v>
      </c>
      <c r="Z609" s="1443"/>
      <c r="AE609" s="3"/>
      <c r="AF609" s="3"/>
      <c r="AG609" s="3"/>
      <c r="AH609" s="51">
        <f>'Single Hung'!$AI$1011</f>
        <v>1.58</v>
      </c>
      <c r="AI609" s="39"/>
      <c r="AJ609" s="39"/>
      <c r="AK609" s="39"/>
      <c r="AL609" s="51">
        <f>AD$608*AH609+SUM(AI609:AK609)</f>
        <v>3.16</v>
      </c>
      <c r="AM609" s="3" t="s">
        <v>371</v>
      </c>
      <c r="AN609" s="3" t="s">
        <v>371</v>
      </c>
      <c r="AO609" s="3" t="s">
        <v>371</v>
      </c>
      <c r="AP609" s="3" t="s">
        <v>92</v>
      </c>
      <c r="AR609" s="139"/>
      <c r="AS609" s="139"/>
      <c r="AT609" s="139"/>
      <c r="AU609" s="139"/>
    </row>
    <row r="610" spans="1:51" ht="15" customHeight="1" x14ac:dyDescent="0.4">
      <c r="B610" s="36"/>
      <c r="C610" s="36"/>
      <c r="D610" s="36"/>
      <c r="E610" s="7"/>
      <c r="F610" s="36"/>
      <c r="G610" s="7"/>
      <c r="I610" s="36"/>
      <c r="J610" s="38"/>
      <c r="S610" s="56"/>
      <c r="V610" s="38" t="s">
        <v>369</v>
      </c>
      <c r="W610" s="3" t="s">
        <v>372</v>
      </c>
      <c r="X610" s="38" t="s">
        <v>369</v>
      </c>
      <c r="Y610" s="1443">
        <v>420145021</v>
      </c>
      <c r="Z610" s="1443"/>
      <c r="AE610" s="3"/>
      <c r="AF610" s="3"/>
      <c r="AG610" s="3"/>
      <c r="AH610" s="51">
        <f>'Single Hung'!$AI$1011</f>
        <v>1.58</v>
      </c>
      <c r="AI610" s="39"/>
      <c r="AJ610" s="39"/>
      <c r="AK610" s="39"/>
      <c r="AL610" s="51">
        <f t="shared" ref="AL610:AL612" si="105">AD$608*AH610+SUM(AI610:AK610)</f>
        <v>3.16</v>
      </c>
      <c r="AM610" s="3" t="s">
        <v>371</v>
      </c>
      <c r="AN610" s="3" t="s">
        <v>371</v>
      </c>
      <c r="AO610" s="3" t="s">
        <v>371</v>
      </c>
      <c r="AP610" s="3" t="s">
        <v>92</v>
      </c>
      <c r="AR610" s="139"/>
      <c r="AS610" s="139"/>
      <c r="AT610" s="139"/>
      <c r="AU610" s="139"/>
    </row>
    <row r="611" spans="1:51" ht="15" customHeight="1" x14ac:dyDescent="0.4">
      <c r="B611" s="36"/>
      <c r="C611" s="36"/>
      <c r="D611" s="36"/>
      <c r="E611" s="7"/>
      <c r="F611" s="36"/>
      <c r="G611" s="7"/>
      <c r="J611" s="38"/>
      <c r="S611" s="56"/>
      <c r="V611" s="38" t="s">
        <v>369</v>
      </c>
      <c r="W611" s="3" t="s">
        <v>373</v>
      </c>
      <c r="X611" s="38" t="s">
        <v>369</v>
      </c>
      <c r="Y611" s="1443">
        <v>420145033</v>
      </c>
      <c r="Z611" s="1443"/>
      <c r="AE611" s="3"/>
      <c r="AF611" s="3"/>
      <c r="AG611" s="3"/>
      <c r="AH611" s="51">
        <f>'Single Hung'!$AI$1011</f>
        <v>1.58</v>
      </c>
      <c r="AI611" s="39"/>
      <c r="AJ611" s="39"/>
      <c r="AK611" s="39"/>
      <c r="AL611" s="51">
        <f t="shared" si="105"/>
        <v>3.16</v>
      </c>
      <c r="AM611" s="3" t="s">
        <v>371</v>
      </c>
      <c r="AN611" s="3" t="s">
        <v>371</v>
      </c>
      <c r="AO611" s="3" t="s">
        <v>371</v>
      </c>
      <c r="AP611" s="3" t="s">
        <v>92</v>
      </c>
      <c r="AR611" s="139"/>
      <c r="AS611" s="139"/>
      <c r="AT611" s="139"/>
      <c r="AU611" s="139"/>
    </row>
    <row r="612" spans="1:51" ht="15" customHeight="1" thickBot="1" x14ac:dyDescent="0.45">
      <c r="B612" s="36"/>
      <c r="C612" s="943"/>
      <c r="D612" s="943"/>
      <c r="E612" s="924"/>
      <c r="F612" s="943"/>
      <c r="G612" s="924"/>
      <c r="H612" s="948"/>
      <c r="I612" s="889"/>
      <c r="J612" s="888"/>
      <c r="K612" s="889"/>
      <c r="L612" s="889"/>
      <c r="M612" s="945"/>
      <c r="N612" s="945"/>
      <c r="O612" s="945"/>
      <c r="P612" s="945"/>
      <c r="Q612" s="945"/>
      <c r="R612" s="889"/>
      <c r="S612" s="1156"/>
      <c r="T612" s="889"/>
      <c r="U612" s="948"/>
      <c r="V612" s="888" t="s">
        <v>369</v>
      </c>
      <c r="W612" s="889" t="s">
        <v>375</v>
      </c>
      <c r="X612" s="888" t="s">
        <v>369</v>
      </c>
      <c r="Y612" s="1444">
        <v>420145133</v>
      </c>
      <c r="Z612" s="1444"/>
      <c r="AA612" s="948"/>
      <c r="AB612" s="889"/>
      <c r="AC612" s="889"/>
      <c r="AD612" s="945"/>
      <c r="AE612" s="889"/>
      <c r="AF612" s="889"/>
      <c r="AG612" s="889"/>
      <c r="AH612" s="937"/>
      <c r="AI612" s="947"/>
      <c r="AJ612" s="947"/>
      <c r="AK612" s="947"/>
      <c r="AL612" s="937">
        <f t="shared" si="105"/>
        <v>0</v>
      </c>
      <c r="AM612" s="889" t="s">
        <v>92</v>
      </c>
      <c r="AN612" s="889" t="s">
        <v>92</v>
      </c>
      <c r="AO612" s="889" t="s">
        <v>92</v>
      </c>
      <c r="AP612" s="889" t="s">
        <v>371</v>
      </c>
      <c r="AQ612" s="889"/>
      <c r="AR612" s="139"/>
      <c r="AS612" s="139"/>
      <c r="AT612" s="139"/>
      <c r="AU612" s="139"/>
    </row>
    <row r="613" spans="1:51" ht="15" customHeight="1" x14ac:dyDescent="0.4">
      <c r="B613" s="36"/>
      <c r="C613" s="7" t="s">
        <v>1286</v>
      </c>
      <c r="E613" s="7"/>
      <c r="G613" s="7"/>
      <c r="I613" s="500" t="s">
        <v>461</v>
      </c>
      <c r="K613" s="3" t="s">
        <v>365</v>
      </c>
      <c r="L613" s="3" t="s">
        <v>465</v>
      </c>
      <c r="M613" s="5">
        <f>SL2TwoLockCutoff</f>
        <v>25</v>
      </c>
      <c r="R613" s="3" t="s">
        <v>352</v>
      </c>
      <c r="S613" s="56">
        <v>1</v>
      </c>
      <c r="T613" s="3" t="s">
        <v>385</v>
      </c>
      <c r="V613" s="4"/>
      <c r="W613" s="4"/>
      <c r="X613" s="4"/>
      <c r="Y613" s="1443"/>
      <c r="Z613" s="1443"/>
      <c r="AB613" s="3">
        <v>45</v>
      </c>
      <c r="AC613" s="56">
        <f>IF(SL2Height&lt;M613,1,2)</f>
        <v>2</v>
      </c>
      <c r="AD613" s="3">
        <f>AC613*S613</f>
        <v>2</v>
      </c>
      <c r="AE613" s="3" t="s">
        <v>385</v>
      </c>
      <c r="AF613" s="38" t="s">
        <v>8</v>
      </c>
      <c r="AG613" s="38" t="s">
        <v>8</v>
      </c>
      <c r="AH613" s="39"/>
      <c r="AI613" s="39"/>
      <c r="AJ613" s="39"/>
      <c r="AK613" s="39"/>
      <c r="AM613" s="3" t="s">
        <v>371</v>
      </c>
      <c r="AN613" s="3" t="s">
        <v>81</v>
      </c>
      <c r="AO613" s="3" t="s">
        <v>371</v>
      </c>
      <c r="AP613" s="3" t="s">
        <v>371</v>
      </c>
      <c r="AR613" s="139"/>
      <c r="AS613" s="139"/>
      <c r="AT613" s="139"/>
      <c r="AU613" s="139"/>
    </row>
    <row r="614" spans="1:51" ht="15" customHeight="1" x14ac:dyDescent="0.4">
      <c r="B614" s="36"/>
      <c r="D614" s="36"/>
      <c r="E614" s="7"/>
      <c r="F614" s="36"/>
      <c r="G614" s="7"/>
      <c r="I614" s="36" t="s">
        <v>464</v>
      </c>
      <c r="J614" s="38"/>
      <c r="K614" s="3" t="s">
        <v>365</v>
      </c>
      <c r="L614" s="3" t="s">
        <v>463</v>
      </c>
      <c r="M614" s="5">
        <f>SL2TwoLockCutoff</f>
        <v>25</v>
      </c>
      <c r="R614" s="3" t="s">
        <v>352</v>
      </c>
      <c r="S614" s="56">
        <v>2</v>
      </c>
      <c r="T614" s="3" t="s">
        <v>385</v>
      </c>
      <c r="V614" s="38" t="s">
        <v>369</v>
      </c>
      <c r="W614" s="3" t="s">
        <v>370</v>
      </c>
      <c r="X614" s="38" t="s">
        <v>369</v>
      </c>
      <c r="Y614" s="1443">
        <v>420146003</v>
      </c>
      <c r="Z614" s="1443"/>
      <c r="AE614" s="3"/>
      <c r="AF614" s="3"/>
      <c r="AG614" s="3"/>
      <c r="AH614" s="51">
        <f>'Single Hung'!$AI$1016</f>
        <v>2.15</v>
      </c>
      <c r="AI614" s="39"/>
      <c r="AJ614" s="39"/>
      <c r="AK614" s="39"/>
      <c r="AL614" s="51">
        <f>AD$613*AH614+SUM(AI614:AK614)</f>
        <v>4.3</v>
      </c>
      <c r="AM614" s="3" t="s">
        <v>371</v>
      </c>
      <c r="AN614" s="3" t="s">
        <v>81</v>
      </c>
      <c r="AO614" s="3" t="s">
        <v>371</v>
      </c>
      <c r="AP614" s="3" t="s">
        <v>92</v>
      </c>
      <c r="AR614" s="139"/>
      <c r="AS614" s="139"/>
      <c r="AT614" s="139"/>
      <c r="AU614" s="139"/>
    </row>
    <row r="615" spans="1:51" ht="15" customHeight="1" x14ac:dyDescent="0.4">
      <c r="B615" s="36"/>
      <c r="C615" s="36"/>
      <c r="D615" s="36"/>
      <c r="E615" s="7"/>
      <c r="F615" s="36"/>
      <c r="G615" s="7"/>
      <c r="J615" s="38"/>
      <c r="S615" s="56"/>
      <c r="V615" s="38" t="s">
        <v>369</v>
      </c>
      <c r="W615" s="3" t="s">
        <v>372</v>
      </c>
      <c r="X615" s="38" t="s">
        <v>369</v>
      </c>
      <c r="Y615" s="1443">
        <v>420146021</v>
      </c>
      <c r="Z615" s="1443"/>
      <c r="AE615" s="3"/>
      <c r="AF615" s="3"/>
      <c r="AG615" s="3"/>
      <c r="AH615" s="51">
        <f>'Single Hung'!$AI$1016</f>
        <v>2.15</v>
      </c>
      <c r="AI615" s="39"/>
      <c r="AJ615" s="39"/>
      <c r="AK615" s="39"/>
      <c r="AL615" s="51">
        <f t="shared" ref="AL615:AL617" si="106">AD$613*AH615+SUM(AI615:AK615)</f>
        <v>4.3</v>
      </c>
      <c r="AM615" s="3" t="s">
        <v>371</v>
      </c>
      <c r="AN615" s="3" t="s">
        <v>371</v>
      </c>
      <c r="AO615" s="3" t="s">
        <v>371</v>
      </c>
      <c r="AP615" s="3" t="s">
        <v>92</v>
      </c>
      <c r="AR615" s="139"/>
      <c r="AS615" s="139"/>
      <c r="AT615" s="139"/>
      <c r="AU615" s="139"/>
    </row>
    <row r="616" spans="1:51" ht="15" customHeight="1" x14ac:dyDescent="0.4">
      <c r="B616" s="36"/>
      <c r="C616" s="36"/>
      <c r="D616" s="36"/>
      <c r="E616" s="7"/>
      <c r="F616" s="36"/>
      <c r="G616" s="7"/>
      <c r="J616" s="38"/>
      <c r="S616" s="56"/>
      <c r="V616" s="38" t="s">
        <v>369</v>
      </c>
      <c r="W616" s="3" t="s">
        <v>373</v>
      </c>
      <c r="X616" s="38" t="s">
        <v>369</v>
      </c>
      <c r="Y616" s="1443">
        <v>420146033</v>
      </c>
      <c r="Z616" s="1443"/>
      <c r="AE616" s="3"/>
      <c r="AF616" s="3"/>
      <c r="AG616" s="3"/>
      <c r="AH616" s="51">
        <f>'Single Hung'!$AI$1016</f>
        <v>2.15</v>
      </c>
      <c r="AI616" s="39"/>
      <c r="AJ616" s="39"/>
      <c r="AK616" s="39"/>
      <c r="AL616" s="51">
        <f t="shared" si="106"/>
        <v>4.3</v>
      </c>
      <c r="AM616" s="3" t="s">
        <v>371</v>
      </c>
      <c r="AN616" s="3" t="s">
        <v>371</v>
      </c>
      <c r="AO616" s="3" t="s">
        <v>371</v>
      </c>
      <c r="AP616" s="3" t="s">
        <v>92</v>
      </c>
      <c r="AR616" s="139"/>
      <c r="AS616" s="139"/>
      <c r="AT616" s="139"/>
      <c r="AU616" s="139"/>
    </row>
    <row r="617" spans="1:51" ht="15" customHeight="1" thickBot="1" x14ac:dyDescent="0.45">
      <c r="B617" s="943"/>
      <c r="C617" s="943"/>
      <c r="D617" s="943"/>
      <c r="E617" s="924"/>
      <c r="F617" s="943"/>
      <c r="G617" s="924"/>
      <c r="H617" s="948"/>
      <c r="I617" s="889"/>
      <c r="J617" s="888"/>
      <c r="K617" s="889"/>
      <c r="L617" s="889"/>
      <c r="M617" s="945"/>
      <c r="N617" s="945"/>
      <c r="O617" s="945"/>
      <c r="P617" s="945"/>
      <c r="Q617" s="945"/>
      <c r="R617" s="889"/>
      <c r="S617" s="1156"/>
      <c r="T617" s="889"/>
      <c r="U617" s="948"/>
      <c r="V617" s="888" t="s">
        <v>369</v>
      </c>
      <c r="W617" s="889" t="s">
        <v>375</v>
      </c>
      <c r="X617" s="888" t="s">
        <v>369</v>
      </c>
      <c r="Y617" s="1444">
        <v>420146133</v>
      </c>
      <c r="Z617" s="946"/>
      <c r="AA617" s="948"/>
      <c r="AB617" s="889"/>
      <c r="AC617" s="889"/>
      <c r="AD617" s="945"/>
      <c r="AE617" s="889"/>
      <c r="AF617" s="889"/>
      <c r="AG617" s="889"/>
      <c r="AH617" s="947"/>
      <c r="AI617" s="947"/>
      <c r="AJ617" s="947"/>
      <c r="AK617" s="947"/>
      <c r="AL617" s="937">
        <f t="shared" si="106"/>
        <v>0</v>
      </c>
      <c r="AM617" s="889" t="s">
        <v>92</v>
      </c>
      <c r="AN617" s="889" t="s">
        <v>92</v>
      </c>
      <c r="AO617" s="889" t="s">
        <v>92</v>
      </c>
      <c r="AP617" s="889" t="s">
        <v>371</v>
      </c>
      <c r="AQ617" s="889"/>
      <c r="AR617" s="139"/>
      <c r="AS617" s="139"/>
      <c r="AT617" s="139"/>
      <c r="AU617" s="139"/>
    </row>
    <row r="618" spans="1:51" ht="15" customHeight="1" x14ac:dyDescent="0.4">
      <c r="B618" s="509" t="s">
        <v>1287</v>
      </c>
      <c r="C618" s="509"/>
      <c r="D618" s="3"/>
      <c r="E618" s="7"/>
      <c r="F618" s="3"/>
      <c r="G618" s="7"/>
      <c r="I618" s="8"/>
      <c r="S618" s="56">
        <v>1</v>
      </c>
      <c r="T618" s="3" t="s">
        <v>385</v>
      </c>
      <c r="V618" s="38"/>
      <c r="X618" s="38"/>
      <c r="Y618" s="1454">
        <v>420050000001</v>
      </c>
      <c r="Z618" s="1454"/>
      <c r="AB618" s="3">
        <v>45</v>
      </c>
      <c r="AC618" s="3">
        <v>2</v>
      </c>
      <c r="AD618" s="56">
        <f>AC618*S618</f>
        <v>2</v>
      </c>
      <c r="AE618" s="3" t="s">
        <v>385</v>
      </c>
      <c r="AF618" s="38"/>
      <c r="AG618" s="38"/>
      <c r="AH618" s="492">
        <v>0.35</v>
      </c>
      <c r="AI618" s="39"/>
      <c r="AJ618" s="39"/>
      <c r="AK618" s="39"/>
      <c r="AL618" s="51">
        <f>AD$618*AH618+SUM(AI618:AK618)</f>
        <v>0.7</v>
      </c>
      <c r="AP618" s="3" t="s">
        <v>81</v>
      </c>
      <c r="AR618" s="139"/>
      <c r="AS618" s="139"/>
      <c r="AT618" s="139"/>
      <c r="AU618" s="139"/>
    </row>
    <row r="619" spans="1:51" ht="15" customHeight="1" x14ac:dyDescent="0.4">
      <c r="B619" s="36"/>
      <c r="C619" s="509"/>
      <c r="D619" s="3"/>
      <c r="E619" s="7"/>
      <c r="F619" s="3"/>
      <c r="G619" s="7"/>
      <c r="I619" s="8"/>
      <c r="S619" s="56"/>
      <c r="V619" s="38"/>
      <c r="X619" s="38"/>
      <c r="Y619" s="41"/>
      <c r="Z619" s="41"/>
      <c r="AD619" s="56"/>
      <c r="AE619" s="3"/>
      <c r="AF619" s="38"/>
      <c r="AG619" s="38"/>
      <c r="AH619" s="477"/>
      <c r="AI619" s="39"/>
      <c r="AJ619" s="39"/>
      <c r="AK619" s="39"/>
      <c r="AR619" s="139"/>
      <c r="AS619" s="139"/>
      <c r="AT619" s="139"/>
      <c r="AU619" s="139"/>
    </row>
    <row r="620" spans="1:51" ht="15" customHeight="1" x14ac:dyDescent="0.4">
      <c r="B620" s="36"/>
      <c r="C620" s="509"/>
      <c r="D620" s="3"/>
      <c r="E620" s="7"/>
      <c r="F620" s="3"/>
      <c r="G620" s="7"/>
      <c r="I620" s="8"/>
      <c r="S620" s="56"/>
      <c r="V620" s="38"/>
      <c r="X620" s="38"/>
      <c r="Y620" s="41"/>
      <c r="Z620" s="41"/>
      <c r="AD620" s="56"/>
      <c r="AE620" s="3"/>
      <c r="AF620" s="38"/>
      <c r="AG620" s="38"/>
      <c r="AH620" s="477"/>
      <c r="AI620" s="39"/>
      <c r="AJ620" s="39"/>
      <c r="AK620" s="39"/>
      <c r="AR620" s="139"/>
      <c r="AS620" s="139"/>
      <c r="AT620" s="139"/>
      <c r="AU620" s="139"/>
    </row>
    <row r="621" spans="1:51" ht="15" customHeight="1" thickBot="1" x14ac:dyDescent="0.45">
      <c r="B621" s="943"/>
      <c r="C621" s="1191"/>
      <c r="D621" s="889"/>
      <c r="E621" s="924"/>
      <c r="F621" s="889"/>
      <c r="G621" s="924"/>
      <c r="H621" s="948"/>
      <c r="I621" s="949"/>
      <c r="J621" s="889"/>
      <c r="K621" s="889"/>
      <c r="L621" s="889"/>
      <c r="M621" s="945"/>
      <c r="N621" s="945"/>
      <c r="O621" s="945"/>
      <c r="P621" s="945"/>
      <c r="Q621" s="945"/>
      <c r="R621" s="889"/>
      <c r="S621" s="1156"/>
      <c r="T621" s="889"/>
      <c r="U621" s="948"/>
      <c r="V621" s="888"/>
      <c r="W621" s="889"/>
      <c r="X621" s="888"/>
      <c r="Y621" s="946"/>
      <c r="Z621" s="946"/>
      <c r="AA621" s="948"/>
      <c r="AB621" s="889"/>
      <c r="AC621" s="889"/>
      <c r="AD621" s="1156"/>
      <c r="AE621" s="889"/>
      <c r="AF621" s="888"/>
      <c r="AG621" s="888"/>
      <c r="AH621" s="1157"/>
      <c r="AI621" s="947"/>
      <c r="AJ621" s="947"/>
      <c r="AK621" s="947"/>
      <c r="AL621" s="947"/>
      <c r="AM621" s="889"/>
      <c r="AN621" s="889"/>
      <c r="AO621" s="889"/>
      <c r="AP621" s="889"/>
      <c r="AQ621" s="889"/>
      <c r="AR621" s="139"/>
      <c r="AS621" s="139"/>
      <c r="AT621" s="139"/>
      <c r="AU621" s="139"/>
    </row>
    <row r="622" spans="1:51" ht="15" customHeight="1" x14ac:dyDescent="0.4">
      <c r="B622" s="641" t="s">
        <v>908</v>
      </c>
      <c r="C622" s="642"/>
      <c r="D622" s="642"/>
      <c r="E622" s="642"/>
      <c r="F622" s="642"/>
      <c r="G622" s="642"/>
      <c r="H622" s="643"/>
      <c r="I622" s="643"/>
      <c r="J622" s="643"/>
      <c r="K622" s="643"/>
      <c r="L622" s="643"/>
      <c r="M622" s="644"/>
      <c r="N622" s="644"/>
      <c r="O622" s="644"/>
      <c r="P622" s="644"/>
      <c r="Q622" s="644"/>
      <c r="R622" s="643"/>
      <c r="S622" s="644"/>
      <c r="T622" s="643"/>
      <c r="U622" s="643"/>
      <c r="V622" s="642"/>
      <c r="W622" s="642"/>
      <c r="X622" s="642"/>
      <c r="Y622" s="645"/>
      <c r="Z622" s="645"/>
      <c r="AA622" s="643"/>
      <c r="AB622" s="645"/>
      <c r="AC622" s="643"/>
      <c r="AD622" s="644"/>
      <c r="AE622" s="643"/>
      <c r="AF622" s="643"/>
      <c r="AG622" s="643"/>
      <c r="AH622" s="646"/>
      <c r="AI622" s="647"/>
      <c r="AJ622" s="647"/>
      <c r="AK622" s="648" t="s">
        <v>909</v>
      </c>
      <c r="AL622" s="649">
        <f>SUBTOTAL(109,AL623:AL634)</f>
        <v>10.537669868287603</v>
      </c>
      <c r="AM622" s="647"/>
      <c r="AN622" s="647"/>
      <c r="AO622" s="647"/>
      <c r="AP622" s="647"/>
      <c r="AQ622" s="647"/>
      <c r="AR622" s="139"/>
      <c r="AU622" s="139"/>
      <c r="AV622" s="139"/>
      <c r="AW622" s="139"/>
      <c r="AX622" s="139"/>
      <c r="AY622" s="139"/>
    </row>
    <row r="623" spans="1:51" ht="15" customHeight="1" x14ac:dyDescent="0.4">
      <c r="A623" s="3" t="s">
        <v>809</v>
      </c>
      <c r="B623" s="4" t="s">
        <v>2073</v>
      </c>
      <c r="D623" s="8"/>
      <c r="E623" s="8"/>
      <c r="F623" s="8"/>
      <c r="G623" s="3"/>
      <c r="H623" s="370"/>
      <c r="I623" s="47" t="s">
        <v>910</v>
      </c>
      <c r="L623" s="5"/>
      <c r="Q623" s="3"/>
      <c r="R623" s="5"/>
      <c r="S623" s="5">
        <f>((SL2SGW*2)+(SL2SGH*2))/12/1010</f>
        <v>1.0231023102310232E-2</v>
      </c>
      <c r="T623" s="3" t="s">
        <v>815</v>
      </c>
      <c r="V623" s="38" t="s">
        <v>8</v>
      </c>
      <c r="W623" s="3" t="s">
        <v>422</v>
      </c>
      <c r="X623" s="38" t="s">
        <v>8</v>
      </c>
      <c r="Y623" s="1443">
        <v>610023014</v>
      </c>
      <c r="Z623" s="56">
        <v>39844</v>
      </c>
      <c r="AB623" s="3">
        <v>45</v>
      </c>
      <c r="AC623" s="5"/>
      <c r="AD623" s="5">
        <f>S623</f>
        <v>1.0231023102310232E-2</v>
      </c>
      <c r="AE623" s="3" t="s">
        <v>815</v>
      </c>
      <c r="AF623" s="38" t="s">
        <v>8</v>
      </c>
      <c r="AG623" s="38" t="s">
        <v>8</v>
      </c>
      <c r="AH623" s="492">
        <f>'Single Hung'!AI1024</f>
        <v>27.652000000000001</v>
      </c>
      <c r="AI623" s="477"/>
      <c r="AJ623" s="477"/>
      <c r="AK623" s="477"/>
      <c r="AL623" s="51">
        <f>AD623*AH623+SUM(AI623:AK623)</f>
        <v>0.28290825082508253</v>
      </c>
      <c r="AM623" s="3" t="s">
        <v>81</v>
      </c>
      <c r="AN623" s="3" t="s">
        <v>81</v>
      </c>
      <c r="AO623" s="3" t="s">
        <v>92</v>
      </c>
      <c r="AP623" s="3" t="s">
        <v>81</v>
      </c>
      <c r="AR623" s="139"/>
      <c r="AU623" s="139"/>
      <c r="AV623" s="139"/>
      <c r="AW623" s="139"/>
      <c r="AX623" s="139"/>
      <c r="AY623" s="139"/>
    </row>
    <row r="624" spans="1:51" ht="15" customHeight="1" x14ac:dyDescent="0.4">
      <c r="B624" s="573" t="s">
        <v>2074</v>
      </c>
      <c r="C624" s="694"/>
      <c r="D624" s="694"/>
      <c r="E624" s="694"/>
      <c r="F624" s="694"/>
      <c r="G624" s="577"/>
      <c r="H624" s="695"/>
      <c r="I624" s="577"/>
      <c r="J624" s="577"/>
      <c r="K624" s="577"/>
      <c r="L624" s="575"/>
      <c r="M624" s="575"/>
      <c r="N624" s="575"/>
      <c r="O624" s="575"/>
      <c r="P624" s="575"/>
      <c r="Q624" s="577"/>
      <c r="R624" s="575"/>
      <c r="S624" s="575">
        <v>1</v>
      </c>
      <c r="T624" s="577" t="s">
        <v>811</v>
      </c>
      <c r="U624" s="574"/>
      <c r="V624" s="573"/>
      <c r="W624" s="573"/>
      <c r="X624" s="576"/>
      <c r="Y624" s="1460">
        <v>610023014001</v>
      </c>
      <c r="Z624" s="577">
        <v>30359</v>
      </c>
      <c r="AA624" s="574"/>
      <c r="AB624" s="577">
        <v>45</v>
      </c>
      <c r="AC624" s="575"/>
      <c r="AD624" s="577">
        <v>1</v>
      </c>
      <c r="AE624" s="577" t="s">
        <v>811</v>
      </c>
      <c r="AF624" s="579" t="s">
        <v>8</v>
      </c>
      <c r="AG624" s="579" t="s">
        <v>8</v>
      </c>
      <c r="AH624" s="673">
        <f>'Single Hung'!AI1025</f>
        <v>2.5501</v>
      </c>
      <c r="AI624" s="580"/>
      <c r="AJ624" s="580"/>
      <c r="AK624" s="580"/>
      <c r="AL624" s="626">
        <f>AD624*AH624+SUM(AI624:AK624)</f>
        <v>2.5501</v>
      </c>
      <c r="AM624" s="577" t="s">
        <v>92</v>
      </c>
      <c r="AN624" s="577" t="s">
        <v>92</v>
      </c>
      <c r="AO624" s="577" t="s">
        <v>92</v>
      </c>
      <c r="AP624" s="577" t="s">
        <v>371</v>
      </c>
      <c r="AQ624" s="577"/>
      <c r="AR624" s="139"/>
      <c r="AU624" s="139"/>
      <c r="AV624" s="139"/>
      <c r="AW624" s="139"/>
      <c r="AX624" s="139"/>
      <c r="AY624" s="139"/>
    </row>
    <row r="625" spans="1:51" ht="15" customHeight="1" x14ac:dyDescent="0.4">
      <c r="B625" s="4" t="str">
        <f>B431</f>
        <v>Impact Hotmelt glaze, golden (Henkel Purfect Glaze 1219461, 5 gal pail)</v>
      </c>
      <c r="D625" s="36"/>
      <c r="E625" s="36"/>
      <c r="F625" s="36"/>
      <c r="G625" s="500"/>
      <c r="H625" s="370"/>
      <c r="I625" s="47" t="s">
        <v>814</v>
      </c>
      <c r="L625" s="5"/>
      <c r="Q625" s="3"/>
      <c r="R625" s="5"/>
      <c r="S625" s="5">
        <f>((SL2SGW*2)+(SL2SGH*2))/12/392</f>
        <v>2.6360544217687076E-2</v>
      </c>
      <c r="T625" s="3" t="s">
        <v>815</v>
      </c>
      <c r="V625" s="38" t="s">
        <v>8</v>
      </c>
      <c r="W625" s="3" t="s">
        <v>422</v>
      </c>
      <c r="X625" s="38" t="s">
        <v>8</v>
      </c>
      <c r="Y625" s="1443">
        <f>Y431</f>
        <v>610027000</v>
      </c>
      <c r="Z625" s="56">
        <f>Z431</f>
        <v>251924</v>
      </c>
      <c r="AB625" s="3">
        <v>45</v>
      </c>
      <c r="AC625" s="5"/>
      <c r="AD625" s="5">
        <f>S625</f>
        <v>2.6360544217687076E-2</v>
      </c>
      <c r="AE625" s="3" t="s">
        <v>815</v>
      </c>
      <c r="AF625" s="38" t="s">
        <v>8</v>
      </c>
      <c r="AG625" s="38" t="s">
        <v>8</v>
      </c>
      <c r="AH625" s="492">
        <f>'Single Hung'!AI1026</f>
        <v>68.66</v>
      </c>
      <c r="AI625" s="477"/>
      <c r="AJ625" s="477"/>
      <c r="AK625" s="477"/>
      <c r="AL625" s="51">
        <f>AD625*AH625+SUM(AI625:AK625)</f>
        <v>1.8099149659863947</v>
      </c>
      <c r="AM625" s="3" t="s">
        <v>92</v>
      </c>
      <c r="AN625" s="3" t="s">
        <v>92</v>
      </c>
      <c r="AO625" s="3" t="s">
        <v>81</v>
      </c>
      <c r="AP625" s="3" t="s">
        <v>92</v>
      </c>
      <c r="AR625" s="139"/>
      <c r="AU625" s="139"/>
      <c r="AV625" s="139"/>
      <c r="AW625" s="139"/>
      <c r="AX625" s="139"/>
      <c r="AY625" s="139"/>
    </row>
    <row r="626" spans="1:51" ht="15" customHeight="1" x14ac:dyDescent="0.4">
      <c r="B626" s="4" t="str">
        <f>B432</f>
        <v>Impact Hotmelt glaze, golden (Henkel Purfect Glaze 1219461, 55 gal drum)</v>
      </c>
      <c r="D626" s="36"/>
      <c r="E626" s="36"/>
      <c r="F626" s="36"/>
      <c r="G626" s="500"/>
      <c r="H626" s="370"/>
      <c r="I626" s="47" t="s">
        <v>814</v>
      </c>
      <c r="L626" s="5"/>
      <c r="Q626" s="3"/>
      <c r="R626" s="5"/>
      <c r="S626" s="5">
        <f>((SL2SGW*2)+(SL2SGH*2))/12/392</f>
        <v>2.6360544217687076E-2</v>
      </c>
      <c r="T626" s="3" t="s">
        <v>815</v>
      </c>
      <c r="V626" s="38" t="s">
        <v>8</v>
      </c>
      <c r="W626" s="3" t="s">
        <v>422</v>
      </c>
      <c r="X626" s="38" t="s">
        <v>8</v>
      </c>
      <c r="Y626" s="1454">
        <f>Y432</f>
        <v>610027000002</v>
      </c>
      <c r="Z626" s="56">
        <f>Z432</f>
        <v>251931</v>
      </c>
      <c r="AB626" s="3">
        <v>45</v>
      </c>
      <c r="AC626" s="5"/>
      <c r="AD626" s="5">
        <f>S626</f>
        <v>2.6360544217687076E-2</v>
      </c>
      <c r="AE626" s="3" t="s">
        <v>815</v>
      </c>
      <c r="AF626" s="38" t="s">
        <v>8</v>
      </c>
      <c r="AG626" s="38" t="s">
        <v>8</v>
      </c>
      <c r="AH626" s="492">
        <f>'Single Hung'!AI1027</f>
        <v>99.160399999999996</v>
      </c>
      <c r="AI626" s="477"/>
      <c r="AJ626" s="477"/>
      <c r="AK626" s="477"/>
      <c r="AL626" s="51">
        <f>AD626*AH626+SUM(AI626:AK626)</f>
        <v>2.6139221088435374</v>
      </c>
      <c r="AM626" s="3" t="s">
        <v>92</v>
      </c>
      <c r="AN626" s="3" t="s">
        <v>92</v>
      </c>
      <c r="AO626" s="3" t="s">
        <v>81</v>
      </c>
      <c r="AP626" s="3" t="s">
        <v>92</v>
      </c>
      <c r="AR626" s="139"/>
      <c r="AU626" s="139"/>
      <c r="AV626" s="139"/>
      <c r="AW626" s="139"/>
      <c r="AX626" s="139"/>
      <c r="AY626" s="139"/>
    </row>
    <row r="627" spans="1:51" ht="15" customHeight="1" x14ac:dyDescent="0.4">
      <c r="B627" s="4" t="str">
        <f>B433</f>
        <v>Impact wet glaze (Dow Corning 995, tube)</v>
      </c>
      <c r="D627" s="36"/>
      <c r="E627" s="36"/>
      <c r="F627" s="36"/>
      <c r="G627" s="500"/>
      <c r="H627" s="370"/>
      <c r="I627" s="47" t="s">
        <v>814</v>
      </c>
      <c r="L627" s="5"/>
      <c r="Q627" s="3"/>
      <c r="R627" s="5"/>
      <c r="S627" s="5">
        <f>((SL2SGW*2)+(SL2SGH*2))/12/392</f>
        <v>2.6360544217687076E-2</v>
      </c>
      <c r="T627" s="3" t="s">
        <v>815</v>
      </c>
      <c r="V627" s="38" t="s">
        <v>8</v>
      </c>
      <c r="W627" s="3" t="s">
        <v>817</v>
      </c>
      <c r="X627" s="38" t="s">
        <v>8</v>
      </c>
      <c r="Y627" s="1454">
        <f>Y433</f>
        <v>610007010001</v>
      </c>
      <c r="Z627" s="1454"/>
      <c r="AB627" s="3">
        <v>45</v>
      </c>
      <c r="AC627" s="5"/>
      <c r="AD627" s="5">
        <f>S627/10.3*128</f>
        <v>0.32758734561785879</v>
      </c>
      <c r="AE627" s="3" t="s">
        <v>811</v>
      </c>
      <c r="AF627" s="38" t="s">
        <v>8</v>
      </c>
      <c r="AG627" s="38" t="s">
        <v>8</v>
      </c>
      <c r="AH627" s="492">
        <f>'Single Hung'!AI1028</f>
        <v>9.44</v>
      </c>
      <c r="AI627" s="477"/>
      <c r="AJ627" s="477"/>
      <c r="AK627" s="477"/>
      <c r="AL627" s="51">
        <f t="shared" ref="AL627:AL628" si="107">AD627*AH627+SUM(AI627:AK627)</f>
        <v>3.0924245426325867</v>
      </c>
      <c r="AM627" s="3" t="s">
        <v>92</v>
      </c>
      <c r="AN627" s="3" t="s">
        <v>92</v>
      </c>
      <c r="AO627" s="3" t="s">
        <v>92</v>
      </c>
      <c r="AP627" s="3" t="s">
        <v>92</v>
      </c>
      <c r="AR627" s="139"/>
      <c r="AU627" s="139"/>
      <c r="AV627" s="139"/>
      <c r="AW627" s="139"/>
      <c r="AX627" s="139"/>
      <c r="AY627" s="139"/>
    </row>
    <row r="628" spans="1:51" ht="15" customHeight="1" x14ac:dyDescent="0.4">
      <c r="B628" s="573" t="str">
        <f>B434</f>
        <v>Impact wet glaze (Dow Corning 995, 5 gal pail)</v>
      </c>
      <c r="C628" s="694"/>
      <c r="D628" s="622"/>
      <c r="E628" s="622"/>
      <c r="F628" s="622"/>
      <c r="G628" s="223"/>
      <c r="H628" s="695"/>
      <c r="I628" s="577"/>
      <c r="J628" s="577"/>
      <c r="K628" s="577"/>
      <c r="L628" s="575"/>
      <c r="M628" s="575"/>
      <c r="N628" s="575"/>
      <c r="O628" s="575"/>
      <c r="P628" s="575"/>
      <c r="Q628" s="577"/>
      <c r="R628" s="575"/>
      <c r="S628" s="575" t="s">
        <v>1258</v>
      </c>
      <c r="T628" s="577" t="s">
        <v>815</v>
      </c>
      <c r="U628" s="574"/>
      <c r="V628" s="579" t="s">
        <v>8</v>
      </c>
      <c r="W628" s="577" t="s">
        <v>817</v>
      </c>
      <c r="X628" s="579" t="s">
        <v>8</v>
      </c>
      <c r="Y628" s="1519">
        <f>Y434</f>
        <v>610007010002</v>
      </c>
      <c r="Z628" s="1519"/>
      <c r="AA628" s="574"/>
      <c r="AB628" s="577">
        <v>45</v>
      </c>
      <c r="AC628" s="575"/>
      <c r="AD628" s="575">
        <v>0</v>
      </c>
      <c r="AE628" s="577" t="s">
        <v>815</v>
      </c>
      <c r="AF628" s="579" t="s">
        <v>8</v>
      </c>
      <c r="AG628" s="579" t="s">
        <v>8</v>
      </c>
      <c r="AH628" s="1000">
        <f>'Single Hung'!AI1029</f>
        <v>0</v>
      </c>
      <c r="AI628" s="580"/>
      <c r="AJ628" s="580"/>
      <c r="AK628" s="580"/>
      <c r="AL628" s="626">
        <f t="shared" si="107"/>
        <v>0</v>
      </c>
      <c r="AM628" s="577" t="s">
        <v>92</v>
      </c>
      <c r="AN628" s="577" t="s">
        <v>92</v>
      </c>
      <c r="AO628" s="577" t="s">
        <v>92</v>
      </c>
      <c r="AP628" s="577" t="s">
        <v>92</v>
      </c>
      <c r="AQ628" s="622"/>
      <c r="AR628" s="139"/>
      <c r="AU628" s="139"/>
      <c r="AV628" s="139"/>
      <c r="AW628" s="139"/>
      <c r="AX628" s="139"/>
      <c r="AY628" s="139"/>
    </row>
    <row r="629" spans="1:51" ht="15" customHeight="1" x14ac:dyDescent="0.4">
      <c r="B629" s="4" t="s">
        <v>819</v>
      </c>
      <c r="D629" s="8"/>
      <c r="E629" s="8"/>
      <c r="F629" s="8"/>
      <c r="G629" s="3"/>
      <c r="H629" s="370"/>
      <c r="J629" s="495"/>
      <c r="L629" s="5"/>
      <c r="Q629" s="3"/>
      <c r="R629" s="5"/>
      <c r="S629" s="56">
        <v>1</v>
      </c>
      <c r="T629" s="3" t="s">
        <v>385</v>
      </c>
      <c r="V629" s="38" t="s">
        <v>8</v>
      </c>
      <c r="W629" s="3" t="s">
        <v>821</v>
      </c>
      <c r="X629" s="38" t="s">
        <v>8</v>
      </c>
      <c r="Y629" s="1443">
        <v>620001000</v>
      </c>
      <c r="Z629" s="1443"/>
      <c r="AA629" s="14">
        <v>45</v>
      </c>
      <c r="AB629" s="3">
        <v>45</v>
      </c>
      <c r="AC629" s="5"/>
      <c r="AD629" s="56">
        <v>3</v>
      </c>
      <c r="AE629" s="3" t="s">
        <v>385</v>
      </c>
      <c r="AF629" s="38" t="s">
        <v>8</v>
      </c>
      <c r="AG629" s="38" t="s">
        <v>8</v>
      </c>
      <c r="AH629" s="492">
        <f>'Single Hung'!AI1030</f>
        <v>1.01E-2</v>
      </c>
      <c r="AI629" s="477"/>
      <c r="AJ629" s="477"/>
      <c r="AK629" s="477"/>
      <c r="AL629" s="51">
        <f>AD629*AH629+SUM(AI629:AK629)</f>
        <v>3.0300000000000001E-2</v>
      </c>
      <c r="AM629" s="3" t="s">
        <v>81</v>
      </c>
      <c r="AN629" s="3" t="s">
        <v>81</v>
      </c>
      <c r="AO629" s="3" t="s">
        <v>81</v>
      </c>
      <c r="AP629" s="3" t="s">
        <v>81</v>
      </c>
      <c r="AR629" s="139"/>
      <c r="AU629" s="139"/>
      <c r="AV629" s="139"/>
      <c r="AW629" s="139"/>
      <c r="AX629" s="139"/>
      <c r="AY629" s="139"/>
    </row>
    <row r="630" spans="1:51" ht="15" customHeight="1" x14ac:dyDescent="0.4">
      <c r="B630" s="4" t="s">
        <v>822</v>
      </c>
      <c r="D630" s="8"/>
      <c r="E630" s="3"/>
      <c r="F630" s="8"/>
      <c r="G630" s="3"/>
      <c r="H630" s="370"/>
      <c r="L630" s="5"/>
      <c r="Q630" s="3"/>
      <c r="R630" s="5"/>
      <c r="S630" s="56">
        <v>1</v>
      </c>
      <c r="T630" s="3" t="s">
        <v>385</v>
      </c>
      <c r="V630" s="38" t="s">
        <v>8</v>
      </c>
      <c r="W630" s="3" t="s">
        <v>817</v>
      </c>
      <c r="X630" s="38" t="s">
        <v>8</v>
      </c>
      <c r="Y630" s="1443">
        <v>620007000</v>
      </c>
      <c r="Z630" s="1443"/>
      <c r="AB630" s="3">
        <v>45</v>
      </c>
      <c r="AC630" s="5"/>
      <c r="AD630" s="56">
        <v>0</v>
      </c>
      <c r="AE630" s="3" t="s">
        <v>385</v>
      </c>
      <c r="AF630" s="38" t="s">
        <v>8</v>
      </c>
      <c r="AG630" s="38" t="s">
        <v>8</v>
      </c>
      <c r="AH630" s="492">
        <f>'Single Hung'!AI1031</f>
        <v>1.3100000000000001E-2</v>
      </c>
      <c r="AI630" s="477"/>
      <c r="AJ630" s="477"/>
      <c r="AK630" s="477"/>
      <c r="AL630" s="51">
        <f t="shared" ref="AL630:AL632" si="108">AD630*AH630+SUM(AI630:AK630)</f>
        <v>0</v>
      </c>
      <c r="AM630" s="3" t="s">
        <v>371</v>
      </c>
      <c r="AN630" s="3" t="s">
        <v>371</v>
      </c>
      <c r="AO630" s="3" t="s">
        <v>371</v>
      </c>
      <c r="AP630" s="3" t="s">
        <v>371</v>
      </c>
      <c r="AR630" s="139"/>
      <c r="AU630" s="139"/>
      <c r="AV630" s="139"/>
      <c r="AW630" s="139"/>
      <c r="AX630" s="139"/>
      <c r="AY630" s="139"/>
    </row>
    <row r="631" spans="1:51" ht="15" customHeight="1" x14ac:dyDescent="0.4">
      <c r="B631" s="4" t="s">
        <v>823</v>
      </c>
      <c r="D631" s="8"/>
      <c r="E631" s="8"/>
      <c r="F631" s="8"/>
      <c r="G631" s="3"/>
      <c r="H631" s="370"/>
      <c r="L631" s="5"/>
      <c r="Q631" s="3"/>
      <c r="R631" s="5"/>
      <c r="S631" s="56">
        <v>1</v>
      </c>
      <c r="T631" s="3" t="s">
        <v>385</v>
      </c>
      <c r="V631" s="38" t="s">
        <v>8</v>
      </c>
      <c r="W631" s="3" t="s">
        <v>824</v>
      </c>
      <c r="X631" s="38" t="s">
        <v>8</v>
      </c>
      <c r="Y631" s="1443">
        <v>620002000</v>
      </c>
      <c r="Z631" s="1443"/>
      <c r="AA631" s="14">
        <v>45</v>
      </c>
      <c r="AB631" s="3">
        <v>45</v>
      </c>
      <c r="AC631" s="5"/>
      <c r="AD631" s="56">
        <v>0</v>
      </c>
      <c r="AE631" s="3" t="s">
        <v>385</v>
      </c>
      <c r="AF631" s="38" t="s">
        <v>8</v>
      </c>
      <c r="AG631" s="38" t="s">
        <v>8</v>
      </c>
      <c r="AH631" s="492">
        <f>'Single Hung'!AI1032</f>
        <v>1.55E-2</v>
      </c>
      <c r="AI631" s="477"/>
      <c r="AJ631" s="477"/>
      <c r="AK631" s="477"/>
      <c r="AL631" s="51">
        <f t="shared" si="108"/>
        <v>0</v>
      </c>
      <c r="AM631" s="3" t="s">
        <v>371</v>
      </c>
      <c r="AN631" s="3" t="s">
        <v>371</v>
      </c>
      <c r="AO631" s="3" t="s">
        <v>371</v>
      </c>
      <c r="AP631" s="3" t="s">
        <v>371</v>
      </c>
      <c r="AR631" s="139"/>
      <c r="AU631" s="139"/>
      <c r="AV631" s="139"/>
      <c r="AW631" s="139"/>
      <c r="AX631" s="139"/>
      <c r="AY631" s="139"/>
    </row>
    <row r="632" spans="1:51" ht="15" customHeight="1" x14ac:dyDescent="0.4">
      <c r="B632" s="4" t="s">
        <v>825</v>
      </c>
      <c r="D632" s="8"/>
      <c r="E632" s="8"/>
      <c r="F632" s="8"/>
      <c r="G632" s="3"/>
      <c r="H632" s="370"/>
      <c r="L632" s="5"/>
      <c r="Q632" s="3"/>
      <c r="R632" s="5"/>
      <c r="S632" s="56">
        <v>1</v>
      </c>
      <c r="T632" s="3" t="s">
        <v>385</v>
      </c>
      <c r="V632" s="38" t="s">
        <v>8</v>
      </c>
      <c r="W632" s="3" t="s">
        <v>821</v>
      </c>
      <c r="X632" s="38" t="s">
        <v>8</v>
      </c>
      <c r="Y632" s="1443">
        <v>620003000</v>
      </c>
      <c r="Z632" s="1443"/>
      <c r="AA632" s="14">
        <v>45</v>
      </c>
      <c r="AB632" s="3">
        <v>45</v>
      </c>
      <c r="AC632" s="5"/>
      <c r="AD632" s="56">
        <f>IF((SL2Height&lt;SL2TwoLockCutoff),6,7)</f>
        <v>7</v>
      </c>
      <c r="AE632" s="3" t="s">
        <v>385</v>
      </c>
      <c r="AF632" s="38" t="s">
        <v>8</v>
      </c>
      <c r="AG632" s="38" t="s">
        <v>8</v>
      </c>
      <c r="AH632" s="492">
        <f>'Single Hung'!AI1033</f>
        <v>1.38E-2</v>
      </c>
      <c r="AI632" s="477"/>
      <c r="AJ632" s="477"/>
      <c r="AK632" s="477"/>
      <c r="AL632" s="51">
        <f t="shared" si="108"/>
        <v>9.6599999999999991E-2</v>
      </c>
      <c r="AM632" s="3" t="s">
        <v>81</v>
      </c>
      <c r="AN632" s="3" t="s">
        <v>81</v>
      </c>
      <c r="AO632" s="3" t="s">
        <v>81</v>
      </c>
      <c r="AP632" s="3" t="s">
        <v>81</v>
      </c>
      <c r="AR632" s="139"/>
      <c r="AU632" s="139"/>
      <c r="AV632" s="139"/>
      <c r="AW632" s="139"/>
      <c r="AX632" s="139"/>
      <c r="AY632" s="139"/>
    </row>
    <row r="633" spans="1:51" ht="15" customHeight="1" x14ac:dyDescent="0.4">
      <c r="B633" s="4" t="s">
        <v>827</v>
      </c>
      <c r="D633" s="8"/>
      <c r="E633" s="3"/>
      <c r="F633" s="8"/>
      <c r="G633" s="3"/>
      <c r="H633" s="370"/>
      <c r="L633" s="5"/>
      <c r="Q633" s="3"/>
      <c r="R633" s="5"/>
      <c r="S633" s="56">
        <v>1</v>
      </c>
      <c r="T633" s="3" t="s">
        <v>385</v>
      </c>
      <c r="V633" s="38" t="s">
        <v>8</v>
      </c>
      <c r="W633" s="3" t="s">
        <v>817</v>
      </c>
      <c r="X633" s="38" t="s">
        <v>8</v>
      </c>
      <c r="Y633" s="1443">
        <v>620008000</v>
      </c>
      <c r="Z633" s="1443"/>
      <c r="AB633" s="3">
        <v>45</v>
      </c>
      <c r="AC633" s="5"/>
      <c r="AD633" s="56">
        <v>0</v>
      </c>
      <c r="AE633" s="3" t="s">
        <v>385</v>
      </c>
      <c r="AF633" s="38" t="s">
        <v>8</v>
      </c>
      <c r="AG633" s="38" t="s">
        <v>8</v>
      </c>
      <c r="AH633" s="492">
        <f>'Single Hung'!AI1034</f>
        <v>1.54E-2</v>
      </c>
      <c r="AI633" s="477"/>
      <c r="AJ633" s="477"/>
      <c r="AK633" s="477"/>
      <c r="AL633" s="51">
        <f>AD633*AH633+SUM(AI633:AK633)</f>
        <v>0</v>
      </c>
      <c r="AM633" s="3" t="s">
        <v>371</v>
      </c>
      <c r="AN633" s="3" t="s">
        <v>371</v>
      </c>
      <c r="AO633" s="3" t="s">
        <v>371</v>
      </c>
      <c r="AP633" s="3" t="s">
        <v>371</v>
      </c>
      <c r="AR633" s="139"/>
      <c r="AU633" s="139"/>
      <c r="AV633" s="139"/>
      <c r="AW633" s="139"/>
      <c r="AX633" s="139"/>
      <c r="AY633" s="139"/>
    </row>
    <row r="634" spans="1:51" ht="15" customHeight="1" thickBot="1" x14ac:dyDescent="0.45">
      <c r="B634" s="968" t="s">
        <v>828</v>
      </c>
      <c r="C634" s="949"/>
      <c r="D634" s="949"/>
      <c r="E634" s="949"/>
      <c r="F634" s="949"/>
      <c r="G634" s="889"/>
      <c r="H634" s="1206"/>
      <c r="I634" s="889"/>
      <c r="J634" s="889"/>
      <c r="K634" s="889"/>
      <c r="L634" s="945"/>
      <c r="M634" s="945"/>
      <c r="N634" s="945"/>
      <c r="O634" s="945"/>
      <c r="P634" s="945"/>
      <c r="Q634" s="889"/>
      <c r="R634" s="945"/>
      <c r="S634" s="1156">
        <v>1</v>
      </c>
      <c r="T634" s="889" t="s">
        <v>385</v>
      </c>
      <c r="U634" s="948"/>
      <c r="V634" s="888" t="s">
        <v>8</v>
      </c>
      <c r="W634" s="889" t="s">
        <v>824</v>
      </c>
      <c r="X634" s="888" t="s">
        <v>8</v>
      </c>
      <c r="Y634" s="1444">
        <v>620004000</v>
      </c>
      <c r="Z634" s="1444"/>
      <c r="AA634" s="948">
        <v>45</v>
      </c>
      <c r="AB634" s="889">
        <v>45</v>
      </c>
      <c r="AC634" s="945"/>
      <c r="AD634" s="1156">
        <v>3</v>
      </c>
      <c r="AE634" s="889" t="s">
        <v>385</v>
      </c>
      <c r="AF634" s="888" t="s">
        <v>8</v>
      </c>
      <c r="AG634" s="888" t="s">
        <v>8</v>
      </c>
      <c r="AH634" s="942">
        <f>'Single Hung'!AI1035</f>
        <v>2.0500000000000001E-2</v>
      </c>
      <c r="AI634" s="1157"/>
      <c r="AJ634" s="1157"/>
      <c r="AK634" s="1157"/>
      <c r="AL634" s="937">
        <f t="shared" ref="AL634" si="109">AH634*AD634</f>
        <v>6.1499999999999999E-2</v>
      </c>
      <c r="AM634" s="889" t="s">
        <v>81</v>
      </c>
      <c r="AN634" s="889" t="s">
        <v>81</v>
      </c>
      <c r="AO634" s="889" t="s">
        <v>81</v>
      </c>
      <c r="AP634" s="889" t="s">
        <v>81</v>
      </c>
      <c r="AQ634" s="889"/>
      <c r="AR634" s="139"/>
      <c r="AU634" s="139"/>
      <c r="AV634" s="139"/>
      <c r="AW634" s="139"/>
      <c r="AX634" s="139"/>
      <c r="AY634" s="139"/>
    </row>
    <row r="635" spans="1:51" ht="15" customHeight="1" x14ac:dyDescent="0.4">
      <c r="A635" s="3" t="s">
        <v>911</v>
      </c>
      <c r="B635" s="728" t="str">
        <f>"Half Screen: "&amp;$S$636&amp;" W x "&amp;$S$637&amp;" H"</f>
        <v>Half Screen: 21.0625 W x 43 H</v>
      </c>
      <c r="C635" s="728"/>
      <c r="D635" s="728"/>
      <c r="E635" s="728"/>
      <c r="F635" s="728"/>
      <c r="G635" s="729"/>
      <c r="H635" s="730"/>
      <c r="I635" s="730"/>
      <c r="J635" s="730"/>
      <c r="K635" s="731"/>
      <c r="L635" s="731"/>
      <c r="M635" s="731"/>
      <c r="N635" s="731"/>
      <c r="O635" s="731"/>
      <c r="P635" s="731"/>
      <c r="Q635" s="731"/>
      <c r="R635" s="731"/>
      <c r="S635" s="618"/>
      <c r="T635" s="618"/>
      <c r="U635" s="618"/>
      <c r="V635" s="618"/>
      <c r="W635" s="618"/>
      <c r="X635" s="618"/>
      <c r="Y635" s="618"/>
      <c r="Z635" s="618"/>
      <c r="AA635" s="615"/>
      <c r="AB635" s="618"/>
      <c r="AC635" s="618"/>
      <c r="AD635" s="618"/>
      <c r="AE635" s="618"/>
      <c r="AF635" s="732"/>
      <c r="AG635" s="618"/>
      <c r="AH635" s="733"/>
      <c r="AI635" s="734"/>
      <c r="AJ635" s="734"/>
      <c r="AK635" s="735" t="s">
        <v>912</v>
      </c>
      <c r="AL635" s="736">
        <f>+SUBTOTAL(109,AL636:AL639)</f>
        <v>11.555171875000003</v>
      </c>
      <c r="AM635" s="736"/>
      <c r="AN635" s="736"/>
      <c r="AO635" s="736"/>
      <c r="AP635" s="736"/>
      <c r="AQ635" s="736"/>
      <c r="AR635" s="139"/>
      <c r="AU635" s="139"/>
      <c r="AV635" s="139"/>
      <c r="AW635" s="139"/>
      <c r="AX635" s="139"/>
      <c r="AY635" s="139"/>
    </row>
    <row r="636" spans="1:51" ht="15" customHeight="1" x14ac:dyDescent="0.4">
      <c r="B636" s="7"/>
      <c r="C636" s="7" t="s">
        <v>913</v>
      </c>
      <c r="D636" s="7"/>
      <c r="E636" s="7"/>
      <c r="F636" s="7"/>
      <c r="G636" s="7"/>
      <c r="H636" s="516"/>
      <c r="I636" s="517" t="s">
        <v>392</v>
      </c>
      <c r="J636" s="38" t="s">
        <v>346</v>
      </c>
      <c r="K636" s="3">
        <v>2</v>
      </c>
      <c r="L636" s="3" t="s">
        <v>348</v>
      </c>
      <c r="M636" s="5">
        <f>'All Screens'!AD7</f>
        <v>-2.6875</v>
      </c>
      <c r="N636" s="3"/>
      <c r="O636" s="3"/>
      <c r="P636" s="3" t="s">
        <v>348</v>
      </c>
      <c r="Q636" s="3" t="s">
        <v>2342</v>
      </c>
      <c r="R636" s="3" t="s">
        <v>352</v>
      </c>
      <c r="S636" s="5">
        <f>SL2Width/K636+M636+SL2SORnd</f>
        <v>21.0625</v>
      </c>
      <c r="T636" s="3" t="s">
        <v>366</v>
      </c>
      <c r="V636" s="38" t="s">
        <v>369</v>
      </c>
      <c r="W636" s="3" t="s">
        <v>370</v>
      </c>
      <c r="X636" s="38" t="s">
        <v>369</v>
      </c>
      <c r="AA636" s="20"/>
      <c r="AD636" s="3"/>
      <c r="AE636" s="3"/>
      <c r="AF636" s="216"/>
      <c r="AG636" s="3"/>
      <c r="AH636" s="5"/>
      <c r="AI636" s="39"/>
      <c r="AJ636" s="39"/>
      <c r="AK636" s="39"/>
      <c r="AL636" s="51">
        <f>'All Screens'!AJ48</f>
        <v>2.8098364583333337</v>
      </c>
      <c r="AM636" s="3" t="s">
        <v>81</v>
      </c>
      <c r="AN636" s="3" t="s">
        <v>81</v>
      </c>
      <c r="AO636" s="3" t="s">
        <v>371</v>
      </c>
      <c r="AP636" s="3" t="s">
        <v>92</v>
      </c>
      <c r="AR636" s="139"/>
      <c r="AS636" s="139"/>
      <c r="AT636" s="139"/>
      <c r="AU636" s="139"/>
    </row>
    <row r="637" spans="1:51" ht="15" customHeight="1" x14ac:dyDescent="0.4">
      <c r="B637" s="7"/>
      <c r="C637" s="7" t="s">
        <v>914</v>
      </c>
      <c r="D637" s="7"/>
      <c r="E637" s="7"/>
      <c r="F637" s="7"/>
      <c r="G637" s="7"/>
      <c r="H637" s="516"/>
      <c r="I637" s="4" t="s">
        <v>365</v>
      </c>
      <c r="J637" s="4"/>
      <c r="L637" s="3" t="s">
        <v>348</v>
      </c>
      <c r="M637" s="3">
        <f>'All Screens'!AD8</f>
        <v>-4.5</v>
      </c>
      <c r="N637" s="3"/>
      <c r="O637" s="3"/>
      <c r="P637" s="3"/>
      <c r="Q637" s="3"/>
      <c r="R637" s="3" t="s">
        <v>352</v>
      </c>
      <c r="S637" s="5">
        <f>SL2Height+M637</f>
        <v>43</v>
      </c>
      <c r="T637" s="3" t="s">
        <v>366</v>
      </c>
      <c r="V637" s="38" t="s">
        <v>369</v>
      </c>
      <c r="W637" s="3" t="s">
        <v>372</v>
      </c>
      <c r="X637" s="38" t="s">
        <v>369</v>
      </c>
      <c r="AA637" s="20"/>
      <c r="AD637" s="3"/>
      <c r="AE637" s="3"/>
      <c r="AF637" s="216"/>
      <c r="AG637" s="3"/>
      <c r="AH637" s="5"/>
      <c r="AI637" s="39"/>
      <c r="AJ637" s="39"/>
      <c r="AK637" s="39"/>
      <c r="AL637" s="51">
        <f>'All Screens'!AJ49</f>
        <v>2.7734364583333333</v>
      </c>
      <c r="AM637" s="3" t="s">
        <v>371</v>
      </c>
      <c r="AN637" s="3" t="s">
        <v>371</v>
      </c>
      <c r="AO637" s="3" t="s">
        <v>371</v>
      </c>
      <c r="AP637" s="3" t="s">
        <v>92</v>
      </c>
      <c r="AR637" s="518"/>
      <c r="AS637" s="518"/>
      <c r="AT637" s="518"/>
      <c r="AU637" s="518"/>
      <c r="AV637" s="4"/>
      <c r="AW637" s="4"/>
    </row>
    <row r="638" spans="1:51" ht="15" customHeight="1" x14ac:dyDescent="0.4">
      <c r="B638" s="7"/>
      <c r="C638" s="7"/>
      <c r="D638" s="7"/>
      <c r="E638" s="7"/>
      <c r="F638" s="7"/>
      <c r="G638" s="7"/>
      <c r="H638" s="516"/>
      <c r="I638" s="4"/>
      <c r="J638" s="4"/>
      <c r="M638" s="3"/>
      <c r="N638" s="3"/>
      <c r="O638" s="3"/>
      <c r="P638" s="3"/>
      <c r="Q638" s="3"/>
      <c r="V638" s="38" t="s">
        <v>369</v>
      </c>
      <c r="W638" s="3" t="s">
        <v>373</v>
      </c>
      <c r="X638" s="38" t="s">
        <v>369</v>
      </c>
      <c r="AA638" s="20"/>
      <c r="AD638" s="3"/>
      <c r="AE638" s="3"/>
      <c r="AF638" s="216"/>
      <c r="AG638" s="3"/>
      <c r="AH638" s="5"/>
      <c r="AI638" s="39"/>
      <c r="AJ638" s="39"/>
      <c r="AK638" s="39"/>
      <c r="AL638" s="51">
        <f>'All Screens'!AJ50</f>
        <v>2.7978364583333333</v>
      </c>
      <c r="AM638" s="3" t="s">
        <v>371</v>
      </c>
      <c r="AN638" s="3" t="s">
        <v>371</v>
      </c>
      <c r="AO638" s="3" t="s">
        <v>371</v>
      </c>
      <c r="AP638" s="3" t="s">
        <v>92</v>
      </c>
      <c r="AR638" s="518"/>
      <c r="AS638" s="518"/>
      <c r="AT638" s="518"/>
      <c r="AU638" s="518"/>
      <c r="AV638" s="4"/>
      <c r="AW638" s="4"/>
    </row>
    <row r="639" spans="1:51" ht="15" customHeight="1" x14ac:dyDescent="0.4">
      <c r="B639" s="7"/>
      <c r="C639" s="7"/>
      <c r="D639" s="7"/>
      <c r="E639" s="7"/>
      <c r="F639" s="7"/>
      <c r="G639" s="7"/>
      <c r="H639" s="516"/>
      <c r="I639" s="4"/>
      <c r="J639" s="4"/>
      <c r="M639" s="3"/>
      <c r="N639" s="3"/>
      <c r="O639" s="3"/>
      <c r="P639" s="3"/>
      <c r="Q639" s="3"/>
      <c r="V639" s="38" t="s">
        <v>369</v>
      </c>
      <c r="W639" s="3" t="s">
        <v>374</v>
      </c>
      <c r="X639" s="38" t="s">
        <v>369</v>
      </c>
      <c r="AA639" s="20"/>
      <c r="AD639" s="3"/>
      <c r="AE639" s="3"/>
      <c r="AF639" s="216"/>
      <c r="AG639" s="3"/>
      <c r="AH639" s="5"/>
      <c r="AI639" s="39"/>
      <c r="AJ639" s="39"/>
      <c r="AK639" s="39"/>
      <c r="AL639" s="51">
        <f>'All Screens'!AJ52</f>
        <v>3.1740625000000007</v>
      </c>
      <c r="AM639" s="3" t="s">
        <v>371</v>
      </c>
      <c r="AN639" s="3" t="s">
        <v>371</v>
      </c>
      <c r="AO639" s="3" t="s">
        <v>81</v>
      </c>
      <c r="AP639" s="3" t="s">
        <v>92</v>
      </c>
      <c r="AR639" s="518"/>
      <c r="AS639" s="518"/>
      <c r="AT639" s="518"/>
      <c r="AU639" s="518"/>
      <c r="AV639" s="4"/>
      <c r="AW639" s="4"/>
    </row>
    <row r="640" spans="1:51" ht="15" customHeight="1" x14ac:dyDescent="0.4">
      <c r="B640" s="7"/>
      <c r="C640" s="7"/>
      <c r="D640" s="7"/>
      <c r="E640" s="7"/>
      <c r="F640" s="7"/>
      <c r="G640" s="7"/>
      <c r="H640" s="516"/>
      <c r="I640" s="4"/>
      <c r="J640" s="4"/>
      <c r="M640" s="3"/>
      <c r="N640" s="3"/>
      <c r="O640" s="3"/>
      <c r="P640" s="3"/>
      <c r="Q640" s="3"/>
      <c r="V640" s="38" t="s">
        <v>1252</v>
      </c>
      <c r="W640" s="3" t="s">
        <v>375</v>
      </c>
      <c r="X640" s="38" t="s">
        <v>1252</v>
      </c>
      <c r="AA640" s="20"/>
      <c r="AD640" s="3"/>
      <c r="AE640" s="3"/>
      <c r="AF640" s="216"/>
      <c r="AG640" s="3"/>
      <c r="AH640" s="5"/>
      <c r="AI640" s="39"/>
      <c r="AJ640" s="39"/>
      <c r="AK640" s="39"/>
      <c r="AL640" s="51">
        <f>'All Screens'!AJ51</f>
        <v>2.7646364583333334</v>
      </c>
      <c r="AM640" s="3" t="s">
        <v>92</v>
      </c>
      <c r="AN640" s="3" t="s">
        <v>92</v>
      </c>
      <c r="AO640" s="3" t="s">
        <v>92</v>
      </c>
      <c r="AP640" s="3" t="s">
        <v>81</v>
      </c>
      <c r="AR640" s="518"/>
      <c r="AS640" s="518"/>
      <c r="AT640" s="518"/>
      <c r="AU640" s="518"/>
      <c r="AV640" s="4"/>
      <c r="AW640" s="4"/>
    </row>
    <row r="641" spans="2:53" ht="15" customHeight="1" x14ac:dyDescent="0.4">
      <c r="B641" s="728" t="s">
        <v>918</v>
      </c>
      <c r="C641" s="728"/>
      <c r="D641" s="728"/>
      <c r="E641" s="728"/>
      <c r="F641" s="728"/>
      <c r="G641" s="728"/>
      <c r="H641" s="728"/>
      <c r="I641" s="730"/>
      <c r="J641" s="731"/>
      <c r="K641" s="731"/>
      <c r="L641" s="731"/>
      <c r="M641" s="731"/>
      <c r="N641" s="731"/>
      <c r="O641" s="731"/>
      <c r="P641" s="731"/>
      <c r="Q641" s="731"/>
      <c r="R641" s="731"/>
      <c r="S641" s="618"/>
      <c r="T641" s="618"/>
      <c r="U641" s="618"/>
      <c r="V641" s="618"/>
      <c r="W641" s="618"/>
      <c r="X641" s="618"/>
      <c r="Y641" s="618"/>
      <c r="Z641" s="618"/>
      <c r="AA641" s="615"/>
      <c r="AB641" s="618"/>
      <c r="AC641" s="618"/>
      <c r="AD641" s="618"/>
      <c r="AE641" s="618"/>
      <c r="AF641" s="732"/>
      <c r="AG641" s="618"/>
      <c r="AH641" s="733"/>
      <c r="AI641" s="618"/>
      <c r="AJ641" s="618"/>
      <c r="AK641" s="735"/>
      <c r="AL641" s="736">
        <f>+SUBTOTAL(109,AL642:AL679)</f>
        <v>69.557200000000009</v>
      </c>
      <c r="AM641" s="734"/>
      <c r="AN641" s="734"/>
      <c r="AO641" s="734"/>
      <c r="AP641" s="734"/>
      <c r="AQ641" s="734"/>
      <c r="AR641" s="518"/>
      <c r="AS641" s="519"/>
      <c r="AT641" s="519"/>
      <c r="AU641" s="520"/>
      <c r="AV641" s="521"/>
      <c r="AW641" s="522"/>
      <c r="AX641" s="522"/>
      <c r="AY641" s="522"/>
      <c r="AZ641" s="523"/>
      <c r="BA641" s="523"/>
    </row>
    <row r="642" spans="2:53" ht="15" customHeight="1" x14ac:dyDescent="0.4">
      <c r="B642" s="8"/>
      <c r="C642" s="8" t="s">
        <v>919</v>
      </c>
      <c r="D642" s="155"/>
      <c r="H642" s="3"/>
      <c r="J642" s="38"/>
      <c r="R642" s="30"/>
      <c r="S642" s="56">
        <v>1</v>
      </c>
      <c r="T642" s="376" t="s">
        <v>385</v>
      </c>
      <c r="V642" s="38" t="s">
        <v>8</v>
      </c>
      <c r="W642" s="38" t="s">
        <v>8</v>
      </c>
      <c r="X642" s="38" t="s">
        <v>8</v>
      </c>
      <c r="Y642" s="1443">
        <v>460040000</v>
      </c>
      <c r="Z642" s="1443"/>
      <c r="AA642" s="558"/>
      <c r="AB642" s="3">
        <v>45</v>
      </c>
      <c r="AC642" s="3">
        <v>1</v>
      </c>
      <c r="AD642" s="56">
        <f>S642*AC642</f>
        <v>1</v>
      </c>
      <c r="AE642" s="5" t="s">
        <v>385</v>
      </c>
      <c r="AF642" s="38" t="s">
        <v>8</v>
      </c>
      <c r="AG642" s="38" t="s">
        <v>8</v>
      </c>
      <c r="AH642" s="51">
        <f>'Single Hung'!AI1047</f>
        <v>0.13550000000000001</v>
      </c>
      <c r="AL642" s="51">
        <f>AD642*AH642+SUM(AI642:AK642)</f>
        <v>0.13550000000000001</v>
      </c>
      <c r="AM642" s="3" t="s">
        <v>371</v>
      </c>
      <c r="AN642" s="3" t="s">
        <v>371</v>
      </c>
      <c r="AO642" s="3" t="s">
        <v>371</v>
      </c>
      <c r="AP642" s="3" t="s">
        <v>371</v>
      </c>
      <c r="AR642" s="518"/>
      <c r="AU642" s="739"/>
      <c r="AV642" s="521"/>
      <c r="AW642" s="521"/>
      <c r="AX642" s="521"/>
      <c r="AY642" s="521"/>
      <c r="AZ642" s="155"/>
      <c r="BA642" s="155"/>
    </row>
    <row r="643" spans="2:53" ht="15" customHeight="1" x14ac:dyDescent="0.4">
      <c r="B643" s="8"/>
      <c r="D643" s="155"/>
      <c r="H643" s="3"/>
      <c r="J643" s="38"/>
      <c r="R643" s="30"/>
      <c r="S643" s="56"/>
      <c r="T643" s="376"/>
      <c r="V643" s="38"/>
      <c r="W643" s="38"/>
      <c r="X643" s="38"/>
      <c r="Y643" s="1443"/>
      <c r="Z643" s="1443"/>
      <c r="AA643" s="558"/>
      <c r="AD643" s="56"/>
      <c r="AF643" s="38"/>
      <c r="AG643" s="38"/>
      <c r="AL643" s="51"/>
      <c r="AR643" s="518"/>
      <c r="AU643" s="739"/>
      <c r="AV643" s="521"/>
      <c r="AW643" s="521"/>
      <c r="AX643" s="521"/>
      <c r="AY643" s="521"/>
      <c r="AZ643" s="155"/>
      <c r="BA643" s="155"/>
    </row>
    <row r="644" spans="2:53" ht="15" customHeight="1" x14ac:dyDescent="0.4">
      <c r="B644" s="8"/>
      <c r="C644" s="694"/>
      <c r="D644" s="623"/>
      <c r="E644" s="573"/>
      <c r="F644" s="573"/>
      <c r="G644" s="573"/>
      <c r="H644" s="577"/>
      <c r="I644" s="577"/>
      <c r="J644" s="579"/>
      <c r="K644" s="577"/>
      <c r="L644" s="577"/>
      <c r="M644" s="575"/>
      <c r="N644" s="575"/>
      <c r="O644" s="575"/>
      <c r="P644" s="575"/>
      <c r="Q644" s="575"/>
      <c r="R644" s="737"/>
      <c r="S644" s="576"/>
      <c r="T644" s="578"/>
      <c r="U644" s="574"/>
      <c r="V644" s="579"/>
      <c r="W644" s="579"/>
      <c r="X644" s="579"/>
      <c r="Y644" s="1446"/>
      <c r="Z644" s="1446"/>
      <c r="AA644" s="738"/>
      <c r="AB644" s="577"/>
      <c r="AC644" s="577"/>
      <c r="AD644" s="576"/>
      <c r="AE644" s="575"/>
      <c r="AF644" s="579"/>
      <c r="AG644" s="579"/>
      <c r="AH644" s="626"/>
      <c r="AI644" s="626"/>
      <c r="AJ644" s="626"/>
      <c r="AK644" s="626"/>
      <c r="AL644" s="626"/>
      <c r="AM644" s="577"/>
      <c r="AN644" s="577"/>
      <c r="AO644" s="577"/>
      <c r="AP644" s="577"/>
      <c r="AQ644" s="577"/>
      <c r="AR644" s="518"/>
      <c r="AU644" s="739"/>
      <c r="AV644" s="521"/>
      <c r="AW644" s="521"/>
      <c r="AX644" s="521"/>
      <c r="AY644" s="521"/>
      <c r="AZ644" s="155"/>
      <c r="BA644" s="155"/>
    </row>
    <row r="645" spans="2:53" ht="15" customHeight="1" x14ac:dyDescent="0.4">
      <c r="B645" s="8"/>
      <c r="C645" s="8" t="s">
        <v>1288</v>
      </c>
      <c r="D645" s="155"/>
      <c r="H645" s="10"/>
      <c r="J645" s="38"/>
      <c r="R645" s="30"/>
      <c r="S645" s="376">
        <f>1/50</f>
        <v>0.02</v>
      </c>
      <c r="T645" s="376" t="s">
        <v>385</v>
      </c>
      <c r="V645" s="38"/>
      <c r="W645" s="38"/>
      <c r="X645" s="38"/>
      <c r="Y645" s="1443"/>
      <c r="Z645" s="1443"/>
      <c r="AA645" s="558"/>
      <c r="AC645" s="3">
        <v>1</v>
      </c>
      <c r="AD645" s="843">
        <f>S645*AC645</f>
        <v>0.02</v>
      </c>
      <c r="AE645" s="5" t="s">
        <v>385</v>
      </c>
      <c r="AF645" s="38" t="s">
        <v>8</v>
      </c>
      <c r="AG645" s="38" t="s">
        <v>8</v>
      </c>
      <c r="AL645" s="51">
        <f>AD645*AH645+SUM(AI645:AK645)</f>
        <v>0</v>
      </c>
      <c r="AM645" s="3" t="s">
        <v>371</v>
      </c>
      <c r="AN645" s="3" t="s">
        <v>371</v>
      </c>
      <c r="AO645" s="3" t="s">
        <v>371</v>
      </c>
      <c r="AP645" s="3" t="s">
        <v>371</v>
      </c>
      <c r="AT645" s="739"/>
      <c r="AU645" s="521"/>
      <c r="AV645" s="521"/>
      <c r="AW645" s="521"/>
      <c r="AX645" s="521"/>
      <c r="AY645" s="155"/>
      <c r="AZ645" s="155"/>
    </row>
    <row r="646" spans="2:53" ht="15" customHeight="1" x14ac:dyDescent="0.4">
      <c r="B646" s="8"/>
      <c r="D646" s="155"/>
      <c r="H646" s="10"/>
      <c r="J646" s="38"/>
      <c r="R646" s="30"/>
      <c r="S646" s="56"/>
      <c r="T646" s="376"/>
      <c r="V646" s="38" t="s">
        <v>369</v>
      </c>
      <c r="W646" s="3" t="s">
        <v>372</v>
      </c>
      <c r="X646" s="38" t="s">
        <v>369</v>
      </c>
      <c r="Y646" s="1443">
        <v>630007021</v>
      </c>
      <c r="Z646" s="1443"/>
      <c r="AA646" s="558"/>
      <c r="AB646" s="3">
        <v>45</v>
      </c>
      <c r="AD646" s="56"/>
      <c r="AF646" s="38"/>
      <c r="AG646" s="38"/>
      <c r="AH646" s="51">
        <f>'Single Hung'!AI1057</f>
        <v>12.45</v>
      </c>
      <c r="AL646" s="51"/>
      <c r="AM646" s="3" t="s">
        <v>371</v>
      </c>
      <c r="AN646" s="3" t="s">
        <v>371</v>
      </c>
      <c r="AO646" s="3" t="s">
        <v>371</v>
      </c>
      <c r="AP646" s="3" t="s">
        <v>371</v>
      </c>
      <c r="AT646" s="739"/>
      <c r="AU646" s="521"/>
      <c r="AV646" s="521"/>
      <c r="AW646" s="521"/>
      <c r="AX646" s="521"/>
      <c r="AY646" s="155"/>
      <c r="AZ646" s="155"/>
    </row>
    <row r="647" spans="2:53" ht="15" customHeight="1" x14ac:dyDescent="0.4">
      <c r="B647" s="8"/>
      <c r="D647" s="155"/>
      <c r="H647" s="10"/>
      <c r="J647" s="38"/>
      <c r="R647" s="30"/>
      <c r="S647" s="56"/>
      <c r="T647" s="376"/>
      <c r="V647" s="38" t="s">
        <v>369</v>
      </c>
      <c r="W647" s="3" t="s">
        <v>373</v>
      </c>
      <c r="X647" s="38" t="s">
        <v>369</v>
      </c>
      <c r="Y647" s="1443">
        <v>630007033</v>
      </c>
      <c r="Z647" s="1443"/>
      <c r="AA647" s="558"/>
      <c r="AB647" s="3">
        <v>45</v>
      </c>
      <c r="AD647" s="56"/>
      <c r="AF647" s="38"/>
      <c r="AG647" s="38"/>
      <c r="AH647" s="51">
        <f>'Single Hung'!AI1058</f>
        <v>9.6999999999999993</v>
      </c>
      <c r="AL647" s="51"/>
      <c r="AM647" s="3" t="s">
        <v>371</v>
      </c>
      <c r="AN647" s="3" t="s">
        <v>371</v>
      </c>
      <c r="AO647" s="3" t="s">
        <v>371</v>
      </c>
      <c r="AP647" s="3" t="s">
        <v>371</v>
      </c>
      <c r="AT647" s="739"/>
      <c r="AU647" s="521"/>
      <c r="AV647" s="521"/>
      <c r="AW647" s="521"/>
      <c r="AX647" s="521"/>
      <c r="AY647" s="155"/>
      <c r="AZ647" s="155"/>
    </row>
    <row r="648" spans="2:53" ht="15" customHeight="1" x14ac:dyDescent="0.4">
      <c r="B648" s="8"/>
      <c r="D648" s="155"/>
      <c r="H648" s="10"/>
      <c r="J648" s="38"/>
      <c r="R648" s="30"/>
      <c r="S648" s="56"/>
      <c r="T648" s="376"/>
      <c r="V648" s="38" t="s">
        <v>369</v>
      </c>
      <c r="W648" s="3" t="s">
        <v>374</v>
      </c>
      <c r="X648" s="38" t="s">
        <v>369</v>
      </c>
      <c r="Y648" s="1443">
        <v>630007090</v>
      </c>
      <c r="Z648" s="1443"/>
      <c r="AA648" s="558"/>
      <c r="AB648" s="3">
        <v>45</v>
      </c>
      <c r="AD648" s="56"/>
      <c r="AF648" s="38"/>
      <c r="AG648" s="38"/>
      <c r="AH648" s="51">
        <f>'Single Hung'!AI1059</f>
        <v>9.0399999999999991</v>
      </c>
      <c r="AL648" s="51"/>
      <c r="AM648" s="3" t="s">
        <v>371</v>
      </c>
      <c r="AN648" s="3" t="s">
        <v>371</v>
      </c>
      <c r="AO648" s="3" t="s">
        <v>371</v>
      </c>
      <c r="AP648" s="3" t="s">
        <v>371</v>
      </c>
      <c r="AT648" s="739"/>
      <c r="AU648" s="521"/>
      <c r="AV648" s="521"/>
      <c r="AW648" s="521"/>
      <c r="AX648" s="521"/>
      <c r="AY648" s="155"/>
      <c r="AZ648" s="155"/>
    </row>
    <row r="649" spans="2:53" ht="15" customHeight="1" x14ac:dyDescent="0.4">
      <c r="B649" s="8"/>
      <c r="D649" s="155"/>
      <c r="H649" s="10"/>
      <c r="J649" s="38"/>
      <c r="R649" s="30"/>
      <c r="S649" s="56"/>
      <c r="T649" s="376"/>
      <c r="V649" s="38" t="s">
        <v>369</v>
      </c>
      <c r="W649" s="3" t="s">
        <v>375</v>
      </c>
      <c r="X649" s="38" t="s">
        <v>369</v>
      </c>
      <c r="Y649" s="1443">
        <v>630007133</v>
      </c>
      <c r="Z649" s="1443"/>
      <c r="AA649" s="558"/>
      <c r="AB649" s="3">
        <v>45</v>
      </c>
      <c r="AD649" s="56"/>
      <c r="AF649" s="38"/>
      <c r="AG649" s="38"/>
      <c r="AH649" s="51">
        <f>'Single Hung'!AI1060</f>
        <v>9.0399999999999991</v>
      </c>
      <c r="AL649" s="51"/>
      <c r="AT649" s="739"/>
      <c r="AU649" s="521"/>
      <c r="AV649" s="521"/>
      <c r="AW649" s="521"/>
      <c r="AX649" s="521"/>
      <c r="AY649" s="155"/>
      <c r="AZ649" s="155"/>
    </row>
    <row r="650" spans="2:53" ht="15" customHeight="1" x14ac:dyDescent="0.4">
      <c r="B650" s="8"/>
      <c r="C650" s="694"/>
      <c r="D650" s="623"/>
      <c r="E650" s="573"/>
      <c r="F650" s="573"/>
      <c r="G650" s="573"/>
      <c r="H650" s="743"/>
      <c r="I650" s="577"/>
      <c r="J650" s="579"/>
      <c r="K650" s="577"/>
      <c r="L650" s="577"/>
      <c r="M650" s="575"/>
      <c r="N650" s="575"/>
      <c r="O650" s="575"/>
      <c r="P650" s="575"/>
      <c r="Q650" s="575"/>
      <c r="R650" s="737"/>
      <c r="S650" s="576"/>
      <c r="T650" s="578"/>
      <c r="U650" s="574"/>
      <c r="V650" s="1874" t="s">
        <v>369</v>
      </c>
      <c r="W650" s="1873" t="s">
        <v>1849</v>
      </c>
      <c r="X650" s="1874" t="s">
        <v>369</v>
      </c>
      <c r="Y650" s="1875">
        <v>630007148</v>
      </c>
      <c r="Z650" s="1446"/>
      <c r="AA650" s="738"/>
      <c r="AB650" s="577">
        <v>45</v>
      </c>
      <c r="AC650" s="577"/>
      <c r="AD650" s="576"/>
      <c r="AE650" s="575"/>
      <c r="AF650" s="579"/>
      <c r="AG650" s="579"/>
      <c r="AH650" s="626">
        <v>0</v>
      </c>
      <c r="AI650" s="626"/>
      <c r="AJ650" s="626"/>
      <c r="AK650" s="626"/>
      <c r="AL650" s="626"/>
      <c r="AM650" s="577" t="s">
        <v>371</v>
      </c>
      <c r="AN650" s="577" t="s">
        <v>371</v>
      </c>
      <c r="AO650" s="577" t="s">
        <v>371</v>
      </c>
      <c r="AP650" s="577" t="s">
        <v>371</v>
      </c>
      <c r="AQ650" s="577"/>
      <c r="AT650" s="739"/>
      <c r="AU650" s="521"/>
      <c r="AV650" s="521"/>
      <c r="AW650" s="521"/>
      <c r="AX650" s="521"/>
      <c r="AY650" s="155"/>
      <c r="AZ650" s="155"/>
    </row>
    <row r="651" spans="2:53" ht="15" customHeight="1" x14ac:dyDescent="0.4">
      <c r="B651" s="8"/>
      <c r="C651" s="8" t="s">
        <v>1289</v>
      </c>
      <c r="D651" s="155"/>
      <c r="H651" s="10"/>
      <c r="J651" s="38"/>
      <c r="R651" s="30"/>
      <c r="S651" s="77">
        <v>1.1299999999999999E-2</v>
      </c>
      <c r="T651" s="376" t="s">
        <v>922</v>
      </c>
      <c r="V651" s="38"/>
      <c r="X651" s="38"/>
      <c r="Y651" s="1443"/>
      <c r="Z651" s="1443"/>
      <c r="AA651" s="558"/>
      <c r="AC651" s="3">
        <v>1</v>
      </c>
      <c r="AD651" s="843">
        <f>S651*AC651</f>
        <v>1.1299999999999999E-2</v>
      </c>
      <c r="AE651" s="5" t="s">
        <v>922</v>
      </c>
      <c r="AF651" s="38" t="s">
        <v>8</v>
      </c>
      <c r="AG651" s="38" t="s">
        <v>8</v>
      </c>
      <c r="AL651" s="51">
        <f>AD651*AH651+SUM(AI651:AK651)</f>
        <v>0</v>
      </c>
      <c r="AM651" s="3" t="s">
        <v>371</v>
      </c>
      <c r="AN651" s="3" t="s">
        <v>371</v>
      </c>
      <c r="AO651" s="3" t="s">
        <v>371</v>
      </c>
      <c r="AP651" s="3" t="s">
        <v>371</v>
      </c>
      <c r="AT651" s="739"/>
      <c r="AU651" s="521"/>
      <c r="AV651" s="521"/>
      <c r="AW651" s="521"/>
      <c r="AX651" s="521"/>
      <c r="AY651" s="155"/>
      <c r="AZ651" s="155"/>
    </row>
    <row r="652" spans="2:53" ht="15" customHeight="1" x14ac:dyDescent="0.4">
      <c r="B652" s="8"/>
      <c r="C652" s="3"/>
      <c r="D652" s="155"/>
      <c r="H652" s="10"/>
      <c r="J652" s="38"/>
      <c r="R652" s="30"/>
      <c r="S652" s="56"/>
      <c r="T652" s="376"/>
      <c r="V652" s="38" t="s">
        <v>369</v>
      </c>
      <c r="W652" s="3" t="s">
        <v>372</v>
      </c>
      <c r="X652" s="38" t="s">
        <v>369</v>
      </c>
      <c r="Y652" s="1443">
        <v>630022021</v>
      </c>
      <c r="Z652" s="1443"/>
      <c r="AA652" s="558"/>
      <c r="AB652" s="3">
        <v>45</v>
      </c>
      <c r="AD652" s="56"/>
      <c r="AF652" s="38"/>
      <c r="AG652" s="38"/>
      <c r="AH652" s="51">
        <f>'Single Hung'!AI1063</f>
        <v>6.99</v>
      </c>
      <c r="AL652" s="51"/>
      <c r="AM652" s="3" t="s">
        <v>371</v>
      </c>
      <c r="AN652" s="3" t="s">
        <v>371</v>
      </c>
      <c r="AO652" s="3" t="s">
        <v>371</v>
      </c>
      <c r="AP652" s="3" t="s">
        <v>371</v>
      </c>
      <c r="AT652" s="739"/>
      <c r="AU652" s="521"/>
      <c r="AV652" s="521"/>
      <c r="AW652" s="521"/>
      <c r="AX652" s="521"/>
      <c r="AY652" s="155"/>
      <c r="AZ652" s="155"/>
    </row>
    <row r="653" spans="2:53" ht="15" customHeight="1" x14ac:dyDescent="0.4">
      <c r="B653" s="8"/>
      <c r="D653" s="155"/>
      <c r="H653" s="10"/>
      <c r="J653" s="38"/>
      <c r="R653" s="30"/>
      <c r="S653" s="56"/>
      <c r="T653" s="376"/>
      <c r="V653" s="38" t="s">
        <v>369</v>
      </c>
      <c r="W653" s="3" t="s">
        <v>373</v>
      </c>
      <c r="X653" s="38" t="s">
        <v>369</v>
      </c>
      <c r="Y653" s="1443">
        <v>630022033</v>
      </c>
      <c r="Z653" s="1443"/>
      <c r="AA653" s="558"/>
      <c r="AB653" s="3">
        <v>45</v>
      </c>
      <c r="AD653" s="56"/>
      <c r="AF653" s="38"/>
      <c r="AG653" s="38"/>
      <c r="AH653" s="51">
        <f>'Single Hung'!AI1064</f>
        <v>6.99</v>
      </c>
      <c r="AL653" s="51"/>
      <c r="AM653" s="3" t="s">
        <v>371</v>
      </c>
      <c r="AN653" s="3" t="s">
        <v>371</v>
      </c>
      <c r="AO653" s="3" t="s">
        <v>371</v>
      </c>
      <c r="AP653" s="3" t="s">
        <v>371</v>
      </c>
      <c r="AT653" s="739"/>
      <c r="AU653" s="521"/>
      <c r="AV653" s="521"/>
      <c r="AW653" s="521"/>
      <c r="AX653" s="521"/>
      <c r="AY653" s="155"/>
      <c r="AZ653" s="155"/>
    </row>
    <row r="654" spans="2:53" ht="15" customHeight="1" x14ac:dyDescent="0.4">
      <c r="B654" s="8"/>
      <c r="D654" s="155"/>
      <c r="H654" s="10"/>
      <c r="J654" s="38"/>
      <c r="R654" s="30"/>
      <c r="S654" s="56"/>
      <c r="T654" s="376"/>
      <c r="V654" s="38" t="s">
        <v>369</v>
      </c>
      <c r="W654" s="3" t="s">
        <v>374</v>
      </c>
      <c r="X654" s="38" t="s">
        <v>369</v>
      </c>
      <c r="Y654" s="1443">
        <v>630022090</v>
      </c>
      <c r="Z654" s="1443"/>
      <c r="AA654" s="558"/>
      <c r="AB654" s="3">
        <v>45</v>
      </c>
      <c r="AD654" s="56"/>
      <c r="AF654" s="38"/>
      <c r="AG654" s="38"/>
      <c r="AH654" s="51">
        <f>'Single Hung'!AI1065</f>
        <v>4.83</v>
      </c>
      <c r="AL654" s="51"/>
      <c r="AM654" s="3" t="s">
        <v>371</v>
      </c>
      <c r="AN654" s="3" t="s">
        <v>371</v>
      </c>
      <c r="AO654" s="3" t="s">
        <v>371</v>
      </c>
      <c r="AP654" s="3" t="s">
        <v>371</v>
      </c>
      <c r="AT654" s="739"/>
      <c r="AU654" s="521"/>
      <c r="AV654" s="521"/>
      <c r="AW654" s="521"/>
      <c r="AX654" s="521"/>
      <c r="AY654" s="155"/>
      <c r="AZ654" s="155"/>
    </row>
    <row r="655" spans="2:53" ht="15" customHeight="1" x14ac:dyDescent="0.4">
      <c r="B655" s="8"/>
      <c r="D655" s="155"/>
      <c r="H655" s="10"/>
      <c r="J655" s="38"/>
      <c r="R655" s="30"/>
      <c r="S655" s="56"/>
      <c r="T655" s="376"/>
      <c r="V655" s="38" t="s">
        <v>369</v>
      </c>
      <c r="W655" s="3" t="s">
        <v>375</v>
      </c>
      <c r="X655" s="38" t="s">
        <v>369</v>
      </c>
      <c r="Y655" s="1443">
        <v>630022133</v>
      </c>
      <c r="Z655" s="1443"/>
      <c r="AA655" s="558"/>
      <c r="AB655" s="3">
        <v>45</v>
      </c>
      <c r="AD655" s="56"/>
      <c r="AF655" s="38"/>
      <c r="AG655" s="38"/>
      <c r="AH655" s="51">
        <f>'Single Hung'!AI1066</f>
        <v>5.2</v>
      </c>
      <c r="AL655" s="51"/>
      <c r="AT655" s="739"/>
      <c r="AU655" s="521"/>
      <c r="AV655" s="521"/>
      <c r="AW655" s="521"/>
      <c r="AX655" s="521"/>
      <c r="AY655" s="155"/>
      <c r="AZ655" s="155"/>
    </row>
    <row r="656" spans="2:53" ht="15" customHeight="1" thickBot="1" x14ac:dyDescent="0.45">
      <c r="B656" s="8"/>
      <c r="C656" s="949"/>
      <c r="D656" s="925"/>
      <c r="E656" s="968"/>
      <c r="F656" s="968"/>
      <c r="G656" s="968"/>
      <c r="H656" s="1422"/>
      <c r="I656" s="889"/>
      <c r="J656" s="888"/>
      <c r="K656" s="889"/>
      <c r="L656" s="889"/>
      <c r="M656" s="945"/>
      <c r="N656" s="945"/>
      <c r="O656" s="945"/>
      <c r="P656" s="945"/>
      <c r="Q656" s="945"/>
      <c r="R656" s="969"/>
      <c r="S656" s="1156"/>
      <c r="T656" s="970"/>
      <c r="U656" s="948"/>
      <c r="V656" s="1876" t="s">
        <v>369</v>
      </c>
      <c r="W656" s="1877" t="s">
        <v>1849</v>
      </c>
      <c r="X656" s="1876" t="s">
        <v>369</v>
      </c>
      <c r="Y656" s="1878">
        <v>630022148</v>
      </c>
      <c r="Z656" s="1444"/>
      <c r="AA656" s="1596"/>
      <c r="AB656" s="889">
        <v>45</v>
      </c>
      <c r="AC656" s="889"/>
      <c r="AD656" s="1156"/>
      <c r="AE656" s="945"/>
      <c r="AF656" s="888"/>
      <c r="AG656" s="888"/>
      <c r="AH656" s="937">
        <v>0</v>
      </c>
      <c r="AI656" s="937"/>
      <c r="AJ656" s="937"/>
      <c r="AK656" s="937"/>
      <c r="AL656" s="937"/>
      <c r="AM656" s="889" t="s">
        <v>371</v>
      </c>
      <c r="AN656" s="889" t="s">
        <v>371</v>
      </c>
      <c r="AO656" s="889" t="s">
        <v>371</v>
      </c>
      <c r="AP656" s="889" t="s">
        <v>371</v>
      </c>
      <c r="AQ656" s="889"/>
      <c r="AT656" s="739"/>
      <c r="AU656" s="521"/>
      <c r="AV656" s="521"/>
      <c r="AW656" s="521"/>
      <c r="AX656" s="521"/>
      <c r="AY656" s="155"/>
      <c r="AZ656" s="155"/>
    </row>
    <row r="657" spans="3:53" ht="15" customHeight="1" x14ac:dyDescent="0.4">
      <c r="C657" s="2009" t="s">
        <v>2275</v>
      </c>
      <c r="D657" s="2009"/>
      <c r="E657" s="2009"/>
      <c r="F657" s="2009"/>
      <c r="G657" s="2009"/>
      <c r="H657" s="10"/>
      <c r="I657" s="4" t="s">
        <v>392</v>
      </c>
      <c r="L657" s="3" t="s">
        <v>348</v>
      </c>
      <c r="M657" s="3">
        <v>-1.25</v>
      </c>
      <c r="N657" s="3"/>
      <c r="O657" s="3"/>
      <c r="P657" s="3"/>
      <c r="Q657" s="3"/>
      <c r="R657" s="3" t="s">
        <v>352</v>
      </c>
      <c r="S657" s="5">
        <f>(SL2Width+M657)</f>
        <v>46.25</v>
      </c>
      <c r="T657" s="3" t="s">
        <v>366</v>
      </c>
      <c r="V657" s="38" t="s">
        <v>8</v>
      </c>
      <c r="W657" s="38" t="s">
        <v>8</v>
      </c>
      <c r="X657" s="38" t="s">
        <v>8</v>
      </c>
      <c r="Y657" s="1443">
        <v>300060007</v>
      </c>
      <c r="Z657" s="1443"/>
      <c r="AA657" s="558"/>
      <c r="AB657" s="3">
        <v>45</v>
      </c>
      <c r="AC657" s="3">
        <v>2</v>
      </c>
      <c r="AD657" s="5">
        <f>S657/12*AC657+S658/12*AC658</f>
        <v>15.625</v>
      </c>
      <c r="AE657" s="3" t="s">
        <v>367</v>
      </c>
      <c r="AF657" s="216"/>
      <c r="AG657" s="3"/>
      <c r="AH657" s="51">
        <f>'Single Hung'!AI1068</f>
        <v>0.25</v>
      </c>
      <c r="AI657" s="3"/>
      <c r="AJ657" s="3"/>
      <c r="AK657" s="3"/>
      <c r="AL657" s="51">
        <f>AD657*AH657+SUM(AI657:AK657)</f>
        <v>3.90625</v>
      </c>
      <c r="AM657" s="5" t="s">
        <v>371</v>
      </c>
      <c r="AN657" s="5" t="s">
        <v>371</v>
      </c>
      <c r="AO657" s="5" t="s">
        <v>371</v>
      </c>
      <c r="AP657" s="5" t="s">
        <v>371</v>
      </c>
      <c r="AQ657" s="5"/>
      <c r="AR657" s="518"/>
      <c r="AS657" s="5"/>
      <c r="AT657" s="5"/>
      <c r="AU657" s="740"/>
      <c r="AV657" s="518"/>
      <c r="AW657" s="741"/>
      <c r="AX657" s="741"/>
      <c r="AY657" s="741"/>
      <c r="AZ657" s="742"/>
      <c r="BA657" s="742"/>
    </row>
    <row r="658" spans="3:53" ht="15" customHeight="1" x14ac:dyDescent="0.4">
      <c r="C658" s="2007"/>
      <c r="D658" s="2007"/>
      <c r="E658" s="2007"/>
      <c r="F658" s="2007"/>
      <c r="G658" s="2007"/>
      <c r="H658" s="743"/>
      <c r="I658" s="573" t="s">
        <v>365</v>
      </c>
      <c r="J658" s="577"/>
      <c r="K658" s="577"/>
      <c r="L658" s="577"/>
      <c r="M658" s="577"/>
      <c r="N658" s="577"/>
      <c r="O658" s="577"/>
      <c r="P658" s="577"/>
      <c r="Q658" s="577"/>
      <c r="R658" s="577" t="s">
        <v>352</v>
      </c>
      <c r="S658" s="575">
        <f>SL2Height</f>
        <v>47.5</v>
      </c>
      <c r="T658" s="577" t="s">
        <v>366</v>
      </c>
      <c r="U658" s="574"/>
      <c r="V658" s="579"/>
      <c r="W658" s="579"/>
      <c r="X658" s="579"/>
      <c r="Y658" s="1446"/>
      <c r="Z658" s="1446"/>
      <c r="AA658" s="738"/>
      <c r="AB658" s="577"/>
      <c r="AC658" s="577">
        <v>2</v>
      </c>
      <c r="AD658" s="575"/>
      <c r="AE658" s="577"/>
      <c r="AF658" s="744"/>
      <c r="AG658" s="577"/>
      <c r="AH658" s="626"/>
      <c r="AI658" s="577"/>
      <c r="AJ658" s="577"/>
      <c r="AK658" s="577"/>
      <c r="AL658" s="626"/>
      <c r="AM658" s="575" t="s">
        <v>371</v>
      </c>
      <c r="AN658" s="575" t="s">
        <v>371</v>
      </c>
      <c r="AO658" s="575" t="s">
        <v>371</v>
      </c>
      <c r="AP658" s="575" t="s">
        <v>371</v>
      </c>
      <c r="AQ658" s="575"/>
      <c r="AR658" s="518"/>
      <c r="AS658" s="5"/>
      <c r="AT658" s="5"/>
      <c r="AU658" s="740"/>
      <c r="AV658" s="518"/>
      <c r="AW658" s="741"/>
      <c r="AX658" s="741"/>
      <c r="AY658" s="741"/>
      <c r="AZ658" s="742"/>
      <c r="BA658" s="742"/>
    </row>
    <row r="659" spans="3:53" ht="15" customHeight="1" x14ac:dyDescent="0.4">
      <c r="C659" s="1971" t="s">
        <v>2277</v>
      </c>
      <c r="D659" s="1971"/>
      <c r="E659" s="1971"/>
      <c r="F659" s="1971"/>
      <c r="G659" s="1971"/>
      <c r="H659" s="10"/>
      <c r="I659" s="4" t="s">
        <v>392</v>
      </c>
      <c r="L659" s="3" t="s">
        <v>348</v>
      </c>
      <c r="M659" s="3">
        <v>-1.25</v>
      </c>
      <c r="N659" s="3"/>
      <c r="O659" s="3"/>
      <c r="P659" s="3"/>
      <c r="Q659" s="3"/>
      <c r="R659" s="3" t="s">
        <v>352</v>
      </c>
      <c r="S659" s="5">
        <f>(SL2Width+M659)</f>
        <v>46.25</v>
      </c>
      <c r="T659" s="3" t="s">
        <v>366</v>
      </c>
      <c r="V659" s="38" t="s">
        <v>8</v>
      </c>
      <c r="W659" s="38" t="s">
        <v>8</v>
      </c>
      <c r="X659" s="38" t="s">
        <v>8</v>
      </c>
      <c r="Y659" s="1443">
        <v>300062007</v>
      </c>
      <c r="Z659" s="1443"/>
      <c r="AA659" s="558"/>
      <c r="AB659" s="3">
        <v>45</v>
      </c>
      <c r="AC659" s="3">
        <v>2</v>
      </c>
      <c r="AD659" s="5">
        <f>S659/12*AC659+S660/12*AC660</f>
        <v>15.625</v>
      </c>
      <c r="AE659" s="3" t="s">
        <v>367</v>
      </c>
      <c r="AF659" s="216"/>
      <c r="AG659" s="3"/>
      <c r="AH659" s="51">
        <f>'Single Hung'!AI1081</f>
        <v>0.47</v>
      </c>
      <c r="AI659" s="3"/>
      <c r="AJ659" s="3"/>
      <c r="AK659" s="3"/>
      <c r="AL659" s="51">
        <f>AD659*AH659+SUM(AI659:AK659)</f>
        <v>7.34375</v>
      </c>
      <c r="AM659" s="5" t="s">
        <v>371</v>
      </c>
      <c r="AN659" s="5" t="s">
        <v>371</v>
      </c>
      <c r="AO659" s="5" t="s">
        <v>371</v>
      </c>
      <c r="AP659" s="5" t="s">
        <v>371</v>
      </c>
      <c r="AQ659" s="5"/>
      <c r="AR659" s="518"/>
      <c r="AS659" s="5"/>
      <c r="AT659" s="5"/>
      <c r="AU659" s="740"/>
      <c r="AV659" s="518"/>
      <c r="AW659" s="741"/>
      <c r="AX659" s="741"/>
      <c r="AY659" s="741"/>
      <c r="AZ659" s="742"/>
      <c r="BA659" s="742"/>
    </row>
    <row r="660" spans="3:53" ht="15" customHeight="1" x14ac:dyDescent="0.4">
      <c r="C660" s="1954"/>
      <c r="D660" s="1954"/>
      <c r="E660" s="1954"/>
      <c r="F660" s="1954"/>
      <c r="G660" s="1954"/>
      <c r="H660" s="743"/>
      <c r="I660" s="573" t="s">
        <v>365</v>
      </c>
      <c r="J660" s="577"/>
      <c r="K660" s="577"/>
      <c r="L660" s="577"/>
      <c r="M660" s="577"/>
      <c r="N660" s="577"/>
      <c r="O660" s="577"/>
      <c r="P660" s="577"/>
      <c r="Q660" s="577"/>
      <c r="R660" s="577" t="s">
        <v>352</v>
      </c>
      <c r="S660" s="575">
        <f>SL2Height</f>
        <v>47.5</v>
      </c>
      <c r="T660" s="577" t="s">
        <v>366</v>
      </c>
      <c r="U660" s="574"/>
      <c r="V660" s="579"/>
      <c r="W660" s="579"/>
      <c r="X660" s="579"/>
      <c r="Y660" s="1446"/>
      <c r="Z660" s="1446"/>
      <c r="AA660" s="738"/>
      <c r="AB660" s="577"/>
      <c r="AC660" s="577">
        <v>2</v>
      </c>
      <c r="AD660" s="575"/>
      <c r="AE660" s="577"/>
      <c r="AF660" s="744"/>
      <c r="AG660" s="577"/>
      <c r="AH660" s="626"/>
      <c r="AI660" s="577"/>
      <c r="AJ660" s="577"/>
      <c r="AK660" s="577"/>
      <c r="AL660" s="626"/>
      <c r="AM660" s="575" t="s">
        <v>371</v>
      </c>
      <c r="AN660" s="575" t="s">
        <v>371</v>
      </c>
      <c r="AO660" s="575" t="s">
        <v>371</v>
      </c>
      <c r="AP660" s="575" t="s">
        <v>371</v>
      </c>
      <c r="AQ660" s="575"/>
      <c r="AR660" s="518"/>
      <c r="AS660" s="5"/>
      <c r="AT660" s="5"/>
      <c r="AU660" s="740"/>
      <c r="AV660" s="518"/>
      <c r="AW660" s="741"/>
      <c r="AX660" s="741"/>
      <c r="AY660" s="741"/>
      <c r="AZ660" s="742"/>
      <c r="BA660" s="742"/>
    </row>
    <row r="661" spans="3:53" ht="15" customHeight="1" x14ac:dyDescent="0.4">
      <c r="C661" s="2006" t="s">
        <v>2276</v>
      </c>
      <c r="D661" s="2006"/>
      <c r="E661" s="2006"/>
      <c r="F661" s="2006"/>
      <c r="G661" s="2006"/>
      <c r="H661" s="10"/>
      <c r="I661" s="4" t="s">
        <v>392</v>
      </c>
      <c r="L661" s="3" t="s">
        <v>348</v>
      </c>
      <c r="M661" s="3">
        <v>-1.25</v>
      </c>
      <c r="N661" s="3"/>
      <c r="O661" s="3"/>
      <c r="P661" s="3"/>
      <c r="Q661" s="3"/>
      <c r="R661" s="3" t="s">
        <v>352</v>
      </c>
      <c r="S661" s="5">
        <f>(SL2Width+M661)</f>
        <v>46.25</v>
      </c>
      <c r="T661" s="3" t="s">
        <v>366</v>
      </c>
      <c r="V661" s="38" t="s">
        <v>8</v>
      </c>
      <c r="W661" s="38" t="s">
        <v>8</v>
      </c>
      <c r="X661" s="38" t="s">
        <v>8</v>
      </c>
      <c r="Y661" s="1443">
        <v>300060000</v>
      </c>
      <c r="Z661" s="1443"/>
      <c r="AA661" s="558"/>
      <c r="AB661" s="3">
        <v>45</v>
      </c>
      <c r="AC661" s="3">
        <v>2</v>
      </c>
      <c r="AD661" s="5">
        <f>S661/12*AC661+S662/12*AC662</f>
        <v>15.625</v>
      </c>
      <c r="AE661" s="3" t="s">
        <v>367</v>
      </c>
      <c r="AF661" s="216"/>
      <c r="AG661" s="3"/>
      <c r="AH661" s="51">
        <f>'Single Hung'!AI1073</f>
        <v>1.4</v>
      </c>
      <c r="AI661" s="3"/>
      <c r="AJ661" s="3"/>
      <c r="AK661" s="3"/>
      <c r="AL661" s="51">
        <f>AD661*AH661+SUM(AI661:AK661)</f>
        <v>21.875</v>
      </c>
      <c r="AM661" s="5" t="s">
        <v>371</v>
      </c>
      <c r="AN661" s="5" t="s">
        <v>371</v>
      </c>
      <c r="AO661" s="5" t="s">
        <v>371</v>
      </c>
      <c r="AP661" s="5" t="s">
        <v>371</v>
      </c>
      <c r="AQ661" s="5"/>
      <c r="AR661" s="518"/>
      <c r="AS661" s="5"/>
      <c r="AT661" s="5"/>
      <c r="AU661" s="740"/>
      <c r="AV661" s="518"/>
      <c r="AW661" s="741"/>
      <c r="AX661" s="741"/>
      <c r="AY661" s="741"/>
      <c r="AZ661" s="742"/>
      <c r="BA661" s="742"/>
    </row>
    <row r="662" spans="3:53" ht="15" customHeight="1" x14ac:dyDescent="0.4">
      <c r="C662" s="2007"/>
      <c r="D662" s="2007"/>
      <c r="E662" s="2007"/>
      <c r="F662" s="2007"/>
      <c r="G662" s="2007"/>
      <c r="H662" s="10"/>
      <c r="I662" s="573" t="s">
        <v>365</v>
      </c>
      <c r="J662" s="577"/>
      <c r="K662" s="577"/>
      <c r="L662" s="577"/>
      <c r="M662" s="577"/>
      <c r="N662" s="577"/>
      <c r="O662" s="577"/>
      <c r="P662" s="577"/>
      <c r="Q662" s="577"/>
      <c r="R662" s="577" t="s">
        <v>352</v>
      </c>
      <c r="S662" s="575">
        <f>SL2Height</f>
        <v>47.5</v>
      </c>
      <c r="T662" s="577" t="s">
        <v>366</v>
      </c>
      <c r="U662" s="574"/>
      <c r="V662" s="579"/>
      <c r="W662" s="579"/>
      <c r="X662" s="579"/>
      <c r="Y662" s="1446"/>
      <c r="Z662" s="1446"/>
      <c r="AA662" s="738"/>
      <c r="AB662" s="577"/>
      <c r="AC662" s="577">
        <v>2</v>
      </c>
      <c r="AD662" s="575"/>
      <c r="AE662" s="577"/>
      <c r="AF662" s="744"/>
      <c r="AG662" s="577"/>
      <c r="AH662" s="626"/>
      <c r="AI662" s="577"/>
      <c r="AJ662" s="577"/>
      <c r="AK662" s="577"/>
      <c r="AL662" s="626"/>
      <c r="AM662" s="575" t="s">
        <v>371</v>
      </c>
      <c r="AN662" s="575" t="s">
        <v>371</v>
      </c>
      <c r="AO662" s="575" t="s">
        <v>371</v>
      </c>
      <c r="AP662" s="575" t="s">
        <v>371</v>
      </c>
      <c r="AQ662" s="575"/>
      <c r="AR662" s="518"/>
      <c r="AS662" s="5"/>
      <c r="AT662" s="5"/>
      <c r="AU662" s="740"/>
      <c r="AV662" s="518"/>
      <c r="AW662" s="741"/>
      <c r="AX662" s="741"/>
      <c r="AY662" s="741"/>
      <c r="AZ662" s="742"/>
      <c r="BA662" s="742"/>
    </row>
    <row r="663" spans="3:53" ht="15" customHeight="1" x14ac:dyDescent="0.4">
      <c r="C663" s="1971" t="s">
        <v>2289</v>
      </c>
      <c r="D663" s="1971"/>
      <c r="E663" s="1971"/>
      <c r="F663" s="1971"/>
      <c r="G663" s="1971"/>
      <c r="H663" s="10"/>
      <c r="I663" s="4" t="s">
        <v>392</v>
      </c>
      <c r="L663" s="3" t="s">
        <v>348</v>
      </c>
      <c r="M663" s="3">
        <v>-1.25</v>
      </c>
      <c r="N663" s="3"/>
      <c r="O663" s="3"/>
      <c r="P663" s="3"/>
      <c r="Q663" s="3"/>
      <c r="R663" s="3" t="s">
        <v>352</v>
      </c>
      <c r="S663" s="5">
        <f>(SL2Width+M663)</f>
        <v>46.25</v>
      </c>
      <c r="T663" s="3" t="s">
        <v>366</v>
      </c>
      <c r="V663" s="38" t="s">
        <v>8</v>
      </c>
      <c r="W663" s="38" t="s">
        <v>8</v>
      </c>
      <c r="X663" s="38" t="s">
        <v>8</v>
      </c>
      <c r="Y663" s="1443">
        <v>300062000</v>
      </c>
      <c r="Z663" s="1443"/>
      <c r="AA663" s="558"/>
      <c r="AB663" s="3">
        <v>45</v>
      </c>
      <c r="AC663" s="3">
        <v>2</v>
      </c>
      <c r="AD663" s="5">
        <f>S663/12*AC663+S664/12*AC664</f>
        <v>15.625</v>
      </c>
      <c r="AE663" s="3" t="s">
        <v>367</v>
      </c>
      <c r="AF663" s="216"/>
      <c r="AG663" s="3"/>
      <c r="AH663" s="51">
        <f>'Single Hung'!AI1075</f>
        <v>1.48</v>
      </c>
      <c r="AI663" s="3"/>
      <c r="AJ663" s="3"/>
      <c r="AK663" s="3"/>
      <c r="AL663" s="51">
        <f>AD663*AH663+SUM(AI663:AK663)</f>
        <v>23.125</v>
      </c>
      <c r="AM663" s="5" t="s">
        <v>371</v>
      </c>
      <c r="AN663" s="5" t="s">
        <v>371</v>
      </c>
      <c r="AO663" s="5" t="s">
        <v>371</v>
      </c>
      <c r="AP663" s="5" t="s">
        <v>371</v>
      </c>
      <c r="AQ663" s="5"/>
      <c r="AR663" s="518"/>
      <c r="AS663" s="5"/>
      <c r="AT663" s="5"/>
      <c r="AU663" s="740"/>
      <c r="AV663" s="518"/>
      <c r="AW663" s="741"/>
      <c r="AX663" s="741"/>
      <c r="AY663" s="741"/>
      <c r="AZ663" s="742"/>
      <c r="BA663" s="742"/>
    </row>
    <row r="664" spans="3:53" ht="15" customHeight="1" x14ac:dyDescent="0.4">
      <c r="C664" s="1954"/>
      <c r="D664" s="1954"/>
      <c r="E664" s="1954"/>
      <c r="F664" s="1954"/>
      <c r="G664" s="1954"/>
      <c r="H664" s="10"/>
      <c r="I664" s="573" t="s">
        <v>365</v>
      </c>
      <c r="J664" s="577"/>
      <c r="K664" s="577"/>
      <c r="L664" s="577"/>
      <c r="M664" s="577"/>
      <c r="N664" s="577"/>
      <c r="O664" s="577"/>
      <c r="P664" s="577"/>
      <c r="Q664" s="577"/>
      <c r="R664" s="577" t="s">
        <v>352</v>
      </c>
      <c r="S664" s="575">
        <f>SL2Height</f>
        <v>47.5</v>
      </c>
      <c r="T664" s="577" t="s">
        <v>366</v>
      </c>
      <c r="U664" s="574"/>
      <c r="V664" s="579"/>
      <c r="W664" s="579"/>
      <c r="X664" s="579"/>
      <c r="Y664" s="1446"/>
      <c r="Z664" s="1446"/>
      <c r="AA664" s="738"/>
      <c r="AB664" s="577"/>
      <c r="AC664" s="577">
        <v>2</v>
      </c>
      <c r="AD664" s="575"/>
      <c r="AE664" s="577"/>
      <c r="AF664" s="744"/>
      <c r="AG664" s="577"/>
      <c r="AH664" s="626"/>
      <c r="AI664" s="577"/>
      <c r="AJ664" s="577"/>
      <c r="AK664" s="577"/>
      <c r="AL664" s="626"/>
      <c r="AM664" s="575" t="s">
        <v>371</v>
      </c>
      <c r="AN664" s="575" t="s">
        <v>371</v>
      </c>
      <c r="AO664" s="575" t="s">
        <v>371</v>
      </c>
      <c r="AP664" s="575" t="s">
        <v>371</v>
      </c>
      <c r="AQ664" s="575"/>
      <c r="AR664" s="518"/>
      <c r="AS664" s="5"/>
      <c r="AT664" s="5"/>
      <c r="AU664" s="740"/>
      <c r="AV664" s="518"/>
      <c r="AW664" s="741"/>
      <c r="AX664" s="741"/>
      <c r="AY664" s="741"/>
      <c r="AZ664" s="742"/>
      <c r="BA664" s="742"/>
    </row>
    <row r="665" spans="3:53" ht="15" customHeight="1" thickBot="1" x14ac:dyDescent="0.45">
      <c r="C665" s="1595"/>
      <c r="D665" s="1595"/>
      <c r="E665" s="1595"/>
      <c r="F665" s="1595"/>
      <c r="G665" s="1595"/>
      <c r="H665" s="1422"/>
      <c r="I665" s="968"/>
      <c r="J665" s="889"/>
      <c r="K665" s="889"/>
      <c r="L665" s="889"/>
      <c r="M665" s="889"/>
      <c r="N665" s="889"/>
      <c r="O665" s="889"/>
      <c r="P665" s="889"/>
      <c r="Q665" s="889"/>
      <c r="R665" s="889"/>
      <c r="S665" s="945"/>
      <c r="T665" s="889"/>
      <c r="U665" s="948"/>
      <c r="V665" s="888"/>
      <c r="W665" s="888"/>
      <c r="X665" s="888"/>
      <c r="Y665" s="1444"/>
      <c r="Z665" s="1444"/>
      <c r="AA665" s="1596"/>
      <c r="AB665" s="889"/>
      <c r="AC665" s="889"/>
      <c r="AD665" s="945"/>
      <c r="AE665" s="889"/>
      <c r="AF665" s="1597"/>
      <c r="AG665" s="889"/>
      <c r="AH665" s="937"/>
      <c r="AI665" s="889"/>
      <c r="AJ665" s="889"/>
      <c r="AK665" s="889"/>
      <c r="AL665" s="937"/>
      <c r="AM665" s="945"/>
      <c r="AN665" s="945"/>
      <c r="AO665" s="945"/>
      <c r="AP665" s="945"/>
      <c r="AQ665" s="945"/>
      <c r="AR665" s="518"/>
      <c r="AS665" s="5"/>
      <c r="AT665" s="5"/>
      <c r="AU665" s="740"/>
      <c r="AV665" s="518"/>
      <c r="AW665" s="741"/>
      <c r="AX665" s="741"/>
      <c r="AY665" s="741"/>
      <c r="AZ665" s="742"/>
      <c r="BA665" s="742"/>
    </row>
    <row r="666" spans="3:53" ht="15" customHeight="1" x14ac:dyDescent="0.4">
      <c r="C666" s="1953" t="s">
        <v>2278</v>
      </c>
      <c r="D666" s="1953"/>
      <c r="E666" s="1953"/>
      <c r="F666" s="1953"/>
      <c r="G666" s="1953"/>
      <c r="H666" s="10"/>
      <c r="I666" s="4" t="s">
        <v>392</v>
      </c>
      <c r="L666" s="3" t="s">
        <v>348</v>
      </c>
      <c r="M666" s="3">
        <v>-1.25</v>
      </c>
      <c r="N666" s="3"/>
      <c r="O666" s="3"/>
      <c r="P666" s="3"/>
      <c r="Q666" s="3"/>
      <c r="R666" s="3" t="s">
        <v>352</v>
      </c>
      <c r="S666" s="5">
        <f>(SL2Width+M666)</f>
        <v>46.25</v>
      </c>
      <c r="T666" s="3" t="s">
        <v>366</v>
      </c>
      <c r="V666" s="38" t="s">
        <v>8</v>
      </c>
      <c r="W666" s="38" t="s">
        <v>8</v>
      </c>
      <c r="X666" s="38" t="s">
        <v>8</v>
      </c>
      <c r="Y666" s="1443">
        <v>300064007</v>
      </c>
      <c r="Z666" s="1443"/>
      <c r="AA666" s="558"/>
      <c r="AB666" s="3">
        <v>45</v>
      </c>
      <c r="AC666" s="3">
        <v>2</v>
      </c>
      <c r="AD666" s="5">
        <f>S666/12*AC666+S667/12*AC667</f>
        <v>15.625</v>
      </c>
      <c r="AE666" s="3" t="s">
        <v>367</v>
      </c>
      <c r="AF666" s="216"/>
      <c r="AG666" s="3"/>
      <c r="AH666" s="51">
        <f>'Single Hung'!AI1104</f>
        <v>0.3</v>
      </c>
      <c r="AI666" s="3"/>
      <c r="AJ666" s="3"/>
      <c r="AK666" s="3"/>
      <c r="AL666" s="51">
        <f>AD666*AH666+SUM(AI666:AK666)</f>
        <v>4.6875</v>
      </c>
      <c r="AM666" s="5" t="s">
        <v>92</v>
      </c>
      <c r="AN666" s="5" t="s">
        <v>92</v>
      </c>
      <c r="AO666" s="5" t="s">
        <v>92</v>
      </c>
      <c r="AP666" s="5" t="s">
        <v>92</v>
      </c>
      <c r="AQ666" s="5"/>
      <c r="AR666" s="518"/>
      <c r="AS666" s="5"/>
      <c r="AT666" s="5"/>
      <c r="AU666" s="740"/>
      <c r="AV666" s="518"/>
      <c r="AW666" s="741"/>
      <c r="AX666" s="741"/>
      <c r="AY666" s="741"/>
      <c r="AZ666" s="742"/>
      <c r="BA666" s="742"/>
    </row>
    <row r="667" spans="3:53" ht="15" customHeight="1" x14ac:dyDescent="0.4">
      <c r="C667" s="1954"/>
      <c r="D667" s="1954"/>
      <c r="E667" s="1954"/>
      <c r="F667" s="1954"/>
      <c r="G667" s="1954"/>
      <c r="H667" s="743"/>
      <c r="I667" s="573" t="s">
        <v>365</v>
      </c>
      <c r="J667" s="577"/>
      <c r="K667" s="577"/>
      <c r="L667" s="577"/>
      <c r="M667" s="577"/>
      <c r="N667" s="577"/>
      <c r="O667" s="577"/>
      <c r="P667" s="577"/>
      <c r="Q667" s="577"/>
      <c r="R667" s="577" t="s">
        <v>352</v>
      </c>
      <c r="S667" s="575">
        <f>SL2Height</f>
        <v>47.5</v>
      </c>
      <c r="T667" s="577" t="s">
        <v>366</v>
      </c>
      <c r="U667" s="574"/>
      <c r="V667" s="579"/>
      <c r="W667" s="579"/>
      <c r="X667" s="579"/>
      <c r="Y667" s="1446"/>
      <c r="Z667" s="1446"/>
      <c r="AA667" s="738"/>
      <c r="AB667" s="577"/>
      <c r="AC667" s="577">
        <v>2</v>
      </c>
      <c r="AD667" s="575"/>
      <c r="AE667" s="577"/>
      <c r="AF667" s="744"/>
      <c r="AG667" s="577"/>
      <c r="AH667" s="626"/>
      <c r="AI667" s="577"/>
      <c r="AJ667" s="577"/>
      <c r="AK667" s="577"/>
      <c r="AL667" s="626"/>
      <c r="AM667" s="575" t="s">
        <v>92</v>
      </c>
      <c r="AN667" s="575" t="s">
        <v>92</v>
      </c>
      <c r="AO667" s="575" t="s">
        <v>92</v>
      </c>
      <c r="AP667" s="575" t="s">
        <v>92</v>
      </c>
      <c r="AQ667" s="575"/>
      <c r="AR667" s="518"/>
      <c r="AS667" s="5"/>
      <c r="AT667" s="5"/>
      <c r="AU667" s="740"/>
      <c r="AV667" s="518"/>
      <c r="AW667" s="741"/>
      <c r="AX667" s="741"/>
      <c r="AY667" s="741"/>
      <c r="AZ667" s="742"/>
      <c r="BA667" s="742"/>
    </row>
    <row r="668" spans="3:53" ht="15" customHeight="1" x14ac:dyDescent="0.4">
      <c r="C668" s="1953" t="s">
        <v>2281</v>
      </c>
      <c r="D668" s="1953"/>
      <c r="E668" s="1953"/>
      <c r="F668" s="1953"/>
      <c r="G668" s="1953"/>
      <c r="H668" s="10"/>
      <c r="I668" s="4" t="s">
        <v>392</v>
      </c>
      <c r="L668" s="3" t="s">
        <v>348</v>
      </c>
      <c r="M668" s="3">
        <v>-1.25</v>
      </c>
      <c r="N668" s="3"/>
      <c r="O668" s="3"/>
      <c r="P668" s="3"/>
      <c r="Q668" s="3"/>
      <c r="R668" s="3" t="s">
        <v>352</v>
      </c>
      <c r="S668" s="5">
        <f>(SL2Width+M668)</f>
        <v>46.25</v>
      </c>
      <c r="T668" s="3" t="s">
        <v>366</v>
      </c>
      <c r="V668" s="38" t="s">
        <v>8</v>
      </c>
      <c r="W668" s="38" t="s">
        <v>8</v>
      </c>
      <c r="X668" s="38" t="s">
        <v>8</v>
      </c>
      <c r="Y668" s="1443">
        <v>300066007</v>
      </c>
      <c r="Z668" s="1443"/>
      <c r="AA668" s="558"/>
      <c r="AB668" s="3">
        <v>45</v>
      </c>
      <c r="AC668" s="3">
        <v>2</v>
      </c>
      <c r="AD668" s="5">
        <f>S668/12*AC668+S669/12*AC669</f>
        <v>15.625</v>
      </c>
      <c r="AE668" s="3" t="s">
        <v>367</v>
      </c>
      <c r="AF668" s="216"/>
      <c r="AG668" s="3"/>
      <c r="AH668" s="51">
        <f>'Single Hung'!AI1109</f>
        <v>0.52</v>
      </c>
      <c r="AI668" s="3"/>
      <c r="AJ668" s="3"/>
      <c r="AK668" s="3"/>
      <c r="AL668" s="51">
        <f>AD668*AH668+SUM(AI668:AK668)</f>
        <v>8.125</v>
      </c>
      <c r="AM668" s="5" t="s">
        <v>92</v>
      </c>
      <c r="AN668" s="5" t="s">
        <v>92</v>
      </c>
      <c r="AO668" s="5" t="s">
        <v>92</v>
      </c>
      <c r="AP668" s="5" t="s">
        <v>92</v>
      </c>
      <c r="AQ668" s="5"/>
      <c r="AR668" s="518"/>
      <c r="AS668" s="5"/>
      <c r="AT668" s="5"/>
      <c r="AU668" s="740"/>
      <c r="AV668" s="518"/>
      <c r="AW668" s="741"/>
      <c r="AX668" s="741"/>
      <c r="AY668" s="741"/>
      <c r="AZ668" s="742"/>
      <c r="BA668" s="742"/>
    </row>
    <row r="669" spans="3:53" ht="15" customHeight="1" x14ac:dyDescent="0.4">
      <c r="C669" s="1954"/>
      <c r="D669" s="1954"/>
      <c r="E669" s="1954"/>
      <c r="F669" s="1954"/>
      <c r="G669" s="1954"/>
      <c r="H669" s="743"/>
      <c r="I669" s="573" t="s">
        <v>365</v>
      </c>
      <c r="J669" s="577"/>
      <c r="K669" s="577"/>
      <c r="L669" s="577"/>
      <c r="M669" s="577"/>
      <c r="N669" s="577"/>
      <c r="O669" s="577"/>
      <c r="P669" s="577"/>
      <c r="Q669" s="577"/>
      <c r="R669" s="577" t="s">
        <v>352</v>
      </c>
      <c r="S669" s="575">
        <f>SL2Height</f>
        <v>47.5</v>
      </c>
      <c r="T669" s="577" t="s">
        <v>366</v>
      </c>
      <c r="U669" s="574"/>
      <c r="V669" s="579"/>
      <c r="W669" s="579"/>
      <c r="X669" s="579"/>
      <c r="Y669" s="1446"/>
      <c r="Z669" s="1446"/>
      <c r="AA669" s="738"/>
      <c r="AB669" s="577"/>
      <c r="AC669" s="577">
        <v>2</v>
      </c>
      <c r="AD669" s="577"/>
      <c r="AE669" s="577"/>
      <c r="AF669" s="744"/>
      <c r="AG669" s="577"/>
      <c r="AH669" s="626"/>
      <c r="AI669" s="577"/>
      <c r="AJ669" s="577"/>
      <c r="AK669" s="577"/>
      <c r="AL669" s="626"/>
      <c r="AM669" s="575" t="s">
        <v>92</v>
      </c>
      <c r="AN669" s="575" t="s">
        <v>92</v>
      </c>
      <c r="AO669" s="575" t="s">
        <v>92</v>
      </c>
      <c r="AP669" s="575" t="s">
        <v>92</v>
      </c>
      <c r="AQ669" s="575"/>
      <c r="AR669" s="518"/>
      <c r="AS669" s="5"/>
      <c r="AT669" s="5"/>
      <c r="AU669" s="740"/>
      <c r="AV669" s="518"/>
      <c r="AW669" s="741"/>
      <c r="AX669" s="741"/>
      <c r="AY669" s="741"/>
      <c r="AZ669" s="742"/>
      <c r="BA669" s="742"/>
    </row>
    <row r="670" spans="3:53" ht="15" customHeight="1" x14ac:dyDescent="0.4">
      <c r="C670" s="1953" t="s">
        <v>2279</v>
      </c>
      <c r="D670" s="1953"/>
      <c r="E670" s="1953"/>
      <c r="F670" s="1953"/>
      <c r="G670" s="1953"/>
      <c r="H670" s="10"/>
      <c r="I670" s="4" t="s">
        <v>392</v>
      </c>
      <c r="L670" s="3" t="s">
        <v>348</v>
      </c>
      <c r="M670" s="3">
        <v>-1.25</v>
      </c>
      <c r="N670" s="3"/>
      <c r="O670" s="3"/>
      <c r="P670" s="3"/>
      <c r="Q670" s="3"/>
      <c r="R670" s="3" t="s">
        <v>352</v>
      </c>
      <c r="S670" s="5">
        <f>(SL2Width+M670)</f>
        <v>46.25</v>
      </c>
      <c r="T670" s="3" t="s">
        <v>366</v>
      </c>
      <c r="V670" s="38" t="s">
        <v>8</v>
      </c>
      <c r="W670" s="38" t="s">
        <v>8</v>
      </c>
      <c r="X670" s="38" t="s">
        <v>8</v>
      </c>
      <c r="Y670" s="1443">
        <v>300064000</v>
      </c>
      <c r="Z670" s="1443"/>
      <c r="AA670" s="558"/>
      <c r="AB670" s="3">
        <v>45</v>
      </c>
      <c r="AC670" s="3">
        <v>2</v>
      </c>
      <c r="AD670" s="5">
        <f>S670/12*AC670+S671/12*AC671</f>
        <v>15.625</v>
      </c>
      <c r="AE670" s="3" t="s">
        <v>367</v>
      </c>
      <c r="AF670" s="216"/>
      <c r="AG670" s="3"/>
      <c r="AH670" s="51">
        <f>'Single Hung'!AI1108</f>
        <v>0</v>
      </c>
      <c r="AI670" s="3"/>
      <c r="AJ670" s="3"/>
      <c r="AK670" s="3"/>
      <c r="AL670" s="51">
        <f>AD670*AH670+SUM(AI670:AK670)</f>
        <v>0</v>
      </c>
      <c r="AM670" s="5" t="s">
        <v>92</v>
      </c>
      <c r="AN670" s="5" t="s">
        <v>92</v>
      </c>
      <c r="AO670" s="5" t="s">
        <v>92</v>
      </c>
      <c r="AP670" s="5" t="s">
        <v>92</v>
      </c>
      <c r="AQ670" s="5"/>
      <c r="AR670" s="518"/>
      <c r="AS670" s="5"/>
      <c r="AT670" s="5"/>
      <c r="AU670" s="740"/>
      <c r="AV670" s="518"/>
      <c r="AW670" s="741"/>
      <c r="AX670" s="741"/>
      <c r="AY670" s="741"/>
      <c r="AZ670" s="742"/>
      <c r="BA670" s="742"/>
    </row>
    <row r="671" spans="3:53" ht="15" customHeight="1" x14ac:dyDescent="0.4">
      <c r="C671" s="1954"/>
      <c r="D671" s="1954"/>
      <c r="E671" s="1954"/>
      <c r="F671" s="1954"/>
      <c r="G671" s="1954"/>
      <c r="H671" s="10"/>
      <c r="I671" s="573" t="s">
        <v>365</v>
      </c>
      <c r="J671" s="577"/>
      <c r="K671" s="577"/>
      <c r="L671" s="577"/>
      <c r="M671" s="577"/>
      <c r="N671" s="577"/>
      <c r="O671" s="577"/>
      <c r="P671" s="577"/>
      <c r="Q671" s="577"/>
      <c r="R671" s="577" t="s">
        <v>352</v>
      </c>
      <c r="S671" s="575">
        <f>SL2Height</f>
        <v>47.5</v>
      </c>
      <c r="T671" s="577" t="s">
        <v>366</v>
      </c>
      <c r="U671" s="574"/>
      <c r="V671" s="579"/>
      <c r="W671" s="579"/>
      <c r="X671" s="579"/>
      <c r="Y671" s="1446"/>
      <c r="Z671" s="1446"/>
      <c r="AA671" s="738"/>
      <c r="AB671" s="577"/>
      <c r="AC671" s="577">
        <v>2</v>
      </c>
      <c r="AD671" s="575"/>
      <c r="AE671" s="577"/>
      <c r="AF671" s="744"/>
      <c r="AG671" s="577"/>
      <c r="AH671" s="626"/>
      <c r="AI671" s="577"/>
      <c r="AJ671" s="577"/>
      <c r="AK671" s="577"/>
      <c r="AL671" s="626"/>
      <c r="AM671" s="575" t="s">
        <v>92</v>
      </c>
      <c r="AN671" s="575" t="s">
        <v>92</v>
      </c>
      <c r="AO671" s="575" t="s">
        <v>92</v>
      </c>
      <c r="AP671" s="575" t="s">
        <v>92</v>
      </c>
      <c r="AQ671" s="575"/>
      <c r="AR671" s="518"/>
      <c r="AS671" s="5"/>
      <c r="AT671" s="5"/>
      <c r="AU671" s="740"/>
      <c r="AV671" s="518"/>
      <c r="AW671" s="741"/>
      <c r="AX671" s="741"/>
      <c r="AY671" s="741"/>
      <c r="AZ671" s="742"/>
      <c r="BA671" s="742"/>
    </row>
    <row r="672" spans="3:53" ht="15" customHeight="1" x14ac:dyDescent="0.4">
      <c r="C672" s="1953" t="s">
        <v>2283</v>
      </c>
      <c r="D672" s="1953"/>
      <c r="E672" s="1953"/>
      <c r="F672" s="1953"/>
      <c r="G672" s="1953"/>
      <c r="H672" s="10"/>
      <c r="I672" s="4" t="s">
        <v>392</v>
      </c>
      <c r="L672" s="3" t="s">
        <v>348</v>
      </c>
      <c r="M672" s="3">
        <v>-1.25</v>
      </c>
      <c r="N672" s="3"/>
      <c r="O672" s="3"/>
      <c r="P672" s="3"/>
      <c r="Q672" s="3"/>
      <c r="R672" s="3" t="s">
        <v>352</v>
      </c>
      <c r="S672" s="5">
        <f>(SL2Width+M672)</f>
        <v>46.25</v>
      </c>
      <c r="T672" s="3" t="s">
        <v>366</v>
      </c>
      <c r="V672" s="38" t="s">
        <v>8</v>
      </c>
      <c r="W672" s="38" t="s">
        <v>8</v>
      </c>
      <c r="X672" s="38" t="s">
        <v>8</v>
      </c>
      <c r="Y672" s="1443">
        <v>300064000</v>
      </c>
      <c r="Z672" s="1443"/>
      <c r="AA672" s="558"/>
      <c r="AB672" s="3">
        <v>45</v>
      </c>
      <c r="AC672" s="3">
        <v>2</v>
      </c>
      <c r="AD672" s="5">
        <f>S672/12*AC672+S673/12*AC673</f>
        <v>15.625</v>
      </c>
      <c r="AE672" s="3" t="s">
        <v>367</v>
      </c>
      <c r="AF672" s="216"/>
      <c r="AG672" s="3"/>
      <c r="AH672" s="51">
        <f>'Single Hung'!AI1110</f>
        <v>0</v>
      </c>
      <c r="AI672" s="3"/>
      <c r="AJ672" s="3"/>
      <c r="AK672" s="3"/>
      <c r="AL672" s="51">
        <f>AD672*AH672+SUM(AI672:AK672)</f>
        <v>0</v>
      </c>
      <c r="AM672" s="5" t="s">
        <v>92</v>
      </c>
      <c r="AN672" s="5" t="s">
        <v>92</v>
      </c>
      <c r="AO672" s="5" t="s">
        <v>92</v>
      </c>
      <c r="AP672" s="5" t="s">
        <v>92</v>
      </c>
      <c r="AQ672" s="5"/>
      <c r="AR672" s="518"/>
      <c r="AS672" s="5"/>
      <c r="AT672" s="5"/>
      <c r="AU672" s="740"/>
      <c r="AV672" s="518"/>
      <c r="AW672" s="741"/>
      <c r="AX672" s="741"/>
      <c r="AY672" s="741"/>
      <c r="AZ672" s="742"/>
      <c r="BA672" s="742"/>
    </row>
    <row r="673" spans="1:53" ht="15" customHeight="1" x14ac:dyDescent="0.4">
      <c r="C673" s="1954"/>
      <c r="D673" s="1954"/>
      <c r="E673" s="1954"/>
      <c r="F673" s="1954"/>
      <c r="G673" s="1954"/>
      <c r="H673" s="10"/>
      <c r="I673" s="573" t="s">
        <v>365</v>
      </c>
      <c r="J673" s="577"/>
      <c r="K673" s="577"/>
      <c r="L673" s="577"/>
      <c r="M673" s="577"/>
      <c r="N673" s="577"/>
      <c r="O673" s="577"/>
      <c r="P673" s="577"/>
      <c r="Q673" s="577"/>
      <c r="R673" s="577" t="s">
        <v>352</v>
      </c>
      <c r="S673" s="575">
        <f>SL2Height</f>
        <v>47.5</v>
      </c>
      <c r="T673" s="577" t="s">
        <v>366</v>
      </c>
      <c r="U673" s="574"/>
      <c r="V673" s="579"/>
      <c r="W673" s="579"/>
      <c r="X673" s="579"/>
      <c r="Y673" s="1446"/>
      <c r="Z673" s="1446"/>
      <c r="AA673" s="738"/>
      <c r="AB673" s="577"/>
      <c r="AC673" s="577">
        <v>2</v>
      </c>
      <c r="AD673" s="575"/>
      <c r="AE673" s="577"/>
      <c r="AF673" s="744"/>
      <c r="AG673" s="577"/>
      <c r="AH673" s="626"/>
      <c r="AI673" s="577"/>
      <c r="AJ673" s="577"/>
      <c r="AK673" s="577"/>
      <c r="AL673" s="626"/>
      <c r="AM673" s="575" t="s">
        <v>92</v>
      </c>
      <c r="AN673" s="575" t="s">
        <v>92</v>
      </c>
      <c r="AO673" s="575" t="s">
        <v>92</v>
      </c>
      <c r="AP673" s="575" t="s">
        <v>92</v>
      </c>
      <c r="AQ673" s="575"/>
      <c r="AR673" s="518"/>
      <c r="AS673" s="5"/>
      <c r="AT673" s="5"/>
      <c r="AU673" s="740"/>
      <c r="AV673" s="518"/>
      <c r="AW673" s="741"/>
      <c r="AX673" s="741"/>
      <c r="AY673" s="741"/>
      <c r="AZ673" s="742"/>
      <c r="BA673" s="742"/>
    </row>
    <row r="674" spans="1:53" ht="15" customHeight="1" thickBot="1" x14ac:dyDescent="0.45">
      <c r="C674" s="1595"/>
      <c r="D674" s="1595"/>
      <c r="E674" s="1595"/>
      <c r="F674" s="1595"/>
      <c r="G674" s="1595"/>
      <c r="H674" s="1422"/>
      <c r="I674" s="968"/>
      <c r="J674" s="889"/>
      <c r="K674" s="889"/>
      <c r="L674" s="889"/>
      <c r="M674" s="889"/>
      <c r="N674" s="889"/>
      <c r="O674" s="889"/>
      <c r="P674" s="889"/>
      <c r="Q674" s="889"/>
      <c r="R674" s="889"/>
      <c r="S674" s="945"/>
      <c r="T674" s="889"/>
      <c r="U674" s="948"/>
      <c r="V674" s="888"/>
      <c r="W674" s="888"/>
      <c r="X674" s="888"/>
      <c r="Y674" s="1444"/>
      <c r="Z674" s="1444"/>
      <c r="AA674" s="1596"/>
      <c r="AB674" s="889"/>
      <c r="AC674" s="889"/>
      <c r="AD674" s="889"/>
      <c r="AE674" s="889"/>
      <c r="AF674" s="1597"/>
      <c r="AG674" s="889"/>
      <c r="AH674" s="937"/>
      <c r="AI674" s="889"/>
      <c r="AJ674" s="889"/>
      <c r="AK674" s="889"/>
      <c r="AL674" s="937"/>
      <c r="AM674" s="945"/>
      <c r="AN674" s="945"/>
      <c r="AO674" s="945"/>
      <c r="AP674" s="945"/>
      <c r="AQ674" s="945"/>
      <c r="AR674" s="518"/>
      <c r="AS674" s="5"/>
      <c r="AT674" s="5"/>
      <c r="AU674" s="740"/>
      <c r="AV674" s="518"/>
      <c r="AW674" s="741"/>
      <c r="AX674" s="741"/>
      <c r="AY674" s="741"/>
      <c r="AZ674" s="742"/>
      <c r="BA674" s="742"/>
    </row>
    <row r="675" spans="1:53" ht="15" customHeight="1" x14ac:dyDescent="0.4">
      <c r="C675" s="4" t="s">
        <v>2306</v>
      </c>
      <c r="D675" s="976"/>
      <c r="E675" s="976"/>
      <c r="F675" s="976"/>
      <c r="G675" s="976"/>
      <c r="H675" s="10"/>
      <c r="I675" s="4" t="s">
        <v>2251</v>
      </c>
      <c r="M675" s="3"/>
      <c r="N675" s="3"/>
      <c r="O675" s="3"/>
      <c r="P675" s="3"/>
      <c r="Q675" s="3"/>
      <c r="R675" s="3" t="s">
        <v>352</v>
      </c>
      <c r="S675" s="56">
        <v>4</v>
      </c>
      <c r="T675" s="3" t="s">
        <v>385</v>
      </c>
      <c r="V675" s="38" t="s">
        <v>8</v>
      </c>
      <c r="W675" s="38" t="s">
        <v>8</v>
      </c>
      <c r="X675" s="38" t="s">
        <v>8</v>
      </c>
      <c r="Y675" s="1443">
        <v>440083000</v>
      </c>
      <c r="Z675" s="3">
        <v>221189</v>
      </c>
      <c r="AB675"/>
      <c r="AC675" s="3">
        <v>4</v>
      </c>
      <c r="AD675" s="3">
        <f>S675*AC675</f>
        <v>16</v>
      </c>
      <c r="AE675" s="3" t="s">
        <v>385</v>
      </c>
      <c r="AF675" s="216"/>
      <c r="AG675" s="3"/>
      <c r="AH675" s="51">
        <v>1.9E-3</v>
      </c>
      <c r="AI675" s="3"/>
      <c r="AJ675" s="3"/>
      <c r="AK675" s="3"/>
      <c r="AL675" s="51">
        <f>AD675*AH675+SUM(AI675:AK675)</f>
        <v>3.04E-2</v>
      </c>
      <c r="AM675" s="5" t="s">
        <v>371</v>
      </c>
      <c r="AN675" s="5" t="s">
        <v>371</v>
      </c>
      <c r="AO675" s="5" t="s">
        <v>371</v>
      </c>
      <c r="AP675" s="5" t="s">
        <v>371</v>
      </c>
      <c r="AQ675" s="5"/>
      <c r="AR675" s="518"/>
      <c r="AS675" s="5"/>
      <c r="AT675" s="5"/>
      <c r="AU675" s="740"/>
      <c r="AV675" s="518"/>
      <c r="AW675" s="741"/>
      <c r="AX675" s="741"/>
      <c r="AY675" s="741"/>
      <c r="AZ675" s="742"/>
      <c r="BA675" s="742"/>
    </row>
    <row r="676" spans="1:53" ht="15" customHeight="1" x14ac:dyDescent="0.4">
      <c r="C676" s="1165"/>
      <c r="D676" s="694" t="s">
        <v>924</v>
      </c>
      <c r="E676" s="1165"/>
      <c r="F676" s="1165"/>
      <c r="G676" s="1165"/>
      <c r="H676" s="743"/>
      <c r="I676" s="573"/>
      <c r="J676" s="577"/>
      <c r="K676" s="577"/>
      <c r="L676" s="577"/>
      <c r="M676" s="577"/>
      <c r="N676" s="577"/>
      <c r="O676" s="577"/>
      <c r="P676" s="577"/>
      <c r="Q676" s="577"/>
      <c r="R676" s="577"/>
      <c r="S676" s="575"/>
      <c r="T676" s="577"/>
      <c r="U676" s="574"/>
      <c r="V676" s="579"/>
      <c r="W676" s="579"/>
      <c r="X676" s="579"/>
      <c r="Y676" s="577"/>
      <c r="Z676" s="577"/>
      <c r="AA676" s="738"/>
      <c r="AB676" s="577"/>
      <c r="AC676" s="577"/>
      <c r="AD676" s="577"/>
      <c r="AE676" s="577"/>
      <c r="AF676" s="744"/>
      <c r="AG676" s="577"/>
      <c r="AH676" s="626"/>
      <c r="AI676" s="577"/>
      <c r="AJ676" s="577"/>
      <c r="AK676" s="577"/>
      <c r="AL676" s="626"/>
      <c r="AM676" s="575" t="s">
        <v>371</v>
      </c>
      <c r="AN676" s="575" t="s">
        <v>371</v>
      </c>
      <c r="AO676" s="575" t="s">
        <v>371</v>
      </c>
      <c r="AP676" s="575" t="s">
        <v>371</v>
      </c>
      <c r="AQ676" s="575"/>
      <c r="AR676" s="518"/>
      <c r="AS676" s="5"/>
      <c r="AT676" s="5"/>
      <c r="AU676" s="740"/>
      <c r="AV676" s="518"/>
      <c r="AW676" s="741"/>
      <c r="AX676" s="741"/>
      <c r="AY676" s="741"/>
      <c r="AZ676" s="742"/>
      <c r="BA676" s="742"/>
    </row>
    <row r="677" spans="1:53" ht="15" customHeight="1" x14ac:dyDescent="0.4">
      <c r="C677" s="4" t="s">
        <v>925</v>
      </c>
      <c r="H677" s="10"/>
      <c r="I677" s="4" t="s">
        <v>926</v>
      </c>
      <c r="M677" s="3"/>
      <c r="N677" s="3"/>
      <c r="O677" s="3"/>
      <c r="P677" s="3"/>
      <c r="Q677" s="3"/>
      <c r="R677" s="3" t="s">
        <v>352</v>
      </c>
      <c r="S677" s="3">
        <v>6</v>
      </c>
      <c r="T677" s="3" t="s">
        <v>385</v>
      </c>
      <c r="V677" s="38" t="s">
        <v>8</v>
      </c>
      <c r="W677" s="3" t="s">
        <v>817</v>
      </c>
      <c r="X677" s="38" t="s">
        <v>8</v>
      </c>
      <c r="Y677" s="1445">
        <v>200056008001</v>
      </c>
      <c r="Z677" s="1445"/>
      <c r="AA677" s="558"/>
      <c r="AB677" s="3">
        <v>45</v>
      </c>
      <c r="AC677" s="56">
        <v>6</v>
      </c>
      <c r="AD677" s="56">
        <f>AC677+AC678</f>
        <v>12</v>
      </c>
      <c r="AE677" s="3" t="s">
        <v>385</v>
      </c>
      <c r="AF677" s="216"/>
      <c r="AG677" s="3"/>
      <c r="AH677" s="51">
        <f>'Single Hung'!AI1127</f>
        <v>2.3400000000000001E-2</v>
      </c>
      <c r="AI677" s="3"/>
      <c r="AJ677" s="3"/>
      <c r="AK677" s="3"/>
      <c r="AL677" s="51">
        <f>AD677*AH677+SUM(AI677:AK677)</f>
        <v>0.28079999999999999</v>
      </c>
      <c r="AM677" s="5" t="s">
        <v>371</v>
      </c>
      <c r="AN677" s="5" t="s">
        <v>371</v>
      </c>
      <c r="AO677" s="5" t="s">
        <v>371</v>
      </c>
      <c r="AP677" s="5" t="s">
        <v>371</v>
      </c>
      <c r="AQ677" s="5"/>
      <c r="AR677" s="518"/>
      <c r="AS677" s="5"/>
      <c r="AT677" s="5"/>
      <c r="AU677" s="740"/>
      <c r="AV677" s="518"/>
      <c r="AW677" s="741"/>
      <c r="AX677" s="741"/>
      <c r="AY677" s="741"/>
      <c r="AZ677" s="742"/>
      <c r="BA677" s="742"/>
    </row>
    <row r="678" spans="1:53" ht="15" customHeight="1" x14ac:dyDescent="0.4">
      <c r="C678" s="573"/>
      <c r="D678" s="573" t="s">
        <v>927</v>
      </c>
      <c r="E678" s="573"/>
      <c r="F678" s="573"/>
      <c r="G678" s="573"/>
      <c r="H678" s="743"/>
      <c r="I678" s="573" t="s">
        <v>1290</v>
      </c>
      <c r="J678" s="577"/>
      <c r="K678" s="577"/>
      <c r="L678" s="577"/>
      <c r="M678" s="577"/>
      <c r="N678" s="577"/>
      <c r="O678" s="577"/>
      <c r="P678" s="577"/>
      <c r="Q678" s="577"/>
      <c r="R678" s="577" t="s">
        <v>352</v>
      </c>
      <c r="S678" s="577">
        <v>6</v>
      </c>
      <c r="T678" s="577" t="s">
        <v>385</v>
      </c>
      <c r="U678" s="574"/>
      <c r="V678" s="579"/>
      <c r="W678" s="579"/>
      <c r="X678" s="579"/>
      <c r="Y678" s="577"/>
      <c r="Z678" s="577"/>
      <c r="AA678" s="738"/>
      <c r="AB678" s="577">
        <v>45</v>
      </c>
      <c r="AC678" s="576">
        <v>6</v>
      </c>
      <c r="AD678" s="577"/>
      <c r="AE678" s="577"/>
      <c r="AF678" s="744"/>
      <c r="AG678" s="577"/>
      <c r="AH678" s="626"/>
      <c r="AI678" s="577"/>
      <c r="AJ678" s="577"/>
      <c r="AK678" s="577"/>
      <c r="AL678" s="626"/>
      <c r="AM678" s="575" t="s">
        <v>371</v>
      </c>
      <c r="AN678" s="575" t="s">
        <v>371</v>
      </c>
      <c r="AO678" s="575" t="s">
        <v>371</v>
      </c>
      <c r="AP678" s="575" t="s">
        <v>371</v>
      </c>
      <c r="AQ678" s="575"/>
      <c r="AR678" s="518"/>
      <c r="AS678" s="5"/>
      <c r="AT678" s="5"/>
      <c r="AU678" s="740"/>
      <c r="AV678" s="518"/>
      <c r="AW678" s="741"/>
      <c r="AX678" s="741"/>
      <c r="AY678" s="741"/>
      <c r="AZ678" s="742"/>
      <c r="BA678" s="742"/>
    </row>
    <row r="679" spans="1:53" ht="15" customHeight="1" x14ac:dyDescent="0.4">
      <c r="C679" s="4" t="s">
        <v>2307</v>
      </c>
      <c r="H679" s="10"/>
      <c r="I679" s="4" t="s">
        <v>930</v>
      </c>
      <c r="M679" s="3"/>
      <c r="N679" s="3"/>
      <c r="O679" s="3"/>
      <c r="P679" s="3"/>
      <c r="Q679" s="3"/>
      <c r="S679" s="56">
        <v>4</v>
      </c>
      <c r="T679" s="3" t="s">
        <v>385</v>
      </c>
      <c r="V679" s="38" t="s">
        <v>8</v>
      </c>
      <c r="W679" s="38" t="s">
        <v>8</v>
      </c>
      <c r="X679" s="38" t="s">
        <v>8</v>
      </c>
      <c r="Y679" s="1443">
        <v>440084000</v>
      </c>
      <c r="Z679" s="3">
        <v>186475</v>
      </c>
      <c r="AA679" s="558"/>
      <c r="AB679" s="3">
        <v>45</v>
      </c>
      <c r="AC679" s="56">
        <f>AC677+AC678</f>
        <v>12</v>
      </c>
      <c r="AD679" s="3">
        <f>S679*AC679</f>
        <v>48</v>
      </c>
      <c r="AE679" s="3" t="s">
        <v>385</v>
      </c>
      <c r="AF679" s="216"/>
      <c r="AG679" s="3"/>
      <c r="AH679" s="51">
        <f>'Single Hung'!AI1129</f>
        <v>1E-3</v>
      </c>
      <c r="AI679" s="3"/>
      <c r="AJ679" s="3"/>
      <c r="AK679" s="3"/>
      <c r="AL679" s="51">
        <f>AD679*AH679+SUM(AI679:AK679)</f>
        <v>4.8000000000000001E-2</v>
      </c>
      <c r="AM679" s="5" t="s">
        <v>371</v>
      </c>
      <c r="AN679" s="5" t="s">
        <v>371</v>
      </c>
      <c r="AO679" s="5" t="s">
        <v>371</v>
      </c>
      <c r="AP679" s="5" t="s">
        <v>371</v>
      </c>
      <c r="AQ679" s="5"/>
      <c r="AR679" s="518"/>
      <c r="AS679" s="5"/>
      <c r="AT679" s="5"/>
      <c r="AU679" s="740"/>
      <c r="AV679" s="518"/>
      <c r="AW679" s="741"/>
      <c r="AX679" s="741"/>
      <c r="AY679" s="741"/>
      <c r="AZ679" s="742"/>
      <c r="BA679" s="742"/>
    </row>
    <row r="680" spans="1:53" ht="15" customHeight="1" x14ac:dyDescent="0.4">
      <c r="C680" s="4"/>
      <c r="D680" s="8" t="s">
        <v>931</v>
      </c>
      <c r="H680" s="10"/>
      <c r="I680" s="4"/>
      <c r="M680" s="3"/>
      <c r="N680" s="3"/>
      <c r="O680" s="3"/>
      <c r="P680" s="3"/>
      <c r="Q680" s="3"/>
      <c r="S680" s="56"/>
      <c r="V680" s="38"/>
      <c r="W680" s="38"/>
      <c r="X680" s="38"/>
      <c r="AA680" s="558"/>
      <c r="AC680" s="56"/>
      <c r="AD680" s="3"/>
      <c r="AE680" s="3"/>
      <c r="AF680" s="216"/>
      <c r="AG680" s="3"/>
      <c r="AI680" s="3"/>
      <c r="AJ680" s="3"/>
      <c r="AK680" s="3"/>
      <c r="AL680" s="3"/>
      <c r="AM680" s="5" t="s">
        <v>371</v>
      </c>
      <c r="AN680" s="5" t="s">
        <v>371</v>
      </c>
      <c r="AO680" s="5" t="s">
        <v>371</v>
      </c>
      <c r="AP680" s="5" t="s">
        <v>371</v>
      </c>
      <c r="AQ680" s="5"/>
      <c r="AR680" s="518"/>
      <c r="AS680" s="5"/>
      <c r="AT680" s="5"/>
      <c r="AU680" s="740"/>
      <c r="AV680" s="518"/>
      <c r="AW680" s="741"/>
      <c r="AX680" s="741"/>
      <c r="AY680" s="741"/>
      <c r="AZ680" s="742"/>
      <c r="BA680" s="742"/>
    </row>
    <row r="681" spans="1:53" ht="15" customHeight="1" x14ac:dyDescent="0.4">
      <c r="B681" s="728" t="s">
        <v>932</v>
      </c>
      <c r="C681" s="745"/>
      <c r="D681" s="729"/>
      <c r="E681" s="729"/>
      <c r="F681" s="729"/>
      <c r="G681" s="728"/>
      <c r="H681" s="728"/>
      <c r="I681" s="730"/>
      <c r="J681" s="731"/>
      <c r="K681" s="731"/>
      <c r="L681" s="731"/>
      <c r="M681" s="731"/>
      <c r="N681" s="731"/>
      <c r="O681" s="731"/>
      <c r="P681" s="731"/>
      <c r="Q681" s="731"/>
      <c r="R681" s="731"/>
      <c r="S681" s="618"/>
      <c r="T681" s="618"/>
      <c r="U681" s="618"/>
      <c r="V681" s="618"/>
      <c r="W681" s="618"/>
      <c r="X681" s="618"/>
      <c r="Y681" s="618"/>
      <c r="Z681" s="618"/>
      <c r="AA681" s="615"/>
      <c r="AB681" s="615"/>
      <c r="AC681" s="615"/>
      <c r="AD681" s="615"/>
      <c r="AE681" s="615"/>
      <c r="AF681" s="746"/>
      <c r="AG681" s="731"/>
      <c r="AH681" s="747"/>
      <c r="AI681" s="748"/>
      <c r="AJ681" s="748"/>
      <c r="AK681" s="735" t="s">
        <v>2252</v>
      </c>
      <c r="AL681" s="736">
        <f>SUM(AL682+AL691+AL695+AL705+AL709)</f>
        <v>18.807499999999997</v>
      </c>
      <c r="AM681" s="734"/>
      <c r="AN681" s="734"/>
      <c r="AO681" s="734"/>
      <c r="AP681" s="734"/>
      <c r="AQ681" s="734"/>
      <c r="AR681" s="518"/>
      <c r="AS681" s="519"/>
      <c r="AT681" s="519"/>
      <c r="AU681" s="520"/>
      <c r="AV681" s="521"/>
      <c r="AW681" s="261"/>
      <c r="AX681" s="261"/>
      <c r="AY681" s="261"/>
      <c r="AZ681" s="262"/>
      <c r="BA681" s="262"/>
    </row>
    <row r="682" spans="1:53" ht="15" customHeight="1" x14ac:dyDescent="0.4">
      <c r="A682" s="3" t="s">
        <v>934</v>
      </c>
      <c r="C682" s="641" t="s">
        <v>935</v>
      </c>
      <c r="D682" s="749"/>
      <c r="E682" s="749"/>
      <c r="F682" s="749"/>
      <c r="G682" s="749"/>
      <c r="H682" s="750"/>
      <c r="I682" s="750"/>
      <c r="J682" s="750"/>
      <c r="K682" s="750"/>
      <c r="L682" s="750"/>
      <c r="M682" s="750"/>
      <c r="N682" s="750"/>
      <c r="O682" s="750"/>
      <c r="P682" s="750"/>
      <c r="Q682" s="750"/>
      <c r="R682" s="750"/>
      <c r="S682" s="645"/>
      <c r="T682" s="645"/>
      <c r="U682" s="645"/>
      <c r="V682" s="645"/>
      <c r="W682" s="645"/>
      <c r="X682" s="645"/>
      <c r="Y682" s="645"/>
      <c r="Z682" s="645"/>
      <c r="AA682" s="645"/>
      <c r="AB682" s="645"/>
      <c r="AC682" s="645"/>
      <c r="AD682" s="645"/>
      <c r="AE682" s="645"/>
      <c r="AF682" s="751"/>
      <c r="AG682" s="752"/>
      <c r="AH682" s="753"/>
      <c r="AI682" s="754"/>
      <c r="AJ682" s="754"/>
      <c r="AK682" s="648" t="s">
        <v>936</v>
      </c>
      <c r="AL682" s="755">
        <f>SUBTOTAL(109,AL683:AL690)</f>
        <v>0.2858</v>
      </c>
      <c r="AM682" s="750"/>
      <c r="AN682" s="750"/>
      <c r="AO682" s="750"/>
      <c r="AP682" s="750"/>
      <c r="AQ682" s="750"/>
      <c r="AR682" s="518"/>
      <c r="AS682" s="519"/>
      <c r="AT682" s="519"/>
      <c r="AU682" s="520"/>
      <c r="AV682" s="521"/>
      <c r="AW682" s="261"/>
      <c r="AX682" s="261"/>
      <c r="AY682" s="261"/>
      <c r="AZ682" s="262"/>
      <c r="BA682" s="262"/>
    </row>
    <row r="683" spans="1:53" ht="15" customHeight="1" x14ac:dyDescent="0.4">
      <c r="B683" s="8"/>
      <c r="C683" s="4" t="s">
        <v>2253</v>
      </c>
      <c r="D683" s="3"/>
      <c r="P683" s="42" t="s">
        <v>1291</v>
      </c>
      <c r="Q683" s="756">
        <v>23.5</v>
      </c>
      <c r="S683" s="56">
        <v>1</v>
      </c>
      <c r="T683" s="376" t="s">
        <v>385</v>
      </c>
      <c r="V683" s="38" t="s">
        <v>8</v>
      </c>
      <c r="W683" s="38" t="s">
        <v>8</v>
      </c>
      <c r="X683" s="38" t="s">
        <v>8</v>
      </c>
      <c r="Y683" s="1443">
        <v>170094000</v>
      </c>
      <c r="Z683" s="1443"/>
      <c r="AA683" s="558"/>
      <c r="AB683" s="3">
        <v>45</v>
      </c>
      <c r="AC683" s="3">
        <v>1</v>
      </c>
      <c r="AD683" s="56">
        <f>IF(SL2Height&gt;=Q683,1,0)</f>
        <v>1</v>
      </c>
      <c r="AE683" s="5" t="s">
        <v>385</v>
      </c>
      <c r="AF683" s="38" t="s">
        <v>8</v>
      </c>
      <c r="AG683" s="38" t="s">
        <v>8</v>
      </c>
      <c r="AH683" s="51">
        <f>'Single Hung'!AI1133</f>
        <v>7.9100000000000004E-2</v>
      </c>
      <c r="AL683" s="51">
        <f>AD683*AH683+SUM(AI683:AK683)</f>
        <v>7.9100000000000004E-2</v>
      </c>
      <c r="AM683" s="3" t="str">
        <f>IF($AD683=1,"B","O")</f>
        <v>B</v>
      </c>
      <c r="AN683" s="3" t="str">
        <f>IF($AD683=1,"B","O")</f>
        <v>B</v>
      </c>
      <c r="AO683" s="3" t="s">
        <v>371</v>
      </c>
      <c r="AP683" s="3" t="s">
        <v>371</v>
      </c>
      <c r="AR683" s="518"/>
      <c r="AU683" s="757"/>
      <c r="AV683" s="521"/>
      <c r="AW683" s="521"/>
      <c r="AX683" s="521"/>
      <c r="AY683" s="521"/>
      <c r="AZ683" s="155"/>
      <c r="BA683" s="155"/>
    </row>
    <row r="684" spans="1:53" ht="15" customHeight="1" x14ac:dyDescent="0.4">
      <c r="B684" s="8"/>
      <c r="C684" s="4" t="s">
        <v>2254</v>
      </c>
      <c r="D684" s="3"/>
      <c r="J684" s="38"/>
      <c r="P684" s="42" t="s">
        <v>1292</v>
      </c>
      <c r="Q684" s="756">
        <v>23.5</v>
      </c>
      <c r="S684" s="56">
        <v>1</v>
      </c>
      <c r="T684" s="376" t="s">
        <v>385</v>
      </c>
      <c r="V684" s="38" t="s">
        <v>8</v>
      </c>
      <c r="W684" s="38" t="s">
        <v>8</v>
      </c>
      <c r="X684" s="38" t="s">
        <v>8</v>
      </c>
      <c r="Y684" s="1443">
        <v>170006000</v>
      </c>
      <c r="Z684" s="1443"/>
      <c r="AA684" s="558"/>
      <c r="AB684" s="3">
        <v>45</v>
      </c>
      <c r="AC684" s="3">
        <v>1</v>
      </c>
      <c r="AD684" s="56">
        <f>IF(SL2Height&lt;Q684,1,0)</f>
        <v>0</v>
      </c>
      <c r="AE684" s="5" t="s">
        <v>385</v>
      </c>
      <c r="AF684" s="38" t="s">
        <v>8</v>
      </c>
      <c r="AG684" s="38" t="s">
        <v>8</v>
      </c>
      <c r="AH684" s="51">
        <f>'Single Hung'!AI1134</f>
        <v>5.7299999999999997E-2</v>
      </c>
      <c r="AL684" s="51">
        <f>AD684*AH684+SUM(AI684:AK684)</f>
        <v>0</v>
      </c>
      <c r="AM684" s="3" t="str">
        <f>IF($AD684=1,"B","O")</f>
        <v>O</v>
      </c>
      <c r="AN684" s="3" t="str">
        <f>IF($AD684=1,"B","O")</f>
        <v>O</v>
      </c>
      <c r="AO684" s="3" t="s">
        <v>371</v>
      </c>
      <c r="AP684" s="3" t="s">
        <v>371</v>
      </c>
      <c r="AR684" s="518"/>
      <c r="AU684" s="520"/>
      <c r="AV684" s="521"/>
      <c r="AW684" s="521"/>
      <c r="AX684" s="521"/>
      <c r="AY684" s="521"/>
      <c r="AZ684" s="155"/>
      <c r="BA684" s="155"/>
    </row>
    <row r="685" spans="1:53" ht="15" customHeight="1" x14ac:dyDescent="0.4">
      <c r="B685" s="8"/>
      <c r="C685" s="4" t="s">
        <v>1293</v>
      </c>
      <c r="D685" s="3"/>
      <c r="J685" s="38"/>
      <c r="P685" s="42" t="s">
        <v>1291</v>
      </c>
      <c r="Q685" s="756">
        <f>Q683</f>
        <v>23.5</v>
      </c>
      <c r="S685" s="56">
        <v>1</v>
      </c>
      <c r="T685" s="376" t="s">
        <v>385</v>
      </c>
      <c r="V685" s="38" t="s">
        <v>8</v>
      </c>
      <c r="W685" s="38" t="s">
        <v>8</v>
      </c>
      <c r="X685" s="38" t="s">
        <v>8</v>
      </c>
      <c r="Y685" s="1443">
        <v>170093000</v>
      </c>
      <c r="Z685" s="1443"/>
      <c r="AA685" s="558"/>
      <c r="AB685" s="3">
        <v>45</v>
      </c>
      <c r="AC685" s="3">
        <v>1</v>
      </c>
      <c r="AD685" s="56">
        <f>IF(SL2Height&gt;=Q685,1,0)</f>
        <v>1</v>
      </c>
      <c r="AE685" s="5" t="s">
        <v>385</v>
      </c>
      <c r="AF685" s="38" t="s">
        <v>8</v>
      </c>
      <c r="AG685" s="38" t="s">
        <v>8</v>
      </c>
      <c r="AH685" s="51">
        <f>'Single Hung'!AI1135</f>
        <v>0.12770000000000001</v>
      </c>
      <c r="AL685" s="51">
        <f t="shared" ref="AL685:AL692" si="110">AD685*AH685+SUM(AI685:AK685)</f>
        <v>0.12770000000000001</v>
      </c>
      <c r="AM685" s="3" t="s">
        <v>371</v>
      </c>
      <c r="AN685" s="3" t="s">
        <v>371</v>
      </c>
      <c r="AO685" s="3" t="s">
        <v>81</v>
      </c>
      <c r="AP685" s="3" t="s">
        <v>81</v>
      </c>
      <c r="AR685" s="518"/>
      <c r="AU685" s="757"/>
      <c r="AV685" s="521"/>
      <c r="AW685" s="521"/>
      <c r="AX685" s="521"/>
      <c r="AY685" s="521"/>
      <c r="AZ685" s="155"/>
      <c r="BA685" s="155"/>
    </row>
    <row r="686" spans="1:53" ht="15" customHeight="1" x14ac:dyDescent="0.4">
      <c r="B686" s="8"/>
      <c r="C686" s="4" t="s">
        <v>1294</v>
      </c>
      <c r="D686" s="3"/>
      <c r="J686" s="38"/>
      <c r="P686" s="42" t="s">
        <v>1292</v>
      </c>
      <c r="Q686" s="756">
        <f>Q684</f>
        <v>23.5</v>
      </c>
      <c r="S686" s="56">
        <v>1</v>
      </c>
      <c r="T686" s="376" t="s">
        <v>385</v>
      </c>
      <c r="V686" s="38" t="s">
        <v>8</v>
      </c>
      <c r="W686" s="38" t="s">
        <v>8</v>
      </c>
      <c r="X686" s="38" t="s">
        <v>8</v>
      </c>
      <c r="Y686" s="1443">
        <v>170002000</v>
      </c>
      <c r="Z686" s="1443"/>
      <c r="AA686" s="558"/>
      <c r="AB686" s="3">
        <v>45</v>
      </c>
      <c r="AC686" s="3">
        <v>1</v>
      </c>
      <c r="AD686" s="56">
        <f>IF(SL2Height&lt;Q686,1,0)</f>
        <v>0</v>
      </c>
      <c r="AE686" s="5" t="s">
        <v>385</v>
      </c>
      <c r="AF686" s="38" t="s">
        <v>8</v>
      </c>
      <c r="AG686" s="38" t="s">
        <v>8</v>
      </c>
      <c r="AH686" s="51">
        <f>'Single Hung'!AI1136</f>
        <v>5.3100000000000001E-2</v>
      </c>
      <c r="AL686" s="51">
        <f t="shared" si="110"/>
        <v>0</v>
      </c>
      <c r="AM686" s="3" t="s">
        <v>371</v>
      </c>
      <c r="AN686" s="3" t="s">
        <v>371</v>
      </c>
      <c r="AO686" s="3" t="s">
        <v>371</v>
      </c>
      <c r="AP686" s="3" t="s">
        <v>371</v>
      </c>
      <c r="AR686" s="518"/>
      <c r="AU686" s="520"/>
      <c r="AV686" s="521"/>
      <c r="AW686" s="521"/>
      <c r="AX686" s="521"/>
      <c r="AY686" s="521"/>
      <c r="AZ686" s="155"/>
      <c r="BA686" s="155"/>
    </row>
    <row r="687" spans="1:53" ht="15" customHeight="1" x14ac:dyDescent="0.4">
      <c r="B687" s="8"/>
      <c r="C687" s="4" t="s">
        <v>1295</v>
      </c>
      <c r="D687" s="3"/>
      <c r="J687" s="38"/>
      <c r="P687" s="42" t="s">
        <v>1291</v>
      </c>
      <c r="Q687" s="756">
        <f>Q683</f>
        <v>23.5</v>
      </c>
      <c r="S687" s="56">
        <v>1</v>
      </c>
      <c r="T687" s="376" t="s">
        <v>385</v>
      </c>
      <c r="V687" s="38" t="s">
        <v>8</v>
      </c>
      <c r="W687" s="38" t="s">
        <v>8</v>
      </c>
      <c r="X687" s="38" t="s">
        <v>8</v>
      </c>
      <c r="Y687" s="1443">
        <v>170095000</v>
      </c>
      <c r="Z687" s="1443"/>
      <c r="AA687" s="558"/>
      <c r="AB687" s="3">
        <v>40</v>
      </c>
      <c r="AC687" s="3">
        <v>1</v>
      </c>
      <c r="AD687" s="56">
        <f>IF(SL2Height&gt;=Q687,1,0)</f>
        <v>1</v>
      </c>
      <c r="AE687" s="5" t="s">
        <v>385</v>
      </c>
      <c r="AF687" s="38" t="s">
        <v>8</v>
      </c>
      <c r="AG687" s="38" t="s">
        <v>8</v>
      </c>
      <c r="AH687" s="844">
        <f>'Single Hung'!AI1137</f>
        <v>7.9000000000000001E-2</v>
      </c>
      <c r="AL687" s="51">
        <f t="shared" si="110"/>
        <v>7.9000000000000001E-2</v>
      </c>
      <c r="AM687" s="3" t="s">
        <v>371</v>
      </c>
      <c r="AN687" s="3" t="s">
        <v>371</v>
      </c>
      <c r="AO687" s="3" t="s">
        <v>371</v>
      </c>
      <c r="AP687" s="3" t="s">
        <v>371</v>
      </c>
      <c r="AR687" s="518"/>
      <c r="AU687" s="757"/>
      <c r="AV687" s="521"/>
      <c r="AW687" s="521"/>
      <c r="AX687" s="521"/>
      <c r="AY687" s="521"/>
      <c r="AZ687" s="155"/>
      <c r="BA687" s="155"/>
    </row>
    <row r="688" spans="1:53" ht="15" customHeight="1" x14ac:dyDescent="0.4">
      <c r="B688" s="8"/>
      <c r="C688" s="4" t="s">
        <v>1296</v>
      </c>
      <c r="D688" s="3"/>
      <c r="J688" s="38"/>
      <c r="P688" s="42" t="s">
        <v>1292</v>
      </c>
      <c r="Q688" s="756">
        <f>Q684</f>
        <v>23.5</v>
      </c>
      <c r="S688" s="56">
        <v>1</v>
      </c>
      <c r="T688" s="376" t="s">
        <v>385</v>
      </c>
      <c r="V688" s="38" t="s">
        <v>8</v>
      </c>
      <c r="W688" s="38" t="s">
        <v>8</v>
      </c>
      <c r="X688" s="38" t="s">
        <v>8</v>
      </c>
      <c r="Y688" s="1443">
        <v>170078000</v>
      </c>
      <c r="Z688" s="1443"/>
      <c r="AA688" s="558"/>
      <c r="AB688" s="3">
        <v>40</v>
      </c>
      <c r="AC688" s="3">
        <v>1</v>
      </c>
      <c r="AD688" s="56">
        <f>IF(SL2Height&lt;Q688,1,0)</f>
        <v>0</v>
      </c>
      <c r="AE688" s="5" t="s">
        <v>385</v>
      </c>
      <c r="AF688" s="38" t="s">
        <v>8</v>
      </c>
      <c r="AG688" s="38" t="s">
        <v>8</v>
      </c>
      <c r="AH688" s="844">
        <f>'Single Hung'!AI1138</f>
        <v>5.1200000000000002E-2</v>
      </c>
      <c r="AL688" s="51">
        <f t="shared" si="110"/>
        <v>0</v>
      </c>
      <c r="AM688" s="3" t="s">
        <v>371</v>
      </c>
      <c r="AN688" s="3" t="s">
        <v>371</v>
      </c>
      <c r="AO688" s="3" t="s">
        <v>371</v>
      </c>
      <c r="AP688" s="3" t="s">
        <v>371</v>
      </c>
      <c r="AR688" s="518"/>
      <c r="AU688" s="520"/>
      <c r="AV688" s="521"/>
      <c r="AW688" s="521"/>
      <c r="AX688" s="521"/>
      <c r="AY688" s="521"/>
      <c r="AZ688" s="155"/>
      <c r="BA688" s="155"/>
    </row>
    <row r="689" spans="2:53" ht="15" customHeight="1" x14ac:dyDescent="0.4">
      <c r="B689" s="8"/>
      <c r="C689" s="4" t="s">
        <v>1297</v>
      </c>
      <c r="D689" s="3"/>
      <c r="J689" s="38"/>
      <c r="P689" s="42" t="s">
        <v>1291</v>
      </c>
      <c r="Q689" s="756">
        <f>Q683</f>
        <v>23.5</v>
      </c>
      <c r="S689" s="56">
        <v>1</v>
      </c>
      <c r="T689" s="376" t="s">
        <v>385</v>
      </c>
      <c r="V689" s="38" t="s">
        <v>8</v>
      </c>
      <c r="W689" s="38" t="s">
        <v>8</v>
      </c>
      <c r="X689" s="38" t="s">
        <v>8</v>
      </c>
      <c r="Y689" s="1443">
        <v>170154000</v>
      </c>
      <c r="Z689" s="1443"/>
      <c r="AA689" s="558"/>
      <c r="AB689" s="3">
        <v>40</v>
      </c>
      <c r="AC689" s="3">
        <v>1</v>
      </c>
      <c r="AD689" s="56">
        <f>IF(SL2Height&gt;=Q689,1,0)</f>
        <v>1</v>
      </c>
      <c r="AE689" s="5" t="s">
        <v>385</v>
      </c>
      <c r="AF689" s="38" t="s">
        <v>8</v>
      </c>
      <c r="AG689" s="38" t="s">
        <v>8</v>
      </c>
      <c r="AH689" s="844">
        <f>'Single Hung'!AI1139</f>
        <v>0</v>
      </c>
      <c r="AL689" s="51">
        <f t="shared" si="110"/>
        <v>0</v>
      </c>
      <c r="AM689" s="3" t="s">
        <v>371</v>
      </c>
      <c r="AN689" s="3" t="s">
        <v>371</v>
      </c>
      <c r="AO689" s="3" t="s">
        <v>371</v>
      </c>
      <c r="AP689" s="3" t="s">
        <v>371</v>
      </c>
      <c r="AR689" s="518"/>
      <c r="AU689" s="757"/>
      <c r="AV689" s="521"/>
      <c r="AW689" s="521"/>
      <c r="AX689" s="521"/>
      <c r="AY689" s="521"/>
      <c r="AZ689" s="155"/>
      <c r="BA689" s="155"/>
    </row>
    <row r="690" spans="2:53" ht="15" customHeight="1" x14ac:dyDescent="0.4">
      <c r="B690" s="8"/>
      <c r="C690" s="4" t="s">
        <v>1298</v>
      </c>
      <c r="D690" s="3"/>
      <c r="J690" s="38"/>
      <c r="P690" s="42" t="s">
        <v>1292</v>
      </c>
      <c r="Q690" s="756">
        <f>Q684</f>
        <v>23.5</v>
      </c>
      <c r="S690" s="56">
        <v>1</v>
      </c>
      <c r="T690" s="376" t="s">
        <v>385</v>
      </c>
      <c r="V690" s="38" t="s">
        <v>8</v>
      </c>
      <c r="W690" s="38" t="s">
        <v>8</v>
      </c>
      <c r="X690" s="38" t="s">
        <v>8</v>
      </c>
      <c r="Y690" s="1443">
        <v>170182000</v>
      </c>
      <c r="Z690" s="1443" t="s">
        <v>2264</v>
      </c>
      <c r="AA690" s="558"/>
      <c r="AB690" s="3">
        <v>40</v>
      </c>
      <c r="AC690" s="3">
        <v>1</v>
      </c>
      <c r="AD690" s="56">
        <f>IF(SL2Height&lt;Q690,1,0)</f>
        <v>0</v>
      </c>
      <c r="AE690" s="5" t="s">
        <v>385</v>
      </c>
      <c r="AF690" s="38" t="s">
        <v>8</v>
      </c>
      <c r="AG690" s="38" t="s">
        <v>8</v>
      </c>
      <c r="AH690" s="844">
        <f>'Single Hung'!AI1140</f>
        <v>0</v>
      </c>
      <c r="AL690" s="51">
        <f t="shared" si="110"/>
        <v>0</v>
      </c>
      <c r="AM690" s="3" t="s">
        <v>371</v>
      </c>
      <c r="AN690" s="3" t="s">
        <v>371</v>
      </c>
      <c r="AO690" s="3" t="s">
        <v>371</v>
      </c>
      <c r="AP690" s="3" t="s">
        <v>371</v>
      </c>
      <c r="AR690" s="518"/>
      <c r="AU690" s="520"/>
      <c r="AV690" s="521"/>
      <c r="AW690" s="521"/>
      <c r="AX690" s="521"/>
      <c r="AY690" s="521"/>
      <c r="AZ690" s="155"/>
      <c r="BA690" s="155"/>
    </row>
    <row r="691" spans="2:53" ht="15" customHeight="1" x14ac:dyDescent="0.4">
      <c r="B691" s="8"/>
      <c r="C691" s="641" t="s">
        <v>2255</v>
      </c>
      <c r="D691" s="749"/>
      <c r="E691" s="749"/>
      <c r="F691" s="749"/>
      <c r="G691" s="749"/>
      <c r="H691" s="750"/>
      <c r="I691" s="750"/>
      <c r="J691" s="750"/>
      <c r="K691" s="750"/>
      <c r="L691" s="750"/>
      <c r="M691" s="750"/>
      <c r="N691" s="750"/>
      <c r="O691" s="750"/>
      <c r="P691" s="750"/>
      <c r="Q691" s="750"/>
      <c r="R691" s="750"/>
      <c r="S691" s="645"/>
      <c r="T691" s="645"/>
      <c r="U691" s="645"/>
      <c r="V691" s="645"/>
      <c r="W691" s="645"/>
      <c r="X691" s="645"/>
      <c r="Y691" s="1453"/>
      <c r="Z691" s="1453"/>
      <c r="AA691" s="645"/>
      <c r="AB691" s="645"/>
      <c r="AC691" s="645"/>
      <c r="AD691" s="645"/>
      <c r="AE691" s="645"/>
      <c r="AF691" s="751"/>
      <c r="AG691" s="752"/>
      <c r="AH691" s="753"/>
      <c r="AI691" s="754"/>
      <c r="AJ691" s="754"/>
      <c r="AK691" s="648" t="s">
        <v>948</v>
      </c>
      <c r="AL691" s="755">
        <f>SUBTOTAL(109,AL692:AL693)</f>
        <v>17.276</v>
      </c>
      <c r="AM691" s="754"/>
      <c r="AN691" s="754"/>
      <c r="AO691" s="754"/>
      <c r="AP691" s="754"/>
      <c r="AQ691" s="754"/>
      <c r="AR691" s="518"/>
      <c r="AU691" s="520"/>
      <c r="AV691" s="521"/>
      <c r="AW691" s="521"/>
      <c r="AX691" s="521"/>
      <c r="AY691" s="521"/>
      <c r="AZ691" s="155"/>
      <c r="BA691" s="155"/>
    </row>
    <row r="692" spans="2:53" ht="15" customHeight="1" x14ac:dyDescent="0.4">
      <c r="B692" s="8"/>
      <c r="C692" s="8" t="s">
        <v>2256</v>
      </c>
      <c r="D692" s="3"/>
      <c r="I692" s="8" t="s">
        <v>950</v>
      </c>
      <c r="J692" s="38"/>
      <c r="R692" s="30"/>
      <c r="S692" s="56">
        <v>1</v>
      </c>
      <c r="T692" s="376" t="s">
        <v>385</v>
      </c>
      <c r="V692" s="38" t="s">
        <v>8</v>
      </c>
      <c r="W692" s="38" t="s">
        <v>8</v>
      </c>
      <c r="X692" s="38" t="s">
        <v>8</v>
      </c>
      <c r="Y692" s="1443">
        <v>100041000</v>
      </c>
      <c r="Z692" s="1443"/>
      <c r="AA692" s="558"/>
      <c r="AB692" s="3">
        <v>45</v>
      </c>
      <c r="AC692" s="3">
        <v>4</v>
      </c>
      <c r="AD692" s="5">
        <f>S692*AC692</f>
        <v>4</v>
      </c>
      <c r="AE692" s="5" t="s">
        <v>385</v>
      </c>
      <c r="AF692" s="38" t="s">
        <v>8</v>
      </c>
      <c r="AG692" s="38" t="s">
        <v>8</v>
      </c>
      <c r="AH692" s="51">
        <f>'Single Hung'!AI1143</f>
        <v>0.109</v>
      </c>
      <c r="AL692" s="51">
        <f t="shared" si="110"/>
        <v>0.436</v>
      </c>
      <c r="AM692" s="3" t="s">
        <v>81</v>
      </c>
      <c r="AN692" s="3" t="s">
        <v>81</v>
      </c>
      <c r="AO692" s="3" t="s">
        <v>81</v>
      </c>
      <c r="AP692" s="3" t="s">
        <v>81</v>
      </c>
      <c r="AR692" s="518"/>
      <c r="AU692" s="520"/>
      <c r="AV692" s="521"/>
      <c r="AW692" s="521"/>
      <c r="AX692" s="521"/>
      <c r="AY692" s="521"/>
      <c r="AZ692" s="155"/>
      <c r="BA692" s="155"/>
    </row>
    <row r="693" spans="2:53" ht="15" customHeight="1" x14ac:dyDescent="0.4">
      <c r="B693" s="8"/>
      <c r="C693" s="8" t="s">
        <v>2257</v>
      </c>
      <c r="D693" s="3"/>
      <c r="I693" s="8" t="s">
        <v>2258</v>
      </c>
      <c r="J693" s="38"/>
      <c r="R693" s="30"/>
      <c r="S693" s="56">
        <v>1</v>
      </c>
      <c r="T693" s="376" t="s">
        <v>385</v>
      </c>
      <c r="V693" s="38" t="s">
        <v>8</v>
      </c>
      <c r="W693" s="38" t="s">
        <v>8</v>
      </c>
      <c r="X693" s="38" t="s">
        <v>8</v>
      </c>
      <c r="Y693" s="1443">
        <v>100032000</v>
      </c>
      <c r="Z693" s="1443"/>
      <c r="AA693" s="558"/>
      <c r="AB693" s="3">
        <v>45</v>
      </c>
      <c r="AC693" s="3">
        <v>4</v>
      </c>
      <c r="AD693" s="5">
        <f>S693*AC693</f>
        <v>4</v>
      </c>
      <c r="AE693" s="5" t="s">
        <v>385</v>
      </c>
      <c r="AF693" s="38" t="s">
        <v>8</v>
      </c>
      <c r="AG693" s="38" t="s">
        <v>8</v>
      </c>
      <c r="AH693" s="51">
        <f>'Single Hung'!AI1144</f>
        <v>4.21</v>
      </c>
      <c r="AL693" s="51">
        <f>AD693*AH693+SUM(AI693:AK693)</f>
        <v>16.84</v>
      </c>
      <c r="AM693" s="3" t="s">
        <v>371</v>
      </c>
      <c r="AN693" s="3" t="s">
        <v>371</v>
      </c>
      <c r="AO693" s="3" t="s">
        <v>371</v>
      </c>
      <c r="AP693" s="3" t="s">
        <v>371</v>
      </c>
      <c r="AR693" s="518"/>
      <c r="AU693" s="739"/>
      <c r="AV693" s="521"/>
      <c r="AW693" s="521"/>
      <c r="AX693" s="521"/>
      <c r="AY693" s="521"/>
      <c r="AZ693" s="155"/>
      <c r="BA693" s="155"/>
    </row>
    <row r="694" spans="2:53" ht="15" customHeight="1" x14ac:dyDescent="0.4">
      <c r="B694" s="8"/>
      <c r="C694" s="8" t="s">
        <v>2259</v>
      </c>
      <c r="D694" s="3"/>
      <c r="I694" s="8" t="s">
        <v>954</v>
      </c>
      <c r="J694" s="38"/>
      <c r="R694" s="30"/>
      <c r="S694" s="56">
        <v>1</v>
      </c>
      <c r="T694" s="376" t="s">
        <v>385</v>
      </c>
      <c r="V694" s="38" t="s">
        <v>8</v>
      </c>
      <c r="W694" s="38" t="s">
        <v>8</v>
      </c>
      <c r="X694" s="38" t="s">
        <v>8</v>
      </c>
      <c r="Y694" s="1443">
        <v>100003000</v>
      </c>
      <c r="Z694" s="1443"/>
      <c r="AA694" s="558"/>
      <c r="AB694" s="3">
        <v>45</v>
      </c>
      <c r="AC694" s="3">
        <v>4</v>
      </c>
      <c r="AD694" s="5">
        <f>S694*AC694</f>
        <v>4</v>
      </c>
      <c r="AE694" s="5" t="s">
        <v>385</v>
      </c>
      <c r="AF694" s="38" t="s">
        <v>8</v>
      </c>
      <c r="AG694" s="38" t="s">
        <v>8</v>
      </c>
      <c r="AH694" s="51">
        <f>'Single Hung'!AI1145</f>
        <v>0.124</v>
      </c>
      <c r="AL694" s="51">
        <f>AD694*AH694+SUM(AI694:AK694)</f>
        <v>0.496</v>
      </c>
      <c r="AM694" s="3" t="s">
        <v>371</v>
      </c>
      <c r="AN694" s="3" t="s">
        <v>371</v>
      </c>
      <c r="AO694" s="3" t="s">
        <v>371</v>
      </c>
      <c r="AP694" s="3" t="s">
        <v>371</v>
      </c>
      <c r="AR694" s="518"/>
      <c r="AU694" s="739"/>
      <c r="AV694" s="521"/>
      <c r="AW694" s="521"/>
      <c r="AX694" s="521"/>
      <c r="AY694" s="521"/>
      <c r="AZ694" s="155"/>
      <c r="BA694" s="155"/>
    </row>
    <row r="695" spans="2:53" ht="15" customHeight="1" x14ac:dyDescent="0.4">
      <c r="B695" s="8"/>
      <c r="C695" s="641" t="s">
        <v>2260</v>
      </c>
      <c r="D695" s="749"/>
      <c r="E695" s="749"/>
      <c r="F695" s="749"/>
      <c r="G695" s="749"/>
      <c r="H695" s="750"/>
      <c r="I695" s="750"/>
      <c r="J695" s="750"/>
      <c r="K695" s="750"/>
      <c r="L695" s="750"/>
      <c r="M695" s="750"/>
      <c r="N695" s="750"/>
      <c r="O695" s="750"/>
      <c r="P695" s="750"/>
      <c r="Q695" s="750"/>
      <c r="R695" s="750"/>
      <c r="S695" s="645"/>
      <c r="T695" s="645"/>
      <c r="U695" s="645"/>
      <c r="V695" s="645"/>
      <c r="W695" s="645"/>
      <c r="X695" s="645"/>
      <c r="Y695" s="645"/>
      <c r="Z695" s="645"/>
      <c r="AA695" s="645"/>
      <c r="AB695" s="645"/>
      <c r="AC695" s="645"/>
      <c r="AD695" s="645"/>
      <c r="AE695" s="645"/>
      <c r="AF695" s="751"/>
      <c r="AG695" s="752"/>
      <c r="AH695" s="753"/>
      <c r="AI695" s="754"/>
      <c r="AJ695" s="754"/>
      <c r="AK695" s="648" t="s">
        <v>2261</v>
      </c>
      <c r="AL695" s="755">
        <f>SUBTOTAL(109,AL696:AL704)</f>
        <v>0.16589999999999999</v>
      </c>
      <c r="AM695" s="750"/>
      <c r="AN695" s="750"/>
      <c r="AO695" s="750"/>
      <c r="AP695" s="750"/>
      <c r="AQ695" s="750"/>
      <c r="AR695" s="518"/>
      <c r="AU695" s="739"/>
      <c r="AV695" s="521"/>
      <c r="AW695" s="521"/>
      <c r="AX695" s="521"/>
      <c r="AY695" s="521"/>
      <c r="AZ695" s="155"/>
      <c r="BA695" s="155"/>
    </row>
    <row r="696" spans="2:53" ht="15" customHeight="1" x14ac:dyDescent="0.4">
      <c r="B696" s="8"/>
      <c r="C696" s="4" t="s">
        <v>976</v>
      </c>
      <c r="J696" s="38"/>
      <c r="R696" s="30"/>
      <c r="S696" s="56">
        <v>1</v>
      </c>
      <c r="T696" s="376" t="s">
        <v>385</v>
      </c>
      <c r="V696" s="38" t="s">
        <v>8</v>
      </c>
      <c r="W696" s="38" t="s">
        <v>8</v>
      </c>
      <c r="X696" s="38" t="s">
        <v>8</v>
      </c>
      <c r="Y696" s="1445">
        <v>170318000001</v>
      </c>
      <c r="Z696" s="3">
        <v>253660</v>
      </c>
      <c r="AA696" s="10"/>
      <c r="AB696" s="3">
        <v>45</v>
      </c>
      <c r="AC696" s="3">
        <v>1</v>
      </c>
      <c r="AD696" s="56">
        <f>S696*AC696</f>
        <v>1</v>
      </c>
      <c r="AE696" s="5" t="s">
        <v>385</v>
      </c>
      <c r="AF696" s="38" t="s">
        <v>8</v>
      </c>
      <c r="AG696" s="38" t="s">
        <v>8</v>
      </c>
      <c r="AH696" s="51">
        <f>'Single Hung'!AI1166</f>
        <v>9.9000000000000008E-3</v>
      </c>
      <c r="AL696" s="51">
        <f>AD696*AH696+SUM(AI696:AK696)</f>
        <v>9.9000000000000008E-3</v>
      </c>
      <c r="AM696" s="3" t="s">
        <v>81</v>
      </c>
      <c r="AN696" s="3" t="s">
        <v>81</v>
      </c>
      <c r="AO696" s="3" t="s">
        <v>81</v>
      </c>
      <c r="AP696" s="3" t="s">
        <v>81</v>
      </c>
      <c r="AR696" s="518"/>
      <c r="AU696" s="139"/>
      <c r="AV696" s="139"/>
      <c r="AW696" s="139"/>
      <c r="AX696" s="139"/>
      <c r="AY696" s="139"/>
    </row>
    <row r="697" spans="2:53" ht="15" customHeight="1" x14ac:dyDescent="0.4">
      <c r="B697" s="8"/>
      <c r="C697" s="4" t="s">
        <v>977</v>
      </c>
      <c r="J697" s="38"/>
      <c r="R697" s="30"/>
      <c r="S697" s="56">
        <v>1</v>
      </c>
      <c r="T697" s="376" t="s">
        <v>385</v>
      </c>
      <c r="V697" s="38" t="s">
        <v>8</v>
      </c>
      <c r="W697" s="38" t="s">
        <v>8</v>
      </c>
      <c r="X697" s="38" t="s">
        <v>8</v>
      </c>
      <c r="Y697" s="1445">
        <v>170318000001</v>
      </c>
      <c r="Z697" s="3">
        <v>253660</v>
      </c>
      <c r="AA697" s="10"/>
      <c r="AB697" s="3">
        <v>45</v>
      </c>
      <c r="AC697" s="3">
        <v>1</v>
      </c>
      <c r="AD697" s="56">
        <f t="shared" ref="AD697:AD704" si="111">S697*AC697</f>
        <v>1</v>
      </c>
      <c r="AE697" s="5" t="s">
        <v>385</v>
      </c>
      <c r="AF697" s="38" t="s">
        <v>8</v>
      </c>
      <c r="AG697" s="38" t="s">
        <v>8</v>
      </c>
      <c r="AH697" s="51">
        <f>'Single Hung'!AI1167</f>
        <v>9.9000000000000008E-3</v>
      </c>
      <c r="AL697" s="51">
        <f t="shared" ref="AL697:AL704" si="112">AD697*AH697+SUM(AI697:AK697)</f>
        <v>9.9000000000000008E-3</v>
      </c>
      <c r="AM697" s="3" t="s">
        <v>81</v>
      </c>
      <c r="AN697" s="3" t="s">
        <v>81</v>
      </c>
      <c r="AO697" s="3" t="s">
        <v>81</v>
      </c>
      <c r="AP697" s="3" t="s">
        <v>81</v>
      </c>
      <c r="AR697" s="518"/>
      <c r="AU697" s="139"/>
      <c r="AV697" s="139"/>
      <c r="AW697" s="139"/>
      <c r="AX697" s="139"/>
      <c r="AY697" s="139"/>
    </row>
    <row r="698" spans="2:53" ht="15" customHeight="1" x14ac:dyDescent="0.4">
      <c r="B698" s="8"/>
      <c r="C698" s="8" t="s">
        <v>2093</v>
      </c>
      <c r="J698" s="38"/>
      <c r="R698" s="30"/>
      <c r="S698" s="56">
        <v>1</v>
      </c>
      <c r="T698" s="376" t="s">
        <v>385</v>
      </c>
      <c r="V698" s="38" t="s">
        <v>8</v>
      </c>
      <c r="W698" s="38" t="s">
        <v>8</v>
      </c>
      <c r="X698" s="38" t="s">
        <v>8</v>
      </c>
      <c r="Y698" s="1443">
        <v>170158000</v>
      </c>
      <c r="Z698" s="3">
        <v>253195</v>
      </c>
      <c r="AA698" s="10"/>
      <c r="AB698" s="3">
        <v>45</v>
      </c>
      <c r="AC698" s="3">
        <v>1</v>
      </c>
      <c r="AD698" s="56">
        <f t="shared" si="111"/>
        <v>1</v>
      </c>
      <c r="AE698" s="5" t="s">
        <v>385</v>
      </c>
      <c r="AF698" s="38" t="s">
        <v>8</v>
      </c>
      <c r="AG698" s="38" t="s">
        <v>8</v>
      </c>
      <c r="AH698" s="51">
        <f>'Single Hung'!AI1168</f>
        <v>1.6500000000000001E-2</v>
      </c>
      <c r="AL698" s="51">
        <f t="shared" si="112"/>
        <v>1.6500000000000001E-2</v>
      </c>
      <c r="AM698" s="3" t="s">
        <v>81</v>
      </c>
      <c r="AN698" s="3" t="s">
        <v>81</v>
      </c>
      <c r="AO698" s="3" t="s">
        <v>81</v>
      </c>
      <c r="AP698" s="3" t="s">
        <v>81</v>
      </c>
      <c r="AR698" s="518"/>
      <c r="AU698" s="139"/>
      <c r="AV698" s="139"/>
      <c r="AW698" s="139"/>
      <c r="AX698" s="139"/>
      <c r="AY698" s="139"/>
    </row>
    <row r="699" spans="2:53" ht="15" customHeight="1" x14ac:dyDescent="0.4">
      <c r="B699" s="8"/>
      <c r="C699" s="8" t="s">
        <v>2092</v>
      </c>
      <c r="J699" s="38"/>
      <c r="R699" s="30"/>
      <c r="S699" s="56">
        <v>1</v>
      </c>
      <c r="T699" s="376" t="s">
        <v>385</v>
      </c>
      <c r="V699" s="38" t="s">
        <v>8</v>
      </c>
      <c r="W699" s="38" t="s">
        <v>8</v>
      </c>
      <c r="X699" s="38" t="s">
        <v>8</v>
      </c>
      <c r="Y699" s="1443">
        <v>170188000</v>
      </c>
      <c r="Z699" s="1443"/>
      <c r="AA699" s="10"/>
      <c r="AB699" s="3">
        <v>45</v>
      </c>
      <c r="AC699" s="3">
        <v>1</v>
      </c>
      <c r="AD699" s="56">
        <f t="shared" si="111"/>
        <v>1</v>
      </c>
      <c r="AE699" s="5" t="s">
        <v>385</v>
      </c>
      <c r="AF699" s="38" t="s">
        <v>8</v>
      </c>
      <c r="AG699" s="38" t="s">
        <v>8</v>
      </c>
      <c r="AH699" s="51">
        <f>'Single Hung'!AI1169</f>
        <v>1.6400000000000001E-2</v>
      </c>
      <c r="AL699" s="51">
        <f t="shared" si="112"/>
        <v>1.6400000000000001E-2</v>
      </c>
      <c r="AM699" s="3" t="s">
        <v>81</v>
      </c>
      <c r="AN699" s="3" t="s">
        <v>81</v>
      </c>
      <c r="AO699" s="3" t="s">
        <v>81</v>
      </c>
      <c r="AP699" s="3" t="s">
        <v>81</v>
      </c>
      <c r="AR699" s="518"/>
      <c r="AU699" s="139"/>
      <c r="AV699" s="139"/>
      <c r="AW699" s="139"/>
      <c r="AX699" s="139"/>
      <c r="AY699" s="139"/>
    </row>
    <row r="700" spans="2:53" ht="15" customHeight="1" x14ac:dyDescent="0.4">
      <c r="B700" s="8"/>
      <c r="C700" s="4" t="s">
        <v>978</v>
      </c>
      <c r="J700" s="38"/>
      <c r="R700" s="30"/>
      <c r="S700" s="56">
        <v>1</v>
      </c>
      <c r="T700" s="376" t="s">
        <v>385</v>
      </c>
      <c r="V700" s="38" t="s">
        <v>8</v>
      </c>
      <c r="W700" s="38" t="s">
        <v>8</v>
      </c>
      <c r="X700" s="38" t="s">
        <v>8</v>
      </c>
      <c r="Y700" s="1443">
        <v>170200000</v>
      </c>
      <c r="Z700" s="3">
        <v>253666</v>
      </c>
      <c r="AA700" s="10"/>
      <c r="AB700" s="3">
        <v>45</v>
      </c>
      <c r="AC700" s="3">
        <v>2</v>
      </c>
      <c r="AD700" s="56">
        <f t="shared" si="111"/>
        <v>2</v>
      </c>
      <c r="AE700" s="5" t="s">
        <v>385</v>
      </c>
      <c r="AF700" s="38" t="s">
        <v>8</v>
      </c>
      <c r="AG700" s="38" t="s">
        <v>8</v>
      </c>
      <c r="AH700" s="51">
        <f>'Single Hung'!AI1170</f>
        <v>9.5999999999999992E-3</v>
      </c>
      <c r="AL700" s="51">
        <f t="shared" si="112"/>
        <v>1.9199999999999998E-2</v>
      </c>
      <c r="AM700" s="3" t="s">
        <v>81</v>
      </c>
      <c r="AN700" s="3" t="s">
        <v>81</v>
      </c>
      <c r="AO700" s="3" t="s">
        <v>81</v>
      </c>
      <c r="AP700" s="3" t="s">
        <v>81</v>
      </c>
      <c r="AR700" s="518"/>
      <c r="AU700" s="139"/>
      <c r="AV700" s="139"/>
      <c r="AW700" s="139"/>
      <c r="AX700" s="139"/>
      <c r="AY700" s="139"/>
    </row>
    <row r="701" spans="2:53" ht="15" customHeight="1" x14ac:dyDescent="0.4">
      <c r="B701" s="8"/>
      <c r="C701" s="4" t="s">
        <v>979</v>
      </c>
      <c r="R701" s="376"/>
      <c r="S701" s="56">
        <v>1</v>
      </c>
      <c r="T701" s="376" t="s">
        <v>385</v>
      </c>
      <c r="V701" s="38" t="s">
        <v>8</v>
      </c>
      <c r="W701" s="38" t="s">
        <v>8</v>
      </c>
      <c r="X701" s="38" t="s">
        <v>8</v>
      </c>
      <c r="Y701" s="1443">
        <v>170228000</v>
      </c>
      <c r="Z701" s="3">
        <v>253668</v>
      </c>
      <c r="AA701" s="10"/>
      <c r="AB701" s="3">
        <v>45</v>
      </c>
      <c r="AC701" s="3">
        <v>1</v>
      </c>
      <c r="AD701" s="56">
        <f t="shared" si="111"/>
        <v>1</v>
      </c>
      <c r="AE701" s="5" t="s">
        <v>385</v>
      </c>
      <c r="AF701" s="38" t="s">
        <v>8</v>
      </c>
      <c r="AG701" s="38" t="s">
        <v>8</v>
      </c>
      <c r="AH701" s="51">
        <f>'Single Hung'!AI1171</f>
        <v>6.4000000000000003E-3</v>
      </c>
      <c r="AL701" s="51">
        <f t="shared" si="112"/>
        <v>6.4000000000000003E-3</v>
      </c>
      <c r="AM701" s="3" t="s">
        <v>81</v>
      </c>
      <c r="AN701" s="3" t="s">
        <v>81</v>
      </c>
      <c r="AO701" s="3" t="s">
        <v>81</v>
      </c>
      <c r="AP701" s="3" t="s">
        <v>81</v>
      </c>
      <c r="AR701" s="518"/>
      <c r="AU701" s="139"/>
      <c r="AV701" s="139"/>
      <c r="AW701" s="139"/>
      <c r="AX701" s="139"/>
      <c r="AY701" s="139"/>
    </row>
    <row r="702" spans="2:53" ht="15" customHeight="1" x14ac:dyDescent="0.4">
      <c r="B702" s="8"/>
      <c r="C702" s="4" t="s">
        <v>2262</v>
      </c>
      <c r="R702" s="376"/>
      <c r="S702" s="56">
        <v>1</v>
      </c>
      <c r="T702" s="376" t="s">
        <v>385</v>
      </c>
      <c r="V702" s="38" t="s">
        <v>8</v>
      </c>
      <c r="W702" s="38" t="s">
        <v>8</v>
      </c>
      <c r="X702" s="38" t="s">
        <v>8</v>
      </c>
      <c r="Y702" s="1443">
        <v>170196000</v>
      </c>
      <c r="Z702" s="3">
        <v>253674</v>
      </c>
      <c r="AA702" s="10"/>
      <c r="AB702" s="3">
        <v>45</v>
      </c>
      <c r="AC702" s="3">
        <v>1</v>
      </c>
      <c r="AD702" s="56">
        <f t="shared" si="111"/>
        <v>1</v>
      </c>
      <c r="AE702" s="5" t="s">
        <v>385</v>
      </c>
      <c r="AF702" s="38" t="s">
        <v>8</v>
      </c>
      <c r="AG702" s="38" t="s">
        <v>8</v>
      </c>
      <c r="AH702" s="51">
        <f>'Single Hung'!AI1172</f>
        <v>2.92E-2</v>
      </c>
      <c r="AL702" s="51">
        <f t="shared" si="112"/>
        <v>2.92E-2</v>
      </c>
      <c r="AM702" s="3" t="s">
        <v>81</v>
      </c>
      <c r="AN702" s="3" t="s">
        <v>81</v>
      </c>
      <c r="AO702" s="3" t="s">
        <v>81</v>
      </c>
      <c r="AP702" s="3" t="s">
        <v>81</v>
      </c>
      <c r="AR702" s="518"/>
      <c r="AU702" s="139"/>
      <c r="AV702" s="139"/>
      <c r="AW702" s="139"/>
      <c r="AX702" s="139"/>
      <c r="AY702" s="139"/>
    </row>
    <row r="703" spans="2:53" ht="15" customHeight="1" x14ac:dyDescent="0.4">
      <c r="B703" s="8"/>
      <c r="C703" s="4" t="s">
        <v>981</v>
      </c>
      <c r="R703" s="376"/>
      <c r="S703" s="56">
        <v>1</v>
      </c>
      <c r="T703" s="376" t="s">
        <v>385</v>
      </c>
      <c r="V703" s="38" t="s">
        <v>8</v>
      </c>
      <c r="W703" s="38" t="s">
        <v>8</v>
      </c>
      <c r="X703" s="38" t="s">
        <v>8</v>
      </c>
      <c r="Y703" s="1443">
        <v>170196000</v>
      </c>
      <c r="Z703" s="3">
        <v>253674</v>
      </c>
      <c r="AA703" s="10"/>
      <c r="AB703" s="3">
        <v>45</v>
      </c>
      <c r="AC703" s="3">
        <v>1</v>
      </c>
      <c r="AD703" s="56">
        <f t="shared" si="111"/>
        <v>1</v>
      </c>
      <c r="AE703" s="5" t="s">
        <v>385</v>
      </c>
      <c r="AF703" s="38" t="s">
        <v>8</v>
      </c>
      <c r="AG703" s="38" t="s">
        <v>8</v>
      </c>
      <c r="AH703" s="51">
        <f>'Single Hung'!AI1173</f>
        <v>2.92E-2</v>
      </c>
      <c r="AL703" s="51">
        <f t="shared" si="112"/>
        <v>2.92E-2</v>
      </c>
      <c r="AM703" s="3" t="s">
        <v>81</v>
      </c>
      <c r="AN703" s="3" t="s">
        <v>81</v>
      </c>
      <c r="AO703" s="3" t="s">
        <v>81</v>
      </c>
      <c r="AP703" s="3" t="s">
        <v>81</v>
      </c>
      <c r="AR703" s="518"/>
      <c r="AU703" s="139"/>
      <c r="AV703" s="139"/>
      <c r="AW703" s="139"/>
      <c r="AX703" s="139"/>
      <c r="AY703" s="139"/>
    </row>
    <row r="704" spans="2:53" ht="15" customHeight="1" x14ac:dyDescent="0.4">
      <c r="B704" s="8"/>
      <c r="C704" s="4" t="s">
        <v>982</v>
      </c>
      <c r="R704" s="376"/>
      <c r="S704" s="56">
        <v>1</v>
      </c>
      <c r="T704" s="376" t="s">
        <v>385</v>
      </c>
      <c r="V704" s="38" t="s">
        <v>8</v>
      </c>
      <c r="W704" s="38" t="s">
        <v>8</v>
      </c>
      <c r="X704" s="38" t="s">
        <v>8</v>
      </c>
      <c r="Y704" s="1443">
        <v>170196000</v>
      </c>
      <c r="Z704" s="3">
        <v>253674</v>
      </c>
      <c r="AA704" s="10"/>
      <c r="AB704" s="3">
        <v>45</v>
      </c>
      <c r="AC704" s="3">
        <v>1</v>
      </c>
      <c r="AD704" s="56">
        <f t="shared" si="111"/>
        <v>1</v>
      </c>
      <c r="AE704" s="5" t="s">
        <v>385</v>
      </c>
      <c r="AF704" s="38" t="s">
        <v>8</v>
      </c>
      <c r="AG704" s="38" t="s">
        <v>8</v>
      </c>
      <c r="AH704" s="51">
        <f>'Single Hung'!AI1174</f>
        <v>2.92E-2</v>
      </c>
      <c r="AL704" s="51">
        <f t="shared" si="112"/>
        <v>2.92E-2</v>
      </c>
      <c r="AM704" s="3" t="s">
        <v>81</v>
      </c>
      <c r="AN704" s="3" t="s">
        <v>81</v>
      </c>
      <c r="AO704" s="3" t="s">
        <v>81</v>
      </c>
      <c r="AP704" s="3" t="s">
        <v>81</v>
      </c>
      <c r="AR704" s="518"/>
      <c r="AU704" s="139"/>
      <c r="AV704" s="139"/>
      <c r="AW704" s="139"/>
      <c r="AX704" s="139"/>
      <c r="AY704" s="139"/>
    </row>
    <row r="705" spans="2:53" ht="15" customHeight="1" x14ac:dyDescent="0.4">
      <c r="B705" s="8"/>
      <c r="C705" s="641" t="s">
        <v>983</v>
      </c>
      <c r="D705" s="749"/>
      <c r="E705" s="749"/>
      <c r="F705" s="749"/>
      <c r="G705" s="749"/>
      <c r="H705" s="750"/>
      <c r="I705" s="750"/>
      <c r="J705" s="750"/>
      <c r="K705" s="750"/>
      <c r="L705" s="750"/>
      <c r="M705" s="750"/>
      <c r="N705" s="750"/>
      <c r="O705" s="750"/>
      <c r="P705" s="750"/>
      <c r="Q705" s="750"/>
      <c r="R705" s="750"/>
      <c r="S705" s="645"/>
      <c r="T705" s="645"/>
      <c r="U705" s="645"/>
      <c r="V705" s="645"/>
      <c r="W705" s="645"/>
      <c r="X705" s="645"/>
      <c r="Y705" s="645"/>
      <c r="Z705" s="645"/>
      <c r="AA705" s="645"/>
      <c r="AB705" s="645"/>
      <c r="AC705" s="645"/>
      <c r="AD705" s="645"/>
      <c r="AE705" s="645"/>
      <c r="AF705" s="751"/>
      <c r="AG705" s="752"/>
      <c r="AH705" s="753"/>
      <c r="AI705" s="754"/>
      <c r="AJ705" s="754"/>
      <c r="AK705" s="648" t="s">
        <v>984</v>
      </c>
      <c r="AL705" s="755">
        <f>SUBTOTAL(109,AL706:AL708)</f>
        <v>0.83969999999999989</v>
      </c>
      <c r="AM705" s="750"/>
      <c r="AN705" s="750"/>
      <c r="AO705" s="750"/>
      <c r="AP705" s="750"/>
      <c r="AQ705" s="750"/>
      <c r="AR705" s="518"/>
      <c r="AU705" s="739"/>
      <c r="AV705" s="521"/>
      <c r="AW705" s="521"/>
      <c r="AX705" s="521"/>
      <c r="AY705" s="521"/>
      <c r="AZ705" s="155"/>
      <c r="BA705" s="155"/>
    </row>
    <row r="706" spans="2:53" ht="15" customHeight="1" x14ac:dyDescent="0.4">
      <c r="B706" s="8"/>
      <c r="C706" s="4" t="s">
        <v>1299</v>
      </c>
      <c r="D706" s="3"/>
      <c r="J706" s="38"/>
      <c r="R706" s="30"/>
      <c r="S706" s="56">
        <v>1</v>
      </c>
      <c r="T706" s="376" t="s">
        <v>385</v>
      </c>
      <c r="V706" s="38" t="s">
        <v>8</v>
      </c>
      <c r="W706" s="38" t="s">
        <v>8</v>
      </c>
      <c r="X706" s="38" t="s">
        <v>8</v>
      </c>
      <c r="Y706" s="1443">
        <v>170201000</v>
      </c>
      <c r="Z706" s="3">
        <v>151965</v>
      </c>
      <c r="AA706" s="10"/>
      <c r="AB706" s="3">
        <v>45</v>
      </c>
      <c r="AC706" s="3">
        <v>2</v>
      </c>
      <c r="AD706" s="56">
        <f t="shared" ref="AD706:AD708" si="113">S706*AC706</f>
        <v>2</v>
      </c>
      <c r="AE706" s="5" t="s">
        <v>385</v>
      </c>
      <c r="AF706" s="38" t="s">
        <v>8</v>
      </c>
      <c r="AG706" s="38" t="s">
        <v>8</v>
      </c>
      <c r="AH706" s="51">
        <f>'Single Hung'!AI1176</f>
        <v>0.3</v>
      </c>
      <c r="AL706" s="51">
        <f t="shared" ref="AL706:AL708" si="114">AD706*AH706+SUM(AI706:AK706)</f>
        <v>0.6</v>
      </c>
      <c r="AM706" s="3" t="s">
        <v>371</v>
      </c>
      <c r="AN706" s="3" t="s">
        <v>371</v>
      </c>
      <c r="AO706" s="3" t="s">
        <v>371</v>
      </c>
      <c r="AP706" s="3" t="s">
        <v>371</v>
      </c>
      <c r="AR706" s="518"/>
      <c r="AU706" s="139"/>
      <c r="AV706" s="139"/>
      <c r="AW706" s="139"/>
      <c r="AX706" s="139"/>
      <c r="AY706" s="139"/>
    </row>
    <row r="707" spans="2:53" ht="15" customHeight="1" x14ac:dyDescent="0.4">
      <c r="B707" s="8"/>
      <c r="C707" s="8" t="s">
        <v>989</v>
      </c>
      <c r="D707" s="3"/>
      <c r="J707" s="38"/>
      <c r="R707" s="30"/>
      <c r="S707" s="56">
        <v>1</v>
      </c>
      <c r="T707" s="376" t="s">
        <v>385</v>
      </c>
      <c r="V707" s="38" t="s">
        <v>8</v>
      </c>
      <c r="W707" s="38" t="s">
        <v>8</v>
      </c>
      <c r="X707" s="38" t="s">
        <v>8</v>
      </c>
      <c r="Y707" s="1443">
        <v>170043000</v>
      </c>
      <c r="Z707" s="1443"/>
      <c r="AA707" s="558"/>
      <c r="AB707" s="3">
        <v>45</v>
      </c>
      <c r="AC707" s="3">
        <v>1</v>
      </c>
      <c r="AD707" s="56">
        <f t="shared" si="113"/>
        <v>1</v>
      </c>
      <c r="AE707" s="5" t="s">
        <v>385</v>
      </c>
      <c r="AF707" s="38" t="s">
        <v>8</v>
      </c>
      <c r="AG707" s="38" t="s">
        <v>8</v>
      </c>
      <c r="AH707" s="51">
        <f>'Single Hung'!AI1180</f>
        <v>5.9700000000000003E-2</v>
      </c>
      <c r="AL707" s="51">
        <f t="shared" si="114"/>
        <v>5.9700000000000003E-2</v>
      </c>
      <c r="AM707" s="3" t="s">
        <v>371</v>
      </c>
      <c r="AN707" s="3" t="s">
        <v>371</v>
      </c>
      <c r="AO707" s="3" t="s">
        <v>371</v>
      </c>
      <c r="AP707" s="3" t="s">
        <v>371</v>
      </c>
      <c r="AR707" s="518"/>
      <c r="AU707" s="520"/>
      <c r="AV707" s="521"/>
      <c r="AW707" s="521"/>
      <c r="AX707" s="521"/>
      <c r="AY707" s="521"/>
      <c r="AZ707" s="155"/>
      <c r="BA707" s="155"/>
    </row>
    <row r="708" spans="2:53" ht="15" customHeight="1" x14ac:dyDescent="0.4">
      <c r="B708" s="8"/>
      <c r="C708" s="4" t="s">
        <v>990</v>
      </c>
      <c r="D708" s="3"/>
      <c r="J708" s="38"/>
      <c r="R708" s="30"/>
      <c r="S708" s="56">
        <v>1</v>
      </c>
      <c r="T708" s="376" t="s">
        <v>385</v>
      </c>
      <c r="V708" s="38" t="s">
        <v>8</v>
      </c>
      <c r="W708" s="38" t="s">
        <v>8</v>
      </c>
      <c r="X708" s="38" t="s">
        <v>8</v>
      </c>
      <c r="Y708" s="1443">
        <v>170151000</v>
      </c>
      <c r="Z708" s="1443"/>
      <c r="AA708" s="10"/>
      <c r="AB708" s="3">
        <v>45</v>
      </c>
      <c r="AC708" s="3">
        <v>1</v>
      </c>
      <c r="AD708" s="56">
        <f t="shared" si="113"/>
        <v>1</v>
      </c>
      <c r="AE708" s="5" t="s">
        <v>385</v>
      </c>
      <c r="AF708" s="38" t="s">
        <v>8</v>
      </c>
      <c r="AG708" s="38" t="s">
        <v>8</v>
      </c>
      <c r="AH708" s="51">
        <f>'Single Hung'!AI1181</f>
        <v>0.18</v>
      </c>
      <c r="AL708" s="51">
        <f t="shared" si="114"/>
        <v>0.18</v>
      </c>
      <c r="AM708" s="3" t="s">
        <v>371</v>
      </c>
      <c r="AN708" s="3" t="s">
        <v>371</v>
      </c>
      <c r="AO708" s="3" t="s">
        <v>371</v>
      </c>
      <c r="AP708" s="3" t="s">
        <v>371</v>
      </c>
      <c r="AR708" s="518"/>
      <c r="AU708" s="139"/>
      <c r="AV708" s="139"/>
      <c r="AW708" s="139"/>
      <c r="AX708" s="139"/>
      <c r="AY708" s="139"/>
    </row>
    <row r="709" spans="2:53" ht="15" customHeight="1" x14ac:dyDescent="0.4">
      <c r="B709" s="8"/>
      <c r="C709" s="641" t="s">
        <v>991</v>
      </c>
      <c r="D709" s="749"/>
      <c r="E709" s="749"/>
      <c r="F709" s="749"/>
      <c r="G709" s="749"/>
      <c r="H709" s="750"/>
      <c r="I709" s="750"/>
      <c r="J709" s="750"/>
      <c r="K709" s="750"/>
      <c r="L709" s="750"/>
      <c r="M709" s="750"/>
      <c r="N709" s="750"/>
      <c r="O709" s="750"/>
      <c r="P709" s="750"/>
      <c r="Q709" s="750"/>
      <c r="R709" s="750"/>
      <c r="S709" s="645"/>
      <c r="T709" s="645"/>
      <c r="U709" s="645"/>
      <c r="V709" s="645"/>
      <c r="W709" s="645"/>
      <c r="X709" s="645"/>
      <c r="Y709" s="645"/>
      <c r="Z709" s="645"/>
      <c r="AA709" s="645"/>
      <c r="AB709" s="645"/>
      <c r="AC709" s="645"/>
      <c r="AD709" s="645"/>
      <c r="AE709" s="645"/>
      <c r="AF709" s="751"/>
      <c r="AG709" s="752"/>
      <c r="AH709" s="753"/>
      <c r="AI709" s="754"/>
      <c r="AJ709" s="754"/>
      <c r="AK709" s="648" t="s">
        <v>992</v>
      </c>
      <c r="AL709" s="755">
        <f>SUBTOTAL(109,AL710:AL716)</f>
        <v>0.24009999999999998</v>
      </c>
      <c r="AM709" s="750"/>
      <c r="AN709" s="750"/>
      <c r="AO709" s="750"/>
      <c r="AP709" s="750"/>
      <c r="AQ709" s="750"/>
      <c r="AR709" s="518"/>
      <c r="AU709" s="739"/>
      <c r="AV709" s="521"/>
      <c r="AW709" s="521"/>
      <c r="AX709" s="521"/>
      <c r="AY709" s="521"/>
      <c r="AZ709" s="155"/>
      <c r="BA709" s="155"/>
    </row>
    <row r="710" spans="2:53" ht="15" customHeight="1" x14ac:dyDescent="0.4">
      <c r="B710" s="8"/>
      <c r="C710" s="4" t="s">
        <v>963</v>
      </c>
      <c r="J710" s="38"/>
      <c r="R710" s="30"/>
      <c r="T710" s="376"/>
      <c r="V710" s="38" t="s">
        <v>8</v>
      </c>
      <c r="W710" s="38" t="s">
        <v>8</v>
      </c>
      <c r="X710" s="38" t="s">
        <v>8</v>
      </c>
      <c r="Y710" s="1443">
        <v>120027000</v>
      </c>
      <c r="Z710" s="3">
        <v>49464</v>
      </c>
      <c r="AA710" s="10"/>
      <c r="AB710" s="3">
        <v>45</v>
      </c>
      <c r="AC710" s="56">
        <v>1</v>
      </c>
      <c r="AD710" s="5">
        <f>S714/12*AC710</f>
        <v>49</v>
      </c>
      <c r="AE710" s="5" t="s">
        <v>367</v>
      </c>
      <c r="AF710" s="38" t="s">
        <v>8</v>
      </c>
      <c r="AG710" s="38" t="s">
        <v>8</v>
      </c>
      <c r="AH710" s="51">
        <f>'Single Hung'!AI1150</f>
        <v>4.8999999999999998E-3</v>
      </c>
      <c r="AL710" s="51">
        <f>AD$710*AH710+SUM(AI710:AK710)</f>
        <v>0.24009999999999998</v>
      </c>
      <c r="AM710" s="3" t="s">
        <v>81</v>
      </c>
      <c r="AN710" s="3" t="s">
        <v>81</v>
      </c>
      <c r="AO710" s="3" t="s">
        <v>81</v>
      </c>
      <c r="AP710" s="3" t="s">
        <v>81</v>
      </c>
      <c r="AR710" s="518"/>
      <c r="AU710" s="139"/>
      <c r="AV710" s="139"/>
      <c r="AW710" s="139"/>
      <c r="AX710" s="139"/>
      <c r="AY710" s="139"/>
    </row>
    <row r="711" spans="2:53" ht="15" customHeight="1" x14ac:dyDescent="0.4">
      <c r="B711" s="8"/>
      <c r="C711" s="4"/>
      <c r="G711" s="42" t="s">
        <v>1300</v>
      </c>
      <c r="I711" s="8" t="s">
        <v>965</v>
      </c>
      <c r="J711" s="38"/>
      <c r="K711" s="3" t="s">
        <v>392</v>
      </c>
      <c r="L711" s="38" t="s">
        <v>346</v>
      </c>
      <c r="M711" s="5">
        <v>18</v>
      </c>
      <c r="R711" s="30" t="s">
        <v>352</v>
      </c>
      <c r="S711" s="56">
        <f>ROUND(SL2Width/M711,0)</f>
        <v>3</v>
      </c>
      <c r="T711" s="376" t="s">
        <v>966</v>
      </c>
      <c r="AA711" s="10"/>
      <c r="AC711" s="56"/>
      <c r="AF711" s="38"/>
      <c r="AG711" s="38"/>
      <c r="AM711" s="3" t="s">
        <v>81</v>
      </c>
      <c r="AN711" s="3" t="s">
        <v>81</v>
      </c>
      <c r="AO711" s="3" t="s">
        <v>81</v>
      </c>
      <c r="AP711" s="3" t="s">
        <v>81</v>
      </c>
      <c r="AR711" s="518"/>
      <c r="AU711" s="139"/>
      <c r="AV711" s="139"/>
      <c r="AW711" s="139"/>
      <c r="AX711" s="139"/>
      <c r="AY711" s="139"/>
    </row>
    <row r="712" spans="2:53" ht="15" customHeight="1" x14ac:dyDescent="0.4">
      <c r="B712" s="8"/>
      <c r="C712" s="4"/>
      <c r="G712" s="42" t="s">
        <v>1301</v>
      </c>
      <c r="I712" s="3" t="s">
        <v>365</v>
      </c>
      <c r="J712" s="3" t="s">
        <v>483</v>
      </c>
      <c r="K712" s="3">
        <v>2</v>
      </c>
      <c r="L712" s="38" t="s">
        <v>348</v>
      </c>
      <c r="M712" s="5">
        <v>5</v>
      </c>
      <c r="N712" s="5" t="s">
        <v>483</v>
      </c>
      <c r="O712" s="5">
        <v>2</v>
      </c>
      <c r="R712" s="30" t="s">
        <v>352</v>
      </c>
      <c r="S712" s="758">
        <f>(SL2Height*K712)+(M712*O712)</f>
        <v>105</v>
      </c>
      <c r="T712" s="376" t="s">
        <v>590</v>
      </c>
      <c r="AA712" s="10"/>
      <c r="AC712" s="56"/>
      <c r="AF712" s="38"/>
      <c r="AG712" s="38"/>
      <c r="AM712" s="3" t="s">
        <v>81</v>
      </c>
      <c r="AN712" s="3" t="s">
        <v>81</v>
      </c>
      <c r="AO712" s="3" t="s">
        <v>81</v>
      </c>
      <c r="AP712" s="3" t="s">
        <v>81</v>
      </c>
      <c r="AR712" s="518"/>
      <c r="AU712" s="139"/>
      <c r="AV712" s="139"/>
      <c r="AW712" s="139"/>
      <c r="AX712" s="139"/>
      <c r="AY712" s="139"/>
    </row>
    <row r="713" spans="2:53" ht="15" customHeight="1" x14ac:dyDescent="0.4">
      <c r="B713" s="8"/>
      <c r="C713" s="4"/>
      <c r="G713" s="42" t="s">
        <v>968</v>
      </c>
      <c r="I713" s="1970" t="s">
        <v>969</v>
      </c>
      <c r="J713" s="1970"/>
      <c r="K713" s="1970"/>
      <c r="L713" s="3" t="s">
        <v>483</v>
      </c>
      <c r="M713" s="5" t="s">
        <v>970</v>
      </c>
      <c r="N713" s="38" t="s">
        <v>348</v>
      </c>
      <c r="O713" s="5" t="s">
        <v>971</v>
      </c>
      <c r="R713" s="30" t="s">
        <v>352</v>
      </c>
      <c r="S713" s="758">
        <f>S712*(S711+4)</f>
        <v>735</v>
      </c>
      <c r="T713" s="376" t="s">
        <v>590</v>
      </c>
      <c r="AA713" s="10"/>
      <c r="AC713" s="56"/>
      <c r="AF713" s="38"/>
      <c r="AG713" s="38"/>
      <c r="AM713" s="3" t="s">
        <v>81</v>
      </c>
      <c r="AN713" s="3" t="s">
        <v>81</v>
      </c>
      <c r="AO713" s="3" t="s">
        <v>81</v>
      </c>
      <c r="AP713" s="3" t="s">
        <v>81</v>
      </c>
      <c r="AR713" s="518"/>
      <c r="AU713" s="139"/>
      <c r="AV713" s="139"/>
      <c r="AW713" s="139"/>
      <c r="AX713" s="139"/>
      <c r="AY713" s="139"/>
    </row>
    <row r="714" spans="2:53" ht="15" customHeight="1" x14ac:dyDescent="0.4">
      <c r="B714" s="8"/>
      <c r="C714" s="573"/>
      <c r="D714" s="573"/>
      <c r="E714" s="573"/>
      <c r="F714" s="573"/>
      <c r="G714" s="691" t="s">
        <v>972</v>
      </c>
      <c r="H714" s="574"/>
      <c r="I714" s="2035" t="s">
        <v>973</v>
      </c>
      <c r="J714" s="2035"/>
      <c r="K714" s="2035"/>
      <c r="L714" s="577" t="s">
        <v>483</v>
      </c>
      <c r="M714" s="575">
        <v>0.8</v>
      </c>
      <c r="N714" s="575"/>
      <c r="O714" s="575"/>
      <c r="P714" s="575"/>
      <c r="Q714" s="575"/>
      <c r="R714" s="737" t="s">
        <v>352</v>
      </c>
      <c r="S714" s="856">
        <f>S713*0.8</f>
        <v>588</v>
      </c>
      <c r="T714" s="578" t="s">
        <v>590</v>
      </c>
      <c r="U714" s="574"/>
      <c r="V714" s="577"/>
      <c r="W714" s="577"/>
      <c r="X714" s="577"/>
      <c r="Y714" s="577"/>
      <c r="Z714" s="577"/>
      <c r="AA714" s="743"/>
      <c r="AB714" s="577"/>
      <c r="AC714" s="577"/>
      <c r="AD714" s="577"/>
      <c r="AE714" s="577"/>
      <c r="AF714" s="577"/>
      <c r="AG714" s="577"/>
      <c r="AH714" s="577"/>
      <c r="AI714" s="577"/>
      <c r="AJ714" s="577"/>
      <c r="AK714" s="577"/>
      <c r="AL714" s="577"/>
      <c r="AM714" s="577" t="s">
        <v>81</v>
      </c>
      <c r="AN714" s="577" t="s">
        <v>81</v>
      </c>
      <c r="AO714" s="577" t="s">
        <v>81</v>
      </c>
      <c r="AP714" s="577" t="s">
        <v>81</v>
      </c>
      <c r="AQ714" s="577"/>
      <c r="AR714" s="518"/>
      <c r="AU714" s="139"/>
      <c r="AV714" s="139"/>
      <c r="AW714" s="139"/>
      <c r="AX714" s="139"/>
      <c r="AY714" s="139"/>
    </row>
    <row r="715" spans="2:53" ht="15" customHeight="1" x14ac:dyDescent="0.4">
      <c r="B715" s="8"/>
      <c r="C715" s="4" t="s">
        <v>994</v>
      </c>
      <c r="J715" s="38"/>
      <c r="R715" s="30"/>
      <c r="T715" s="376"/>
      <c r="V715" s="38" t="s">
        <v>8</v>
      </c>
      <c r="W715" s="38" t="s">
        <v>8</v>
      </c>
      <c r="X715" s="38" t="s">
        <v>8</v>
      </c>
      <c r="Y715" s="1443">
        <v>120009000</v>
      </c>
      <c r="Z715" s="1443"/>
      <c r="AA715" s="10"/>
      <c r="AB715" s="3">
        <v>45</v>
      </c>
      <c r="AE715" s="5" t="s">
        <v>1000</v>
      </c>
      <c r="AF715" s="38" t="s">
        <v>8</v>
      </c>
      <c r="AG715" s="38" t="s">
        <v>8</v>
      </c>
      <c r="AH715" s="51">
        <f>'Single Hung'!AI1187</f>
        <v>55.92</v>
      </c>
      <c r="AL715" s="51"/>
      <c r="AM715" s="3" t="s">
        <v>371</v>
      </c>
      <c r="AN715" s="3" t="s">
        <v>371</v>
      </c>
      <c r="AO715" s="3" t="s">
        <v>371</v>
      </c>
      <c r="AP715" s="3" t="s">
        <v>371</v>
      </c>
      <c r="AR715" s="518"/>
      <c r="AU715" s="139"/>
      <c r="AV715" s="139"/>
      <c r="AW715" s="139"/>
      <c r="AX715" s="139"/>
      <c r="AY715" s="139"/>
    </row>
    <row r="716" spans="2:53" ht="15" customHeight="1" x14ac:dyDescent="0.4">
      <c r="B716" s="8"/>
      <c r="C716" s="4" t="s">
        <v>1189</v>
      </c>
      <c r="J716" s="38"/>
      <c r="R716" s="30"/>
      <c r="T716" s="376"/>
      <c r="V716" s="38" t="s">
        <v>8</v>
      </c>
      <c r="W716" s="38" t="s">
        <v>8</v>
      </c>
      <c r="X716" s="38" t="s">
        <v>8</v>
      </c>
      <c r="Y716" s="1443">
        <v>120010000</v>
      </c>
      <c r="Z716" s="1443"/>
      <c r="AA716" s="10"/>
      <c r="AB716" s="3">
        <v>45</v>
      </c>
      <c r="AE716" s="5" t="s">
        <v>1000</v>
      </c>
      <c r="AF716" s="38" t="s">
        <v>8</v>
      </c>
      <c r="AG716" s="38" t="s">
        <v>8</v>
      </c>
      <c r="AH716" s="51">
        <f>'Single Hung'!AI1189</f>
        <v>74.67</v>
      </c>
      <c r="AM716" s="3" t="s">
        <v>371</v>
      </c>
      <c r="AN716" s="3" t="s">
        <v>371</v>
      </c>
      <c r="AO716" s="3" t="s">
        <v>371</v>
      </c>
      <c r="AP716" s="3" t="s">
        <v>371</v>
      </c>
      <c r="AR716" s="570"/>
      <c r="AS716" s="570"/>
      <c r="AT716" s="570"/>
      <c r="AU716" s="570"/>
      <c r="AV716" s="139"/>
      <c r="AW716" s="139"/>
      <c r="AX716" s="139"/>
      <c r="AY716" s="139"/>
    </row>
    <row r="717" spans="2:53" ht="15" customHeight="1" x14ac:dyDescent="0.4">
      <c r="B717" s="8"/>
      <c r="C717" s="641" t="s">
        <v>1302</v>
      </c>
      <c r="D717" s="749"/>
      <c r="E717" s="749"/>
      <c r="F717" s="749"/>
      <c r="G717" s="749"/>
      <c r="H717" s="750"/>
      <c r="I717" s="750"/>
      <c r="J717" s="750"/>
      <c r="K717" s="750"/>
      <c r="L717" s="750"/>
      <c r="M717" s="750"/>
      <c r="N717" s="750"/>
      <c r="O717" s="750"/>
      <c r="P717" s="750"/>
      <c r="Q717" s="750"/>
      <c r="R717" s="750"/>
      <c r="S717" s="645"/>
      <c r="T717" s="645"/>
      <c r="U717" s="645"/>
      <c r="V717" s="645"/>
      <c r="W717" s="645"/>
      <c r="X717" s="645"/>
      <c r="Y717" s="645"/>
      <c r="Z717" s="645"/>
      <c r="AA717" s="645"/>
      <c r="AB717" s="645"/>
      <c r="AC717" s="645"/>
      <c r="AD717" s="645"/>
      <c r="AE717" s="645"/>
      <c r="AF717" s="751"/>
      <c r="AG717" s="752"/>
      <c r="AH717" s="753"/>
      <c r="AI717" s="754"/>
      <c r="AJ717" s="754"/>
      <c r="AK717" s="648" t="s">
        <v>992</v>
      </c>
      <c r="AL717" s="755">
        <f>SUBTOTAL(109,AL718:AL720)</f>
        <v>0.38976750000000004</v>
      </c>
      <c r="AM717" s="750"/>
      <c r="AN717" s="750"/>
      <c r="AO717" s="750"/>
      <c r="AP717" s="750"/>
      <c r="AQ717" s="750"/>
      <c r="AR717" s="570"/>
      <c r="AS717" s="570"/>
      <c r="AT717" s="570"/>
      <c r="AU717" s="570"/>
      <c r="AV717" s="570"/>
      <c r="AW717" s="139"/>
      <c r="AX717" s="139"/>
    </row>
    <row r="718" spans="2:53" ht="12.75" customHeight="1" x14ac:dyDescent="0.4">
      <c r="B718" s="8"/>
      <c r="C718" s="4" t="s">
        <v>1191</v>
      </c>
      <c r="D718" s="517"/>
      <c r="E718" s="517"/>
      <c r="F718" s="517"/>
      <c r="G718" s="517"/>
      <c r="I718" s="4" t="s">
        <v>392</v>
      </c>
      <c r="L718" s="3" t="s">
        <v>348</v>
      </c>
      <c r="M718" s="3">
        <v>2.75</v>
      </c>
      <c r="N718" s="3"/>
      <c r="O718" s="3"/>
      <c r="P718" s="3"/>
      <c r="Q718" s="3"/>
      <c r="R718" s="3" t="s">
        <v>352</v>
      </c>
      <c r="S718" s="5">
        <f>(SL2Width+M718)</f>
        <v>50.25</v>
      </c>
      <c r="T718" s="3" t="s">
        <v>366</v>
      </c>
      <c r="V718" s="38" t="s">
        <v>8</v>
      </c>
      <c r="W718" s="38" t="s">
        <v>8</v>
      </c>
      <c r="X718" s="38" t="s">
        <v>8</v>
      </c>
      <c r="Y718" s="1443">
        <v>150015000</v>
      </c>
      <c r="Z718" s="3">
        <v>252404</v>
      </c>
      <c r="AB718" s="3">
        <v>45</v>
      </c>
      <c r="AC718" s="56">
        <f>IF(SL2Width&lt;47.5,0,1)</f>
        <v>1</v>
      </c>
      <c r="AD718" s="5">
        <f>S718/80</f>
        <v>0.62812500000000004</v>
      </c>
      <c r="AE718" s="3" t="s">
        <v>385</v>
      </c>
      <c r="AF718" s="38" t="s">
        <v>8</v>
      </c>
      <c r="AG718" s="38" t="s">
        <v>8</v>
      </c>
      <c r="AH718" s="51">
        <f>'Single Hung'!AI1192</f>
        <v>0.59760000000000002</v>
      </c>
      <c r="AI718" s="3"/>
      <c r="AJ718" s="3"/>
      <c r="AK718" s="3"/>
      <c r="AL718" s="51">
        <f>AC718*AD718*AH718+SUM(AI718:AK718)</f>
        <v>0.37536750000000002</v>
      </c>
      <c r="AM718" s="3" t="s">
        <v>371</v>
      </c>
      <c r="AN718" s="3" t="s">
        <v>371</v>
      </c>
      <c r="AO718" s="3" t="s">
        <v>371</v>
      </c>
      <c r="AP718" s="3" t="s">
        <v>371</v>
      </c>
      <c r="AT718" s="850"/>
      <c r="AU718" s="850"/>
      <c r="AV718" s="850"/>
      <c r="AW718" s="139"/>
      <c r="AX718" s="139"/>
    </row>
    <row r="719" spans="2:53" ht="15" customHeight="1" x14ac:dyDescent="0.4">
      <c r="B719" s="8"/>
      <c r="C719" s="4" t="s">
        <v>1006</v>
      </c>
      <c r="D719" s="517"/>
      <c r="E719" s="517"/>
      <c r="F719" s="517"/>
      <c r="G719" s="517"/>
      <c r="I719" s="8"/>
      <c r="M719" s="3"/>
      <c r="N719" s="3"/>
      <c r="O719" s="3"/>
      <c r="P719" s="3"/>
      <c r="Q719" s="3"/>
      <c r="S719" s="56">
        <v>1</v>
      </c>
      <c r="T719" s="376" t="s">
        <v>385</v>
      </c>
      <c r="V719" s="38" t="s">
        <v>8</v>
      </c>
      <c r="W719" s="38" t="s">
        <v>8</v>
      </c>
      <c r="X719" s="38" t="s">
        <v>8</v>
      </c>
      <c r="Y719" s="1443">
        <v>440006000</v>
      </c>
      <c r="Z719" s="3">
        <v>54073</v>
      </c>
      <c r="AB719" s="3">
        <v>45</v>
      </c>
      <c r="AC719" s="56">
        <f>IF(SL2Width&lt;47.5,0,1)</f>
        <v>1</v>
      </c>
      <c r="AD719" s="56">
        <f>IF(SL2Width&lt;36,2,3)</f>
        <v>3</v>
      </c>
      <c r="AE719" s="3" t="s">
        <v>385</v>
      </c>
      <c r="AF719" s="38" t="s">
        <v>8</v>
      </c>
      <c r="AG719" s="38" t="s">
        <v>8</v>
      </c>
      <c r="AH719" s="51">
        <f>'Single Hung'!AI1193</f>
        <v>4.7999999999999996E-3</v>
      </c>
      <c r="AI719" s="5"/>
      <c r="AJ719" s="5"/>
      <c r="AK719" s="842"/>
      <c r="AL719" s="51">
        <f>AC719*AD719*AH719+SUM(AI719:AK719)</f>
        <v>1.44E-2</v>
      </c>
      <c r="AM719" s="3" t="s">
        <v>371</v>
      </c>
      <c r="AN719" s="3" t="s">
        <v>371</v>
      </c>
      <c r="AO719" s="3" t="s">
        <v>371</v>
      </c>
      <c r="AP719" s="3" t="s">
        <v>371</v>
      </c>
      <c r="AT719" s="850"/>
      <c r="AU719" s="850"/>
      <c r="AV719" s="850"/>
      <c r="AW719" s="139"/>
      <c r="AX719" s="139"/>
    </row>
    <row r="720" spans="2:53" ht="15" customHeight="1" x14ac:dyDescent="0.4">
      <c r="B720" s="8"/>
      <c r="C720" s="4" t="s">
        <v>1007</v>
      </c>
      <c r="D720" s="3"/>
      <c r="J720" s="38"/>
      <c r="R720" s="30"/>
      <c r="S720" s="56">
        <v>1</v>
      </c>
      <c r="T720" s="376" t="s">
        <v>385</v>
      </c>
      <c r="V720" s="38" t="s">
        <v>8</v>
      </c>
      <c r="W720" s="38" t="s">
        <v>8</v>
      </c>
      <c r="X720" s="38" t="s">
        <v>8</v>
      </c>
      <c r="Y720" s="1443">
        <v>170178000</v>
      </c>
      <c r="Z720" s="1443"/>
      <c r="AA720" s="10"/>
      <c r="AB720" s="3">
        <v>42</v>
      </c>
      <c r="AC720" s="56">
        <f>IF(SL2Width&lt;47.5,0,1)</f>
        <v>1</v>
      </c>
      <c r="AD720" s="56">
        <v>1</v>
      </c>
      <c r="AE720" s="5" t="s">
        <v>385</v>
      </c>
      <c r="AF720" s="38" t="s">
        <v>8</v>
      </c>
      <c r="AG720" s="38" t="s">
        <v>8</v>
      </c>
      <c r="AH720" s="844">
        <f>'Single Hung'!AI1194</f>
        <v>0</v>
      </c>
      <c r="AL720" s="51">
        <f>AC720*AD720*AH720+SUM(AI720:AK720)</f>
        <v>0</v>
      </c>
      <c r="AM720" s="3" t="s">
        <v>371</v>
      </c>
      <c r="AN720" s="3" t="s">
        <v>371</v>
      </c>
      <c r="AO720" s="3" t="s">
        <v>371</v>
      </c>
      <c r="AP720" s="3" t="s">
        <v>371</v>
      </c>
      <c r="AT720" s="139"/>
      <c r="AU720" s="139"/>
      <c r="AV720" s="139"/>
      <c r="AW720" s="139"/>
      <c r="AX720" s="139"/>
    </row>
    <row r="721" spans="1:51" ht="15" customHeight="1" x14ac:dyDescent="0.4">
      <c r="B721" s="8"/>
      <c r="C721" s="4"/>
      <c r="D721" s="3"/>
      <c r="J721" s="38"/>
      <c r="R721" s="30"/>
      <c r="S721" s="56"/>
      <c r="T721" s="376"/>
      <c r="V721" s="38"/>
      <c r="W721" s="38"/>
      <c r="X721" s="38"/>
      <c r="AA721" s="10"/>
      <c r="AC721" s="56"/>
      <c r="AD721" s="56"/>
      <c r="AF721" s="38"/>
      <c r="AG721" s="38"/>
      <c r="AH721" s="844"/>
      <c r="AL721" s="51"/>
      <c r="AT721" s="139"/>
      <c r="AU721" s="139"/>
      <c r="AV721" s="139"/>
      <c r="AW721" s="139"/>
      <c r="AX721" s="139"/>
    </row>
    <row r="722" spans="1:51" ht="15" customHeight="1" x14ac:dyDescent="0.4">
      <c r="B722" s="8"/>
      <c r="C722" s="4"/>
      <c r="J722" s="38"/>
      <c r="R722" s="30"/>
      <c r="T722" s="376"/>
      <c r="V722" s="38"/>
      <c r="W722" s="38"/>
      <c r="X722" s="38"/>
      <c r="AA722" s="10"/>
      <c r="AF722" s="38"/>
      <c r="AG722" s="38"/>
      <c r="AR722" s="570"/>
      <c r="AS722" s="570"/>
      <c r="AT722" s="570"/>
      <c r="AU722" s="570"/>
      <c r="AV722" s="139"/>
      <c r="AW722" s="139"/>
      <c r="AX722" s="139"/>
      <c r="AY722" s="139"/>
    </row>
    <row r="723" spans="1:51" ht="15" customHeight="1" x14ac:dyDescent="0.4">
      <c r="B723" s="8"/>
      <c r="C723" s="4"/>
      <c r="J723" s="38"/>
      <c r="R723" s="30"/>
      <c r="T723" s="376"/>
      <c r="V723" s="38"/>
      <c r="W723" s="38"/>
      <c r="X723" s="38"/>
      <c r="AA723" s="10"/>
      <c r="AF723" s="38"/>
      <c r="AG723" s="38"/>
      <c r="AR723" s="570"/>
      <c r="AS723" s="570"/>
      <c r="AT723" s="570"/>
      <c r="AU723" s="570"/>
      <c r="AV723" s="139"/>
      <c r="AW723" s="139"/>
      <c r="AX723" s="139"/>
      <c r="AY723" s="139"/>
    </row>
    <row r="724" spans="1:51" ht="15" customHeight="1" x14ac:dyDescent="0.4">
      <c r="A724" s="14"/>
      <c r="B724" s="10"/>
      <c r="C724" s="11"/>
      <c r="D724" s="12"/>
      <c r="E724" s="12"/>
      <c r="F724" s="12"/>
      <c r="G724" s="13"/>
      <c r="I724" s="15"/>
      <c r="J724" s="16"/>
      <c r="K724" s="14"/>
      <c r="L724" s="16"/>
      <c r="M724" s="17"/>
      <c r="N724" s="17"/>
      <c r="O724" s="17"/>
      <c r="P724" s="17"/>
      <c r="Q724" s="17"/>
      <c r="R724" s="16"/>
      <c r="S724" s="17"/>
      <c r="T724" s="16"/>
      <c r="V724" s="14"/>
      <c r="W724" s="18"/>
      <c r="X724" s="18"/>
      <c r="Y724" s="14"/>
      <c r="Z724" s="14"/>
      <c r="AB724" s="17"/>
      <c r="AC724" s="14"/>
      <c r="AD724" s="17"/>
      <c r="AE724" s="10"/>
      <c r="AF724" s="10"/>
      <c r="AG724" s="10"/>
      <c r="AH724" s="48"/>
      <c r="AI724" s="48"/>
      <c r="AJ724" s="48"/>
      <c r="AK724" s="48"/>
      <c r="AL724" s="19"/>
      <c r="AM724" s="824" t="s">
        <v>2263</v>
      </c>
      <c r="AN724" s="19"/>
      <c r="AO724" s="19"/>
      <c r="AP724" s="19"/>
      <c r="AQ724" s="19"/>
      <c r="AR724" s="570"/>
      <c r="AS724" s="570"/>
      <c r="AT724" s="570"/>
      <c r="AU724" s="570"/>
    </row>
    <row r="725" spans="1:51" ht="15" customHeight="1" x14ac:dyDescent="0.4">
      <c r="D725" s="452"/>
      <c r="E725" s="452"/>
      <c r="F725" s="452"/>
      <c r="G725" s="453"/>
      <c r="H725" s="3"/>
      <c r="I725" s="443"/>
      <c r="J725" s="376"/>
      <c r="L725" s="376"/>
      <c r="R725" s="376"/>
      <c r="T725" s="376"/>
      <c r="U725" s="3"/>
      <c r="W725" s="6"/>
      <c r="X725" s="6"/>
      <c r="AA725" s="3"/>
      <c r="AB725" s="5"/>
      <c r="AE725" s="4"/>
      <c r="AF725" s="4"/>
      <c r="AG725" s="4"/>
      <c r="AI725" s="39"/>
      <c r="AJ725" s="39"/>
      <c r="AK725" s="39"/>
      <c r="AR725" s="570"/>
      <c r="AS725" s="570"/>
      <c r="AT725" s="570"/>
      <c r="AU725" s="570"/>
    </row>
    <row r="726" spans="1:51" ht="20.25" customHeight="1" x14ac:dyDescent="0.4">
      <c r="B726" s="76" t="s">
        <v>1008</v>
      </c>
      <c r="D726" s="452"/>
      <c r="E726" s="452"/>
      <c r="F726" s="452"/>
      <c r="G726" s="453"/>
      <c r="H726" s="3"/>
      <c r="I726" s="443"/>
      <c r="J726" s="376"/>
      <c r="L726" s="376"/>
      <c r="R726" s="376"/>
      <c r="T726" s="376"/>
      <c r="U726" s="3"/>
      <c r="W726" s="6"/>
      <c r="X726" s="6"/>
      <c r="AA726" s="3"/>
      <c r="AB726" s="5"/>
      <c r="AE726" s="4"/>
      <c r="AF726" s="4"/>
      <c r="AG726" s="4"/>
      <c r="AI726" s="39"/>
      <c r="AJ726" s="39"/>
      <c r="AK726" s="39"/>
      <c r="AR726" s="570"/>
      <c r="AS726" s="570"/>
      <c r="AT726" s="570"/>
      <c r="AU726" s="570"/>
    </row>
    <row r="727" spans="1:51" ht="15" customHeight="1" x14ac:dyDescent="0.25">
      <c r="B727" s="81" t="s">
        <v>1009</v>
      </c>
      <c r="C727" s="525"/>
      <c r="D727" s="526"/>
      <c r="E727" s="526"/>
      <c r="F727" s="526"/>
      <c r="G727" s="527"/>
      <c r="H727" s="438"/>
      <c r="I727" s="124" t="s">
        <v>392</v>
      </c>
      <c r="J727" s="528" t="s">
        <v>346</v>
      </c>
      <c r="K727" s="438">
        <v>2</v>
      </c>
      <c r="L727" s="528" t="s">
        <v>348</v>
      </c>
      <c r="M727" s="529">
        <v>-3.43</v>
      </c>
      <c r="N727" s="530"/>
      <c r="O727" s="530"/>
      <c r="P727" s="530" t="s">
        <v>348</v>
      </c>
      <c r="Q727" s="530" t="s">
        <v>2342</v>
      </c>
      <c r="R727" s="528" t="s">
        <v>352</v>
      </c>
      <c r="S727" s="530">
        <f>SL2Width/K727+M727+SL2SORnd</f>
        <v>20.32</v>
      </c>
      <c r="T727" s="528" t="s">
        <v>366</v>
      </c>
      <c r="U727" s="3"/>
      <c r="W727" s="6"/>
      <c r="X727" s="6"/>
      <c r="AA727" s="3"/>
      <c r="AB727" s="5"/>
      <c r="AE727" s="4"/>
      <c r="AF727" s="4"/>
      <c r="AG727" s="4"/>
      <c r="AI727" s="39"/>
      <c r="AJ727" s="39"/>
      <c r="AK727" s="39"/>
    </row>
    <row r="728" spans="1:51" ht="15" customHeight="1" thickBot="1" x14ac:dyDescent="0.3">
      <c r="B728" s="81" t="s">
        <v>1010</v>
      </c>
      <c r="C728" s="438"/>
      <c r="D728" s="526"/>
      <c r="E728" s="526"/>
      <c r="F728" s="526"/>
      <c r="G728" s="527"/>
      <c r="H728" s="438"/>
      <c r="I728" s="124" t="s">
        <v>365</v>
      </c>
      <c r="J728" s="528"/>
      <c r="K728" s="438"/>
      <c r="L728" s="528" t="s">
        <v>348</v>
      </c>
      <c r="M728" s="529">
        <v>-5.1139999999999999</v>
      </c>
      <c r="N728" s="530"/>
      <c r="O728" s="530"/>
      <c r="P728" s="530"/>
      <c r="Q728" s="530"/>
      <c r="R728" s="528" t="s">
        <v>352</v>
      </c>
      <c r="S728" s="530">
        <f>SL2Height+M728</f>
        <v>42.386000000000003</v>
      </c>
      <c r="T728" s="528" t="s">
        <v>366</v>
      </c>
      <c r="U728" s="3"/>
      <c r="W728" s="376"/>
      <c r="X728" s="376"/>
      <c r="AA728" s="3"/>
      <c r="AB728" s="5"/>
      <c r="AC728" s="5"/>
      <c r="AE728" s="4"/>
      <c r="AF728" s="4"/>
      <c r="AG728" s="4"/>
      <c r="AI728" s="39"/>
      <c r="AJ728" s="39"/>
      <c r="AK728" s="39"/>
    </row>
    <row r="729" spans="1:51" ht="15" customHeight="1" thickBot="1" x14ac:dyDescent="0.3">
      <c r="D729" s="452"/>
      <c r="E729" s="452"/>
      <c r="F729" s="452"/>
      <c r="G729" s="453"/>
      <c r="H729" s="3"/>
      <c r="I729" s="295" t="s">
        <v>1011</v>
      </c>
      <c r="J729" s="376"/>
      <c r="L729" s="376"/>
      <c r="P729" s="5" t="s">
        <v>346</v>
      </c>
      <c r="Q729" s="56">
        <v>144</v>
      </c>
      <c r="R729" s="376" t="s">
        <v>352</v>
      </c>
      <c r="S729" s="1986">
        <f>S727*S728/Q729</f>
        <v>5.9811355555555563</v>
      </c>
      <c r="T729" s="1987"/>
      <c r="U729" s="3"/>
      <c r="V729" s="8" t="s">
        <v>1012</v>
      </c>
      <c r="W729" s="376"/>
      <c r="X729" s="376"/>
      <c r="AA729" s="3"/>
      <c r="AE729" s="4"/>
      <c r="AF729" s="4"/>
      <c r="AG729" s="4"/>
      <c r="AI729" s="39"/>
      <c r="AJ729" s="39"/>
      <c r="AK729" s="39"/>
    </row>
    <row r="730" spans="1:51" ht="15" customHeight="1" thickBot="1" x14ac:dyDescent="0.45">
      <c r="D730" s="452"/>
      <c r="E730" s="452"/>
      <c r="F730" s="452"/>
      <c r="G730" s="453"/>
      <c r="H730" s="3"/>
      <c r="I730" s="443"/>
      <c r="J730" s="376"/>
      <c r="L730" s="376"/>
      <c r="M730" s="3"/>
      <c r="N730" s="3"/>
      <c r="O730" s="3"/>
      <c r="P730" s="3"/>
      <c r="Q730" s="3"/>
      <c r="R730" s="376"/>
      <c r="S730" s="1986">
        <f>S727*S728</f>
        <v>861.28352000000007</v>
      </c>
      <c r="T730" s="1987"/>
      <c r="U730" s="3"/>
      <c r="V730" s="8" t="s">
        <v>1013</v>
      </c>
      <c r="W730" s="376"/>
      <c r="X730" s="376"/>
      <c r="AA730" s="3"/>
      <c r="AE730" s="4"/>
      <c r="AF730" s="4"/>
      <c r="AG730" s="4"/>
      <c r="AI730" s="39"/>
      <c r="AJ730" s="39"/>
      <c r="AK730" s="39"/>
    </row>
    <row r="731" spans="1:51" ht="24" customHeight="1" x14ac:dyDescent="0.4">
      <c r="B731" s="76" t="s">
        <v>1303</v>
      </c>
      <c r="D731" s="452"/>
      <c r="E731" s="452"/>
      <c r="F731" s="452"/>
      <c r="G731" s="453"/>
      <c r="H731" s="3"/>
      <c r="I731" s="443"/>
      <c r="J731" s="376"/>
      <c r="L731" s="376"/>
      <c r="M731" s="3"/>
      <c r="N731" s="3"/>
      <c r="O731" s="3"/>
      <c r="P731" s="3"/>
      <c r="Q731" s="3"/>
      <c r="R731" s="376"/>
      <c r="T731" s="376"/>
      <c r="U731" s="3"/>
      <c r="W731" s="6"/>
      <c r="X731" s="6"/>
      <c r="AA731" s="3"/>
      <c r="AB731" s="5"/>
      <c r="AE731" s="4"/>
      <c r="AF731" s="4"/>
      <c r="AG731" s="4"/>
      <c r="AI731" s="39"/>
      <c r="AJ731" s="39"/>
      <c r="AK731" s="39"/>
    </row>
    <row r="732" spans="1:51" ht="15" customHeight="1" x14ac:dyDescent="0.4">
      <c r="B732" s="8"/>
      <c r="C732" s="531" t="str">
        <f>"Fixed Glass Daylight Opening: "&amp;$S$736&amp;" W x "&amp;$S$737&amp;" H"</f>
        <v>Fixed Glass Daylight Opening: 20.062 W x 42.375 H</v>
      </c>
      <c r="D732" s="37"/>
      <c r="E732" s="37"/>
      <c r="F732" s="37"/>
      <c r="G732" s="37"/>
      <c r="H732" s="59"/>
      <c r="I732" s="59"/>
      <c r="J732" s="59"/>
      <c r="K732" s="59"/>
      <c r="L732" s="59"/>
      <c r="M732" s="60"/>
      <c r="N732" s="60"/>
      <c r="O732" s="60"/>
      <c r="P732" s="60"/>
      <c r="Q732" s="60"/>
      <c r="R732" s="65"/>
      <c r="S732" s="60"/>
      <c r="T732" s="65"/>
      <c r="U732" s="59"/>
      <c r="V732" s="67"/>
      <c r="W732" s="59"/>
      <c r="X732" s="67"/>
      <c r="Y732" s="68"/>
      <c r="Z732" s="68"/>
      <c r="AA732" s="59"/>
      <c r="AB732" s="59"/>
      <c r="AC732" s="69"/>
      <c r="AD732" s="60"/>
      <c r="AE732" s="60"/>
      <c r="AF732" s="60"/>
      <c r="AG732" s="60"/>
      <c r="AH732" s="532"/>
      <c r="AI732" s="532"/>
      <c r="AJ732" s="532"/>
      <c r="AK732" s="532"/>
      <c r="AL732" s="533"/>
    </row>
    <row r="733" spans="1:51" ht="15" customHeight="1" x14ac:dyDescent="0.25">
      <c r="B733" s="79"/>
      <c r="C733" s="80" t="s">
        <v>1304</v>
      </c>
      <c r="D733" s="526"/>
      <c r="E733" s="526"/>
      <c r="F733" s="526"/>
      <c r="G733" s="527"/>
      <c r="H733" s="438"/>
      <c r="I733" s="534"/>
      <c r="J733" s="528"/>
      <c r="K733" s="438"/>
      <c r="L733" s="528"/>
      <c r="M733" s="530"/>
      <c r="N733" s="530"/>
      <c r="O733" s="530"/>
      <c r="P733" s="530"/>
      <c r="Q733" s="530"/>
      <c r="R733" s="528"/>
      <c r="S733" s="530"/>
      <c r="T733" s="528"/>
      <c r="U733" s="3"/>
      <c r="W733" s="6"/>
      <c r="X733" s="6"/>
      <c r="AA733" s="3"/>
      <c r="AB733" s="5"/>
      <c r="AE733" s="4"/>
      <c r="AF733" s="4"/>
      <c r="AG733" s="4"/>
    </row>
    <row r="734" spans="1:51" ht="13.2" x14ac:dyDescent="0.25">
      <c r="A734" s="95" t="s">
        <v>1305</v>
      </c>
      <c r="B734" s="79"/>
      <c r="C734" s="3"/>
      <c r="D734" s="358" t="s">
        <v>1305</v>
      </c>
      <c r="E734" s="526"/>
      <c r="F734" s="526"/>
      <c r="G734" s="527"/>
      <c r="H734" s="438"/>
      <c r="I734" s="534" t="s">
        <v>392</v>
      </c>
      <c r="J734" s="528" t="s">
        <v>346</v>
      </c>
      <c r="K734" s="438">
        <v>2</v>
      </c>
      <c r="L734" s="528" t="s">
        <v>348</v>
      </c>
      <c r="M734" s="529">
        <v>-2.8119999999999998</v>
      </c>
      <c r="N734" s="530"/>
      <c r="O734" s="530"/>
      <c r="P734" s="530" t="s">
        <v>456</v>
      </c>
      <c r="Q734" s="530" t="s">
        <v>2342</v>
      </c>
      <c r="R734" s="528" t="s">
        <v>352</v>
      </c>
      <c r="S734" s="530">
        <f>SL2Width/K734+M734-SL2SORnd</f>
        <v>20.937999999999999</v>
      </c>
      <c r="T734" s="528" t="s">
        <v>366</v>
      </c>
      <c r="U734" s="3"/>
      <c r="AA734" s="3"/>
      <c r="AE734" s="4"/>
      <c r="AF734" s="4"/>
      <c r="AG734" s="4"/>
    </row>
    <row r="735" spans="1:51" s="577" customFormat="1" ht="15" customHeight="1" x14ac:dyDescent="0.25">
      <c r="A735" s="95" t="s">
        <v>1306</v>
      </c>
      <c r="B735" s="79"/>
      <c r="D735" s="358" t="s">
        <v>1306</v>
      </c>
      <c r="E735" s="526"/>
      <c r="F735" s="526"/>
      <c r="G735" s="527"/>
      <c r="H735" s="438"/>
      <c r="I735" s="534" t="s">
        <v>365</v>
      </c>
      <c r="J735" s="528"/>
      <c r="K735" s="438"/>
      <c r="L735" s="528" t="s">
        <v>348</v>
      </c>
      <c r="M735" s="529">
        <v>-4.25</v>
      </c>
      <c r="N735" s="530"/>
      <c r="O735" s="530"/>
      <c r="P735" s="530"/>
      <c r="Q735" s="530"/>
      <c r="R735" s="528" t="s">
        <v>352</v>
      </c>
      <c r="S735" s="530">
        <f>SL2Height+M735</f>
        <v>43.25</v>
      </c>
      <c r="T735" s="528" t="s">
        <v>366</v>
      </c>
      <c r="U735" s="3"/>
      <c r="V735" s="3"/>
      <c r="W735" s="3"/>
      <c r="X735" s="3"/>
      <c r="Y735" s="3"/>
      <c r="Z735" s="3"/>
      <c r="AA735" s="3"/>
      <c r="AB735" s="3"/>
      <c r="AC735" s="3"/>
      <c r="AD735" s="5"/>
      <c r="AE735" s="4"/>
      <c r="AF735" s="4"/>
      <c r="AG735" s="4"/>
      <c r="AH735" s="51"/>
      <c r="AI735" s="51"/>
      <c r="AJ735" s="51"/>
      <c r="AK735" s="51"/>
      <c r="AL735" s="39"/>
      <c r="AM735" s="3"/>
      <c r="AN735" s="3"/>
      <c r="AO735" s="3"/>
      <c r="AP735" s="3"/>
      <c r="AQ735" s="3"/>
      <c r="AR735" s="3"/>
      <c r="AS735" s="3"/>
      <c r="AT735" s="3"/>
    </row>
    <row r="736" spans="1:51" ht="15" customHeight="1" x14ac:dyDescent="0.25">
      <c r="B736" s="79"/>
      <c r="C736" s="577"/>
      <c r="D736" s="358" t="s">
        <v>1307</v>
      </c>
      <c r="E736" s="526"/>
      <c r="F736" s="526"/>
      <c r="G736" s="527"/>
      <c r="H736" s="438"/>
      <c r="I736" s="534" t="s">
        <v>392</v>
      </c>
      <c r="J736" s="528" t="s">
        <v>346</v>
      </c>
      <c r="K736" s="438">
        <v>2</v>
      </c>
      <c r="L736" s="528" t="s">
        <v>348</v>
      </c>
      <c r="M736" s="529">
        <v>-3.6880000000000002</v>
      </c>
      <c r="N736" s="530"/>
      <c r="O736" s="530"/>
      <c r="P736" s="530" t="s">
        <v>456</v>
      </c>
      <c r="Q736" s="530" t="s">
        <v>2342</v>
      </c>
      <c r="R736" s="528" t="s">
        <v>352</v>
      </c>
      <c r="S736" s="530">
        <f>SL2Width/K736+M736-SL2SORnd</f>
        <v>20.062000000000001</v>
      </c>
      <c r="T736" s="528" t="s">
        <v>366</v>
      </c>
      <c r="U736" s="3"/>
      <c r="AA736" s="3"/>
      <c r="AE736" s="4"/>
      <c r="AF736" s="4"/>
      <c r="AG736" s="4"/>
    </row>
    <row r="737" spans="1:46" ht="15" customHeight="1" x14ac:dyDescent="0.25">
      <c r="B737" s="79"/>
      <c r="C737" s="577"/>
      <c r="D737" s="358" t="s">
        <v>1308</v>
      </c>
      <c r="E737" s="526"/>
      <c r="F737" s="526"/>
      <c r="G737" s="527"/>
      <c r="H737" s="438"/>
      <c r="I737" s="534" t="s">
        <v>365</v>
      </c>
      <c r="J737" s="528"/>
      <c r="K737" s="438"/>
      <c r="L737" s="528" t="s">
        <v>348</v>
      </c>
      <c r="M737" s="529">
        <v>-5.125</v>
      </c>
      <c r="N737" s="530"/>
      <c r="O737" s="530"/>
      <c r="P737" s="530"/>
      <c r="Q737" s="530"/>
      <c r="R737" s="528" t="s">
        <v>352</v>
      </c>
      <c r="S737" s="530">
        <f>SL2Height+M737</f>
        <v>42.375</v>
      </c>
      <c r="T737" s="528" t="s">
        <v>366</v>
      </c>
      <c r="U737" s="3"/>
      <c r="AA737" s="3"/>
      <c r="AE737" s="4"/>
      <c r="AF737" s="4"/>
      <c r="AG737" s="4"/>
    </row>
    <row r="738" spans="1:46" ht="15" customHeight="1" x14ac:dyDescent="0.25">
      <c r="B738" s="79"/>
      <c r="C738" s="296" t="s">
        <v>1022</v>
      </c>
      <c r="D738" s="526"/>
      <c r="E738" s="526"/>
      <c r="F738" s="526"/>
      <c r="G738" s="527"/>
      <c r="H738" s="438"/>
      <c r="I738" s="534" t="s">
        <v>1023</v>
      </c>
      <c r="J738" s="528" t="s">
        <v>346</v>
      </c>
      <c r="K738" s="438"/>
      <c r="L738" s="528"/>
      <c r="M738" s="125">
        <v>144</v>
      </c>
      <c r="N738" s="530"/>
      <c r="O738" s="530"/>
      <c r="P738" s="530"/>
      <c r="Q738" s="530"/>
      <c r="R738" s="528" t="s">
        <v>352</v>
      </c>
      <c r="S738" s="528">
        <f>S736*S737/M738</f>
        <v>5.9036614583333336</v>
      </c>
      <c r="T738" s="528" t="s">
        <v>1208</v>
      </c>
      <c r="U738" s="3"/>
      <c r="AA738" s="3"/>
      <c r="AE738" s="4"/>
      <c r="AF738" s="4"/>
      <c r="AG738" s="4"/>
    </row>
    <row r="739" spans="1:46" ht="15" customHeight="1" x14ac:dyDescent="0.4">
      <c r="B739" s="8"/>
      <c r="C739" s="531" t="str">
        <f>"Sash Glass Daylight Opening: "&amp;$S$742&amp;" W x "&amp;$S$743&amp;" H"</f>
        <v>Sash Glass Daylight Opening: 18.875 W x 41.062 H</v>
      </c>
      <c r="D739" s="37"/>
      <c r="E739" s="37"/>
      <c r="F739" s="37"/>
      <c r="G739" s="37"/>
      <c r="H739" s="59"/>
      <c r="I739" s="59"/>
      <c r="J739" s="59"/>
      <c r="K739" s="59"/>
      <c r="L739" s="59"/>
      <c r="M739" s="60"/>
      <c r="N739" s="60"/>
      <c r="O739" s="60"/>
      <c r="P739" s="60"/>
      <c r="Q739" s="60"/>
      <c r="R739" s="65"/>
      <c r="S739" s="60"/>
      <c r="T739" s="65"/>
      <c r="U739" s="59"/>
      <c r="V739" s="67"/>
      <c r="W739" s="69"/>
      <c r="X739" s="69"/>
      <c r="Y739" s="69"/>
      <c r="Z739" s="69"/>
      <c r="AA739" s="69"/>
      <c r="AB739" s="69"/>
      <c r="AC739" s="69"/>
      <c r="AD739" s="60"/>
      <c r="AE739" s="60"/>
      <c r="AF739" s="60"/>
      <c r="AG739" s="60"/>
      <c r="AH739" s="532"/>
      <c r="AI739" s="532"/>
      <c r="AJ739" s="532"/>
      <c r="AK739" s="532"/>
      <c r="AL739" s="533"/>
    </row>
    <row r="740" spans="1:46" ht="15" customHeight="1" x14ac:dyDescent="0.25">
      <c r="A740" s="95" t="s">
        <v>1309</v>
      </c>
      <c r="B740" s="79"/>
      <c r="C740" s="349" t="s">
        <v>1310</v>
      </c>
      <c r="D740" s="358" t="s">
        <v>1309</v>
      </c>
      <c r="E740" s="526"/>
      <c r="F740" s="526"/>
      <c r="G740" s="527"/>
      <c r="H740" s="438"/>
      <c r="I740" s="534" t="s">
        <v>392</v>
      </c>
      <c r="J740" s="528" t="s">
        <v>346</v>
      </c>
      <c r="K740" s="438">
        <v>2</v>
      </c>
      <c r="L740" s="528" t="s">
        <v>348</v>
      </c>
      <c r="M740" s="529">
        <v>-3.875</v>
      </c>
      <c r="N740" s="530"/>
      <c r="O740" s="530"/>
      <c r="P740" s="530" t="s">
        <v>348</v>
      </c>
      <c r="Q740" s="530" t="s">
        <v>2342</v>
      </c>
      <c r="R740" s="528" t="s">
        <v>352</v>
      </c>
      <c r="S740" s="530">
        <f>SL2Width/K740+M740+SL2SORnd</f>
        <v>19.875</v>
      </c>
      <c r="T740" s="528" t="s">
        <v>366</v>
      </c>
      <c r="U740" s="3"/>
      <c r="W740" s="6"/>
      <c r="X740" s="6"/>
      <c r="AA740" s="3"/>
      <c r="AB740" s="5"/>
      <c r="AE740" s="4"/>
      <c r="AF740" s="4"/>
      <c r="AG740" s="4"/>
      <c r="AI740" s="39"/>
      <c r="AJ740" s="39"/>
      <c r="AK740" s="39"/>
    </row>
    <row r="741" spans="1:46" s="577" customFormat="1" ht="15" customHeight="1" x14ac:dyDescent="0.25">
      <c r="A741" s="95" t="s">
        <v>1311</v>
      </c>
      <c r="B741" s="79"/>
      <c r="C741" s="349" t="s">
        <v>1312</v>
      </c>
      <c r="D741" s="358" t="s">
        <v>1311</v>
      </c>
      <c r="E741" s="526"/>
      <c r="F741" s="526"/>
      <c r="G741" s="527"/>
      <c r="H741" s="438"/>
      <c r="I741" s="534" t="s">
        <v>365</v>
      </c>
      <c r="J741" s="528"/>
      <c r="K741" s="438"/>
      <c r="L741" s="528" t="s">
        <v>348</v>
      </c>
      <c r="M741" s="529">
        <v>-5.375</v>
      </c>
      <c r="N741" s="530"/>
      <c r="O741" s="530"/>
      <c r="P741" s="530"/>
      <c r="Q741" s="530"/>
      <c r="R741" s="528" t="s">
        <v>352</v>
      </c>
      <c r="S741" s="530">
        <f>SL2Height+M741</f>
        <v>42.125</v>
      </c>
      <c r="T741" s="528" t="s">
        <v>366</v>
      </c>
      <c r="U741" s="3"/>
      <c r="V741" s="3"/>
      <c r="W741" s="6"/>
      <c r="X741" s="6"/>
      <c r="Y741" s="3"/>
      <c r="Z741" s="3"/>
      <c r="AA741" s="3"/>
      <c r="AB741" s="5"/>
      <c r="AC741" s="3"/>
      <c r="AD741" s="5"/>
      <c r="AE741" s="4"/>
      <c r="AF741" s="4"/>
      <c r="AG741" s="4"/>
      <c r="AH741" s="51"/>
      <c r="AI741" s="39"/>
      <c r="AJ741" s="39"/>
      <c r="AK741" s="39"/>
      <c r="AL741" s="39"/>
      <c r="AM741" s="3"/>
      <c r="AN741" s="3"/>
      <c r="AO741" s="3"/>
      <c r="AP741" s="3"/>
      <c r="AQ741" s="3"/>
      <c r="AR741" s="3"/>
      <c r="AS741" s="3"/>
      <c r="AT741" s="3"/>
    </row>
    <row r="742" spans="1:46" ht="15" customHeight="1" x14ac:dyDescent="0.25">
      <c r="B742" s="79"/>
      <c r="C742" s="296"/>
      <c r="D742" s="358" t="s">
        <v>1313</v>
      </c>
      <c r="E742" s="526"/>
      <c r="F742" s="526"/>
      <c r="G742" s="527"/>
      <c r="H742" s="438"/>
      <c r="I742" s="534" t="s">
        <v>392</v>
      </c>
      <c r="J742" s="528" t="s">
        <v>346</v>
      </c>
      <c r="K742" s="438">
        <v>2</v>
      </c>
      <c r="L742" s="528" t="s">
        <v>348</v>
      </c>
      <c r="M742" s="529">
        <v>-4.875</v>
      </c>
      <c r="N742" s="530"/>
      <c r="O742" s="530"/>
      <c r="P742" s="530" t="s">
        <v>348</v>
      </c>
      <c r="Q742" s="530" t="s">
        <v>2342</v>
      </c>
      <c r="R742" s="528" t="s">
        <v>352</v>
      </c>
      <c r="S742" s="530">
        <f>SL2Width/K742+M742+SL2SORnd</f>
        <v>18.875</v>
      </c>
      <c r="T742" s="528" t="s">
        <v>366</v>
      </c>
      <c r="U742" s="3"/>
      <c r="W742" s="6"/>
      <c r="X742" s="6"/>
      <c r="AA742" s="3"/>
      <c r="AB742" s="5"/>
      <c r="AE742" s="4"/>
      <c r="AF742" s="4"/>
      <c r="AG742" s="4"/>
      <c r="AI742" s="39"/>
      <c r="AJ742" s="39"/>
      <c r="AK742" s="39"/>
    </row>
    <row r="743" spans="1:46" ht="15" customHeight="1" x14ac:dyDescent="0.25">
      <c r="B743" s="79"/>
      <c r="C743" s="296"/>
      <c r="D743" s="358" t="s">
        <v>1314</v>
      </c>
      <c r="E743" s="526"/>
      <c r="F743" s="526"/>
      <c r="G743" s="527"/>
      <c r="H743" s="438"/>
      <c r="I743" s="534" t="s">
        <v>365</v>
      </c>
      <c r="J743" s="528"/>
      <c r="K743" s="438"/>
      <c r="L743" s="528" t="s">
        <v>348</v>
      </c>
      <c r="M743" s="529">
        <v>-6.4379999999999997</v>
      </c>
      <c r="N743" s="530"/>
      <c r="O743" s="530"/>
      <c r="P743" s="530"/>
      <c r="Q743" s="530"/>
      <c r="R743" s="528" t="s">
        <v>352</v>
      </c>
      <c r="S743" s="530">
        <f>SL2Height+M743</f>
        <v>41.061999999999998</v>
      </c>
      <c r="T743" s="528" t="s">
        <v>366</v>
      </c>
      <c r="U743" s="3"/>
      <c r="W743" s="6"/>
      <c r="X743" s="6"/>
      <c r="AA743" s="3"/>
      <c r="AB743" s="5"/>
      <c r="AE743" s="4"/>
      <c r="AF743" s="4"/>
      <c r="AG743" s="4"/>
      <c r="AI743" s="39"/>
      <c r="AJ743" s="39"/>
      <c r="AK743" s="39"/>
    </row>
    <row r="744" spans="1:46" ht="15" customHeight="1" x14ac:dyDescent="0.25">
      <c r="B744" s="79"/>
      <c r="C744" s="296" t="s">
        <v>1315</v>
      </c>
      <c r="D744" s="526"/>
      <c r="E744" s="526"/>
      <c r="F744" s="526"/>
      <c r="G744" s="527"/>
      <c r="H744" s="438"/>
      <c r="I744" s="534" t="s">
        <v>1023</v>
      </c>
      <c r="J744" s="528" t="s">
        <v>346</v>
      </c>
      <c r="K744" s="438"/>
      <c r="L744" s="528"/>
      <c r="M744" s="530">
        <v>144</v>
      </c>
      <c r="N744" s="530"/>
      <c r="O744" s="530"/>
      <c r="P744" s="530"/>
      <c r="Q744" s="530"/>
      <c r="R744" s="528" t="s">
        <v>352</v>
      </c>
      <c r="S744" s="530">
        <f>S742*S743/M744</f>
        <v>5.3822586805555552</v>
      </c>
      <c r="T744" s="528" t="s">
        <v>1208</v>
      </c>
      <c r="U744" s="3"/>
      <c r="W744" s="6"/>
      <c r="X744" s="6"/>
      <c r="AA744" s="3"/>
      <c r="AB744" s="5"/>
      <c r="AE744" s="4"/>
      <c r="AF744" s="4"/>
      <c r="AG744" s="4"/>
      <c r="AI744" s="39"/>
      <c r="AJ744" s="39"/>
      <c r="AK744" s="39"/>
    </row>
    <row r="745" spans="1:46" ht="15" customHeight="1" x14ac:dyDescent="0.25">
      <c r="B745" s="79"/>
      <c r="C745" s="297"/>
      <c r="D745" s="526"/>
      <c r="E745" s="526"/>
      <c r="F745" s="526"/>
      <c r="G745" s="527"/>
      <c r="H745" s="438"/>
      <c r="I745" s="534"/>
      <c r="J745" s="528"/>
      <c r="K745" s="438"/>
      <c r="L745" s="528"/>
      <c r="M745" s="530"/>
      <c r="N745" s="530"/>
      <c r="O745" s="530"/>
      <c r="P745" s="530"/>
      <c r="Q745" s="530"/>
      <c r="R745" s="528"/>
      <c r="S745" s="530"/>
      <c r="T745" s="528"/>
      <c r="U745" s="3"/>
      <c r="W745" s="6"/>
      <c r="X745" s="6"/>
      <c r="AA745" s="3"/>
      <c r="AB745" s="5"/>
      <c r="AE745" s="4"/>
      <c r="AF745" s="4"/>
      <c r="AG745" s="4"/>
      <c r="AI745" s="477"/>
      <c r="AJ745" s="477"/>
      <c r="AK745" s="477"/>
    </row>
    <row r="746" spans="1:46" ht="15" customHeight="1" x14ac:dyDescent="0.25">
      <c r="B746" s="79"/>
      <c r="C746" s="296" t="s">
        <v>1032</v>
      </c>
      <c r="D746" s="526"/>
      <c r="E746" s="526"/>
      <c r="F746" s="526"/>
      <c r="G746" s="527"/>
      <c r="H746" s="438"/>
      <c r="I746" s="534" t="s">
        <v>1033</v>
      </c>
      <c r="J746" s="528"/>
      <c r="K746" s="438"/>
      <c r="L746" s="528" t="s">
        <v>348</v>
      </c>
      <c r="M746" s="530" t="s">
        <v>1034</v>
      </c>
      <c r="N746" s="530"/>
      <c r="O746" s="530"/>
      <c r="P746" s="530"/>
      <c r="Q746" s="530"/>
      <c r="R746" s="528" t="s">
        <v>352</v>
      </c>
      <c r="S746" s="535">
        <f>S744+S738</f>
        <v>11.285920138888889</v>
      </c>
      <c r="T746" s="528"/>
      <c r="U746" s="3"/>
      <c r="W746" s="6"/>
      <c r="X746" s="6"/>
      <c r="AA746" s="3"/>
      <c r="AB746" s="5"/>
      <c r="AE746" s="4"/>
      <c r="AF746" s="4"/>
      <c r="AG746" s="4"/>
      <c r="AI746" s="477"/>
      <c r="AJ746" s="477"/>
      <c r="AK746" s="477"/>
    </row>
    <row r="747" spans="1:46" ht="25.5" customHeight="1" x14ac:dyDescent="0.4">
      <c r="B747" s="76" t="s">
        <v>1035</v>
      </c>
      <c r="C747" s="300"/>
      <c r="D747" s="122"/>
      <c r="E747" s="122"/>
      <c r="F747" s="122"/>
      <c r="G747" s="123"/>
      <c r="H747" s="3"/>
      <c r="I747" s="443"/>
      <c r="J747" s="376"/>
      <c r="L747" s="376"/>
      <c r="R747" s="376"/>
      <c r="T747" s="376"/>
      <c r="U747" s="3"/>
      <c r="W747" s="6"/>
      <c r="X747" s="6"/>
      <c r="AA747" s="3"/>
      <c r="AB747" s="5"/>
      <c r="AE747" s="4"/>
      <c r="AF747" s="4"/>
      <c r="AG747" s="4"/>
      <c r="AI747" s="39"/>
      <c r="AJ747" s="39"/>
      <c r="AK747" s="39"/>
    </row>
    <row r="748" spans="1:46" ht="15" customHeight="1" thickBot="1" x14ac:dyDescent="0.3">
      <c r="B748" s="454" t="s">
        <v>1036</v>
      </c>
      <c r="C748" s="300"/>
      <c r="D748" s="122"/>
      <c r="E748" s="122"/>
      <c r="F748" s="122"/>
      <c r="G748" s="123"/>
      <c r="H748" s="3"/>
      <c r="I748" s="443"/>
      <c r="J748" s="376"/>
      <c r="L748" s="376"/>
      <c r="R748" s="376"/>
      <c r="T748" s="376"/>
      <c r="U748" s="3"/>
      <c r="W748" s="6"/>
      <c r="X748" s="6"/>
      <c r="AA748" s="3"/>
      <c r="AB748" s="5"/>
      <c r="AE748" s="4"/>
      <c r="AF748" s="4"/>
      <c r="AG748" s="4"/>
      <c r="AI748" s="477"/>
      <c r="AJ748" s="477"/>
      <c r="AK748" s="477"/>
    </row>
    <row r="749" spans="1:46" ht="15" customHeight="1" thickBot="1" x14ac:dyDescent="0.3">
      <c r="B749" s="130" t="s">
        <v>1037</v>
      </c>
      <c r="C749" s="2054" t="s">
        <v>1316</v>
      </c>
      <c r="D749" s="2054"/>
      <c r="E749" s="2054"/>
      <c r="F749" s="2054"/>
      <c r="G749" s="559">
        <v>2.625</v>
      </c>
      <c r="H749" s="3"/>
      <c r="I749" s="443"/>
      <c r="J749" s="376"/>
      <c r="L749" s="376"/>
      <c r="R749" s="376"/>
      <c r="T749" s="376"/>
      <c r="U749" s="3"/>
      <c r="W749" s="6"/>
      <c r="X749" s="6"/>
      <c r="AA749" s="3"/>
      <c r="AB749" s="5"/>
      <c r="AE749" s="4"/>
      <c r="AF749" s="4"/>
      <c r="AG749" s="4"/>
      <c r="AI749" s="477"/>
      <c r="AJ749" s="477"/>
      <c r="AK749" s="477"/>
    </row>
    <row r="750" spans="1:46" ht="15" customHeight="1" thickBot="1" x14ac:dyDescent="0.3">
      <c r="B750" s="130" t="s">
        <v>1039</v>
      </c>
      <c r="C750" s="2054" t="s">
        <v>1317</v>
      </c>
      <c r="D750" s="2054"/>
      <c r="E750" s="2054"/>
      <c r="F750" s="2054"/>
      <c r="G750" s="559">
        <v>2.7189999999999999</v>
      </c>
      <c r="H750" s="3"/>
      <c r="I750" s="443"/>
      <c r="J750" s="376"/>
      <c r="L750" s="376"/>
      <c r="R750" s="376"/>
      <c r="T750" s="376"/>
      <c r="U750" s="3"/>
      <c r="W750" s="6"/>
      <c r="X750" s="6"/>
      <c r="AA750" s="3"/>
      <c r="AB750" s="5"/>
      <c r="AE750" s="4"/>
      <c r="AF750" s="4"/>
      <c r="AG750" s="4"/>
      <c r="AI750" s="9"/>
      <c r="AJ750" s="9"/>
      <c r="AK750" s="9"/>
    </row>
    <row r="751" spans="1:46" ht="15" customHeight="1" thickBot="1" x14ac:dyDescent="0.3">
      <c r="B751" s="130" t="s">
        <v>1041</v>
      </c>
      <c r="C751" s="2054" t="s">
        <v>1318</v>
      </c>
      <c r="D751" s="2054"/>
      <c r="E751" s="2054"/>
      <c r="F751" s="2054"/>
      <c r="G751" s="559">
        <v>2.6880000000000002</v>
      </c>
      <c r="H751" s="3"/>
      <c r="I751" s="443"/>
      <c r="J751" s="376"/>
      <c r="L751" s="376"/>
      <c r="R751" s="376"/>
      <c r="T751" s="376"/>
      <c r="U751" s="3"/>
      <c r="W751" s="6"/>
      <c r="X751" s="6"/>
      <c r="AA751" s="3"/>
      <c r="AB751" s="5"/>
      <c r="AE751" s="4"/>
      <c r="AF751" s="4"/>
      <c r="AG751" s="4"/>
      <c r="AI751" s="477"/>
      <c r="AJ751" s="477"/>
      <c r="AK751" s="477"/>
    </row>
    <row r="752" spans="1:46" ht="15" customHeight="1" thickBot="1" x14ac:dyDescent="0.3">
      <c r="B752" s="130" t="s">
        <v>1043</v>
      </c>
      <c r="C752" s="2054" t="s">
        <v>1042</v>
      </c>
      <c r="D752" s="2054"/>
      <c r="E752" s="2054"/>
      <c r="F752" s="2054"/>
      <c r="G752" s="559">
        <v>1.875</v>
      </c>
      <c r="H752" s="3"/>
      <c r="I752" s="443"/>
      <c r="J752" s="376"/>
      <c r="L752" s="376"/>
      <c r="R752" s="376"/>
      <c r="T752" s="376"/>
      <c r="U752" s="3"/>
      <c r="W752" s="6"/>
      <c r="X752" s="6"/>
      <c r="AA752" s="3"/>
      <c r="AB752" s="5"/>
      <c r="AE752" s="4"/>
      <c r="AF752" s="4"/>
      <c r="AG752" s="4"/>
      <c r="AI752" s="477"/>
      <c r="AJ752" s="477"/>
      <c r="AK752" s="477"/>
    </row>
    <row r="753" spans="2:37" ht="15" customHeight="1" thickBot="1" x14ac:dyDescent="0.3">
      <c r="B753" s="130" t="s">
        <v>1045</v>
      </c>
      <c r="C753" s="2054" t="s">
        <v>1319</v>
      </c>
      <c r="D753" s="2054"/>
      <c r="E753" s="2054"/>
      <c r="F753" s="2054"/>
      <c r="G753" s="559">
        <v>2.125</v>
      </c>
      <c r="H753" s="3"/>
      <c r="I753" s="443"/>
      <c r="J753" s="376"/>
      <c r="L753" s="376"/>
      <c r="R753" s="376"/>
      <c r="T753" s="376"/>
      <c r="U753" s="3"/>
      <c r="W753" s="6"/>
      <c r="X753" s="6"/>
      <c r="AA753" s="3"/>
      <c r="AB753" s="5"/>
      <c r="AE753" s="4"/>
      <c r="AF753" s="4"/>
      <c r="AG753" s="4"/>
      <c r="AI753" s="477"/>
      <c r="AJ753" s="477"/>
      <c r="AK753" s="477"/>
    </row>
    <row r="754" spans="2:37" ht="15" customHeight="1" thickBot="1" x14ac:dyDescent="0.3">
      <c r="B754" s="130" t="s">
        <v>1320</v>
      </c>
      <c r="C754" s="2054" t="s">
        <v>1321</v>
      </c>
      <c r="D754" s="2054"/>
      <c r="E754" s="2054"/>
      <c r="F754" s="2054"/>
      <c r="G754" s="559">
        <v>2.125</v>
      </c>
      <c r="H754" s="3"/>
      <c r="I754" s="443"/>
      <c r="J754" s="376"/>
      <c r="L754" s="376"/>
      <c r="R754" s="376"/>
      <c r="T754" s="376"/>
      <c r="U754" s="3"/>
      <c r="W754" s="6"/>
      <c r="X754" s="6"/>
      <c r="AA754" s="3"/>
      <c r="AB754" s="5"/>
      <c r="AE754" s="4"/>
      <c r="AF754" s="4"/>
      <c r="AG754" s="4"/>
      <c r="AI754" s="477"/>
      <c r="AJ754" s="477"/>
      <c r="AK754" s="477"/>
    </row>
    <row r="755" spans="2:37" ht="15" customHeight="1" thickBot="1" x14ac:dyDescent="0.3">
      <c r="B755" s="130" t="s">
        <v>1322</v>
      </c>
      <c r="C755" s="2054" t="s">
        <v>1323</v>
      </c>
      <c r="D755" s="2054"/>
      <c r="E755" s="2054"/>
      <c r="F755" s="2054"/>
      <c r="G755" s="559">
        <v>2.125</v>
      </c>
      <c r="H755" s="3"/>
      <c r="I755" s="443"/>
      <c r="J755" s="376"/>
      <c r="L755" s="376"/>
      <c r="R755" s="376"/>
      <c r="T755" s="376"/>
      <c r="U755" s="3"/>
      <c r="W755" s="6"/>
      <c r="X755" s="6"/>
      <c r="AA755" s="3"/>
      <c r="AB755" s="5"/>
      <c r="AE755" s="4"/>
      <c r="AF755" s="4"/>
      <c r="AG755" s="4"/>
      <c r="AI755" s="477"/>
      <c r="AJ755" s="477"/>
      <c r="AK755" s="477"/>
    </row>
    <row r="756" spans="2:37" ht="15" customHeight="1" thickBot="1" x14ac:dyDescent="0.3">
      <c r="B756" s="454" t="s">
        <v>1047</v>
      </c>
      <c r="C756" s="300"/>
      <c r="D756" s="122"/>
      <c r="E756" s="122"/>
      <c r="F756" s="122"/>
      <c r="G756" s="123"/>
      <c r="H756" s="3"/>
      <c r="I756" s="443"/>
      <c r="J756" s="376"/>
      <c r="L756" s="376"/>
      <c r="R756" s="376"/>
      <c r="T756" s="376"/>
      <c r="U756" s="3"/>
      <c r="W756" s="6"/>
      <c r="X756" s="6"/>
      <c r="AA756" s="3"/>
      <c r="AB756" s="5"/>
      <c r="AE756" s="4"/>
      <c r="AF756" s="4"/>
      <c r="AG756" s="4"/>
      <c r="AI756" s="477"/>
      <c r="AJ756" s="477"/>
      <c r="AK756" s="477"/>
    </row>
    <row r="757" spans="2:37" ht="15" customHeight="1" thickBot="1" x14ac:dyDescent="0.3">
      <c r="B757" s="130" t="s">
        <v>1048</v>
      </c>
      <c r="C757" s="2057" t="s">
        <v>1324</v>
      </c>
      <c r="D757" s="2058"/>
      <c r="E757" s="2058"/>
      <c r="F757" s="2059"/>
      <c r="G757" s="559">
        <v>0.53100000000000003</v>
      </c>
      <c r="H757" s="3"/>
      <c r="I757" s="443"/>
      <c r="J757" s="376"/>
      <c r="L757" s="376"/>
      <c r="R757" s="376"/>
      <c r="T757" s="376"/>
      <c r="U757" s="3"/>
      <c r="W757" s="6"/>
      <c r="X757" s="6"/>
      <c r="AA757" s="3"/>
      <c r="AB757" s="5"/>
      <c r="AE757" s="4"/>
      <c r="AF757" s="4"/>
      <c r="AG757" s="4"/>
      <c r="AI757" s="477"/>
      <c r="AJ757" s="477"/>
      <c r="AK757" s="477"/>
    </row>
    <row r="758" spans="2:37" ht="15" customHeight="1" thickBot="1" x14ac:dyDescent="0.3">
      <c r="B758" s="130" t="s">
        <v>1050</v>
      </c>
      <c r="C758" s="2057" t="s">
        <v>1325</v>
      </c>
      <c r="D758" s="2058"/>
      <c r="E758" s="2058"/>
      <c r="F758" s="2059"/>
      <c r="G758" s="559">
        <v>0.53100000000000003</v>
      </c>
      <c r="H758" s="3"/>
      <c r="I758" s="443"/>
      <c r="J758" s="376"/>
      <c r="L758" s="376"/>
      <c r="R758" s="376"/>
      <c r="T758" s="376"/>
      <c r="U758" s="3"/>
      <c r="W758" s="6"/>
      <c r="X758" s="6"/>
      <c r="AA758" s="3"/>
      <c r="AB758" s="5"/>
      <c r="AE758" s="4"/>
      <c r="AF758" s="4"/>
      <c r="AG758" s="4"/>
      <c r="AI758" s="477"/>
      <c r="AJ758" s="477"/>
      <c r="AK758" s="477"/>
    </row>
    <row r="759" spans="2:37" ht="15" customHeight="1" thickBot="1" x14ac:dyDescent="0.3">
      <c r="B759" s="130" t="s">
        <v>1052</v>
      </c>
      <c r="C759" s="2057" t="s">
        <v>1326</v>
      </c>
      <c r="D759" s="2058"/>
      <c r="E759" s="2058"/>
      <c r="F759" s="2059"/>
      <c r="G759" s="559">
        <v>0.53100000000000003</v>
      </c>
      <c r="H759" s="3"/>
      <c r="I759" s="443"/>
      <c r="J759" s="376"/>
      <c r="L759" s="376"/>
      <c r="R759" s="376"/>
      <c r="T759" s="376"/>
      <c r="U759" s="3"/>
      <c r="W759" s="6"/>
      <c r="X759" s="6"/>
      <c r="AA759" s="3"/>
      <c r="AB759" s="5"/>
      <c r="AE759" s="4"/>
      <c r="AF759" s="4"/>
      <c r="AG759" s="4"/>
      <c r="AI759" s="477"/>
      <c r="AJ759" s="477"/>
      <c r="AK759" s="477"/>
    </row>
    <row r="760" spans="2:37" ht="15" customHeight="1" thickBot="1" x14ac:dyDescent="0.3">
      <c r="B760" s="130" t="s">
        <v>1054</v>
      </c>
      <c r="C760" s="2057" t="s">
        <v>1327</v>
      </c>
      <c r="D760" s="2058"/>
      <c r="E760" s="2058"/>
      <c r="F760" s="2059"/>
      <c r="G760" s="559">
        <v>0.53100000000000003</v>
      </c>
      <c r="H760" s="3"/>
      <c r="I760" s="443"/>
      <c r="J760" s="376"/>
      <c r="L760" s="376"/>
      <c r="R760" s="376"/>
      <c r="T760" s="376"/>
      <c r="U760" s="3"/>
      <c r="W760" s="6"/>
      <c r="X760" s="6"/>
      <c r="AA760" s="3"/>
      <c r="AB760" s="5"/>
      <c r="AE760" s="4"/>
      <c r="AF760" s="4"/>
      <c r="AG760" s="4"/>
      <c r="AI760" s="477"/>
      <c r="AJ760" s="477"/>
      <c r="AK760" s="477"/>
    </row>
    <row r="761" spans="2:37" ht="15" customHeight="1" thickBot="1" x14ac:dyDescent="0.3">
      <c r="B761" s="130" t="s">
        <v>1056</v>
      </c>
      <c r="C761" s="2057" t="s">
        <v>1328</v>
      </c>
      <c r="D761" s="2058"/>
      <c r="E761" s="2058"/>
      <c r="F761" s="2059"/>
      <c r="G761" s="559">
        <v>0.438</v>
      </c>
      <c r="H761" s="3"/>
      <c r="I761" s="443"/>
      <c r="J761" s="376"/>
      <c r="L761" s="376"/>
      <c r="R761" s="376"/>
      <c r="T761" s="376"/>
      <c r="U761" s="3"/>
      <c r="W761" s="6"/>
      <c r="X761" s="6"/>
      <c r="AA761" s="3"/>
      <c r="AB761" s="5"/>
      <c r="AE761" s="4"/>
      <c r="AF761" s="4"/>
      <c r="AG761" s="4"/>
      <c r="AI761" s="477"/>
      <c r="AJ761" s="477"/>
      <c r="AK761" s="477"/>
    </row>
    <row r="762" spans="2:37" ht="15" customHeight="1" thickBot="1" x14ac:dyDescent="0.3">
      <c r="B762" s="130" t="s">
        <v>1058</v>
      </c>
      <c r="C762" s="2057" t="s">
        <v>1329</v>
      </c>
      <c r="D762" s="2058"/>
      <c r="E762" s="2058"/>
      <c r="F762" s="2059"/>
      <c r="G762" s="559">
        <v>0.438</v>
      </c>
      <c r="H762" s="3"/>
      <c r="I762" s="443"/>
      <c r="J762" s="376"/>
      <c r="L762" s="376"/>
      <c r="R762" s="376"/>
      <c r="T762" s="376"/>
      <c r="U762" s="3"/>
      <c r="W762" s="6"/>
      <c r="X762" s="6"/>
      <c r="AA762" s="3"/>
      <c r="AB762" s="5"/>
      <c r="AE762" s="4"/>
      <c r="AF762" s="4"/>
      <c r="AG762" s="4"/>
      <c r="AI762" s="477"/>
      <c r="AJ762" s="477"/>
      <c r="AK762" s="477"/>
    </row>
    <row r="763" spans="2:37" ht="15" customHeight="1" thickBot="1" x14ac:dyDescent="0.3">
      <c r="B763" s="560" t="s">
        <v>1330</v>
      </c>
      <c r="C763" s="2057" t="s">
        <v>1331</v>
      </c>
      <c r="D763" s="2058"/>
      <c r="E763" s="2058"/>
      <c r="F763" s="2059"/>
      <c r="G763" s="559">
        <v>0.438</v>
      </c>
      <c r="H763" s="3"/>
      <c r="I763" s="443"/>
      <c r="J763" s="376"/>
      <c r="L763" s="376"/>
      <c r="R763" s="376"/>
      <c r="T763" s="376"/>
      <c r="U763" s="3"/>
      <c r="W763" s="6"/>
      <c r="X763" s="6"/>
      <c r="AA763" s="3"/>
      <c r="AB763" s="5"/>
      <c r="AE763" s="4"/>
      <c r="AF763" s="4"/>
      <c r="AG763" s="4"/>
      <c r="AI763" s="9"/>
      <c r="AJ763" s="9"/>
      <c r="AK763" s="9"/>
    </row>
    <row r="764" spans="2:37" ht="15" customHeight="1" thickBot="1" x14ac:dyDescent="0.3">
      <c r="B764" s="560" t="s">
        <v>1332</v>
      </c>
      <c r="C764" s="2057" t="s">
        <v>1333</v>
      </c>
      <c r="D764" s="2058"/>
      <c r="E764" s="2058"/>
      <c r="F764" s="2059"/>
      <c r="G764" s="559">
        <v>0.438</v>
      </c>
      <c r="H764" s="3"/>
      <c r="I764" s="443"/>
      <c r="J764" s="376"/>
      <c r="L764" s="376"/>
      <c r="R764" s="376"/>
      <c r="T764" s="376"/>
      <c r="U764" s="3"/>
      <c r="W764" s="6"/>
      <c r="X764" s="6"/>
      <c r="AA764" s="3"/>
      <c r="AB764" s="5"/>
      <c r="AE764" s="4"/>
      <c r="AF764" s="4"/>
      <c r="AG764" s="4"/>
      <c r="AI764" s="477"/>
      <c r="AJ764" s="477"/>
      <c r="AK764" s="477"/>
    </row>
    <row r="765" spans="2:37" ht="15" customHeight="1" x14ac:dyDescent="0.25">
      <c r="B765" s="3"/>
      <c r="C765" s="299"/>
      <c r="D765" s="452"/>
      <c r="E765" s="452"/>
      <c r="F765" s="452"/>
      <c r="G765" s="453"/>
      <c r="H765" s="3"/>
      <c r="I765" s="443"/>
      <c r="J765" s="376"/>
      <c r="L765" s="376"/>
      <c r="R765" s="376"/>
      <c r="T765" s="376"/>
      <c r="U765" s="3"/>
      <c r="W765" s="6"/>
      <c r="X765" s="6"/>
      <c r="AA765" s="3"/>
      <c r="AB765" s="5"/>
      <c r="AE765" s="4"/>
      <c r="AF765" s="4"/>
      <c r="AG765" s="4"/>
      <c r="AI765" s="477"/>
      <c r="AJ765" s="477"/>
      <c r="AK765" s="477"/>
    </row>
    <row r="766" spans="2:37" ht="15" customHeight="1" x14ac:dyDescent="0.4">
      <c r="B766" s="2055" t="s">
        <v>1334</v>
      </c>
      <c r="C766" s="2055"/>
      <c r="D766" s="2055"/>
      <c r="E766" s="2055"/>
      <c r="F766" s="2055"/>
      <c r="G766" s="2055"/>
      <c r="H766" s="3"/>
      <c r="I766" s="443"/>
      <c r="J766" s="376"/>
      <c r="L766" s="376"/>
      <c r="R766" s="376"/>
      <c r="T766" s="376"/>
      <c r="U766" s="3"/>
      <c r="W766" s="6"/>
      <c r="X766" s="6"/>
      <c r="AA766" s="3"/>
      <c r="AB766" s="5"/>
      <c r="AE766" s="4"/>
      <c r="AF766" s="4"/>
      <c r="AG766" s="4"/>
      <c r="AI766" s="477"/>
      <c r="AJ766" s="477"/>
      <c r="AK766" s="477"/>
    </row>
    <row r="767" spans="2:37" ht="15" customHeight="1" x14ac:dyDescent="0.4">
      <c r="B767" s="2056"/>
      <c r="C767" s="2056"/>
      <c r="D767" s="2056"/>
      <c r="E767" s="2056"/>
      <c r="F767" s="2056"/>
      <c r="G767" s="2056"/>
      <c r="H767" s="3"/>
      <c r="I767" s="539" t="s">
        <v>2334</v>
      </c>
      <c r="J767" s="528"/>
      <c r="K767" s="438"/>
      <c r="L767" s="528"/>
      <c r="M767" s="530" t="s">
        <v>1335</v>
      </c>
      <c r="N767" s="530"/>
      <c r="O767" s="530"/>
      <c r="P767" s="530" t="s">
        <v>348</v>
      </c>
      <c r="Q767" s="529">
        <v>-1.375</v>
      </c>
      <c r="R767" s="528" t="s">
        <v>352</v>
      </c>
      <c r="S767" s="530">
        <f>SL2Width/2+Q767</f>
        <v>22.375</v>
      </c>
      <c r="T767" s="528"/>
      <c r="U767" s="3"/>
      <c r="X767" s="6"/>
      <c r="Y767" s="44"/>
      <c r="Z767" s="44"/>
      <c r="AA767" s="3"/>
      <c r="AB767" s="5"/>
      <c r="AE767" s="4"/>
      <c r="AF767" s="4"/>
      <c r="AG767" s="4"/>
      <c r="AI767" s="477"/>
      <c r="AJ767" s="477"/>
      <c r="AK767" s="477"/>
    </row>
    <row r="768" spans="2:37" ht="15" customHeight="1" x14ac:dyDescent="0.25">
      <c r="B768" s="525" t="s">
        <v>319</v>
      </c>
      <c r="C768" s="296"/>
      <c r="D768" s="526"/>
      <c r="E768" s="526"/>
      <c r="F768" s="526"/>
      <c r="G768" s="527"/>
      <c r="H768" s="438"/>
      <c r="I768" s="534"/>
      <c r="J768" s="528"/>
      <c r="K768" s="438"/>
      <c r="L768" s="528"/>
      <c r="M768" s="530"/>
      <c r="N768" s="530"/>
      <c r="O768" s="530"/>
      <c r="P768" s="530"/>
      <c r="Q768" s="530"/>
      <c r="R768" s="528"/>
      <c r="S768" s="529">
        <v>0</v>
      </c>
      <c r="T768" s="528" t="s">
        <v>366</v>
      </c>
      <c r="U768" s="3"/>
      <c r="W768" s="6"/>
      <c r="X768" s="6"/>
      <c r="AA768" s="3"/>
      <c r="AB768" s="5"/>
      <c r="AE768" s="4"/>
      <c r="AF768" s="4"/>
      <c r="AG768" s="4"/>
      <c r="AI768" s="477"/>
      <c r="AJ768" s="477"/>
      <c r="AK768" s="477"/>
    </row>
    <row r="769" spans="2:38" ht="15" customHeight="1" x14ac:dyDescent="0.25">
      <c r="B769" s="525" t="s">
        <v>1216</v>
      </c>
      <c r="C769" s="296"/>
      <c r="D769" s="526"/>
      <c r="E769" s="526"/>
      <c r="F769" s="526"/>
      <c r="G769" s="527"/>
      <c r="H769" s="438"/>
      <c r="I769" s="540" t="s">
        <v>1336</v>
      </c>
      <c r="J769" s="528"/>
      <c r="K769" s="438"/>
      <c r="L769" s="528" t="s">
        <v>456</v>
      </c>
      <c r="M769" s="539" t="s">
        <v>2334</v>
      </c>
      <c r="N769" s="541"/>
      <c r="O769" s="541"/>
      <c r="P769" s="530"/>
      <c r="Q769" s="530"/>
      <c r="R769" s="528" t="s">
        <v>352</v>
      </c>
      <c r="S769" s="529">
        <f>E8-SL2RSashW</f>
        <v>8.25</v>
      </c>
      <c r="T769" s="528" t="s">
        <v>366</v>
      </c>
      <c r="U769" s="3"/>
      <c r="W769" s="6"/>
      <c r="X769" s="6"/>
      <c r="AA769" s="3"/>
      <c r="AB769" s="5"/>
      <c r="AE769" s="4"/>
      <c r="AF769" s="4"/>
      <c r="AG769" s="4"/>
      <c r="AI769" s="39"/>
      <c r="AJ769" s="39"/>
      <c r="AK769" s="39"/>
    </row>
    <row r="770" spans="2:38" ht="15" customHeight="1" x14ac:dyDescent="0.25">
      <c r="C770" s="299"/>
      <c r="D770" s="452"/>
      <c r="E770" s="452"/>
      <c r="F770" s="452"/>
      <c r="G770" s="453"/>
      <c r="H770" s="3"/>
      <c r="I770" s="443"/>
      <c r="J770" s="376"/>
      <c r="L770" s="376"/>
      <c r="R770" s="376"/>
      <c r="S770" s="5">
        <f>LOOKUP(E7,$B$768:$B$769,$S$768:$S$769)</f>
        <v>0</v>
      </c>
      <c r="U770" s="3"/>
      <c r="W770" s="6"/>
      <c r="X770" s="6"/>
      <c r="AA770" s="3"/>
      <c r="AB770" s="5"/>
      <c r="AE770" s="4"/>
      <c r="AF770" s="4"/>
      <c r="AG770" s="4"/>
    </row>
    <row r="771" spans="2:38" ht="15" customHeight="1" x14ac:dyDescent="0.25">
      <c r="C771" s="299"/>
      <c r="D771" s="452"/>
      <c r="E771" s="452"/>
      <c r="F771" s="452"/>
      <c r="G771" s="453"/>
      <c r="H771" s="3"/>
      <c r="I771" s="443"/>
      <c r="J771" s="376"/>
      <c r="L771" s="376"/>
      <c r="R771" s="461" t="s">
        <v>1074</v>
      </c>
      <c r="S771" s="535">
        <f>SIGN(S770)*INT(ABS(S770*16))/16</f>
        <v>0</v>
      </c>
      <c r="T771" s="1134" t="s">
        <v>1337</v>
      </c>
      <c r="U771" s="3"/>
      <c r="W771" s="6"/>
      <c r="X771" s="6"/>
      <c r="AA771" s="3"/>
      <c r="AB771" s="5"/>
      <c r="AE771" s="4"/>
      <c r="AF771" s="4"/>
      <c r="AG771" s="4"/>
      <c r="AI771" s="39"/>
      <c r="AJ771" s="39"/>
      <c r="AK771" s="39"/>
    </row>
    <row r="772" spans="2:38" ht="15" customHeight="1" x14ac:dyDescent="0.4">
      <c r="H772" s="3"/>
      <c r="U772" s="3"/>
      <c r="AA772" s="3"/>
      <c r="AI772" s="39"/>
      <c r="AJ772" s="39"/>
      <c r="AK772" s="39"/>
    </row>
    <row r="773" spans="2:38" ht="15" customHeight="1" x14ac:dyDescent="0.4">
      <c r="H773" s="3"/>
      <c r="U773" s="3"/>
      <c r="AA773" s="3"/>
      <c r="AI773" s="39"/>
      <c r="AJ773" s="39"/>
      <c r="AK773" s="39"/>
    </row>
    <row r="774" spans="2:38" ht="15" customHeight="1" x14ac:dyDescent="0.4">
      <c r="H774" s="3"/>
      <c r="U774" s="3"/>
      <c r="AA774" s="3"/>
      <c r="AI774" s="39"/>
      <c r="AJ774" s="39"/>
      <c r="AK774" s="39"/>
    </row>
    <row r="775" spans="2:38" ht="15" customHeight="1" x14ac:dyDescent="0.4">
      <c r="H775" s="3"/>
      <c r="U775" s="3"/>
      <c r="AA775" s="3"/>
    </row>
    <row r="776" spans="2:38" ht="15" customHeight="1" x14ac:dyDescent="0.4">
      <c r="H776" s="3"/>
      <c r="U776" s="3"/>
      <c r="AA776" s="3"/>
      <c r="AI776" s="39"/>
      <c r="AJ776" s="39"/>
      <c r="AK776" s="39"/>
    </row>
    <row r="777" spans="2:38" ht="15" customHeight="1" x14ac:dyDescent="0.4">
      <c r="H777" s="3"/>
      <c r="U777" s="3"/>
      <c r="AA777" s="3"/>
      <c r="AI777" s="39"/>
      <c r="AJ777" s="39"/>
      <c r="AK777" s="39"/>
    </row>
    <row r="778" spans="2:38" ht="15" customHeight="1" x14ac:dyDescent="0.4">
      <c r="H778" s="3"/>
      <c r="U778" s="3"/>
      <c r="AA778" s="3"/>
      <c r="AI778" s="39"/>
      <c r="AJ778" s="39"/>
      <c r="AK778" s="39"/>
    </row>
    <row r="779" spans="2:38" ht="15" customHeight="1" x14ac:dyDescent="0.4">
      <c r="C779" s="561" t="s">
        <v>2152</v>
      </c>
      <c r="E779" s="561"/>
      <c r="H779" s="3"/>
      <c r="U779" s="3"/>
      <c r="AA779" s="3"/>
      <c r="AI779" s="39"/>
      <c r="AJ779" s="39"/>
      <c r="AK779" s="39"/>
    </row>
    <row r="780" spans="2:38" ht="15" customHeight="1" thickBot="1" x14ac:dyDescent="0.45">
      <c r="C780" s="452" t="s">
        <v>2112</v>
      </c>
      <c r="D780" s="36" t="s">
        <v>2113</v>
      </c>
      <c r="E780" s="3"/>
      <c r="F780" s="3"/>
      <c r="G780" s="3"/>
      <c r="H780" s="3"/>
      <c r="U780" s="3"/>
      <c r="AA780" s="3"/>
      <c r="AI780" s="39"/>
      <c r="AJ780" s="39"/>
      <c r="AK780" s="39"/>
    </row>
    <row r="781" spans="2:38" ht="15" customHeight="1" x14ac:dyDescent="0.25">
      <c r="B781" s="3">
        <v>1</v>
      </c>
      <c r="C781" s="1827">
        <f>IF('SH Sash &amp; unit Weight'!D61&lt;&gt;"",'SH Sash &amp; unit Weight'!D61,"")</f>
        <v>1.7361111111111112E-2</v>
      </c>
      <c r="D781" s="361" t="str">
        <f>IF('SH Sash &amp; unit Weight'!F61&lt;&gt;"",'SH Sash &amp; unit Weight'!F61,"")</f>
        <v>01-Double: 2.5mm &amp; 2.5mm</v>
      </c>
      <c r="E781" s="362"/>
      <c r="F781" s="362"/>
      <c r="G781" s="116"/>
      <c r="H781" s="66"/>
      <c r="I781" s="5"/>
      <c r="J781" s="5"/>
      <c r="U781" s="3"/>
      <c r="AA781" s="3"/>
    </row>
    <row r="782" spans="2:38" ht="15" customHeight="1" x14ac:dyDescent="0.25">
      <c r="B782" s="3">
        <v>2</v>
      </c>
      <c r="C782" s="1828">
        <f>IF('SH Sash &amp; unit Weight'!D62&lt;&gt;"",'SH Sash &amp; unit Weight'!D62,"")</f>
        <v>2.3194444444444445E-2</v>
      </c>
      <c r="D782" s="363" t="str">
        <f>IF('SH Sash &amp; unit Weight'!F62&lt;&gt;"",'SH Sash &amp; unit Weight'!F62,"")</f>
        <v>02-Double: 3mm &amp; 3mm</v>
      </c>
      <c r="E782" s="364"/>
      <c r="F782" s="364"/>
      <c r="G782" s="3"/>
      <c r="H782" s="64"/>
      <c r="I782" s="5"/>
      <c r="J782" s="5"/>
      <c r="U782" s="3"/>
      <c r="AA782" s="3"/>
      <c r="AI782" s="39"/>
      <c r="AJ782" s="39"/>
      <c r="AK782" s="39"/>
    </row>
    <row r="783" spans="2:38" ht="15" customHeight="1" x14ac:dyDescent="0.25">
      <c r="B783" s="3">
        <v>3</v>
      </c>
      <c r="C783" s="1828">
        <f>IF('SH Sash &amp; unit Weight'!D63&lt;&gt;"",'SH Sash &amp; unit Weight'!D63,"")</f>
        <v>2.6249999999999999E-2</v>
      </c>
      <c r="D783" s="363" t="str">
        <f>IF('SH Sash &amp; unit Weight'!F63&lt;&gt;"",'SH Sash &amp; unit Weight'!F63,"")</f>
        <v>03-Double: 3mm &amp; 4mm</v>
      </c>
      <c r="E783" s="364"/>
      <c r="F783" s="364"/>
      <c r="G783" s="3"/>
      <c r="H783" s="64"/>
      <c r="I783" s="5"/>
      <c r="J783" s="5"/>
      <c r="U783" s="3"/>
      <c r="AA783" s="3"/>
      <c r="AB783" s="5"/>
      <c r="AC783" s="5"/>
      <c r="AF783" s="51"/>
      <c r="AG783" s="39"/>
      <c r="AH783" s="5"/>
      <c r="AI783" s="39"/>
      <c r="AJ783" s="39"/>
      <c r="AK783" s="39"/>
      <c r="AL783" s="3"/>
    </row>
    <row r="784" spans="2:38" ht="15" customHeight="1" x14ac:dyDescent="0.25">
      <c r="B784" s="3">
        <v>4</v>
      </c>
      <c r="C784" s="1828">
        <f>IF('SH Sash &amp; unit Weight'!D64&lt;&gt;"",'SH Sash &amp; unit Weight'!D64,"")</f>
        <v>2.8958333333333332E-2</v>
      </c>
      <c r="D784" s="363" t="str">
        <f>IF('SH Sash &amp; unit Weight'!F64&lt;&gt;"",'SH Sash &amp; unit Weight'!F64,"")</f>
        <v>04-Double: 3mm &amp; 5mm - Regal</v>
      </c>
      <c r="E784" s="364"/>
      <c r="F784" s="364"/>
      <c r="G784" s="3"/>
      <c r="H784" s="64"/>
      <c r="I784" s="5"/>
      <c r="J784" s="5"/>
      <c r="U784" s="3"/>
      <c r="AA784" s="3"/>
      <c r="AB784" s="5"/>
      <c r="AC784" s="5"/>
      <c r="AF784" s="51"/>
      <c r="AG784" s="39"/>
      <c r="AH784" s="5"/>
      <c r="AI784" s="39"/>
      <c r="AJ784" s="39"/>
      <c r="AK784" s="39"/>
      <c r="AL784" s="3"/>
    </row>
    <row r="785" spans="2:38" ht="15" customHeight="1" x14ac:dyDescent="0.25">
      <c r="B785" s="3">
        <v>5</v>
      </c>
      <c r="C785" s="1828">
        <f>IF('SH Sash &amp; unit Weight'!D65&lt;&gt;"",'SH Sash &amp; unit Weight'!D65,"")</f>
        <v>2.8958333333333332E-2</v>
      </c>
      <c r="D785" s="363" t="str">
        <f>IF('SH Sash &amp; unit Weight'!F65&lt;&gt;"",'SH Sash &amp; unit Weight'!F65,"")</f>
        <v>05-Double: 3mm &amp; 5mm - Sound</v>
      </c>
      <c r="E785" s="364"/>
      <c r="F785" s="364"/>
      <c r="G785" s="3"/>
      <c r="H785" s="64"/>
      <c r="I785" s="5"/>
      <c r="J785" s="5"/>
      <c r="U785" s="3"/>
      <c r="AA785" s="3"/>
      <c r="AB785" s="5"/>
      <c r="AC785" s="5"/>
      <c r="AF785" s="51"/>
      <c r="AG785" s="39"/>
      <c r="AH785" s="5"/>
      <c r="AL785" s="3"/>
    </row>
    <row r="786" spans="2:38" ht="15" customHeight="1" x14ac:dyDescent="0.25">
      <c r="B786" s="3">
        <v>6</v>
      </c>
      <c r="C786" s="1828">
        <f>IF('SH Sash &amp; unit Weight'!D66&lt;&gt;"",'SH Sash &amp; unit Weight'!D66,"")</f>
        <v>2.8750000000000005E-2</v>
      </c>
      <c r="D786" s="363" t="str">
        <f>IF('SH Sash &amp; unit Weight'!F66&lt;&gt;"",'SH Sash &amp; unit Weight'!F66,"")</f>
        <v>06-Double: 2.5mm &amp; 6mm - Spandrel</v>
      </c>
      <c r="E786" s="364"/>
      <c r="F786" s="364"/>
      <c r="G786" s="3"/>
      <c r="H786" s="64"/>
      <c r="I786" s="5"/>
      <c r="J786" s="5"/>
      <c r="U786" s="3"/>
      <c r="AA786" s="3"/>
      <c r="AB786" s="5"/>
      <c r="AC786" s="5"/>
      <c r="AF786" s="51"/>
      <c r="AG786" s="39"/>
      <c r="AH786" s="5"/>
      <c r="AI786" s="39"/>
      <c r="AJ786" s="39"/>
      <c r="AK786" s="39"/>
      <c r="AL786" s="3"/>
    </row>
    <row r="787" spans="2:38" ht="15" customHeight="1" x14ac:dyDescent="0.25">
      <c r="B787" s="3">
        <v>7</v>
      </c>
      <c r="C787" s="1828">
        <f>IF('SH Sash &amp; unit Weight'!D67&lt;&gt;"",'SH Sash &amp; unit Weight'!D67,"")</f>
        <v>3.2069444444444449E-2</v>
      </c>
      <c r="D787" s="363" t="str">
        <f>IF('SH Sash &amp; unit Weight'!F67&lt;&gt;"",'SH Sash &amp; unit Weight'!F67,"")</f>
        <v>07-Double: 3mm &amp; 6mm Lami - Sound</v>
      </c>
      <c r="E787" s="364"/>
      <c r="F787" s="364"/>
      <c r="G787" s="3"/>
      <c r="H787" s="64"/>
      <c r="I787" s="5"/>
      <c r="J787" s="5"/>
      <c r="U787" s="3"/>
      <c r="AA787" s="3"/>
      <c r="AB787" s="5"/>
      <c r="AC787" s="5"/>
      <c r="AF787" s="51"/>
      <c r="AG787" s="39"/>
      <c r="AH787" s="5"/>
      <c r="AI787" s="39"/>
      <c r="AJ787" s="39"/>
      <c r="AK787" s="39"/>
      <c r="AL787" s="3"/>
    </row>
    <row r="788" spans="2:38" ht="15" customHeight="1" x14ac:dyDescent="0.25">
      <c r="B788" s="3">
        <v>8</v>
      </c>
      <c r="C788" s="1828">
        <f>IF('SH Sash &amp; unit Weight'!D68&lt;&gt;"",'SH Sash &amp; unit Weight'!D68,"")</f>
        <v>3.9930555555555552E-2</v>
      </c>
      <c r="D788" s="363" t="str">
        <f>IF('SH Sash &amp; unit Weight'!F68&lt;&gt;"",'SH Sash &amp; unit Weight'!F68,"")</f>
        <v>08-Double: 3mm &amp; 8.5mm Lami - IMPACT</v>
      </c>
      <c r="E788" s="364"/>
      <c r="F788" s="364"/>
      <c r="G788" s="3"/>
      <c r="H788" s="64"/>
      <c r="I788" s="5"/>
      <c r="J788" s="5"/>
      <c r="U788" s="3"/>
      <c r="AA788" s="3"/>
      <c r="AB788" s="5"/>
      <c r="AC788" s="5"/>
      <c r="AF788" s="51"/>
      <c r="AG788" s="39"/>
      <c r="AH788" s="5"/>
      <c r="AI788" s="39"/>
      <c r="AJ788" s="39"/>
      <c r="AK788" s="39"/>
      <c r="AL788" s="3"/>
    </row>
    <row r="789" spans="2:38" ht="15" customHeight="1" x14ac:dyDescent="0.25">
      <c r="B789" s="3">
        <v>9</v>
      </c>
      <c r="C789" s="1828">
        <f>IF('SH Sash &amp; unit Weight'!D69&lt;&gt;"",'SH Sash &amp; unit Weight'!D69,"")</f>
        <v>2.9305555555555553E-2</v>
      </c>
      <c r="D789" s="363" t="str">
        <f>IF('SH Sash &amp; unit Weight'!F69&lt;&gt;"",'SH Sash &amp; unit Weight'!F69,"")</f>
        <v>09-Double: 4mm &amp; 4mm</v>
      </c>
      <c r="E789" s="364"/>
      <c r="F789" s="364"/>
      <c r="G789" s="3"/>
      <c r="H789" s="64"/>
      <c r="I789" s="5"/>
      <c r="J789" s="5"/>
      <c r="U789" s="3"/>
      <c r="AA789" s="3"/>
      <c r="AB789" s="5"/>
      <c r="AC789" s="5"/>
      <c r="AF789" s="51"/>
      <c r="AG789" s="39"/>
      <c r="AH789" s="5"/>
      <c r="AL789" s="3"/>
    </row>
    <row r="790" spans="2:38" ht="15" customHeight="1" x14ac:dyDescent="0.25">
      <c r="B790" s="3">
        <v>10</v>
      </c>
      <c r="C790" s="1828">
        <f>IF('SH Sash &amp; unit Weight'!D70&lt;&gt;"",'SH Sash &amp; unit Weight'!D70,"")</f>
        <v>3.4722222222222224E-2</v>
      </c>
      <c r="D790" s="363" t="str">
        <f>IF('SH Sash &amp; unit Weight'!F70&lt;&gt;"",'SH Sash &amp; unit Weight'!F70,"")</f>
        <v>10-Double: 5mm &amp; 5mm</v>
      </c>
      <c r="E790" s="364"/>
      <c r="F790" s="364"/>
      <c r="G790" s="3"/>
      <c r="H790" s="64"/>
      <c r="I790" s="5"/>
      <c r="J790" s="5"/>
      <c r="U790" s="3"/>
      <c r="AA790" s="3"/>
      <c r="AB790" s="5"/>
      <c r="AC790" s="5"/>
      <c r="AF790" s="51"/>
      <c r="AG790" s="39"/>
      <c r="AH790" s="5"/>
      <c r="AI790" s="39"/>
      <c r="AJ790" s="39"/>
      <c r="AK790" s="39"/>
      <c r="AL790" s="3"/>
    </row>
    <row r="791" spans="2:38" ht="15" customHeight="1" x14ac:dyDescent="0.25">
      <c r="B791" s="3">
        <v>11</v>
      </c>
      <c r="C791" s="1828">
        <f>IF('SH Sash &amp; unit Weight'!D71&lt;&gt;"",'SH Sash &amp; unit Weight'!D71,"")</f>
        <v>3.4722222222222224E-2</v>
      </c>
      <c r="D791" s="363" t="str">
        <f>IF('SH Sash &amp; unit Weight'!F71&lt;&gt;"",'SH Sash &amp; unit Weight'!F71,"")</f>
        <v>11-Double: 5mm &amp; 5mm (Regal)</v>
      </c>
      <c r="E791" s="364"/>
      <c r="F791" s="364"/>
      <c r="G791" s="3"/>
      <c r="H791" s="64"/>
      <c r="I791" s="5"/>
      <c r="J791" s="5"/>
      <c r="U791" s="3"/>
      <c r="AA791" s="3"/>
      <c r="AB791" s="5"/>
      <c r="AC791" s="5"/>
      <c r="AF791" s="51"/>
      <c r="AG791" s="39"/>
      <c r="AH791" s="5"/>
      <c r="AI791" s="39"/>
      <c r="AJ791" s="39"/>
      <c r="AK791" s="39"/>
      <c r="AL791" s="3"/>
    </row>
    <row r="792" spans="2:38" ht="15" customHeight="1" x14ac:dyDescent="0.25">
      <c r="B792" s="3">
        <v>12</v>
      </c>
      <c r="C792" s="1828">
        <f>IF('SH Sash &amp; unit Weight'!D72&lt;&gt;"",'SH Sash &amp; unit Weight'!D72,"")</f>
        <v>3.7833333333333337E-2</v>
      </c>
      <c r="D792" s="363" t="str">
        <f>IF('SH Sash &amp; unit Weight'!F72&lt;&gt;"",'SH Sash &amp; unit Weight'!F72,"")</f>
        <v>12-Double: 5mm &amp; 6mm Lami - Sound</v>
      </c>
      <c r="E792" s="364"/>
      <c r="F792" s="364"/>
      <c r="G792" s="3"/>
      <c r="H792" s="64"/>
      <c r="I792" s="5"/>
      <c r="J792" s="5"/>
      <c r="U792" s="3"/>
      <c r="AA792" s="3"/>
      <c r="AB792" s="5"/>
      <c r="AC792" s="5"/>
      <c r="AF792" s="51"/>
      <c r="AG792" s="39"/>
      <c r="AH792" s="5"/>
      <c r="AI792" s="39"/>
      <c r="AJ792" s="39"/>
      <c r="AK792" s="39"/>
      <c r="AL792" s="3"/>
    </row>
    <row r="793" spans="2:38" ht="15" customHeight="1" x14ac:dyDescent="0.25">
      <c r="B793" s="3">
        <v>13</v>
      </c>
      <c r="C793" s="1828">
        <f>IF('SH Sash &amp; unit Weight'!D73&lt;&gt;"",'SH Sash &amp; unit Weight'!D73,"")</f>
        <v>4.0319444444444436E-2</v>
      </c>
      <c r="D793" s="363" t="str">
        <f>IF('SH Sash &amp; unit Weight'!F73&lt;&gt;"",'SH Sash &amp; unit Weight'!F73,"")</f>
        <v>13-Double: 5mm &amp; 6mm Offset 2.3+3.0 Lami - Sound</v>
      </c>
      <c r="H793" s="64"/>
      <c r="I793" s="4"/>
      <c r="J793" s="4"/>
      <c r="U793" s="3"/>
      <c r="AA793" s="3"/>
      <c r="AB793" s="5"/>
      <c r="AC793" s="5"/>
      <c r="AF793" s="51"/>
      <c r="AG793" s="39"/>
      <c r="AH793" s="5"/>
      <c r="AL793" s="3"/>
    </row>
    <row r="794" spans="2:38" ht="15" customHeight="1" x14ac:dyDescent="0.25">
      <c r="B794" s="3">
        <v>14</v>
      </c>
      <c r="C794" s="1828">
        <f>IF('SH Sash &amp; unit Weight'!D74&lt;&gt;"",'SH Sash &amp; unit Weight'!D74,"")</f>
        <v>2.6041666666666668E-2</v>
      </c>
      <c r="D794" s="363" t="str">
        <f>IF('SH Sash &amp; unit Weight'!F74&lt;&gt;"",'SH Sash &amp; unit Weight'!F74,"")</f>
        <v>14-Triple:   2.5mm &amp; 2.5mm &amp; 2.5mm</v>
      </c>
      <c r="H794" s="64"/>
      <c r="U794" s="3"/>
      <c r="AA794" s="3"/>
      <c r="AB794" s="5"/>
      <c r="AC794" s="5"/>
      <c r="AF794" s="51"/>
      <c r="AG794" s="39"/>
      <c r="AH794" s="5"/>
      <c r="AI794" s="39"/>
      <c r="AJ794" s="39"/>
      <c r="AK794" s="39"/>
      <c r="AL794" s="3"/>
    </row>
    <row r="795" spans="2:38" ht="15" customHeight="1" x14ac:dyDescent="0.25">
      <c r="B795" s="3">
        <v>15</v>
      </c>
      <c r="C795" s="1828">
        <f>IF('SH Sash &amp; unit Weight'!D75&lt;&gt;"",'SH Sash &amp; unit Weight'!D75,"")</f>
        <v>3.7833333333333337E-2</v>
      </c>
      <c r="D795" s="363" t="str">
        <f>IF('SH Sash &amp; unit Weight'!F75&lt;&gt;"",'SH Sash &amp; unit Weight'!F75,"")</f>
        <v>15-Triple:   2.5mm &amp; 2.5mm &amp; 6mm Lami - Sound</v>
      </c>
      <c r="H795" s="64"/>
      <c r="U795" s="3"/>
      <c r="AA795" s="3"/>
      <c r="AB795" s="5"/>
      <c r="AC795" s="5"/>
      <c r="AF795" s="51"/>
      <c r="AG795" s="39"/>
      <c r="AH795" s="5"/>
      <c r="AI795" s="39"/>
      <c r="AJ795" s="39"/>
      <c r="AK795" s="39"/>
      <c r="AL795" s="3"/>
    </row>
    <row r="796" spans="2:38" ht="15" customHeight="1" x14ac:dyDescent="0.25">
      <c r="B796" s="3">
        <v>16</v>
      </c>
      <c r="C796" s="1828">
        <f>IF('SH Sash &amp; unit Weight'!D76&lt;&gt;"",'SH Sash &amp; unit Weight'!D76,"")</f>
        <v>3.1875000000000001E-2</v>
      </c>
      <c r="D796" s="363" t="str">
        <f>IF('SH Sash &amp; unit Weight'!F76&lt;&gt;"",'SH Sash &amp; unit Weight'!F76,"")</f>
        <v>16-Triple:   3mm &amp; 2.5mm &amp; 3mm</v>
      </c>
      <c r="H796" s="64"/>
      <c r="U796" s="3"/>
      <c r="AA796" s="3"/>
      <c r="AB796" s="5"/>
      <c r="AC796" s="5"/>
      <c r="AF796" s="51"/>
      <c r="AG796" s="39"/>
      <c r="AH796" s="5"/>
      <c r="AI796" s="39"/>
      <c r="AJ796" s="39"/>
      <c r="AK796" s="39"/>
      <c r="AL796" s="3"/>
    </row>
    <row r="797" spans="2:38" ht="15" customHeight="1" x14ac:dyDescent="0.25">
      <c r="B797" s="3">
        <v>17</v>
      </c>
      <c r="C797" s="1828">
        <f>IF('SH Sash &amp; unit Weight'!D77&lt;&gt;"",'SH Sash &amp; unit Weight'!D77,"")</f>
        <v>3.4791666666666665E-2</v>
      </c>
      <c r="D797" s="363" t="str">
        <f>IF('SH Sash &amp; unit Weight'!F77&lt;&gt;"",'SH Sash &amp; unit Weight'!F77,"")</f>
        <v>17-Triple:   3mm &amp; 3mm &amp; 3mm</v>
      </c>
      <c r="E797" s="561"/>
      <c r="H797" s="64"/>
      <c r="U797" s="3"/>
      <c r="AA797" s="3"/>
      <c r="AB797" s="5"/>
      <c r="AC797" s="5"/>
      <c r="AF797" s="51"/>
      <c r="AG797" s="39"/>
      <c r="AH797" s="5"/>
      <c r="AL797" s="3"/>
    </row>
    <row r="798" spans="2:38" ht="15" customHeight="1" x14ac:dyDescent="0.25">
      <c r="B798" s="3">
        <v>18</v>
      </c>
      <c r="C798" s="1828">
        <f>IF('SH Sash &amp; unit Weight'!D78&lt;&gt;"",'SH Sash &amp; unit Weight'!D78,"")</f>
        <v>4.0555555555555553E-2</v>
      </c>
      <c r="D798" s="363" t="str">
        <f>IF('SH Sash &amp; unit Weight'!F78&lt;&gt;"",'SH Sash &amp; unit Weight'!F78,"")</f>
        <v>18-Triple:   3mm &amp; 5mm &amp; 3mm</v>
      </c>
      <c r="H798" s="64"/>
      <c r="U798" s="3"/>
      <c r="AA798" s="3"/>
      <c r="AB798" s="5"/>
      <c r="AC798" s="5"/>
      <c r="AF798" s="51"/>
      <c r="AG798" s="39"/>
      <c r="AH798" s="5"/>
      <c r="AI798" s="39"/>
      <c r="AJ798" s="39"/>
      <c r="AK798" s="39"/>
      <c r="AL798" s="3"/>
    </row>
    <row r="799" spans="2:38" ht="15" customHeight="1" x14ac:dyDescent="0.25">
      <c r="B799" s="3">
        <v>19</v>
      </c>
      <c r="C799" s="1828">
        <f>IF('SH Sash &amp; unit Weight'!D79&lt;&gt;"",'SH Sash &amp; unit Weight'!D79,"")</f>
        <v>4.3666666666666666E-2</v>
      </c>
      <c r="D799" s="363" t="str">
        <f>IF('SH Sash &amp; unit Weight'!F79&lt;&gt;"",'SH Sash &amp; unit Weight'!F79,"")</f>
        <v>19-Triple:   3mm &amp; 3mm &amp; 6mm Lami - Sound</v>
      </c>
      <c r="H799" s="64"/>
      <c r="U799" s="3"/>
      <c r="AA799" s="3"/>
    </row>
    <row r="800" spans="2:38" ht="15" customHeight="1" thickBot="1" x14ac:dyDescent="0.3">
      <c r="B800" s="3">
        <v>20</v>
      </c>
      <c r="C800" s="1829">
        <f>IF('SH Sash &amp; unit Weight'!D80&lt;&gt;"",'SH Sash &amp; unit Weight'!D80,"")</f>
        <v>4.2361111111111106E-2</v>
      </c>
      <c r="D800" s="1248" t="str">
        <f>IF('SH Sash &amp; unit Weight'!F80&lt;&gt;"",'SH Sash &amp; unit Weight'!F80,"")</f>
        <v>20-Bevel Leaded - Designer</v>
      </c>
      <c r="E800" s="968"/>
      <c r="F800" s="968"/>
      <c r="G800" s="968"/>
      <c r="H800" s="940"/>
      <c r="U800" s="3"/>
      <c r="AA800" s="3"/>
    </row>
    <row r="801" spans="3:27" ht="15" customHeight="1" x14ac:dyDescent="0.25">
      <c r="C801" s="453"/>
      <c r="D801" s="364" t="str">
        <f>IF('SH Sash &amp; unit Weight'!F81&lt;&gt;"",'SH Sash &amp; unit Weight'!F81,"")</f>
        <v/>
      </c>
      <c r="H801" s="3"/>
      <c r="U801" s="3"/>
      <c r="AA801" s="3"/>
    </row>
    <row r="802" spans="3:27" ht="15" customHeight="1" x14ac:dyDescent="0.4">
      <c r="H802" s="3"/>
      <c r="U802" s="3"/>
      <c r="AA802" s="3"/>
    </row>
    <row r="803" spans="3:27" ht="15" customHeight="1" x14ac:dyDescent="0.4">
      <c r="H803" s="3"/>
      <c r="U803" s="3"/>
      <c r="AA803" s="3"/>
    </row>
    <row r="804" spans="3:27" ht="15" customHeight="1" x14ac:dyDescent="0.4">
      <c r="H804" s="3"/>
      <c r="U804" s="3"/>
      <c r="AA804" s="3"/>
    </row>
  </sheetData>
  <sheetProtection algorithmName="SHA-512" hashValue="ZhdqvgDLm1tKB+TlJaB1fZhwWzhCDviYwyTJNpfSvKdkgHOZKtDLHNpqrQA+80fl9Pf4Kt9OzZtvE5XXdymr9w==" saltValue="2Jbk2+aqqXlh+Cih6+QDSg==" spinCount="100000" sheet="1" objects="1" scenarios="1"/>
  <dataConsolidate/>
  <mergeCells count="54">
    <mergeCell ref="C758:F758"/>
    <mergeCell ref="V4:Y4"/>
    <mergeCell ref="C663:G664"/>
    <mergeCell ref="I11:M11"/>
    <mergeCell ref="V11:X11"/>
    <mergeCell ref="S729:T729"/>
    <mergeCell ref="C657:G658"/>
    <mergeCell ref="C659:G660"/>
    <mergeCell ref="C666:G667"/>
    <mergeCell ref="C668:G669"/>
    <mergeCell ref="C751:F751"/>
    <mergeCell ref="C755:F755"/>
    <mergeCell ref="C753:F753"/>
    <mergeCell ref="C757:F757"/>
    <mergeCell ref="C749:F749"/>
    <mergeCell ref="C750:F750"/>
    <mergeCell ref="B766:G767"/>
    <mergeCell ref="C764:F764"/>
    <mergeCell ref="C760:F760"/>
    <mergeCell ref="C759:F759"/>
    <mergeCell ref="C763:F763"/>
    <mergeCell ref="C762:F762"/>
    <mergeCell ref="C761:F761"/>
    <mergeCell ref="C752:F752"/>
    <mergeCell ref="C754:F754"/>
    <mergeCell ref="S730:T730"/>
    <mergeCell ref="B11:G11"/>
    <mergeCell ref="J4:M4"/>
    <mergeCell ref="J6:M6"/>
    <mergeCell ref="J5:M5"/>
    <mergeCell ref="E4:G4"/>
    <mergeCell ref="J7:M7"/>
    <mergeCell ref="C670:G671"/>
    <mergeCell ref="C672:G673"/>
    <mergeCell ref="I713:K713"/>
    <mergeCell ref="I714:K714"/>
    <mergeCell ref="C661:G662"/>
    <mergeCell ref="N6:Q6"/>
    <mergeCell ref="AQ3:AQ6"/>
    <mergeCell ref="AR11:AU11"/>
    <mergeCell ref="B2:G2"/>
    <mergeCell ref="E3:G3"/>
    <mergeCell ref="B4:D4"/>
    <mergeCell ref="N3:Q3"/>
    <mergeCell ref="N7:Q7"/>
    <mergeCell ref="B5:D5"/>
    <mergeCell ref="J3:M3"/>
    <mergeCell ref="AN7:AP7"/>
    <mergeCell ref="N4:Q4"/>
    <mergeCell ref="N5:Q5"/>
    <mergeCell ref="E6:G6"/>
    <mergeCell ref="E7:G7"/>
    <mergeCell ref="V5:Y5"/>
    <mergeCell ref="V3:Y3"/>
  </mergeCells>
  <phoneticPr fontId="27" type="noConversion"/>
  <conditionalFormatting sqref="AB732 AB585:AB586 AB588 AB603 AB552:AB583 AB548 AB550 AB382:AB385 AB344 AB347:AB380 AB338:AB342 AB413:AB424 AB15:AB23 AB25:AB28 AB36:AB42 AB44:AB53 AB55:AB63 AB65:AB68 AB76:AB82 AB84:AB89 AB91:AB99 AB101:AB104 AB112:AB117 AB119:AB124 AB126:AB131 AB133:AB138 AB140:AB145 AB147:AB151 AB153:AB171 AB426:AB460 AB462:AB472 AB474:AB483 AB530:AB535 AB538:AB542 AB590:AB601 AB262:AB265 AB544:AB545 AB485:AB528 AB70:AB74 AB30:AB34 AB106:AB110 AB173:AB180 AB182:AB200 AB202:AB209 AB211:AB225 AB227:AB234 AB236:AB260 AB402:AB407 AB387:AB400 AB605:AB723 AB267:AB333">
    <cfRule type="cellIs" dxfId="361" priority="196" stopIfTrue="1" operator="lessThan">
      <formula>42</formula>
    </cfRule>
    <cfRule type="cellIs" dxfId="360" priority="197" stopIfTrue="1" operator="lessThan">
      <formula>45</formula>
    </cfRule>
  </conditionalFormatting>
  <conditionalFormatting sqref="E8">
    <cfRule type="expression" dxfId="359" priority="226" stopIfTrue="1">
      <formula>ISERR(FIND("DIM",$E$7))</formula>
    </cfRule>
  </conditionalFormatting>
  <conditionalFormatting sqref="AB24">
    <cfRule type="cellIs" dxfId="358" priority="83" stopIfTrue="1" operator="lessThan">
      <formula>42</formula>
    </cfRule>
    <cfRule type="cellIs" dxfId="357" priority="84" stopIfTrue="1" operator="lessThan">
      <formula>45</formula>
    </cfRule>
  </conditionalFormatting>
  <conditionalFormatting sqref="AB35">
    <cfRule type="cellIs" dxfId="356" priority="81" stopIfTrue="1" operator="lessThan">
      <formula>42</formula>
    </cfRule>
    <cfRule type="cellIs" dxfId="355" priority="82" stopIfTrue="1" operator="lessThan">
      <formula>45</formula>
    </cfRule>
  </conditionalFormatting>
  <conditionalFormatting sqref="AB43">
    <cfRule type="cellIs" dxfId="354" priority="79" stopIfTrue="1" operator="lessThan">
      <formula>42</formula>
    </cfRule>
    <cfRule type="cellIs" dxfId="353" priority="80" stopIfTrue="1" operator="lessThan">
      <formula>45</formula>
    </cfRule>
  </conditionalFormatting>
  <conditionalFormatting sqref="AB54">
    <cfRule type="cellIs" dxfId="352" priority="77" stopIfTrue="1" operator="lessThan">
      <formula>42</formula>
    </cfRule>
    <cfRule type="cellIs" dxfId="351" priority="78" stopIfTrue="1" operator="lessThan">
      <formula>45</formula>
    </cfRule>
  </conditionalFormatting>
  <conditionalFormatting sqref="AB64">
    <cfRule type="cellIs" dxfId="350" priority="75" stopIfTrue="1" operator="lessThan">
      <formula>42</formula>
    </cfRule>
    <cfRule type="cellIs" dxfId="349" priority="76" stopIfTrue="1" operator="lessThan">
      <formula>45</formula>
    </cfRule>
  </conditionalFormatting>
  <conditionalFormatting sqref="AB75">
    <cfRule type="cellIs" dxfId="348" priority="73" stopIfTrue="1" operator="lessThan">
      <formula>42</formula>
    </cfRule>
    <cfRule type="cellIs" dxfId="347" priority="74" stopIfTrue="1" operator="lessThan">
      <formula>45</formula>
    </cfRule>
  </conditionalFormatting>
  <conditionalFormatting sqref="AB83">
    <cfRule type="cellIs" dxfId="346" priority="71" stopIfTrue="1" operator="lessThan">
      <formula>42</formula>
    </cfRule>
    <cfRule type="cellIs" dxfId="345" priority="72" stopIfTrue="1" operator="lessThan">
      <formula>45</formula>
    </cfRule>
  </conditionalFormatting>
  <conditionalFormatting sqref="AB90">
    <cfRule type="cellIs" dxfId="344" priority="69" stopIfTrue="1" operator="lessThan">
      <formula>42</formula>
    </cfRule>
    <cfRule type="cellIs" dxfId="343" priority="70" stopIfTrue="1" operator="lessThan">
      <formula>45</formula>
    </cfRule>
  </conditionalFormatting>
  <conditionalFormatting sqref="AB100">
    <cfRule type="cellIs" dxfId="342" priority="67" stopIfTrue="1" operator="lessThan">
      <formula>42</formula>
    </cfRule>
    <cfRule type="cellIs" dxfId="341" priority="68" stopIfTrue="1" operator="lessThan">
      <formula>45</formula>
    </cfRule>
  </conditionalFormatting>
  <conditionalFormatting sqref="AB111">
    <cfRule type="cellIs" dxfId="340" priority="65" stopIfTrue="1" operator="lessThan">
      <formula>42</formula>
    </cfRule>
    <cfRule type="cellIs" dxfId="339" priority="66" stopIfTrue="1" operator="lessThan">
      <formula>45</formula>
    </cfRule>
  </conditionalFormatting>
  <conditionalFormatting sqref="AB118">
    <cfRule type="cellIs" dxfId="338" priority="63" stopIfTrue="1" operator="lessThan">
      <formula>42</formula>
    </cfRule>
    <cfRule type="cellIs" dxfId="337" priority="64" stopIfTrue="1" operator="lessThan">
      <formula>45</formula>
    </cfRule>
  </conditionalFormatting>
  <conditionalFormatting sqref="AB125">
    <cfRule type="cellIs" dxfId="336" priority="61" stopIfTrue="1" operator="lessThan">
      <formula>42</formula>
    </cfRule>
    <cfRule type="cellIs" dxfId="335" priority="62" stopIfTrue="1" operator="lessThan">
      <formula>45</formula>
    </cfRule>
  </conditionalFormatting>
  <conditionalFormatting sqref="AB132">
    <cfRule type="cellIs" dxfId="334" priority="59" stopIfTrue="1" operator="lessThan">
      <formula>42</formula>
    </cfRule>
    <cfRule type="cellIs" dxfId="333" priority="60" stopIfTrue="1" operator="lessThan">
      <formula>45</formula>
    </cfRule>
  </conditionalFormatting>
  <conditionalFormatting sqref="AB139">
    <cfRule type="cellIs" dxfId="332" priority="57" stopIfTrue="1" operator="lessThan">
      <formula>42</formula>
    </cfRule>
    <cfRule type="cellIs" dxfId="331" priority="58" stopIfTrue="1" operator="lessThan">
      <formula>45</formula>
    </cfRule>
  </conditionalFormatting>
  <conditionalFormatting sqref="AB146">
    <cfRule type="cellIs" dxfId="330" priority="55" stopIfTrue="1" operator="lessThan">
      <formula>42</formula>
    </cfRule>
    <cfRule type="cellIs" dxfId="329" priority="56" stopIfTrue="1" operator="lessThan">
      <formula>45</formula>
    </cfRule>
  </conditionalFormatting>
  <conditionalFormatting sqref="AB152">
    <cfRule type="cellIs" dxfId="328" priority="53" stopIfTrue="1" operator="lessThan">
      <formula>42</formula>
    </cfRule>
    <cfRule type="cellIs" dxfId="327" priority="54" stopIfTrue="1" operator="lessThan">
      <formula>45</formula>
    </cfRule>
  </conditionalFormatting>
  <conditionalFormatting sqref="AB261">
    <cfRule type="cellIs" dxfId="326" priority="51" stopIfTrue="1" operator="lessThan">
      <formula>42</formula>
    </cfRule>
    <cfRule type="cellIs" dxfId="325" priority="52" stopIfTrue="1" operator="lessThan">
      <formula>45</formula>
    </cfRule>
  </conditionalFormatting>
  <conditionalFormatting sqref="AB461">
    <cfRule type="cellIs" dxfId="324" priority="49" stopIfTrue="1" operator="lessThan">
      <formula>42</formula>
    </cfRule>
    <cfRule type="cellIs" dxfId="323" priority="50" stopIfTrue="1" operator="lessThan">
      <formula>45</formula>
    </cfRule>
  </conditionalFormatting>
  <conditionalFormatting sqref="AB473">
    <cfRule type="cellIs" dxfId="322" priority="47" stopIfTrue="1" operator="lessThan">
      <formula>42</formula>
    </cfRule>
    <cfRule type="cellIs" dxfId="321" priority="48" stopIfTrue="1" operator="lessThan">
      <formula>45</formula>
    </cfRule>
  </conditionalFormatting>
  <conditionalFormatting sqref="AB484">
    <cfRule type="cellIs" dxfId="320" priority="45" stopIfTrue="1" operator="lessThan">
      <formula>42</formula>
    </cfRule>
    <cfRule type="cellIs" dxfId="319" priority="46" stopIfTrue="1" operator="lessThan">
      <formula>45</formula>
    </cfRule>
  </conditionalFormatting>
  <conditionalFormatting sqref="AB529">
    <cfRule type="cellIs" dxfId="318" priority="43" stopIfTrue="1" operator="lessThan">
      <formula>42</formula>
    </cfRule>
    <cfRule type="cellIs" dxfId="317" priority="44" stopIfTrue="1" operator="lessThan">
      <formula>45</formula>
    </cfRule>
  </conditionalFormatting>
  <conditionalFormatting sqref="AB536">
    <cfRule type="cellIs" dxfId="316" priority="41" stopIfTrue="1" operator="lessThan">
      <formula>42</formula>
    </cfRule>
    <cfRule type="cellIs" dxfId="315" priority="42" stopIfTrue="1" operator="lessThan">
      <formula>45</formula>
    </cfRule>
  </conditionalFormatting>
  <conditionalFormatting sqref="AB543">
    <cfRule type="cellIs" dxfId="314" priority="39" stopIfTrue="1" operator="lessThan">
      <formula>42</formula>
    </cfRule>
    <cfRule type="cellIs" dxfId="313" priority="40" stopIfTrue="1" operator="lessThan">
      <formula>45</formula>
    </cfRule>
  </conditionalFormatting>
  <conditionalFormatting sqref="AB494">
    <cfRule type="cellIs" dxfId="312" priority="37" stopIfTrue="1" operator="lessThan">
      <formula>42</formula>
    </cfRule>
    <cfRule type="cellIs" dxfId="311" priority="38" stopIfTrue="1" operator="lessThan">
      <formula>45</formula>
    </cfRule>
  </conditionalFormatting>
  <conditionalFormatting sqref="AB501">
    <cfRule type="cellIs" dxfId="310" priority="35" stopIfTrue="1" operator="lessThan">
      <formula>42</formula>
    </cfRule>
    <cfRule type="cellIs" dxfId="309" priority="36" stopIfTrue="1" operator="lessThan">
      <formula>45</formula>
    </cfRule>
  </conditionalFormatting>
  <conditionalFormatting sqref="AB508">
    <cfRule type="cellIs" dxfId="308" priority="33" stopIfTrue="1" operator="lessThan">
      <formula>42</formula>
    </cfRule>
    <cfRule type="cellIs" dxfId="307" priority="34" stopIfTrue="1" operator="lessThan">
      <formula>45</formula>
    </cfRule>
  </conditionalFormatting>
  <conditionalFormatting sqref="AB515">
    <cfRule type="cellIs" dxfId="306" priority="31" stopIfTrue="1" operator="lessThan">
      <formula>42</formula>
    </cfRule>
    <cfRule type="cellIs" dxfId="305" priority="32" stopIfTrue="1" operator="lessThan">
      <formula>45</formula>
    </cfRule>
  </conditionalFormatting>
  <conditionalFormatting sqref="AB522">
    <cfRule type="cellIs" dxfId="304" priority="29" stopIfTrue="1" operator="lessThan">
      <formula>42</formula>
    </cfRule>
    <cfRule type="cellIs" dxfId="303" priority="30" stopIfTrue="1" operator="lessThan">
      <formula>45</formula>
    </cfRule>
  </conditionalFormatting>
  <conditionalFormatting sqref="AB425">
    <cfRule type="cellIs" dxfId="302" priority="27" stopIfTrue="1" operator="lessThan">
      <formula>42</formula>
    </cfRule>
    <cfRule type="cellIs" dxfId="301" priority="28" stopIfTrue="1" operator="lessThan">
      <formula>45</formula>
    </cfRule>
  </conditionalFormatting>
  <conditionalFormatting sqref="AB334:AB337">
    <cfRule type="cellIs" dxfId="300" priority="25" stopIfTrue="1" operator="lessThan">
      <formula>42</formula>
    </cfRule>
    <cfRule type="cellIs" dxfId="299" priority="26" stopIfTrue="1" operator="lessThan">
      <formula>45</formula>
    </cfRule>
  </conditionalFormatting>
  <conditionalFormatting sqref="AB408:AB412">
    <cfRule type="cellIs" dxfId="298" priority="23" stopIfTrue="1" operator="lessThan">
      <formula>42</formula>
    </cfRule>
    <cfRule type="cellIs" dxfId="297" priority="24" stopIfTrue="1" operator="lessThan">
      <formula>45</formula>
    </cfRule>
  </conditionalFormatting>
  <conditionalFormatting sqref="AB69">
    <cfRule type="cellIs" dxfId="296" priority="19" stopIfTrue="1" operator="lessThan">
      <formula>42</formula>
    </cfRule>
    <cfRule type="cellIs" dxfId="295" priority="20" stopIfTrue="1" operator="lessThan">
      <formula>45</formula>
    </cfRule>
  </conditionalFormatting>
  <conditionalFormatting sqref="AB29">
    <cfRule type="cellIs" dxfId="294" priority="17" stopIfTrue="1" operator="lessThan">
      <formula>42</formula>
    </cfRule>
    <cfRule type="cellIs" dxfId="293" priority="18" stopIfTrue="1" operator="lessThan">
      <formula>45</formula>
    </cfRule>
  </conditionalFormatting>
  <conditionalFormatting sqref="AB105">
    <cfRule type="cellIs" dxfId="292" priority="15" stopIfTrue="1" operator="lessThan">
      <formula>42</formula>
    </cfRule>
    <cfRule type="cellIs" dxfId="291" priority="16" stopIfTrue="1" operator="lessThan">
      <formula>45</formula>
    </cfRule>
  </conditionalFormatting>
  <conditionalFormatting sqref="AB172">
    <cfRule type="cellIs" dxfId="290" priority="13" stopIfTrue="1" operator="lessThan">
      <formula>42</formula>
    </cfRule>
    <cfRule type="cellIs" dxfId="289" priority="14" stopIfTrue="1" operator="lessThan">
      <formula>45</formula>
    </cfRule>
  </conditionalFormatting>
  <conditionalFormatting sqref="AB181">
    <cfRule type="cellIs" dxfId="288" priority="11" stopIfTrue="1" operator="lessThan">
      <formula>42</formula>
    </cfRule>
    <cfRule type="cellIs" dxfId="287" priority="12" stopIfTrue="1" operator="lessThan">
      <formula>45</formula>
    </cfRule>
  </conditionalFormatting>
  <conditionalFormatting sqref="AB201">
    <cfRule type="cellIs" dxfId="286" priority="9" stopIfTrue="1" operator="lessThan">
      <formula>42</formula>
    </cfRule>
    <cfRule type="cellIs" dxfId="285" priority="10" stopIfTrue="1" operator="lessThan">
      <formula>45</formula>
    </cfRule>
  </conditionalFormatting>
  <conditionalFormatting sqref="AB210">
    <cfRule type="cellIs" dxfId="284" priority="7" stopIfTrue="1" operator="lessThan">
      <formula>42</formula>
    </cfRule>
    <cfRule type="cellIs" dxfId="283" priority="8" stopIfTrue="1" operator="lessThan">
      <formula>45</formula>
    </cfRule>
  </conditionalFormatting>
  <conditionalFormatting sqref="AB226">
    <cfRule type="cellIs" dxfId="282" priority="5" stopIfTrue="1" operator="lessThan">
      <formula>42</formula>
    </cfRule>
    <cfRule type="cellIs" dxfId="281" priority="6" stopIfTrue="1" operator="lessThan">
      <formula>45</formula>
    </cfRule>
  </conditionalFormatting>
  <conditionalFormatting sqref="AB235">
    <cfRule type="cellIs" dxfId="280" priority="3" stopIfTrue="1" operator="lessThan">
      <formula>42</formula>
    </cfRule>
    <cfRule type="cellIs" dxfId="279" priority="4" stopIfTrue="1" operator="lessThan">
      <formula>45</formula>
    </cfRule>
  </conditionalFormatting>
  <conditionalFormatting sqref="AB266">
    <cfRule type="cellIs" dxfId="278" priority="1" stopIfTrue="1" operator="lessThan">
      <formula>42</formula>
    </cfRule>
    <cfRule type="cellIs" dxfId="277" priority="2" stopIfTrue="1" operator="lessThan">
      <formula>45</formula>
    </cfRule>
  </conditionalFormatting>
  <dataValidations disablePrompts="1" count="7">
    <dataValidation showDropDown="1" showInputMessage="1" showErrorMessage="1" sqref="I8 Y7" xr:uid="{00000000-0002-0000-0300-000000000000}"/>
    <dataValidation type="list" allowBlank="1" showInputMessage="1" showErrorMessage="1" sqref="E7" xr:uid="{00000000-0002-0000-0300-000001000000}">
      <formula1>$B$768:$B$769</formula1>
    </dataValidation>
    <dataValidation type="list" allowBlank="1" showInputMessage="1" showErrorMessage="1" sqref="E6:G6" xr:uid="{00000000-0002-0000-0300-000002000000}">
      <formula1>$D$781:$D$800</formula1>
    </dataValidation>
    <dataValidation type="list" showInputMessage="1" showErrorMessage="1" sqref="E4" xr:uid="{00000000-0002-0000-0300-000003000000}">
      <formula1>$AN$3:$AN$6</formula1>
    </dataValidation>
    <dataValidation type="list" allowBlank="1" showInputMessage="1" showErrorMessage="1" sqref="E3:G3" xr:uid="{00000000-0002-0000-0300-000004000000}">
      <formula1>$AM$11:$AP$11</formula1>
    </dataValidation>
    <dataValidation type="decimal" allowBlank="1" showInputMessage="1" showErrorMessage="1" sqref="E5" xr:uid="{00000000-0002-0000-0300-000005000000}">
      <formula1>23.5</formula1>
      <formula2>71.5</formula2>
    </dataValidation>
    <dataValidation type="decimal" allowBlank="1" showInputMessage="1" showErrorMessage="1" sqref="G5" xr:uid="{00000000-0002-0000-0300-000006000000}">
      <formula1>11.5</formula1>
      <formula2>71.5</formula2>
    </dataValidation>
  </dataValidations>
  <pageMargins left="0.125" right="0.125" top="0.25" bottom="0.375" header="0" footer="0"/>
  <pageSetup scale="21" fitToHeight="12" orientation="landscape" horizontalDpi="4294967292" r:id="rId1"/>
  <headerFooter alignWithMargins="0">
    <oddFooter>&amp;L&amp;8&amp;Z&amp;F</oddFooter>
  </headerFooter>
  <ignoredErrors>
    <ignoredError sqref="Y338:Y344 Y681:Y689 Y404 Y695 Y707:Y709 Y346 Y641:Y642 Y691 Y372 Y666:Y669 Y677:Y678 Y629:Y637 Y608:Y609 Y693 Y428 Y141:Y144 Y147:Y148 Y248:Y254 Y435:Y455 Y464:Y466 Y476:Y478 Y524:Y525 Y531 Y538:Y539 Y327 Y348:Y370 Y374:Y375 Y421:Y422 Y315 Y267:Y268 Y321:Y322 Y426 Y545:Y583 Y593:Y594 Y645 Y651 Y380 Y154 Y173:Y174 Y192:Y194 Y202:Y203 Y217:Y219 Y227:Y228 Y242:Y243 Y236:Y237 Y211:Y212 Y182:Y187 Y385:Y386 Y470:Y471 Y588 Y705 Y150 Y167 Y176 Y189 Y196 Y205 Y214 Y221 Y230 Y239 Y245 Y309:Y310 Y312 Y324 Y390 Y424 Y457:Y459 Y480:Y482 Y527 Y541 Y598:Y603 Y613:Y614 Y618:Y622 Y647:Y648 Y653:Y654 Y156 Y158 Y160:Y165 Y657:Y660 Y711:Y716 Y272:Y278 Y487:Y488 Y170:Y171 Y179:Y180 Y199:Y200 Y208:Y209 Y233:Y234 Y264:Y265 Y224:Y225 Y270 Y388 Y596 Y611 Y616" numberStoredAsText="1"/>
    <ignoredError sqref="S735 S370 AD433 AD627 AD684:AD688 S737:S739 S741"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BF997"/>
  <sheetViews>
    <sheetView showGridLines="0" showOutlineSymbols="0" zoomScale="70" zoomScaleNormal="70" zoomScaleSheetLayoutView="85" workbookViewId="0">
      <pane ySplit="13" topLeftCell="A14" activePane="bottomLeft" state="frozen"/>
      <selection pane="bottomLeft"/>
    </sheetView>
  </sheetViews>
  <sheetFormatPr defaultColWidth="20.59765625" defaultRowHeight="15" customHeight="1" x14ac:dyDescent="0.4"/>
  <cols>
    <col min="1" max="1" width="15.59765625" style="3" bestFit="1" customWidth="1"/>
    <col min="2" max="2" width="7.59765625" style="4" customWidth="1"/>
    <col min="3" max="3" width="4.09765625" style="8" customWidth="1"/>
    <col min="4" max="4" width="3.59765625" style="4" customWidth="1"/>
    <col min="5" max="5" width="10.59765625" style="4" customWidth="1"/>
    <col min="6" max="6" width="12.09765625" style="4" customWidth="1"/>
    <col min="7" max="7" width="9" style="4" customWidth="1"/>
    <col min="8" max="8" width="3.09765625" style="14" customWidth="1"/>
    <col min="9" max="9" width="5.59765625" style="3" customWidth="1"/>
    <col min="10" max="10" width="2.59765625" style="3" customWidth="1"/>
    <col min="11" max="11" width="5.3984375" style="3" customWidth="1"/>
    <col min="12" max="12" width="2.59765625" style="3" customWidth="1"/>
    <col min="13" max="13" width="7.09765625" style="5" customWidth="1"/>
    <col min="14" max="14" width="2.59765625" style="5" customWidth="1"/>
    <col min="15" max="15" width="6" style="5" customWidth="1"/>
    <col min="16" max="16" width="7.59765625" style="5" customWidth="1"/>
    <col min="17" max="17" width="11.59765625" style="5" customWidth="1"/>
    <col min="18" max="18" width="2.59765625" style="3" customWidth="1"/>
    <col min="19" max="19" width="8.5" style="5" customWidth="1"/>
    <col min="20" max="20" width="7.59765625" style="3" customWidth="1"/>
    <col min="21" max="21" width="5.09765625" style="14" customWidth="1"/>
    <col min="22" max="22" width="6.09765625" style="3" customWidth="1"/>
    <col min="23" max="23" width="5.09765625" style="3" customWidth="1"/>
    <col min="24" max="24" width="5.8984375" style="3" customWidth="1"/>
    <col min="25" max="26" width="12.59765625" style="3" customWidth="1"/>
    <col min="27" max="27" width="1.69921875" style="14" customWidth="1"/>
    <col min="28" max="28" width="7.3984375" style="3" customWidth="1"/>
    <col min="29" max="29" width="6.3984375" style="3" customWidth="1"/>
    <col min="30" max="30" width="7.59765625" style="5" customWidth="1"/>
    <col min="31" max="31" width="4.59765625" style="5" customWidth="1"/>
    <col min="32" max="32" width="6.59765625" style="5" customWidth="1"/>
    <col min="33" max="33" width="9.09765625" style="5" customWidth="1"/>
    <col min="34" max="37" width="11" style="51" customWidth="1"/>
    <col min="38" max="38" width="7.09765625" style="39" customWidth="1"/>
    <col min="39" max="39" width="14.3984375" style="3" customWidth="1"/>
    <col min="40" max="43" width="8.59765625" style="3" customWidth="1"/>
    <col min="44" max="47" width="5.5" style="3" customWidth="1"/>
    <col min="48" max="16384" width="20.59765625" style="3"/>
  </cols>
  <sheetData>
    <row r="1" spans="1:48" s="290" customFormat="1" ht="30.6" thickBot="1" x14ac:dyDescent="0.3">
      <c r="A1" s="456" t="s">
        <v>1338</v>
      </c>
      <c r="B1" s="129"/>
      <c r="E1" s="4"/>
      <c r="K1" s="3"/>
      <c r="P1" s="8"/>
    </row>
    <row r="2" spans="1:48" s="2" customFormat="1" ht="23.4" thickBot="1" x14ac:dyDescent="0.3">
      <c r="B2" s="2013" t="s">
        <v>297</v>
      </c>
      <c r="C2" s="2014"/>
      <c r="D2" s="2014"/>
      <c r="E2" s="2014"/>
      <c r="F2" s="2014"/>
      <c r="G2" s="2015"/>
      <c r="H2" s="500"/>
      <c r="I2" s="1"/>
      <c r="J2" s="817"/>
      <c r="K2" s="549"/>
      <c r="L2" s="818"/>
      <c r="M2" s="549"/>
      <c r="N2" s="549"/>
      <c r="O2" s="549"/>
      <c r="P2" s="819"/>
      <c r="Q2" s="819"/>
      <c r="R2" s="820" t="s">
        <v>298</v>
      </c>
      <c r="S2" s="549"/>
      <c r="T2" s="549"/>
      <c r="U2" s="549"/>
      <c r="V2" s="549"/>
      <c r="W2" s="549"/>
      <c r="X2" s="549"/>
      <c r="Y2" s="550"/>
      <c r="Z2" s="290"/>
      <c r="AB2" s="1"/>
      <c r="AC2" s="5"/>
      <c r="AF2" s="3"/>
      <c r="AG2" s="457"/>
      <c r="AL2" s="3"/>
      <c r="AO2" s="452" t="s">
        <v>299</v>
      </c>
      <c r="AP2" s="118">
        <f>MATCH(E4,AN3:AN6,0)</f>
        <v>1</v>
      </c>
    </row>
    <row r="3" spans="1:48" s="2" customFormat="1" ht="20.25" customHeight="1" thickBot="1" x14ac:dyDescent="0.3">
      <c r="B3" s="458"/>
      <c r="C3" s="459"/>
      <c r="D3" s="459" t="s">
        <v>299</v>
      </c>
      <c r="E3" s="2072" t="s">
        <v>1339</v>
      </c>
      <c r="F3" s="2073"/>
      <c r="G3" s="2074"/>
      <c r="H3" s="500"/>
      <c r="J3" s="2040" t="s">
        <v>300</v>
      </c>
      <c r="K3" s="2041"/>
      <c r="L3" s="2041"/>
      <c r="M3" s="2041" t="s">
        <v>300</v>
      </c>
      <c r="N3" s="2066" t="str">
        <f>FIXED(SLEQwidth,3)&amp;" W x "&amp;FIXED(SLEQheight,3)&amp;" H"</f>
        <v>71.500 W x 47.500 H</v>
      </c>
      <c r="O3" s="2066"/>
      <c r="P3" s="2066"/>
      <c r="Q3" s="2066"/>
      <c r="R3" s="821"/>
      <c r="S3" s="821"/>
      <c r="T3" s="821"/>
      <c r="U3" s="822" t="s">
        <v>1211</v>
      </c>
      <c r="V3" s="2068" t="str">
        <f>FIXED(S679,3)&amp;" W x "&amp;FIXED(S680,3)&amp;" H = "&amp;FIXED(S681,1)&amp;" "&amp;T681</f>
        <v>21.687 W x 42.375 H = 6.4 Sq Ft</v>
      </c>
      <c r="W3" s="2068"/>
      <c r="X3" s="2068"/>
      <c r="Y3" s="2069"/>
      <c r="Z3" s="290"/>
      <c r="AA3" s="317"/>
      <c r="AE3" s="5"/>
      <c r="AF3" s="5"/>
      <c r="AG3" s="457"/>
      <c r="AL3" s="3"/>
      <c r="AN3" s="119" t="s">
        <v>302</v>
      </c>
      <c r="AO3" s="116"/>
      <c r="AP3" s="66"/>
    </row>
    <row r="4" spans="1:48" s="2" customFormat="1" ht="20.25" customHeight="1" thickBot="1" x14ac:dyDescent="0.3">
      <c r="B4" s="2020" t="s">
        <v>304</v>
      </c>
      <c r="C4" s="2021"/>
      <c r="D4" s="2021"/>
      <c r="E4" s="2017" t="s">
        <v>302</v>
      </c>
      <c r="F4" s="2018"/>
      <c r="G4" s="2019"/>
      <c r="H4" s="500"/>
      <c r="I4" s="36"/>
      <c r="J4" s="1959" t="s">
        <v>1212</v>
      </c>
      <c r="K4" s="1960"/>
      <c r="L4" s="1960"/>
      <c r="M4" s="1960"/>
      <c r="N4" s="2067" t="str">
        <f>FIXED(SLEQFGW,3)&amp;" W x "&amp;FIXED(SLEQFGH,3)&amp;" H"</f>
        <v>22.563 W x 43.250 H</v>
      </c>
      <c r="O4" s="2067"/>
      <c r="P4" s="2067"/>
      <c r="Q4" s="2067"/>
      <c r="R4" s="460"/>
      <c r="S4" s="284"/>
      <c r="T4" s="283"/>
      <c r="U4" s="121" t="s">
        <v>1213</v>
      </c>
      <c r="V4" s="2070" t="str">
        <f>FIXED(S685,3)&amp;" W x "&amp;FIXED(S686,3)&amp;" H = "&amp;FIXED(S687,1)&amp;" "&amp;T687</f>
        <v>18.847 W x 41.062 H = 5.4 Sq Ft</v>
      </c>
      <c r="W4" s="2070"/>
      <c r="X4" s="2070"/>
      <c r="Y4" s="2071"/>
      <c r="Z4" s="290"/>
      <c r="AB4" s="1144"/>
      <c r="AD4" s="5"/>
      <c r="AE4" s="5"/>
      <c r="AF4" s="461"/>
      <c r="AG4" s="462"/>
      <c r="AH4" s="462"/>
      <c r="AI4" s="462"/>
      <c r="AJ4" s="462"/>
      <c r="AK4" s="462"/>
      <c r="AL4" s="3"/>
      <c r="AN4" s="120" t="s">
        <v>307</v>
      </c>
      <c r="AO4" s="3"/>
      <c r="AP4" s="64"/>
    </row>
    <row r="5" spans="1:48" ht="20.25" customHeight="1" thickBot="1" x14ac:dyDescent="0.3">
      <c r="B5" s="2020" t="s">
        <v>308</v>
      </c>
      <c r="C5" s="2021"/>
      <c r="D5" s="2021"/>
      <c r="E5" s="816">
        <v>71.5</v>
      </c>
      <c r="F5" s="464" t="s">
        <v>309</v>
      </c>
      <c r="G5" s="816">
        <v>47.5</v>
      </c>
      <c r="H5" s="500"/>
      <c r="J5" s="1959" t="s">
        <v>1214</v>
      </c>
      <c r="K5" s="1965"/>
      <c r="L5" s="1965"/>
      <c r="M5" s="1965"/>
      <c r="N5" s="2067" t="str">
        <f>FIXED(SLEQSGW,3)&amp;" W x "&amp;FIXED(SLEQSGH,3)&amp;" H"</f>
        <v>19.875 W x 42.125 H</v>
      </c>
      <c r="O5" s="2067"/>
      <c r="P5" s="2067"/>
      <c r="Q5" s="2067"/>
      <c r="R5" s="460"/>
      <c r="S5" s="285"/>
      <c r="T5" s="284"/>
      <c r="U5" s="1497" t="s">
        <v>321</v>
      </c>
      <c r="V5" s="2070" t="str">
        <f>FIXED($S$670,3)&amp;" x "&amp;FIXED($S$671,3)&amp;" = "&amp;FIXED($S$672,2)&amp;"  Sq Ft"</f>
        <v>20.320 x 42.386 = 5.98  Sq Ft</v>
      </c>
      <c r="W5" s="2070"/>
      <c r="X5" s="2070"/>
      <c r="Y5" s="2071"/>
      <c r="Z5" s="290"/>
      <c r="AA5" s="155"/>
      <c r="AB5" s="291"/>
      <c r="AC5" s="461"/>
      <c r="AF5" s="461"/>
      <c r="AG5" s="457"/>
      <c r="AH5" s="462"/>
      <c r="AI5" s="462"/>
      <c r="AJ5" s="462"/>
      <c r="AK5" s="462"/>
      <c r="AL5" s="3"/>
      <c r="AN5" s="117" t="s">
        <v>1122</v>
      </c>
      <c r="AP5" s="64"/>
    </row>
    <row r="6" spans="1:48" ht="20.25" customHeight="1" thickBot="1" x14ac:dyDescent="0.3">
      <c r="B6" s="466"/>
      <c r="C6" s="467"/>
      <c r="D6" s="468" t="s">
        <v>313</v>
      </c>
      <c r="E6" s="2042" t="s">
        <v>314</v>
      </c>
      <c r="F6" s="2043"/>
      <c r="G6" s="2044"/>
      <c r="H6" s="500"/>
      <c r="J6" s="1992" t="s">
        <v>1340</v>
      </c>
      <c r="K6" s="1960"/>
      <c r="L6" s="1960"/>
      <c r="M6" s="1960"/>
      <c r="N6" s="2067" t="str">
        <f>FIXED(SLEQSW,3)&amp;" W x "&amp;FIXED(SLEQSH,3)&amp;" H"</f>
        <v>22.375 W x 44.625 H</v>
      </c>
      <c r="O6" s="2067"/>
      <c r="P6" s="2067"/>
      <c r="Q6" s="2067"/>
      <c r="R6" s="465"/>
      <c r="S6" s="286"/>
      <c r="T6" s="284"/>
      <c r="U6" s="284"/>
      <c r="V6" s="284"/>
      <c r="W6" s="284"/>
      <c r="X6" s="284"/>
      <c r="Y6" s="471"/>
      <c r="Z6" s="290"/>
      <c r="AA6" s="155"/>
      <c r="AB6" s="291"/>
      <c r="AC6" s="461"/>
      <c r="AG6" s="457"/>
      <c r="AH6" s="462"/>
      <c r="AI6" s="462"/>
      <c r="AJ6" s="462"/>
      <c r="AK6" s="462"/>
      <c r="AL6" s="3"/>
      <c r="AN6" s="939" t="s">
        <v>317</v>
      </c>
      <c r="AO6" s="889"/>
      <c r="AP6" s="940"/>
    </row>
    <row r="7" spans="1:48" ht="20.25" customHeight="1" thickBot="1" x14ac:dyDescent="0.3">
      <c r="B7" s="466"/>
      <c r="C7" s="1500"/>
      <c r="D7" s="469" t="s">
        <v>318</v>
      </c>
      <c r="E7" s="2045" t="s">
        <v>319</v>
      </c>
      <c r="F7" s="2046"/>
      <c r="G7" s="2047"/>
      <c r="H7" s="500"/>
      <c r="J7" s="1992" t="s">
        <v>320</v>
      </c>
      <c r="K7" s="1960"/>
      <c r="L7" s="1960"/>
      <c r="M7" s="1960"/>
      <c r="N7" s="2067" t="str">
        <f>FIXED($S$656,3)&amp;" W x "&amp;FIXED($S$657,3)&amp;" H"</f>
        <v>21.063 W x 43.000 H</v>
      </c>
      <c r="O7" s="2067"/>
      <c r="P7" s="2067"/>
      <c r="Q7" s="2067"/>
      <c r="R7" s="287"/>
      <c r="S7" s="286"/>
      <c r="T7" s="284"/>
      <c r="U7" s="284"/>
      <c r="V7" s="284"/>
      <c r="W7" s="284"/>
      <c r="X7" s="284"/>
      <c r="Y7" s="471"/>
      <c r="Z7" s="290"/>
      <c r="AA7" s="155"/>
      <c r="AB7" s="291"/>
      <c r="AC7" s="437"/>
      <c r="AG7" s="457"/>
      <c r="AH7" s="462"/>
      <c r="AI7" s="462"/>
      <c r="AJ7" s="462"/>
      <c r="AK7" s="462"/>
      <c r="AL7" s="3"/>
      <c r="AN7" s="2001"/>
      <c r="AO7" s="2002"/>
      <c r="AP7" s="2002"/>
    </row>
    <row r="8" spans="1:48" ht="20.25" customHeight="1" thickBot="1" x14ac:dyDescent="0.3">
      <c r="B8" s="1235"/>
      <c r="C8" s="1236"/>
      <c r="D8" s="1237" t="s">
        <v>1341</v>
      </c>
      <c r="E8" s="1504">
        <v>28.375</v>
      </c>
      <c r="F8" s="1238" t="str">
        <f>IF(ISERR(FIND("DIM",$E$7)),"not needed","Required")</f>
        <v>not needed</v>
      </c>
      <c r="G8" s="1239"/>
      <c r="H8" s="500"/>
      <c r="I8" s="470"/>
      <c r="J8" s="2064"/>
      <c r="K8" s="2065"/>
      <c r="L8" s="2065"/>
      <c r="M8" s="1182"/>
      <c r="N8" s="1182"/>
      <c r="O8" s="1182"/>
      <c r="P8" s="1183"/>
      <c r="Q8" s="1183"/>
      <c r="R8" s="1184"/>
      <c r="S8" s="1182"/>
      <c r="T8" s="1241"/>
      <c r="U8" s="1249"/>
      <c r="V8" s="1615" t="s">
        <v>1217</v>
      </c>
      <c r="W8" s="2062">
        <f>SLEQSORnd</f>
        <v>0</v>
      </c>
      <c r="X8" s="2063"/>
      <c r="Y8" s="1186"/>
      <c r="Z8" s="290"/>
      <c r="AA8" s="3"/>
      <c r="AB8" s="24"/>
      <c r="AG8" s="462"/>
      <c r="AH8" s="462"/>
      <c r="AI8" s="462"/>
      <c r="AJ8" s="462"/>
      <c r="AK8" s="462"/>
      <c r="AL8" s="318"/>
    </row>
    <row r="9" spans="1:48" ht="13.2" x14ac:dyDescent="0.4">
      <c r="C9" s="201"/>
      <c r="G9" s="201"/>
      <c r="H9" s="500"/>
      <c r="I9" s="470"/>
      <c r="U9" s="3"/>
      <c r="AA9" s="472"/>
      <c r="AB9" s="472"/>
      <c r="AC9" s="473"/>
      <c r="AD9" s="473"/>
      <c r="AE9" s="473"/>
      <c r="AF9" s="474" t="s">
        <v>1342</v>
      </c>
      <c r="AG9" s="457">
        <v>0.91</v>
      </c>
      <c r="AH9" s="473"/>
      <c r="AI9" s="473"/>
      <c r="AJ9" s="473"/>
      <c r="AK9" s="473"/>
      <c r="AL9" s="473"/>
      <c r="AM9" s="7"/>
      <c r="AN9" s="7"/>
      <c r="AO9" s="7"/>
      <c r="AP9" s="7"/>
    </row>
    <row r="10" spans="1:48" s="14" customFormat="1" ht="6" customHeight="1" x14ac:dyDescent="0.4">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48.75" customHeight="1" x14ac:dyDescent="0.25">
      <c r="B11" s="1991" t="s">
        <v>328</v>
      </c>
      <c r="C11" s="1991"/>
      <c r="D11" s="1991"/>
      <c r="E11" s="1991"/>
      <c r="F11" s="1991"/>
      <c r="G11" s="1991"/>
      <c r="H11" s="20"/>
      <c r="I11" s="1969" t="s">
        <v>329</v>
      </c>
      <c r="J11" s="1969"/>
      <c r="K11" s="1969"/>
      <c r="L11" s="1969"/>
      <c r="M11" s="1969"/>
      <c r="N11" s="500"/>
      <c r="O11" s="500"/>
      <c r="P11" s="500"/>
      <c r="Q11" s="500"/>
      <c r="R11" s="500"/>
      <c r="S11" s="21" t="s">
        <v>330</v>
      </c>
      <c r="T11" s="22" t="s">
        <v>1126</v>
      </c>
      <c r="U11" s="82"/>
      <c r="V11" s="1969" t="s">
        <v>332</v>
      </c>
      <c r="W11" s="1969"/>
      <c r="X11" s="1969"/>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2061" t="s">
        <v>1339</v>
      </c>
      <c r="AN11" s="2061"/>
      <c r="AO11" s="85"/>
      <c r="AP11" s="85"/>
      <c r="AQ11" s="31"/>
      <c r="AR11" s="31"/>
      <c r="AS11" s="31"/>
      <c r="AT11" s="31"/>
      <c r="AU11" s="31"/>
      <c r="AV11" s="31"/>
    </row>
    <row r="12" spans="1:48" s="23" customFormat="1" ht="12" x14ac:dyDescent="0.25">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t="s">
        <v>2315</v>
      </c>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1135</v>
      </c>
      <c r="AM12" s="84"/>
      <c r="AN12" s="33"/>
      <c r="AO12" s="33"/>
      <c r="AP12" s="33"/>
      <c r="AQ12" s="33"/>
    </row>
    <row r="13" spans="1:48" s="14" customFormat="1" ht="6" customHeight="1" x14ac:dyDescent="0.4">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5" customHeight="1" thickBot="1" x14ac:dyDescent="0.45">
      <c r="B14" s="612" t="s">
        <v>1343</v>
      </c>
      <c r="C14" s="613"/>
      <c r="D14" s="614"/>
      <c r="E14" s="614"/>
      <c r="F14" s="614"/>
      <c r="G14" s="614"/>
      <c r="H14" s="615"/>
      <c r="I14" s="615"/>
      <c r="J14" s="615"/>
      <c r="K14" s="615"/>
      <c r="L14" s="615"/>
      <c r="M14" s="616"/>
      <c r="N14" s="616"/>
      <c r="O14" s="616"/>
      <c r="P14" s="616"/>
      <c r="Q14" s="616"/>
      <c r="R14" s="615"/>
      <c r="S14" s="616"/>
      <c r="T14" s="615"/>
      <c r="U14" s="615"/>
      <c r="V14" s="614"/>
      <c r="W14" s="614"/>
      <c r="X14" s="614"/>
      <c r="Y14" s="617"/>
      <c r="Z14" s="617"/>
      <c r="AA14" s="615"/>
      <c r="AB14" s="618"/>
      <c r="AC14" s="615"/>
      <c r="AD14" s="616"/>
      <c r="AE14" s="615"/>
      <c r="AF14" s="615"/>
      <c r="AG14" s="615"/>
      <c r="AH14" s="619"/>
      <c r="AI14" s="619"/>
      <c r="AJ14" s="619"/>
      <c r="AK14" s="619"/>
      <c r="AL14" s="857">
        <f>SUBTOTAL(109,AL16:AL370)</f>
        <v>245.92809820797933</v>
      </c>
    </row>
    <row r="15" spans="1:48" ht="15" customHeight="1" thickBot="1" x14ac:dyDescent="0.45">
      <c r="B15" s="173" t="s">
        <v>361</v>
      </c>
      <c r="C15" s="173"/>
      <c r="D15" s="116"/>
      <c r="E15" s="116"/>
      <c r="F15" s="174"/>
      <c r="G15" s="173"/>
      <c r="H15" s="175"/>
      <c r="I15" s="116"/>
      <c r="J15" s="116"/>
      <c r="K15" s="116"/>
      <c r="L15" s="116"/>
      <c r="M15" s="177"/>
      <c r="N15" s="177"/>
      <c r="O15" s="177"/>
      <c r="P15" s="177"/>
      <c r="Q15" s="177"/>
      <c r="R15" s="116"/>
      <c r="S15" s="177"/>
      <c r="T15" s="116"/>
      <c r="U15" s="175"/>
      <c r="V15" s="173"/>
      <c r="W15" s="173"/>
      <c r="X15" s="173"/>
      <c r="Y15" s="116"/>
      <c r="Z15" s="116"/>
      <c r="AA15" s="175"/>
      <c r="AB15" s="116"/>
      <c r="AC15" s="116"/>
      <c r="AD15" s="177"/>
      <c r="AE15" s="116"/>
      <c r="AF15" s="179"/>
      <c r="AG15" s="177"/>
      <c r="AH15" s="185"/>
      <c r="AI15" s="185"/>
      <c r="AJ15" s="185"/>
      <c r="AK15" s="185"/>
      <c r="AL15" s="180"/>
      <c r="AM15" s="180"/>
      <c r="AN15" s="180"/>
      <c r="AO15" s="180"/>
      <c r="AP15" s="180"/>
      <c r="AQ15" s="180"/>
      <c r="AR15" s="139"/>
      <c r="AS15" s="139"/>
      <c r="AT15" s="139"/>
      <c r="AU15" s="139"/>
    </row>
    <row r="16" spans="1:48" ht="15" customHeight="1" x14ac:dyDescent="0.4">
      <c r="A16" s="3" t="s">
        <v>362</v>
      </c>
      <c r="B16" s="173"/>
      <c r="C16" s="173" t="s">
        <v>363</v>
      </c>
      <c r="D16" s="116"/>
      <c r="E16" s="174" t="s">
        <v>364</v>
      </c>
      <c r="F16" s="116"/>
      <c r="G16" s="173"/>
      <c r="H16" s="175"/>
      <c r="I16" s="116" t="s">
        <v>365</v>
      </c>
      <c r="J16" s="116"/>
      <c r="K16" s="116"/>
      <c r="L16" s="116" t="s">
        <v>348</v>
      </c>
      <c r="M16" s="177">
        <f>1.375*2</f>
        <v>2.75</v>
      </c>
      <c r="N16" s="177" t="s">
        <v>348</v>
      </c>
      <c r="O16" s="177">
        <f>0.25</f>
        <v>0.25</v>
      </c>
      <c r="P16" s="177"/>
      <c r="Q16" s="177"/>
      <c r="R16" s="116" t="s">
        <v>352</v>
      </c>
      <c r="S16" s="177">
        <f>SLEQheight+M16+O16</f>
        <v>50.5</v>
      </c>
      <c r="T16" s="116" t="s">
        <v>366</v>
      </c>
      <c r="U16" s="175"/>
      <c r="V16" s="173"/>
      <c r="W16" s="173"/>
      <c r="X16" s="173"/>
      <c r="Y16" s="116"/>
      <c r="Z16" s="116"/>
      <c r="AA16" s="175"/>
      <c r="AB16" s="116">
        <v>42</v>
      </c>
      <c r="AC16" s="116">
        <v>2</v>
      </c>
      <c r="AD16" s="177">
        <f>AC16*S16/12</f>
        <v>8.4166666666666661</v>
      </c>
      <c r="AE16" s="116" t="s">
        <v>367</v>
      </c>
      <c r="AF16" s="179">
        <v>1.1200000000000001</v>
      </c>
      <c r="AG16" s="177">
        <f>AF16*AtolbperftEQ</f>
        <v>0.70840000000000003</v>
      </c>
      <c r="AH16" s="185"/>
      <c r="AI16" s="185"/>
      <c r="AJ16" s="185"/>
      <c r="AK16" s="185"/>
      <c r="AL16" s="180"/>
      <c r="AM16" s="39"/>
    </row>
    <row r="17" spans="1:47" ht="15" customHeight="1" x14ac:dyDescent="0.4">
      <c r="B17" s="36"/>
      <c r="C17" s="36"/>
      <c r="D17" s="155"/>
      <c r="E17" s="47" t="s">
        <v>393</v>
      </c>
      <c r="F17" s="155"/>
      <c r="G17" s="7"/>
      <c r="H17" s="20"/>
      <c r="I17" s="3" t="s">
        <v>365</v>
      </c>
      <c r="L17" s="3" t="s">
        <v>348</v>
      </c>
      <c r="M17" s="5">
        <v>0</v>
      </c>
      <c r="N17" s="5" t="s">
        <v>348</v>
      </c>
      <c r="O17" s="5">
        <f>0.25</f>
        <v>0.25</v>
      </c>
      <c r="P17" s="24"/>
      <c r="Q17" s="24"/>
      <c r="R17" s="3" t="s">
        <v>352</v>
      </c>
      <c r="S17" s="5">
        <f>SLEQheight+M17+O17</f>
        <v>47.75</v>
      </c>
      <c r="T17" s="3" t="s">
        <v>366</v>
      </c>
      <c r="U17" s="20"/>
      <c r="V17" s="38" t="s">
        <v>369</v>
      </c>
      <c r="W17" s="3" t="s">
        <v>370</v>
      </c>
      <c r="X17" s="38" t="s">
        <v>369</v>
      </c>
      <c r="Y17" s="41">
        <v>200153003</v>
      </c>
      <c r="Z17" s="41"/>
      <c r="AA17" s="20"/>
      <c r="AE17" s="3"/>
      <c r="AF17" s="38"/>
      <c r="AH17" s="39">
        <f>$AG$9*AG16</f>
        <v>0.64464399999999999</v>
      </c>
      <c r="AI17" s="39"/>
      <c r="AJ17" s="39"/>
      <c r="AK17" s="39"/>
      <c r="AL17" s="39">
        <f>AH17*$AD$16</f>
        <v>5.4257536666666661</v>
      </c>
      <c r="AQ17" s="139"/>
      <c r="AR17" s="139"/>
      <c r="AS17" s="139"/>
      <c r="AT17" s="139"/>
      <c r="AU17" s="139"/>
    </row>
    <row r="18" spans="1:47" ht="15" customHeight="1" x14ac:dyDescent="0.4">
      <c r="B18" s="36"/>
      <c r="C18" s="36"/>
      <c r="D18" s="155"/>
      <c r="E18" s="155"/>
      <c r="F18" s="155"/>
      <c r="G18" s="7"/>
      <c r="H18" s="20"/>
      <c r="P18" s="24"/>
      <c r="Q18" s="24"/>
      <c r="U18" s="20"/>
      <c r="V18" s="38" t="s">
        <v>369</v>
      </c>
      <c r="W18" s="3" t="s">
        <v>372</v>
      </c>
      <c r="X18" s="38" t="s">
        <v>369</v>
      </c>
      <c r="Y18" s="41">
        <v>200153021</v>
      </c>
      <c r="Z18" s="41"/>
      <c r="AA18" s="20"/>
      <c r="AE18" s="3"/>
      <c r="AF18" s="3"/>
      <c r="AH18" s="39">
        <f>1*AG16</f>
        <v>0.70840000000000003</v>
      </c>
      <c r="AI18" s="39"/>
      <c r="AJ18" s="39"/>
      <c r="AK18" s="39"/>
      <c r="AL18" s="39">
        <f t="shared" ref="AL18:AL25" si="0">AH18*$AD$16</f>
        <v>5.9623666666666661</v>
      </c>
      <c r="AQ18" s="139"/>
      <c r="AR18" s="139"/>
      <c r="AS18" s="139"/>
      <c r="AT18" s="139"/>
      <c r="AU18" s="139"/>
    </row>
    <row r="19" spans="1:47" ht="15.75" customHeight="1" x14ac:dyDescent="0.4">
      <c r="B19" s="3"/>
      <c r="C19" s="36"/>
      <c r="D19" s="155"/>
      <c r="E19" s="155"/>
      <c r="F19" s="155"/>
      <c r="G19" s="7"/>
      <c r="H19" s="20"/>
      <c r="P19" s="24"/>
      <c r="Q19" s="24"/>
      <c r="U19" s="20"/>
      <c r="V19" s="38" t="s">
        <v>369</v>
      </c>
      <c r="W19" s="3" t="s">
        <v>373</v>
      </c>
      <c r="X19" s="38" t="s">
        <v>369</v>
      </c>
      <c r="Y19" s="41">
        <v>200153033</v>
      </c>
      <c r="Z19" s="41"/>
      <c r="AA19" s="20"/>
      <c r="AE19" s="3"/>
      <c r="AF19" s="3"/>
      <c r="AH19" s="39">
        <f>1*AG16</f>
        <v>0.70840000000000003</v>
      </c>
      <c r="AI19" s="39"/>
      <c r="AJ19" s="39"/>
      <c r="AK19" s="39"/>
      <c r="AL19" s="39">
        <f t="shared" si="0"/>
        <v>5.9623666666666661</v>
      </c>
      <c r="AQ19" s="139"/>
      <c r="AR19" s="139"/>
      <c r="AS19" s="139"/>
      <c r="AT19" s="139"/>
      <c r="AU19" s="139"/>
    </row>
    <row r="20" spans="1:47" ht="15.75" customHeight="1" x14ac:dyDescent="0.4">
      <c r="B20" s="3"/>
      <c r="C20" s="36"/>
      <c r="D20" s="155"/>
      <c r="E20" s="155"/>
      <c r="F20" s="155"/>
      <c r="G20" s="7"/>
      <c r="H20" s="20"/>
      <c r="P20" s="24"/>
      <c r="Q20" s="24"/>
      <c r="U20" s="20"/>
      <c r="V20" s="3" t="s">
        <v>2363</v>
      </c>
      <c r="W20" s="3" t="s">
        <v>370</v>
      </c>
      <c r="X20" s="38" t="s">
        <v>369</v>
      </c>
      <c r="Y20" s="41">
        <v>200153127</v>
      </c>
      <c r="Z20" s="41"/>
      <c r="AA20" s="20"/>
      <c r="AE20" s="3"/>
      <c r="AF20" s="3"/>
      <c r="AH20" s="39"/>
      <c r="AI20" s="39"/>
      <c r="AJ20" s="39"/>
      <c r="AK20" s="39"/>
      <c r="AL20" s="39">
        <f t="shared" si="0"/>
        <v>0</v>
      </c>
      <c r="AQ20" s="139"/>
      <c r="AR20" s="139"/>
      <c r="AS20" s="139"/>
      <c r="AT20" s="139"/>
      <c r="AU20" s="139"/>
    </row>
    <row r="21" spans="1:47" ht="15.75" customHeight="1" x14ac:dyDescent="0.4">
      <c r="B21" s="3"/>
      <c r="C21" s="36"/>
      <c r="D21" s="155"/>
      <c r="E21" s="155"/>
      <c r="F21" s="155"/>
      <c r="G21" s="7"/>
      <c r="H21" s="20"/>
      <c r="P21" s="24"/>
      <c r="Q21" s="24"/>
      <c r="U21" s="20"/>
      <c r="V21" s="112" t="s">
        <v>2366</v>
      </c>
      <c r="W21" s="112" t="s">
        <v>370</v>
      </c>
      <c r="X21" s="279" t="s">
        <v>369</v>
      </c>
      <c r="Y21" s="1900">
        <v>200153128</v>
      </c>
      <c r="Z21" s="1614"/>
      <c r="AA21" s="20"/>
      <c r="AE21" s="3"/>
      <c r="AF21" s="3"/>
      <c r="AH21" s="39"/>
      <c r="AI21" s="39"/>
      <c r="AJ21" s="39"/>
      <c r="AK21" s="39"/>
      <c r="AL21" s="39">
        <f t="shared" si="0"/>
        <v>0</v>
      </c>
      <c r="AQ21" s="139"/>
      <c r="AR21" s="139"/>
      <c r="AS21" s="139"/>
      <c r="AT21" s="139"/>
      <c r="AU21" s="139"/>
    </row>
    <row r="22" spans="1:47" ht="15.75" customHeight="1" x14ac:dyDescent="0.4">
      <c r="B22" s="3"/>
      <c r="C22" s="36"/>
      <c r="D22" s="155"/>
      <c r="E22" s="155"/>
      <c r="F22" s="155"/>
      <c r="G22" s="7"/>
      <c r="H22" s="20"/>
      <c r="P22" s="24"/>
      <c r="Q22" s="24"/>
      <c r="U22" s="20"/>
      <c r="V22" s="3" t="s">
        <v>2364</v>
      </c>
      <c r="W22" s="3" t="s">
        <v>370</v>
      </c>
      <c r="X22" s="38" t="s">
        <v>369</v>
      </c>
      <c r="Y22" s="41">
        <v>200153129</v>
      </c>
      <c r="Z22" s="41"/>
      <c r="AA22" s="20"/>
      <c r="AE22" s="3"/>
      <c r="AF22" s="3"/>
      <c r="AH22" s="39"/>
      <c r="AI22" s="39"/>
      <c r="AJ22" s="39"/>
      <c r="AK22" s="39"/>
      <c r="AL22" s="39">
        <f t="shared" si="0"/>
        <v>0</v>
      </c>
      <c r="AQ22" s="139"/>
      <c r="AR22" s="139"/>
      <c r="AS22" s="139"/>
      <c r="AT22" s="139"/>
      <c r="AU22" s="139"/>
    </row>
    <row r="23" spans="1:47" ht="15.75" customHeight="1" x14ac:dyDescent="0.4">
      <c r="B23" s="3"/>
      <c r="C23" s="36"/>
      <c r="D23" s="155"/>
      <c r="E23" s="155"/>
      <c r="F23" s="155"/>
      <c r="G23" s="7"/>
      <c r="H23" s="20"/>
      <c r="P23" s="24"/>
      <c r="Q23" s="24"/>
      <c r="U23" s="20"/>
      <c r="V23" s="3" t="s">
        <v>2365</v>
      </c>
      <c r="W23" s="3" t="s">
        <v>370</v>
      </c>
      <c r="X23" s="38" t="s">
        <v>369</v>
      </c>
      <c r="Y23" s="41">
        <v>200153180</v>
      </c>
      <c r="Z23" s="41"/>
      <c r="AA23" s="20"/>
      <c r="AE23" s="3"/>
      <c r="AF23" s="3"/>
      <c r="AH23" s="1036">
        <v>0</v>
      </c>
      <c r="AI23" s="39"/>
      <c r="AJ23" s="39"/>
      <c r="AK23" s="39"/>
      <c r="AL23" s="39">
        <f t="shared" si="0"/>
        <v>0</v>
      </c>
      <c r="AQ23" s="139"/>
      <c r="AR23" s="139"/>
      <c r="AS23" s="139"/>
      <c r="AT23" s="139"/>
      <c r="AU23" s="139"/>
    </row>
    <row r="24" spans="1:47" ht="15.75" customHeight="1" x14ac:dyDescent="0.4">
      <c r="B24" s="3"/>
      <c r="C24" s="36"/>
      <c r="D24" s="155"/>
      <c r="E24" s="155"/>
      <c r="F24" s="155"/>
      <c r="G24" s="7"/>
      <c r="H24" s="20"/>
      <c r="P24" s="24"/>
      <c r="Q24" s="24"/>
      <c r="U24" s="20"/>
      <c r="V24" s="112" t="s">
        <v>2367</v>
      </c>
      <c r="W24" s="112" t="s">
        <v>370</v>
      </c>
      <c r="X24" s="279" t="s">
        <v>369</v>
      </c>
      <c r="Y24" s="1900">
        <v>200153152</v>
      </c>
      <c r="Z24" s="41"/>
      <c r="AA24" s="20"/>
      <c r="AE24" s="3"/>
      <c r="AF24" s="3"/>
      <c r="AH24" s="39">
        <v>0</v>
      </c>
      <c r="AI24" s="39"/>
      <c r="AJ24" s="39"/>
      <c r="AK24" s="39"/>
      <c r="AL24" s="39">
        <f t="shared" si="0"/>
        <v>0</v>
      </c>
      <c r="AQ24" s="139"/>
      <c r="AR24" s="139"/>
      <c r="AS24" s="139"/>
      <c r="AT24" s="139"/>
      <c r="AU24" s="139"/>
    </row>
    <row r="25" spans="1:47" ht="15.75" customHeight="1" x14ac:dyDescent="0.4">
      <c r="B25" s="3"/>
      <c r="C25" s="36"/>
      <c r="D25" s="155"/>
      <c r="E25" s="155"/>
      <c r="F25" s="155"/>
      <c r="G25" s="7"/>
      <c r="H25" s="20"/>
      <c r="P25" s="24"/>
      <c r="Q25" s="24"/>
      <c r="U25" s="20"/>
      <c r="V25" s="3" t="s">
        <v>2365</v>
      </c>
      <c r="W25" s="3" t="s">
        <v>370</v>
      </c>
      <c r="X25" s="38" t="s">
        <v>2365</v>
      </c>
      <c r="Y25" s="41">
        <v>200153181</v>
      </c>
      <c r="Z25" s="41"/>
      <c r="AA25" s="20"/>
      <c r="AE25" s="3"/>
      <c r="AF25" s="3"/>
      <c r="AH25" s="39"/>
      <c r="AI25" s="39"/>
      <c r="AJ25" s="39"/>
      <c r="AK25" s="39"/>
      <c r="AL25" s="39">
        <f t="shared" si="0"/>
        <v>0</v>
      </c>
      <c r="AQ25" s="139"/>
      <c r="AR25" s="139"/>
      <c r="AS25" s="139"/>
      <c r="AT25" s="139"/>
      <c r="AU25" s="139"/>
    </row>
    <row r="26" spans="1:47" ht="15" customHeight="1" x14ac:dyDescent="0.4">
      <c r="C26" s="36"/>
      <c r="D26" s="36"/>
      <c r="E26" s="1031" t="s">
        <v>1220</v>
      </c>
      <c r="F26" s="951"/>
      <c r="G26" s="454"/>
      <c r="H26" s="1032"/>
      <c r="I26" s="1033"/>
      <c r="J26" s="1033"/>
      <c r="K26" s="1033"/>
      <c r="L26" s="1033"/>
      <c r="M26" s="1034"/>
      <c r="N26" s="1034"/>
      <c r="O26" s="1034"/>
      <c r="P26" s="1034"/>
      <c r="Q26" s="1034"/>
      <c r="R26" s="1033"/>
      <c r="S26" s="1034"/>
      <c r="T26" s="1033"/>
      <c r="U26" s="1032"/>
      <c r="V26" s="587" t="s">
        <v>369</v>
      </c>
      <c r="W26" s="130" t="s">
        <v>405</v>
      </c>
      <c r="X26" s="587" t="s">
        <v>369</v>
      </c>
      <c r="Y26" s="1035">
        <v>600042010</v>
      </c>
      <c r="Z26" s="1035"/>
      <c r="AA26" s="1032"/>
      <c r="AB26" s="130"/>
      <c r="AC26" s="130"/>
      <c r="AD26" s="584"/>
      <c r="AE26" s="130"/>
      <c r="AF26" s="130"/>
      <c r="AG26" s="130"/>
      <c r="AH26" s="589"/>
      <c r="AI26" s="589"/>
      <c r="AJ26" s="589"/>
      <c r="AK26" s="589"/>
      <c r="AL26" s="589"/>
      <c r="AM26" s="589"/>
      <c r="AN26" s="589"/>
      <c r="AO26" s="589"/>
      <c r="AP26" s="589"/>
      <c r="AQ26" s="589"/>
      <c r="AR26" s="140"/>
      <c r="AS26" s="139"/>
      <c r="AT26" s="139"/>
      <c r="AU26" s="139"/>
    </row>
    <row r="27" spans="1:47" ht="15" customHeight="1" x14ac:dyDescent="0.4">
      <c r="C27" s="36"/>
      <c r="D27" s="36"/>
      <c r="E27" s="447" t="s">
        <v>1221</v>
      </c>
      <c r="F27" s="155"/>
      <c r="G27" s="7"/>
      <c r="H27" s="20"/>
      <c r="I27" s="3" t="s">
        <v>365</v>
      </c>
      <c r="L27" s="3" t="s">
        <v>348</v>
      </c>
      <c r="M27" s="5">
        <v>0</v>
      </c>
      <c r="R27" s="3" t="s">
        <v>352</v>
      </c>
      <c r="S27" s="5">
        <f>SLEQheight+M27+O27</f>
        <v>47.5</v>
      </c>
      <c r="T27" s="3" t="s">
        <v>366</v>
      </c>
      <c r="U27" s="20"/>
      <c r="V27" s="38" t="s">
        <v>369</v>
      </c>
      <c r="W27" s="3" t="s">
        <v>405</v>
      </c>
      <c r="X27" s="38" t="s">
        <v>369</v>
      </c>
      <c r="Y27" s="41">
        <v>600050010</v>
      </c>
      <c r="Z27" s="41"/>
      <c r="AA27" s="20"/>
      <c r="AB27" s="3">
        <v>42</v>
      </c>
      <c r="AC27" s="3">
        <v>1</v>
      </c>
      <c r="AD27" s="5">
        <f>AC27*S27/12</f>
        <v>3.9583333333333335</v>
      </c>
      <c r="AE27" s="3" t="s">
        <v>367</v>
      </c>
      <c r="AF27" s="3"/>
      <c r="AG27" s="3"/>
      <c r="AH27" s="39">
        <v>0</v>
      </c>
      <c r="AI27" s="39"/>
      <c r="AJ27" s="39"/>
      <c r="AK27" s="39"/>
      <c r="AM27" s="39"/>
      <c r="AN27" s="39"/>
      <c r="AO27" s="39"/>
      <c r="AP27" s="39"/>
      <c r="AQ27" s="39"/>
      <c r="AR27" s="140"/>
      <c r="AS27" s="139"/>
      <c r="AT27" s="139"/>
      <c r="AU27" s="139"/>
    </row>
    <row r="28" spans="1:47" ht="15" customHeight="1" thickBot="1" x14ac:dyDescent="0.25">
      <c r="C28" s="1849"/>
      <c r="D28" s="1849"/>
      <c r="E28" s="1850" t="s">
        <v>2352</v>
      </c>
      <c r="F28" s="1851"/>
      <c r="G28" s="1852"/>
      <c r="H28" s="1853"/>
      <c r="I28" s="1854" t="s">
        <v>365</v>
      </c>
      <c r="J28" s="1854"/>
      <c r="K28" s="1854"/>
      <c r="L28" s="1854"/>
      <c r="M28" s="1855"/>
      <c r="N28" s="1855"/>
      <c r="O28" s="1855"/>
      <c r="P28" s="1855"/>
      <c r="Q28" s="1855"/>
      <c r="R28" s="1854" t="s">
        <v>352</v>
      </c>
      <c r="S28" s="945">
        <f>SLEQheight+M28+O28</f>
        <v>47.5</v>
      </c>
      <c r="T28" s="1854" t="s">
        <v>366</v>
      </c>
      <c r="U28" s="1853"/>
      <c r="V28" s="1856" t="s">
        <v>369</v>
      </c>
      <c r="W28" s="1854" t="s">
        <v>370</v>
      </c>
      <c r="X28" s="1856" t="s">
        <v>369</v>
      </c>
      <c r="Y28" s="1857" t="s">
        <v>2355</v>
      </c>
      <c r="Z28" s="1858"/>
      <c r="AA28" s="1853"/>
      <c r="AB28" s="1854"/>
      <c r="AC28" s="1854">
        <v>2</v>
      </c>
      <c r="AD28" s="1855">
        <f>AC28*S28/12</f>
        <v>7.916666666666667</v>
      </c>
      <c r="AE28" s="1854" t="s">
        <v>367</v>
      </c>
      <c r="AF28" s="1856"/>
      <c r="AG28" s="1856"/>
      <c r="AH28" s="1859">
        <f>0.018669</f>
        <v>1.8669000000000002E-2</v>
      </c>
      <c r="AI28" s="1860"/>
      <c r="AJ28" s="1860"/>
      <c r="AK28" s="1860"/>
      <c r="AL28" s="1860">
        <f>AH28*AD28</f>
        <v>0.14779625000000002</v>
      </c>
      <c r="AM28" s="1854"/>
      <c r="AN28" s="1854"/>
      <c r="AO28" s="1854"/>
      <c r="AP28" s="1854"/>
      <c r="AQ28" s="1854"/>
      <c r="AR28" s="140"/>
      <c r="AS28" s="139"/>
      <c r="AT28" s="139"/>
      <c r="AU28" s="139"/>
    </row>
    <row r="29" spans="1:47" ht="15" customHeight="1" x14ac:dyDescent="0.4">
      <c r="A29" s="3" t="s">
        <v>376</v>
      </c>
      <c r="B29" s="3"/>
      <c r="C29" s="173" t="s">
        <v>377</v>
      </c>
      <c r="D29" s="116"/>
      <c r="E29" s="116"/>
      <c r="F29" s="174" t="s">
        <v>364</v>
      </c>
      <c r="G29" s="173"/>
      <c r="H29" s="175"/>
      <c r="I29" s="116" t="s">
        <v>365</v>
      </c>
      <c r="J29" s="116"/>
      <c r="K29" s="116"/>
      <c r="L29" s="116" t="s">
        <v>348</v>
      </c>
      <c r="M29" s="177">
        <v>5.3129999999999997</v>
      </c>
      <c r="N29" s="177" t="s">
        <v>348</v>
      </c>
      <c r="O29" s="177">
        <v>0.125</v>
      </c>
      <c r="P29" s="178"/>
      <c r="Q29" s="178"/>
      <c r="R29" s="116" t="s">
        <v>352</v>
      </c>
      <c r="S29" s="177">
        <f>SLEQheight+M29+O29</f>
        <v>52.938000000000002</v>
      </c>
      <c r="T29" s="116" t="s">
        <v>366</v>
      </c>
      <c r="U29" s="175"/>
      <c r="V29" s="173"/>
      <c r="W29" s="173"/>
      <c r="X29" s="173"/>
      <c r="Y29" s="116"/>
      <c r="Z29" s="116"/>
      <c r="AA29" s="175"/>
      <c r="AB29" s="116">
        <v>42</v>
      </c>
      <c r="AC29" s="116">
        <v>2</v>
      </c>
      <c r="AD29" s="177">
        <f>AC29*S29/12</f>
        <v>8.8230000000000004</v>
      </c>
      <c r="AE29" s="116" t="s">
        <v>367</v>
      </c>
      <c r="AF29" s="179">
        <v>0</v>
      </c>
      <c r="AG29" s="177">
        <f>AF29*AtolbperftEQ</f>
        <v>0</v>
      </c>
      <c r="AH29" s="180"/>
      <c r="AI29" s="185"/>
      <c r="AJ29" s="185"/>
      <c r="AK29" s="185"/>
      <c r="AL29" s="180"/>
      <c r="AQ29" s="139"/>
      <c r="AR29" s="139"/>
      <c r="AS29" s="139"/>
      <c r="AT29" s="139"/>
      <c r="AU29" s="139"/>
    </row>
    <row r="30" spans="1:47" ht="15" customHeight="1" x14ac:dyDescent="0.4">
      <c r="A30" s="3" t="s">
        <v>378</v>
      </c>
      <c r="B30" s="3"/>
      <c r="C30" s="36"/>
      <c r="D30" s="7"/>
      <c r="E30" s="3"/>
      <c r="F30" s="47" t="s">
        <v>379</v>
      </c>
      <c r="G30" s="7"/>
      <c r="H30" s="20"/>
      <c r="I30" s="3" t="s">
        <v>365</v>
      </c>
      <c r="L30" s="3" t="s">
        <v>348</v>
      </c>
      <c r="M30" s="5">
        <v>1.5629999999999999</v>
      </c>
      <c r="N30" s="5" t="s">
        <v>348</v>
      </c>
      <c r="O30" s="5">
        <v>0.125</v>
      </c>
      <c r="R30" s="3" t="s">
        <v>352</v>
      </c>
      <c r="S30" s="5">
        <f>SLEQheight+M30+O30</f>
        <v>49.188000000000002</v>
      </c>
      <c r="T30" s="3" t="s">
        <v>366</v>
      </c>
      <c r="U30" s="20"/>
      <c r="V30" s="38" t="s">
        <v>369</v>
      </c>
      <c r="W30" s="3" t="s">
        <v>370</v>
      </c>
      <c r="X30" s="38" t="s">
        <v>369</v>
      </c>
      <c r="Y30" s="41">
        <v>200175003</v>
      </c>
      <c r="Z30" s="41"/>
      <c r="AA30" s="20"/>
      <c r="AE30" s="3"/>
      <c r="AF30" s="38"/>
      <c r="AH30" s="39">
        <f>1*AG29</f>
        <v>0</v>
      </c>
      <c r="AI30" s="39"/>
      <c r="AJ30" s="39"/>
      <c r="AK30" s="39"/>
      <c r="AL30" s="39">
        <f>AH30*$AD$29</f>
        <v>0</v>
      </c>
      <c r="AQ30" s="139"/>
      <c r="AR30" s="139"/>
      <c r="AS30" s="139"/>
      <c r="AT30" s="139"/>
      <c r="AU30" s="139"/>
    </row>
    <row r="31" spans="1:47" ht="15" customHeight="1" x14ac:dyDescent="0.4">
      <c r="B31" s="3"/>
      <c r="C31" s="36"/>
      <c r="D31" s="36"/>
      <c r="E31" s="155"/>
      <c r="F31" s="155" t="s">
        <v>380</v>
      </c>
      <c r="G31" s="7"/>
      <c r="H31" s="20"/>
      <c r="I31" s="3" t="s">
        <v>365</v>
      </c>
      <c r="L31" s="3" t="s">
        <v>348</v>
      </c>
      <c r="M31" s="5">
        <f>M30</f>
        <v>1.5629999999999999</v>
      </c>
      <c r="N31" s="5" t="s">
        <v>348</v>
      </c>
      <c r="O31" s="5">
        <v>0</v>
      </c>
      <c r="P31" s="24"/>
      <c r="Q31" s="24"/>
      <c r="R31" s="3" t="s">
        <v>352</v>
      </c>
      <c r="S31" s="5">
        <f>SLEQheight+M31+O31</f>
        <v>49.063000000000002</v>
      </c>
      <c r="T31" s="3" t="s">
        <v>366</v>
      </c>
      <c r="U31" s="20"/>
      <c r="V31" s="38" t="s">
        <v>369</v>
      </c>
      <c r="W31" s="3" t="s">
        <v>372</v>
      </c>
      <c r="X31" s="38" t="s">
        <v>369</v>
      </c>
      <c r="Y31" s="41">
        <v>200175021</v>
      </c>
      <c r="Z31" s="41"/>
      <c r="AA31" s="20"/>
      <c r="AE31" s="3"/>
      <c r="AF31" s="3"/>
      <c r="AH31" s="39">
        <f>1*AG29</f>
        <v>0</v>
      </c>
      <c r="AI31" s="39"/>
      <c r="AJ31" s="39"/>
      <c r="AK31" s="39"/>
      <c r="AL31" s="39">
        <f t="shared" ref="AL31:AL35" si="1">AH31*$AD$29</f>
        <v>0</v>
      </c>
      <c r="AQ31" s="139"/>
      <c r="AR31" s="139"/>
      <c r="AS31" s="139"/>
      <c r="AT31" s="139"/>
      <c r="AU31" s="139"/>
    </row>
    <row r="32" spans="1:47" ht="15" customHeight="1" x14ac:dyDescent="0.4">
      <c r="B32" s="3"/>
      <c r="C32" s="36"/>
      <c r="D32" s="36"/>
      <c r="E32" s="155"/>
      <c r="F32" s="155"/>
      <c r="G32" s="7"/>
      <c r="H32" s="20"/>
      <c r="P32" s="24"/>
      <c r="Q32" s="24"/>
      <c r="U32" s="20"/>
      <c r="V32" s="38" t="s">
        <v>369</v>
      </c>
      <c r="W32" s="3" t="s">
        <v>373</v>
      </c>
      <c r="X32" s="38" t="s">
        <v>369</v>
      </c>
      <c r="Y32" s="41">
        <v>200175033</v>
      </c>
      <c r="Z32" s="41"/>
      <c r="AA32" s="20"/>
      <c r="AE32" s="3"/>
      <c r="AF32" s="3"/>
      <c r="AH32" s="39">
        <f>1*AG29</f>
        <v>0</v>
      </c>
      <c r="AI32" s="39"/>
      <c r="AJ32" s="39"/>
      <c r="AK32" s="39"/>
      <c r="AL32" s="39">
        <f t="shared" si="1"/>
        <v>0</v>
      </c>
      <c r="AQ32" s="139"/>
      <c r="AR32" s="139"/>
      <c r="AS32" s="139"/>
      <c r="AT32" s="139"/>
      <c r="AU32" s="139"/>
    </row>
    <row r="33" spans="2:47" ht="15" customHeight="1" x14ac:dyDescent="0.4">
      <c r="B33" s="3"/>
      <c r="C33" s="36"/>
      <c r="D33" s="36"/>
      <c r="E33" s="155"/>
      <c r="F33" s="155"/>
      <c r="G33" s="7"/>
      <c r="H33" s="20"/>
      <c r="P33" s="24"/>
      <c r="Q33" s="24"/>
      <c r="U33" s="20"/>
      <c r="V33" s="3" t="s">
        <v>2363</v>
      </c>
      <c r="W33" s="3" t="s">
        <v>370</v>
      </c>
      <c r="X33" s="38" t="s">
        <v>369</v>
      </c>
      <c r="Y33" s="41">
        <v>200175127</v>
      </c>
      <c r="Z33" s="41"/>
      <c r="AA33" s="20"/>
      <c r="AE33" s="3"/>
      <c r="AF33" s="3"/>
      <c r="AH33" s="39"/>
      <c r="AI33" s="39"/>
      <c r="AJ33" s="39"/>
      <c r="AK33" s="39"/>
      <c r="AL33" s="39">
        <f t="shared" si="1"/>
        <v>0</v>
      </c>
      <c r="AQ33" s="139"/>
      <c r="AR33" s="139"/>
      <c r="AS33" s="139"/>
      <c r="AT33" s="139"/>
      <c r="AU33" s="139"/>
    </row>
    <row r="34" spans="2:47" ht="15" customHeight="1" x14ac:dyDescent="0.4">
      <c r="B34" s="3"/>
      <c r="C34" s="36"/>
      <c r="D34" s="36"/>
      <c r="E34" s="155"/>
      <c r="F34" s="155"/>
      <c r="G34" s="7"/>
      <c r="H34" s="20"/>
      <c r="P34" s="24"/>
      <c r="Q34" s="24"/>
      <c r="U34" s="20"/>
      <c r="V34" s="38" t="s">
        <v>2365</v>
      </c>
      <c r="W34" s="3" t="s">
        <v>370</v>
      </c>
      <c r="X34" s="38" t="s">
        <v>369</v>
      </c>
      <c r="Y34" s="41">
        <v>200175180</v>
      </c>
      <c r="Z34" s="41"/>
      <c r="AA34" s="20"/>
      <c r="AE34" s="3"/>
      <c r="AF34" s="3"/>
      <c r="AH34" s="1036">
        <f>1*AG30</f>
        <v>0</v>
      </c>
      <c r="AI34" s="39"/>
      <c r="AJ34" s="39"/>
      <c r="AK34" s="39"/>
      <c r="AL34" s="39">
        <f t="shared" si="1"/>
        <v>0</v>
      </c>
      <c r="AQ34" s="139"/>
      <c r="AR34" s="139"/>
      <c r="AS34" s="139"/>
      <c r="AT34" s="139"/>
      <c r="AU34" s="139"/>
    </row>
    <row r="35" spans="2:47" ht="15" customHeight="1" x14ac:dyDescent="0.4">
      <c r="B35" s="3"/>
      <c r="C35" s="36"/>
      <c r="D35" s="36"/>
      <c r="E35" s="155"/>
      <c r="F35" s="155"/>
      <c r="G35" s="7"/>
      <c r="H35" s="20"/>
      <c r="P35" s="24"/>
      <c r="Q35" s="24"/>
      <c r="U35" s="20"/>
      <c r="V35" s="112" t="s">
        <v>2367</v>
      </c>
      <c r="W35" s="112" t="s">
        <v>370</v>
      </c>
      <c r="X35" s="279" t="s">
        <v>369</v>
      </c>
      <c r="Y35" s="1901">
        <v>200175152</v>
      </c>
      <c r="Z35" s="864"/>
      <c r="AA35" s="20"/>
      <c r="AE35" s="3"/>
      <c r="AF35" s="3"/>
      <c r="AH35" s="39">
        <v>0</v>
      </c>
      <c r="AI35" s="39"/>
      <c r="AJ35" s="39"/>
      <c r="AK35" s="39"/>
      <c r="AL35" s="39">
        <f t="shared" si="1"/>
        <v>0</v>
      </c>
      <c r="AQ35" s="139"/>
      <c r="AR35" s="139"/>
      <c r="AS35" s="139"/>
      <c r="AT35" s="139"/>
      <c r="AU35" s="139"/>
    </row>
    <row r="36" spans="2:47" ht="15" customHeight="1" thickBot="1" x14ac:dyDescent="0.45">
      <c r="B36" s="3"/>
      <c r="C36" s="36"/>
      <c r="D36" s="1037" t="s">
        <v>381</v>
      </c>
      <c r="E36" s="1038"/>
      <c r="F36" s="1038"/>
      <c r="G36" s="1039"/>
      <c r="H36" s="1040"/>
      <c r="I36" s="710" t="s">
        <v>365</v>
      </c>
      <c r="J36" s="710"/>
      <c r="K36" s="710"/>
      <c r="L36" s="710" t="s">
        <v>348</v>
      </c>
      <c r="M36" s="1041">
        <f>M29</f>
        <v>5.3129999999999997</v>
      </c>
      <c r="N36" s="1041" t="s">
        <v>348</v>
      </c>
      <c r="O36" s="1041">
        <f>O29</f>
        <v>0.125</v>
      </c>
      <c r="P36" s="1042"/>
      <c r="Q36" s="1042"/>
      <c r="R36" s="710" t="s">
        <v>352</v>
      </c>
      <c r="S36" s="1041">
        <f>SLEQheight+M36+O36</f>
        <v>52.938000000000002</v>
      </c>
      <c r="T36" s="710" t="s">
        <v>366</v>
      </c>
      <c r="U36" s="1040"/>
      <c r="V36" s="1043"/>
      <c r="W36" s="710"/>
      <c r="X36" s="1043"/>
      <c r="Y36" s="1443">
        <v>610025061</v>
      </c>
      <c r="Z36" s="41">
        <v>251882</v>
      </c>
      <c r="AA36" s="1040"/>
      <c r="AB36" s="710"/>
      <c r="AC36" s="710">
        <v>2</v>
      </c>
      <c r="AD36" s="1041">
        <f>AC36*S36/12</f>
        <v>8.8230000000000004</v>
      </c>
      <c r="AE36" s="710" t="s">
        <v>367</v>
      </c>
      <c r="AF36" s="710"/>
      <c r="AG36" s="1041"/>
      <c r="AH36" s="1044"/>
      <c r="AI36" s="1044"/>
      <c r="AJ36" s="1044"/>
      <c r="AK36" s="1044"/>
      <c r="AL36" s="1044"/>
      <c r="AM36" s="1044"/>
      <c r="AN36" s="1044"/>
      <c r="AO36" s="1044"/>
      <c r="AP36" s="1044"/>
      <c r="AQ36" s="1044"/>
      <c r="AR36" s="139"/>
      <c r="AS36" s="139"/>
      <c r="AT36" s="139"/>
      <c r="AU36" s="139"/>
    </row>
    <row r="37" spans="2:47" ht="15" customHeight="1" x14ac:dyDescent="0.4">
      <c r="B37" s="3"/>
      <c r="C37" s="173" t="s">
        <v>382</v>
      </c>
      <c r="D37" s="181"/>
      <c r="E37" s="182"/>
      <c r="F37" s="182"/>
      <c r="G37" s="430" t="s">
        <v>383</v>
      </c>
      <c r="H37" s="175"/>
      <c r="I37" s="116" t="s">
        <v>365</v>
      </c>
      <c r="J37" s="116"/>
      <c r="K37" s="116"/>
      <c r="L37" s="116" t="s">
        <v>348</v>
      </c>
      <c r="M37" s="177">
        <v>3</v>
      </c>
      <c r="N37" s="177" t="s">
        <v>348</v>
      </c>
      <c r="O37" s="177">
        <f>0.25</f>
        <v>0.25</v>
      </c>
      <c r="P37" s="178"/>
      <c r="Q37" s="178"/>
      <c r="R37" s="116" t="s">
        <v>352</v>
      </c>
      <c r="S37" s="177">
        <f>SLEQheight+M37+O37</f>
        <v>50.75</v>
      </c>
      <c r="T37" s="116" t="s">
        <v>366</v>
      </c>
      <c r="U37" s="175"/>
      <c r="V37" s="179"/>
      <c r="W37" s="116"/>
      <c r="X37" s="179"/>
      <c r="Y37" s="184"/>
      <c r="Z37" s="184"/>
      <c r="AA37" s="175"/>
      <c r="AB37" s="116">
        <v>42</v>
      </c>
      <c r="AC37" s="116">
        <v>2</v>
      </c>
      <c r="AD37" s="177">
        <f>AC37*S37/12</f>
        <v>8.4583333333333339</v>
      </c>
      <c r="AE37" s="116" t="s">
        <v>367</v>
      </c>
      <c r="AF37" s="116">
        <v>0</v>
      </c>
      <c r="AG37" s="177">
        <f>AF37*AtolbperftEQ</f>
        <v>0</v>
      </c>
      <c r="AH37" s="185"/>
      <c r="AL37" s="180"/>
      <c r="AQ37" s="139"/>
      <c r="AR37" s="139"/>
      <c r="AS37" s="139"/>
      <c r="AT37" s="139"/>
      <c r="AU37" s="139"/>
    </row>
    <row r="38" spans="2:47" ht="15" customHeight="1" x14ac:dyDescent="0.4">
      <c r="B38" s="36"/>
      <c r="C38" s="36"/>
      <c r="D38" s="155"/>
      <c r="E38" s="155"/>
      <c r="F38" s="155"/>
      <c r="G38" s="7"/>
      <c r="H38" s="20"/>
      <c r="P38" s="24"/>
      <c r="Q38" s="24"/>
      <c r="U38" s="20"/>
      <c r="V38" s="38" t="s">
        <v>369</v>
      </c>
      <c r="W38" s="3" t="s">
        <v>370</v>
      </c>
      <c r="X38" s="38" t="s">
        <v>369</v>
      </c>
      <c r="Y38" s="41">
        <v>200169003</v>
      </c>
      <c r="Z38" s="41"/>
      <c r="AA38" s="20"/>
      <c r="AE38" s="3"/>
      <c r="AF38" s="38"/>
      <c r="AH38" s="39">
        <f>1*AG37</f>
        <v>0</v>
      </c>
      <c r="AL38" s="39">
        <f>AH38*AD37</f>
        <v>0</v>
      </c>
      <c r="AQ38" s="139"/>
      <c r="AR38" s="139"/>
      <c r="AS38" s="139"/>
      <c r="AT38" s="139"/>
      <c r="AU38" s="139"/>
    </row>
    <row r="39" spans="2:47" ht="15" customHeight="1" x14ac:dyDescent="0.4">
      <c r="B39" s="36"/>
      <c r="C39" s="36"/>
      <c r="D39" s="155"/>
      <c r="E39" s="155"/>
      <c r="F39" s="155"/>
      <c r="G39" s="7"/>
      <c r="H39" s="20"/>
      <c r="P39" s="24"/>
      <c r="Q39" s="24"/>
      <c r="U39" s="20"/>
      <c r="V39" s="38" t="s">
        <v>369</v>
      </c>
      <c r="W39" s="3" t="s">
        <v>372</v>
      </c>
      <c r="X39" s="38" t="s">
        <v>369</v>
      </c>
      <c r="Y39" s="41">
        <v>200169021</v>
      </c>
      <c r="Z39" s="41"/>
      <c r="AA39" s="20"/>
      <c r="AE39" s="3"/>
      <c r="AF39" s="3"/>
      <c r="AH39" s="39">
        <f>1*AG37</f>
        <v>0</v>
      </c>
      <c r="AL39" s="39">
        <f>AH39*AD37</f>
        <v>0</v>
      </c>
      <c r="AQ39" s="139"/>
      <c r="AR39" s="139"/>
      <c r="AS39" s="139"/>
      <c r="AT39" s="139"/>
      <c r="AU39" s="139"/>
    </row>
    <row r="40" spans="2:47" ht="15" customHeight="1" x14ac:dyDescent="0.4">
      <c r="B40" s="36"/>
      <c r="C40" s="36"/>
      <c r="D40" s="155"/>
      <c r="E40" s="155"/>
      <c r="F40" s="155"/>
      <c r="G40" s="7"/>
      <c r="H40" s="20"/>
      <c r="P40" s="24"/>
      <c r="Q40" s="24"/>
      <c r="U40" s="20"/>
      <c r="V40" s="38" t="s">
        <v>369</v>
      </c>
      <c r="W40" s="3" t="s">
        <v>373</v>
      </c>
      <c r="X40" s="38" t="s">
        <v>369</v>
      </c>
      <c r="Y40" s="41">
        <v>200169033</v>
      </c>
      <c r="Z40" s="41"/>
      <c r="AA40" s="20"/>
      <c r="AE40" s="3"/>
      <c r="AF40" s="3"/>
      <c r="AH40" s="39">
        <f>1*AG37</f>
        <v>0</v>
      </c>
      <c r="AI40" s="39"/>
      <c r="AJ40" s="39"/>
      <c r="AK40" s="39"/>
      <c r="AL40" s="39">
        <f>AH40*AD37</f>
        <v>0</v>
      </c>
      <c r="AQ40" s="139"/>
      <c r="AR40" s="139"/>
      <c r="AS40" s="139"/>
      <c r="AT40" s="139"/>
      <c r="AU40" s="139"/>
    </row>
    <row r="41" spans="2:47" ht="15" customHeight="1" x14ac:dyDescent="0.4">
      <c r="B41" s="36"/>
      <c r="C41" s="36"/>
      <c r="D41" s="155"/>
      <c r="E41" s="155"/>
      <c r="F41" s="155"/>
      <c r="G41" s="7"/>
      <c r="H41" s="20"/>
      <c r="P41" s="24"/>
      <c r="Q41" s="24"/>
      <c r="U41" s="20"/>
      <c r="V41" s="38" t="s">
        <v>369</v>
      </c>
      <c r="W41" s="3" t="s">
        <v>374</v>
      </c>
      <c r="X41" s="38" t="s">
        <v>369</v>
      </c>
      <c r="Y41" s="41">
        <v>200169090</v>
      </c>
      <c r="Z41" s="41"/>
      <c r="AA41" s="20"/>
      <c r="AE41" s="3"/>
      <c r="AF41" s="3"/>
      <c r="AH41" s="39"/>
      <c r="AI41" s="39"/>
      <c r="AJ41" s="39"/>
      <c r="AK41" s="39"/>
      <c r="AL41" s="39">
        <f>AH41*AD38</f>
        <v>0</v>
      </c>
      <c r="AQ41" s="139"/>
      <c r="AR41" s="139"/>
      <c r="AS41" s="139"/>
      <c r="AT41" s="139"/>
      <c r="AU41" s="139"/>
    </row>
    <row r="42" spans="2:47" ht="15" customHeight="1" x14ac:dyDescent="0.4">
      <c r="B42" s="36"/>
      <c r="C42" s="36"/>
      <c r="D42" s="155"/>
      <c r="E42" s="155"/>
      <c r="F42" s="155"/>
      <c r="G42" s="7"/>
      <c r="H42" s="20"/>
      <c r="P42" s="24"/>
      <c r="Q42" s="24"/>
      <c r="U42" s="20"/>
      <c r="V42" s="38" t="s">
        <v>369</v>
      </c>
      <c r="W42" s="3" t="s">
        <v>375</v>
      </c>
      <c r="X42" s="38" t="s">
        <v>369</v>
      </c>
      <c r="Y42" s="41">
        <v>200169133</v>
      </c>
      <c r="Z42" s="41"/>
      <c r="AA42" s="20"/>
      <c r="AE42" s="3"/>
      <c r="AF42" s="3"/>
      <c r="AH42" s="1036">
        <f>1*AG38</f>
        <v>0</v>
      </c>
      <c r="AI42" s="39"/>
      <c r="AJ42" s="39"/>
      <c r="AK42" s="39"/>
      <c r="AL42" s="39">
        <f>AH42*AD38</f>
        <v>0</v>
      </c>
      <c r="AQ42" s="139"/>
      <c r="AR42" s="139"/>
      <c r="AS42" s="139"/>
      <c r="AT42" s="139"/>
      <c r="AU42" s="139"/>
    </row>
    <row r="43" spans="2:47" ht="15" customHeight="1" thickBot="1" x14ac:dyDescent="0.45">
      <c r="B43" s="36"/>
      <c r="C43" s="36"/>
      <c r="D43" s="155"/>
      <c r="E43" s="155"/>
      <c r="F43" s="155"/>
      <c r="G43" s="7"/>
      <c r="H43" s="20"/>
      <c r="P43" s="24"/>
      <c r="Q43" s="24"/>
      <c r="U43" s="20"/>
      <c r="V43" s="279" t="s">
        <v>369</v>
      </c>
      <c r="W43" s="112" t="s">
        <v>1849</v>
      </c>
      <c r="X43" s="279" t="s">
        <v>369</v>
      </c>
      <c r="Y43" s="1900">
        <v>200169148</v>
      </c>
      <c r="Z43" s="41"/>
      <c r="AA43" s="20"/>
      <c r="AE43" s="3"/>
      <c r="AF43" s="3"/>
      <c r="AH43" s="39">
        <v>0</v>
      </c>
      <c r="AI43" s="39"/>
      <c r="AJ43" s="39"/>
      <c r="AK43" s="39"/>
      <c r="AL43" s="39">
        <f>AH43*AD40</f>
        <v>0</v>
      </c>
      <c r="AM43" s="889"/>
      <c r="AN43" s="889"/>
      <c r="AO43" s="889"/>
      <c r="AP43" s="889"/>
      <c r="AQ43" s="1163"/>
      <c r="AR43" s="139"/>
      <c r="AS43" s="139"/>
      <c r="AT43" s="139"/>
      <c r="AU43" s="139"/>
    </row>
    <row r="44" spans="2:47" ht="15" customHeight="1" x14ac:dyDescent="0.4">
      <c r="B44" s="3"/>
      <c r="C44" s="173" t="s">
        <v>384</v>
      </c>
      <c r="D44" s="181"/>
      <c r="E44" s="182"/>
      <c r="F44" s="182"/>
      <c r="G44" s="173"/>
      <c r="H44" s="175"/>
      <c r="I44" s="116"/>
      <c r="J44" s="116"/>
      <c r="K44" s="116"/>
      <c r="L44" s="116"/>
      <c r="M44" s="177"/>
      <c r="N44" s="177"/>
      <c r="O44" s="177"/>
      <c r="P44" s="178"/>
      <c r="Q44" s="178"/>
      <c r="R44" s="116"/>
      <c r="S44" s="198">
        <v>1</v>
      </c>
      <c r="T44" s="116" t="s">
        <v>385</v>
      </c>
      <c r="U44" s="175"/>
      <c r="V44" s="179"/>
      <c r="W44" s="116"/>
      <c r="X44" s="179"/>
      <c r="Y44" s="184"/>
      <c r="Z44" s="184"/>
      <c r="AA44" s="175"/>
      <c r="AB44" s="116">
        <v>42</v>
      </c>
      <c r="AC44" s="116">
        <v>2</v>
      </c>
      <c r="AD44" s="198">
        <f>AC44*S44</f>
        <v>2</v>
      </c>
      <c r="AE44" s="116" t="s">
        <v>385</v>
      </c>
      <c r="AF44" s="116">
        <v>0</v>
      </c>
      <c r="AG44" s="177">
        <f>AF44*AtolbperftEQ</f>
        <v>0</v>
      </c>
      <c r="AH44" s="185"/>
      <c r="AI44" s="185"/>
      <c r="AJ44" s="185"/>
      <c r="AK44" s="185"/>
      <c r="AL44" s="180"/>
      <c r="AQ44" s="139"/>
      <c r="AR44" s="139"/>
      <c r="AS44" s="139"/>
      <c r="AT44" s="139"/>
    </row>
    <row r="45" spans="2:47" ht="15" customHeight="1" x14ac:dyDescent="0.4">
      <c r="B45" s="36"/>
      <c r="C45" s="36"/>
      <c r="D45" s="155"/>
      <c r="E45" s="155"/>
      <c r="F45" s="155"/>
      <c r="G45" s="7"/>
      <c r="H45" s="20"/>
      <c r="P45" s="24"/>
      <c r="Q45" s="24"/>
      <c r="U45" s="20"/>
      <c r="V45" s="38" t="s">
        <v>369</v>
      </c>
      <c r="W45" s="3" t="s">
        <v>386</v>
      </c>
      <c r="X45" s="38" t="s">
        <v>369</v>
      </c>
      <c r="Y45" s="41">
        <v>200162008</v>
      </c>
      <c r="Z45" s="41"/>
      <c r="AA45" s="20"/>
      <c r="AE45" s="3"/>
      <c r="AF45" s="38"/>
      <c r="AH45" s="39">
        <v>0</v>
      </c>
      <c r="AI45" s="39"/>
      <c r="AJ45" s="39"/>
      <c r="AK45" s="39"/>
      <c r="AL45" s="39">
        <f>AH45*AD44</f>
        <v>0</v>
      </c>
      <c r="AQ45" s="139"/>
      <c r="AR45" s="139"/>
      <c r="AS45" s="139"/>
      <c r="AT45" s="139"/>
    </row>
    <row r="46" spans="2:47" ht="15" customHeight="1" x14ac:dyDescent="0.4">
      <c r="B46" s="36"/>
      <c r="C46" s="36"/>
      <c r="D46" s="155"/>
      <c r="E46" s="155"/>
      <c r="F46" s="155"/>
      <c r="G46" s="7"/>
      <c r="H46" s="20"/>
      <c r="P46" s="24"/>
      <c r="Q46" s="24"/>
      <c r="U46" s="20"/>
      <c r="V46" s="38"/>
      <c r="X46" s="38"/>
      <c r="Y46" s="41"/>
      <c r="Z46" s="41"/>
      <c r="AA46" s="20"/>
      <c r="AE46" s="3"/>
      <c r="AF46" s="3"/>
      <c r="AH46" s="39">
        <v>0</v>
      </c>
      <c r="AI46" s="39"/>
      <c r="AJ46" s="39"/>
      <c r="AK46" s="39"/>
      <c r="AL46" s="39">
        <f>AH46*AD44</f>
        <v>0</v>
      </c>
      <c r="AQ46" s="139"/>
      <c r="AR46" s="139"/>
      <c r="AS46" s="139"/>
      <c r="AT46" s="139"/>
    </row>
    <row r="47" spans="2:47" ht="15" customHeight="1" thickBot="1" x14ac:dyDescent="0.45">
      <c r="B47" s="36"/>
      <c r="C47" s="943"/>
      <c r="D47" s="925"/>
      <c r="E47" s="925"/>
      <c r="F47" s="925"/>
      <c r="G47" s="924"/>
      <c r="H47" s="887"/>
      <c r="I47" s="889"/>
      <c r="J47" s="889"/>
      <c r="K47" s="889"/>
      <c r="L47" s="889"/>
      <c r="M47" s="945"/>
      <c r="N47" s="945"/>
      <c r="O47" s="945"/>
      <c r="P47" s="1020"/>
      <c r="Q47" s="1020"/>
      <c r="R47" s="889"/>
      <c r="S47" s="945"/>
      <c r="T47" s="889"/>
      <c r="U47" s="887"/>
      <c r="V47" s="888"/>
      <c r="W47" s="889"/>
      <c r="X47" s="888"/>
      <c r="Y47" s="946"/>
      <c r="Z47" s="946"/>
      <c r="AA47" s="887"/>
      <c r="AB47" s="889"/>
      <c r="AC47" s="889"/>
      <c r="AD47" s="945"/>
      <c r="AE47" s="889"/>
      <c r="AF47" s="889"/>
      <c r="AG47" s="945"/>
      <c r="AH47" s="947">
        <v>0</v>
      </c>
      <c r="AI47" s="947"/>
      <c r="AJ47" s="947"/>
      <c r="AK47" s="947"/>
      <c r="AL47" s="947">
        <f>AH47*AD44</f>
        <v>0</v>
      </c>
      <c r="AM47" s="889"/>
      <c r="AN47" s="889"/>
      <c r="AO47" s="889"/>
      <c r="AP47" s="889"/>
      <c r="AQ47" s="1163"/>
      <c r="AR47" s="139"/>
      <c r="AS47" s="139"/>
      <c r="AT47" s="139"/>
    </row>
    <row r="48" spans="2:47" ht="15" customHeight="1" x14ac:dyDescent="0.4">
      <c r="B48" s="3"/>
      <c r="C48" s="173" t="s">
        <v>387</v>
      </c>
      <c r="D48" s="181"/>
      <c r="E48" s="182"/>
      <c r="F48" s="182"/>
      <c r="G48" s="173"/>
      <c r="H48" s="175"/>
      <c r="I48" s="116" t="s">
        <v>365</v>
      </c>
      <c r="J48" s="116"/>
      <c r="K48" s="116"/>
      <c r="L48" s="116" t="s">
        <v>348</v>
      </c>
      <c r="M48" s="177">
        <v>0.438</v>
      </c>
      <c r="N48" s="177"/>
      <c r="O48" s="177"/>
      <c r="P48" s="178"/>
      <c r="Q48" s="178"/>
      <c r="R48" s="116" t="s">
        <v>352</v>
      </c>
      <c r="S48" s="177">
        <f>SLEQheight+M48+O48</f>
        <v>47.938000000000002</v>
      </c>
      <c r="T48" s="116" t="s">
        <v>366</v>
      </c>
      <c r="U48" s="175"/>
      <c r="V48" s="179"/>
      <c r="W48" s="116"/>
      <c r="X48" s="179"/>
      <c r="Y48" s="184"/>
      <c r="Z48" s="184"/>
      <c r="AA48" s="175"/>
      <c r="AB48" s="116">
        <v>42</v>
      </c>
      <c r="AC48" s="116">
        <v>2</v>
      </c>
      <c r="AD48" s="177">
        <f>AC48*S48/12</f>
        <v>7.9896666666666674</v>
      </c>
      <c r="AE48" s="116" t="s">
        <v>367</v>
      </c>
      <c r="AF48" s="116">
        <v>0</v>
      </c>
      <c r="AG48" s="177">
        <f>AF48*AtolbperftEQ</f>
        <v>0</v>
      </c>
      <c r="AH48" s="185"/>
      <c r="AI48" s="39"/>
      <c r="AJ48" s="39"/>
      <c r="AK48" s="39"/>
      <c r="AL48" s="180"/>
      <c r="AQ48" s="139"/>
      <c r="AR48" s="139"/>
      <c r="AS48" s="139"/>
      <c r="AT48" s="139"/>
    </row>
    <row r="49" spans="1:47" ht="15" customHeight="1" x14ac:dyDescent="0.4">
      <c r="B49" s="36"/>
      <c r="C49" s="36"/>
      <c r="D49" s="155"/>
      <c r="E49" s="155"/>
      <c r="F49" s="155"/>
      <c r="G49" s="7"/>
      <c r="H49" s="20"/>
      <c r="P49" s="24"/>
      <c r="Q49" s="24"/>
      <c r="U49" s="20"/>
      <c r="V49" s="38" t="s">
        <v>369</v>
      </c>
      <c r="W49" s="3" t="s">
        <v>370</v>
      </c>
      <c r="X49" s="38" t="s">
        <v>369</v>
      </c>
      <c r="Y49" s="1443">
        <v>200178003</v>
      </c>
      <c r="Z49" s="41"/>
      <c r="AA49" s="20"/>
      <c r="AE49" s="3"/>
      <c r="AF49" s="38"/>
      <c r="AH49" s="39">
        <v>0</v>
      </c>
      <c r="AI49" s="39"/>
      <c r="AJ49" s="39"/>
      <c r="AK49" s="39"/>
      <c r="AL49" s="39">
        <f>AH49*AD48</f>
        <v>0</v>
      </c>
      <c r="AQ49" s="139"/>
      <c r="AR49" s="139"/>
      <c r="AS49" s="139"/>
      <c r="AT49" s="139"/>
    </row>
    <row r="50" spans="1:47" ht="15" customHeight="1" x14ac:dyDescent="0.4">
      <c r="B50" s="36"/>
      <c r="C50" s="36"/>
      <c r="D50" s="155"/>
      <c r="E50" s="155"/>
      <c r="F50" s="155"/>
      <c r="G50" s="7"/>
      <c r="H50" s="20"/>
      <c r="P50" s="24"/>
      <c r="Q50" s="24"/>
      <c r="U50" s="20"/>
      <c r="V50" s="38" t="s">
        <v>369</v>
      </c>
      <c r="W50" s="3" t="s">
        <v>372</v>
      </c>
      <c r="X50" s="38" t="s">
        <v>369</v>
      </c>
      <c r="Y50" s="1443">
        <v>200178021</v>
      </c>
      <c r="Z50" s="41"/>
      <c r="AA50" s="20"/>
      <c r="AE50" s="3"/>
      <c r="AF50" s="3"/>
      <c r="AH50" s="39">
        <v>0</v>
      </c>
      <c r="AL50" s="39">
        <f>AH50*AD48</f>
        <v>0</v>
      </c>
      <c r="AQ50" s="139"/>
      <c r="AR50" s="139"/>
      <c r="AS50" s="139"/>
      <c r="AT50" s="139"/>
    </row>
    <row r="51" spans="1:47" ht="15" customHeight="1" x14ac:dyDescent="0.4">
      <c r="B51" s="36"/>
      <c r="C51" s="36"/>
      <c r="D51" s="155"/>
      <c r="E51" s="155"/>
      <c r="F51" s="155"/>
      <c r="G51" s="7"/>
      <c r="H51" s="20"/>
      <c r="P51" s="24"/>
      <c r="Q51" s="24"/>
      <c r="U51" s="20"/>
      <c r="V51" s="38" t="s">
        <v>369</v>
      </c>
      <c r="W51" s="3" t="s">
        <v>373</v>
      </c>
      <c r="X51" s="38" t="s">
        <v>369</v>
      </c>
      <c r="Y51" s="1443">
        <v>200178033</v>
      </c>
      <c r="Z51" s="41"/>
      <c r="AA51" s="20"/>
      <c r="AE51" s="3"/>
      <c r="AF51" s="3"/>
      <c r="AH51" s="39"/>
      <c r="AQ51" s="139"/>
      <c r="AR51" s="139"/>
      <c r="AS51" s="139"/>
      <c r="AT51" s="139"/>
    </row>
    <row r="52" spans="1:47" ht="15" customHeight="1" x14ac:dyDescent="0.4">
      <c r="B52" s="36"/>
      <c r="C52" s="36"/>
      <c r="D52" s="155"/>
      <c r="E52" s="155"/>
      <c r="F52" s="155"/>
      <c r="G52" s="7"/>
      <c r="H52" s="20"/>
      <c r="P52" s="24"/>
      <c r="Q52" s="24"/>
      <c r="U52" s="20"/>
      <c r="V52" s="38" t="s">
        <v>369</v>
      </c>
      <c r="W52" s="3" t="s">
        <v>374</v>
      </c>
      <c r="X52" s="38" t="s">
        <v>369</v>
      </c>
      <c r="Y52" s="1443">
        <v>200178090</v>
      </c>
      <c r="Z52" s="41"/>
      <c r="AA52" s="20"/>
      <c r="AE52" s="3"/>
      <c r="AF52" s="3"/>
      <c r="AH52" s="39">
        <v>0</v>
      </c>
      <c r="AI52" s="39"/>
      <c r="AJ52" s="39"/>
      <c r="AK52" s="39"/>
      <c r="AL52" s="39">
        <f>AH52*AD48</f>
        <v>0</v>
      </c>
      <c r="AQ52" s="139"/>
      <c r="AR52" s="139"/>
      <c r="AS52" s="139"/>
      <c r="AT52" s="139"/>
    </row>
    <row r="53" spans="1:47" ht="15" customHeight="1" x14ac:dyDescent="0.4">
      <c r="B53" s="36"/>
      <c r="C53" s="36"/>
      <c r="D53" s="155"/>
      <c r="E53" s="155"/>
      <c r="F53" s="155"/>
      <c r="G53" s="7"/>
      <c r="H53" s="20"/>
      <c r="P53" s="24"/>
      <c r="Q53" s="24"/>
      <c r="U53" s="20"/>
      <c r="V53" s="38" t="s">
        <v>369</v>
      </c>
      <c r="W53" s="3" t="s">
        <v>375</v>
      </c>
      <c r="X53" s="38" t="s">
        <v>369</v>
      </c>
      <c r="Y53" s="1443">
        <v>200178133</v>
      </c>
      <c r="Z53" s="41"/>
      <c r="AA53" s="20"/>
      <c r="AE53" s="3"/>
      <c r="AF53" s="3"/>
      <c r="AH53" s="39"/>
      <c r="AI53" s="39"/>
      <c r="AJ53" s="39"/>
      <c r="AK53" s="39"/>
      <c r="AQ53" s="139"/>
      <c r="AR53" s="139"/>
      <c r="AS53" s="139"/>
      <c r="AT53" s="139"/>
    </row>
    <row r="54" spans="1:47" ht="15" customHeight="1" thickBot="1" x14ac:dyDescent="0.45">
      <c r="B54" s="36"/>
      <c r="C54" s="36"/>
      <c r="D54" s="155"/>
      <c r="E54" s="155"/>
      <c r="F54" s="155"/>
      <c r="G54" s="7"/>
      <c r="H54" s="20"/>
      <c r="P54" s="24"/>
      <c r="Q54" s="24"/>
      <c r="U54" s="20"/>
      <c r="V54" s="279" t="s">
        <v>369</v>
      </c>
      <c r="W54" s="112" t="s">
        <v>1849</v>
      </c>
      <c r="X54" s="279" t="s">
        <v>369</v>
      </c>
      <c r="Y54" s="1871">
        <v>200178148</v>
      </c>
      <c r="Z54" s="41"/>
      <c r="AA54" s="20"/>
      <c r="AE54" s="3"/>
      <c r="AF54" s="3"/>
      <c r="AH54" s="1036">
        <v>0</v>
      </c>
      <c r="AI54" s="39"/>
      <c r="AJ54" s="39"/>
      <c r="AK54" s="39"/>
      <c r="AL54" s="39">
        <f>AH54*AD49</f>
        <v>0</v>
      </c>
      <c r="AQ54" s="139"/>
      <c r="AR54" s="139"/>
      <c r="AS54" s="139"/>
      <c r="AT54" s="139"/>
    </row>
    <row r="55" spans="1:47" ht="15" customHeight="1" thickBot="1" x14ac:dyDescent="0.45">
      <c r="B55" s="173" t="s">
        <v>388</v>
      </c>
      <c r="C55" s="173"/>
      <c r="D55" s="116"/>
      <c r="E55" s="116"/>
      <c r="F55" s="174"/>
      <c r="G55" s="173"/>
      <c r="H55" s="175"/>
      <c r="I55" s="116"/>
      <c r="J55" s="116"/>
      <c r="K55" s="116"/>
      <c r="L55" s="116"/>
      <c r="M55" s="116"/>
      <c r="N55" s="177"/>
      <c r="O55" s="177"/>
      <c r="P55" s="177"/>
      <c r="Q55" s="177"/>
      <c r="R55" s="116"/>
      <c r="S55" s="177"/>
      <c r="T55" s="116"/>
      <c r="U55" s="175"/>
      <c r="V55" s="173"/>
      <c r="W55" s="173"/>
      <c r="X55" s="173"/>
      <c r="Y55" s="116"/>
      <c r="Z55" s="116"/>
      <c r="AA55" s="175"/>
      <c r="AB55" s="116"/>
      <c r="AC55" s="116"/>
      <c r="AD55" s="177"/>
      <c r="AE55" s="116"/>
      <c r="AF55" s="179"/>
      <c r="AG55" s="177"/>
      <c r="AH55" s="185"/>
      <c r="AI55" s="475"/>
      <c r="AJ55" s="475"/>
      <c r="AK55" s="475"/>
      <c r="AL55" s="180"/>
      <c r="AM55" s="137"/>
      <c r="AN55" s="137"/>
      <c r="AO55" s="137"/>
      <c r="AP55" s="137"/>
      <c r="AQ55" s="137"/>
      <c r="AR55" s="139"/>
      <c r="AS55" s="139"/>
      <c r="AT55" s="139"/>
      <c r="AU55" s="139"/>
    </row>
    <row r="56" spans="1:47" ht="15" customHeight="1" x14ac:dyDescent="0.4">
      <c r="A56" s="3" t="s">
        <v>389</v>
      </c>
      <c r="B56" s="173"/>
      <c r="C56" s="173" t="s">
        <v>390</v>
      </c>
      <c r="D56" s="116"/>
      <c r="E56" s="182"/>
      <c r="F56" s="182" t="s">
        <v>438</v>
      </c>
      <c r="G56" s="173"/>
      <c r="H56" s="175"/>
      <c r="I56" s="116" t="s">
        <v>392</v>
      </c>
      <c r="J56" s="116"/>
      <c r="K56" s="116"/>
      <c r="L56" s="116" t="s">
        <v>348</v>
      </c>
      <c r="M56" s="177">
        <f>1.375*2</f>
        <v>2.75</v>
      </c>
      <c r="N56" s="177" t="s">
        <v>348</v>
      </c>
      <c r="O56" s="177">
        <f>0.25</f>
        <v>0.25</v>
      </c>
      <c r="P56" s="177"/>
      <c r="Q56" s="177"/>
      <c r="R56" s="116" t="s">
        <v>352</v>
      </c>
      <c r="S56" s="177">
        <f>SLEQwidth+M56+O56</f>
        <v>74.5</v>
      </c>
      <c r="T56" s="116" t="s">
        <v>366</v>
      </c>
      <c r="U56" s="175"/>
      <c r="V56" s="179"/>
      <c r="W56" s="116"/>
      <c r="X56" s="179"/>
      <c r="Y56" s="116"/>
      <c r="Z56" s="116"/>
      <c r="AA56" s="175"/>
      <c r="AB56" s="116">
        <v>42</v>
      </c>
      <c r="AC56" s="116">
        <v>1</v>
      </c>
      <c r="AD56" s="177">
        <f>AC56*S56/12</f>
        <v>6.208333333333333</v>
      </c>
      <c r="AE56" s="116" t="s">
        <v>367</v>
      </c>
      <c r="AF56" s="179">
        <f>AF16</f>
        <v>1.1200000000000001</v>
      </c>
      <c r="AG56" s="177">
        <f>AF56*AtolbperftEQ</f>
        <v>0.70840000000000003</v>
      </c>
      <c r="AH56" s="185"/>
      <c r="AI56" s="39"/>
      <c r="AJ56" s="39"/>
      <c r="AK56" s="39"/>
      <c r="AL56" s="180"/>
      <c r="AQ56" s="139"/>
      <c r="AR56" s="139"/>
      <c r="AS56" s="139"/>
      <c r="AT56" s="139"/>
      <c r="AU56" s="139"/>
    </row>
    <row r="57" spans="1:47" ht="15" customHeight="1" x14ac:dyDescent="0.4">
      <c r="B57" s="3"/>
      <c r="C57" s="36"/>
      <c r="D57" s="155"/>
      <c r="E57" s="155"/>
      <c r="F57" s="47" t="s">
        <v>393</v>
      </c>
      <c r="G57" s="7"/>
      <c r="H57" s="20"/>
      <c r="I57" s="3" t="s">
        <v>392</v>
      </c>
      <c r="L57" s="3" t="s">
        <v>348</v>
      </c>
      <c r="M57" s="5">
        <v>0</v>
      </c>
      <c r="N57" s="5" t="s">
        <v>348</v>
      </c>
      <c r="O57" s="5">
        <v>0.25</v>
      </c>
      <c r="R57" s="3" t="s">
        <v>352</v>
      </c>
      <c r="S57" s="5">
        <f>SLEQwidth+M57+O57</f>
        <v>71.75</v>
      </c>
      <c r="T57" s="3" t="s">
        <v>366</v>
      </c>
      <c r="U57" s="20"/>
      <c r="V57" s="38" t="s">
        <v>369</v>
      </c>
      <c r="W57" s="3" t="s">
        <v>370</v>
      </c>
      <c r="X57" s="38" t="s">
        <v>369</v>
      </c>
      <c r="Y57" s="41">
        <v>200153003</v>
      </c>
      <c r="Z57" s="41"/>
      <c r="AA57" s="20"/>
      <c r="AE57" s="3"/>
      <c r="AF57" s="38"/>
      <c r="AH57" s="39">
        <f>$AG$9*AG56</f>
        <v>0.64464399999999999</v>
      </c>
      <c r="AL57" s="39">
        <f>AH57*AD56</f>
        <v>4.0021648333333335</v>
      </c>
      <c r="AQ57" s="139"/>
      <c r="AR57" s="139"/>
      <c r="AS57" s="139"/>
      <c r="AT57" s="139"/>
      <c r="AU57" s="139"/>
    </row>
    <row r="58" spans="1:47" ht="15" customHeight="1" x14ac:dyDescent="0.4">
      <c r="B58" s="3"/>
      <c r="C58" s="36"/>
      <c r="D58" s="155"/>
      <c r="E58" s="155"/>
      <c r="F58" s="155"/>
      <c r="G58" s="7"/>
      <c r="H58" s="20"/>
      <c r="U58" s="20"/>
      <c r="V58" s="38" t="s">
        <v>369</v>
      </c>
      <c r="W58" s="3" t="s">
        <v>372</v>
      </c>
      <c r="X58" s="38" t="s">
        <v>369</v>
      </c>
      <c r="Y58" s="41">
        <v>200153021</v>
      </c>
      <c r="Z58" s="41"/>
      <c r="AA58" s="20"/>
      <c r="AE58" s="3"/>
      <c r="AF58" s="38"/>
      <c r="AH58" s="39">
        <f>1*AG56</f>
        <v>0.70840000000000003</v>
      </c>
      <c r="AI58" s="39"/>
      <c r="AJ58" s="39"/>
      <c r="AK58" s="39"/>
      <c r="AL58" s="39">
        <f>AH58*AD56</f>
        <v>4.3979833333333334</v>
      </c>
      <c r="AQ58" s="139"/>
      <c r="AR58" s="139"/>
      <c r="AS58" s="139"/>
      <c r="AT58" s="139"/>
      <c r="AU58" s="139"/>
    </row>
    <row r="59" spans="1:47" ht="15" customHeight="1" x14ac:dyDescent="0.4">
      <c r="B59" s="3"/>
      <c r="C59" s="36"/>
      <c r="D59" s="155"/>
      <c r="E59" s="155"/>
      <c r="F59" s="155"/>
      <c r="G59" s="7"/>
      <c r="H59" s="20"/>
      <c r="U59" s="20"/>
      <c r="V59" s="38" t="s">
        <v>369</v>
      </c>
      <c r="W59" s="3" t="s">
        <v>373</v>
      </c>
      <c r="X59" s="38" t="s">
        <v>369</v>
      </c>
      <c r="Y59" s="41">
        <v>200153033</v>
      </c>
      <c r="Z59" s="41"/>
      <c r="AA59" s="20"/>
      <c r="AE59" s="3"/>
      <c r="AF59" s="38"/>
      <c r="AH59" s="39">
        <f>1*AG56</f>
        <v>0.70840000000000003</v>
      </c>
      <c r="AI59" s="39"/>
      <c r="AJ59" s="39"/>
      <c r="AK59" s="39"/>
      <c r="AL59" s="39">
        <f>AH59*AD56</f>
        <v>4.3979833333333334</v>
      </c>
      <c r="AQ59" s="139"/>
      <c r="AR59" s="139"/>
      <c r="AS59" s="139"/>
      <c r="AT59" s="139"/>
      <c r="AU59" s="139"/>
    </row>
    <row r="60" spans="1:47" ht="15" customHeight="1" x14ac:dyDescent="0.4">
      <c r="B60" s="3"/>
      <c r="C60" s="36"/>
      <c r="D60" s="155"/>
      <c r="E60" s="155"/>
      <c r="F60" s="155"/>
      <c r="G60" s="7"/>
      <c r="H60" s="20"/>
      <c r="U60" s="20"/>
      <c r="V60" s="3" t="s">
        <v>2363</v>
      </c>
      <c r="W60" s="3" t="s">
        <v>370</v>
      </c>
      <c r="X60" s="38" t="s">
        <v>369</v>
      </c>
      <c r="Y60" s="41">
        <v>200153127</v>
      </c>
      <c r="Z60" s="41"/>
      <c r="AA60" s="20"/>
      <c r="AE60" s="3"/>
      <c r="AF60" s="38"/>
      <c r="AH60" s="39"/>
      <c r="AI60" s="39"/>
      <c r="AJ60" s="39"/>
      <c r="AK60" s="39"/>
      <c r="AQ60" s="139"/>
      <c r="AR60" s="139"/>
      <c r="AS60" s="139"/>
      <c r="AT60" s="139"/>
      <c r="AU60" s="139"/>
    </row>
    <row r="61" spans="1:47" ht="15" customHeight="1" x14ac:dyDescent="0.4">
      <c r="B61" s="3"/>
      <c r="C61" s="36"/>
      <c r="D61" s="155"/>
      <c r="E61" s="155"/>
      <c r="F61" s="155"/>
      <c r="G61" s="7"/>
      <c r="H61" s="20"/>
      <c r="U61" s="20"/>
      <c r="V61" s="112" t="s">
        <v>2366</v>
      </c>
      <c r="W61" s="112" t="s">
        <v>370</v>
      </c>
      <c r="X61" s="279" t="s">
        <v>369</v>
      </c>
      <c r="Y61" s="1900">
        <v>200153128</v>
      </c>
      <c r="Z61" s="41"/>
      <c r="AA61" s="20"/>
      <c r="AE61" s="3"/>
      <c r="AF61" s="38"/>
      <c r="AH61" s="39"/>
      <c r="AI61" s="39"/>
      <c r="AJ61" s="39"/>
      <c r="AK61" s="39"/>
      <c r="AQ61" s="139"/>
      <c r="AR61" s="139"/>
      <c r="AS61" s="139"/>
      <c r="AT61" s="139"/>
      <c r="AU61" s="139"/>
    </row>
    <row r="62" spans="1:47" ht="15" customHeight="1" x14ac:dyDescent="0.4">
      <c r="B62" s="3"/>
      <c r="C62" s="36"/>
      <c r="D62" s="155"/>
      <c r="E62" s="155"/>
      <c r="F62" s="155"/>
      <c r="G62" s="7"/>
      <c r="H62" s="20"/>
      <c r="U62" s="20"/>
      <c r="V62" s="3" t="s">
        <v>2364</v>
      </c>
      <c r="W62" s="3" t="s">
        <v>370</v>
      </c>
      <c r="X62" s="38" t="s">
        <v>369</v>
      </c>
      <c r="Y62" s="41">
        <v>200153129</v>
      </c>
      <c r="Z62" s="41"/>
      <c r="AA62" s="20"/>
      <c r="AE62" s="3"/>
      <c r="AF62" s="38"/>
      <c r="AH62" s="39"/>
      <c r="AI62" s="39"/>
      <c r="AJ62" s="39"/>
      <c r="AK62" s="39"/>
      <c r="AQ62" s="139"/>
      <c r="AR62" s="139"/>
      <c r="AS62" s="139"/>
      <c r="AT62" s="139"/>
      <c r="AU62" s="139"/>
    </row>
    <row r="63" spans="1:47" ht="15" customHeight="1" x14ac:dyDescent="0.4">
      <c r="B63" s="3"/>
      <c r="C63" s="36"/>
      <c r="D63" s="155"/>
      <c r="E63" s="155"/>
      <c r="F63" s="155"/>
      <c r="G63" s="7"/>
      <c r="H63" s="20"/>
      <c r="U63" s="20"/>
      <c r="V63" s="3" t="s">
        <v>2365</v>
      </c>
      <c r="W63" s="3" t="s">
        <v>370</v>
      </c>
      <c r="X63" s="38" t="s">
        <v>369</v>
      </c>
      <c r="Y63" s="41">
        <v>200153180</v>
      </c>
      <c r="Z63" s="41"/>
      <c r="AA63" s="20"/>
      <c r="AE63" s="3"/>
      <c r="AF63" s="38"/>
      <c r="AH63" s="1036">
        <v>0</v>
      </c>
      <c r="AI63" s="39"/>
      <c r="AJ63" s="39"/>
      <c r="AK63" s="39"/>
      <c r="AL63" s="39">
        <f>AH63*AD59</f>
        <v>0</v>
      </c>
      <c r="AQ63" s="139"/>
      <c r="AR63" s="139"/>
      <c r="AS63" s="139"/>
      <c r="AT63" s="139"/>
      <c r="AU63" s="139"/>
    </row>
    <row r="64" spans="1:47" ht="15" customHeight="1" x14ac:dyDescent="0.4">
      <c r="B64" s="3"/>
      <c r="C64" s="36"/>
      <c r="D64" s="155"/>
      <c r="E64" s="155"/>
      <c r="F64" s="155"/>
      <c r="G64" s="7"/>
      <c r="H64" s="20"/>
      <c r="U64" s="20"/>
      <c r="V64" s="112" t="s">
        <v>2367</v>
      </c>
      <c r="W64" s="112" t="s">
        <v>370</v>
      </c>
      <c r="X64" s="279" t="s">
        <v>369</v>
      </c>
      <c r="Y64" s="1900">
        <v>200153152</v>
      </c>
      <c r="Z64" s="41"/>
      <c r="AA64" s="20"/>
      <c r="AE64" s="3"/>
      <c r="AF64" s="38"/>
      <c r="AH64" s="39">
        <v>0</v>
      </c>
      <c r="AI64" s="39"/>
      <c r="AJ64" s="39"/>
      <c r="AK64" s="39"/>
      <c r="AL64" s="39">
        <f>AH64*AD61</f>
        <v>0</v>
      </c>
      <c r="AQ64" s="139"/>
      <c r="AR64" s="139"/>
      <c r="AS64" s="139"/>
      <c r="AT64" s="139"/>
      <c r="AU64" s="139"/>
    </row>
    <row r="65" spans="1:47" ht="15" customHeight="1" x14ac:dyDescent="0.4">
      <c r="B65" s="3"/>
      <c r="C65" s="36"/>
      <c r="D65" s="155"/>
      <c r="E65" s="155"/>
      <c r="F65" s="155"/>
      <c r="G65" s="7"/>
      <c r="H65" s="20"/>
      <c r="U65" s="20"/>
      <c r="V65" s="3" t="s">
        <v>2365</v>
      </c>
      <c r="W65" s="3" t="s">
        <v>370</v>
      </c>
      <c r="X65" s="38" t="s">
        <v>2365</v>
      </c>
      <c r="Y65" s="41">
        <v>200153181</v>
      </c>
      <c r="Z65" s="41"/>
      <c r="AA65" s="20"/>
      <c r="AE65" s="3"/>
      <c r="AF65" s="38"/>
      <c r="AH65" s="39"/>
      <c r="AI65" s="39"/>
      <c r="AJ65" s="39"/>
      <c r="AK65" s="39"/>
      <c r="AQ65" s="139"/>
      <c r="AR65" s="139"/>
      <c r="AS65" s="139"/>
      <c r="AT65" s="139"/>
      <c r="AU65" s="139"/>
    </row>
    <row r="66" spans="1:47" ht="15" customHeight="1" x14ac:dyDescent="0.4">
      <c r="C66" s="36"/>
      <c r="D66" s="36"/>
      <c r="E66" s="1031" t="s">
        <v>1220</v>
      </c>
      <c r="F66" s="951"/>
      <c r="G66" s="454"/>
      <c r="H66" s="1032"/>
      <c r="I66" s="1033"/>
      <c r="J66" s="1033"/>
      <c r="K66" s="1033"/>
      <c r="L66" s="1033"/>
      <c r="M66" s="1034"/>
      <c r="N66" s="1034"/>
      <c r="O66" s="1034"/>
      <c r="P66" s="1034"/>
      <c r="Q66" s="1034"/>
      <c r="R66" s="1033"/>
      <c r="S66" s="1034"/>
      <c r="T66" s="1033"/>
      <c r="U66" s="1032"/>
      <c r="V66" s="587" t="s">
        <v>369</v>
      </c>
      <c r="W66" s="130" t="s">
        <v>405</v>
      </c>
      <c r="X66" s="587" t="s">
        <v>369</v>
      </c>
      <c r="Y66" s="1035">
        <v>600042010</v>
      </c>
      <c r="Z66" s="1035"/>
      <c r="AA66" s="1032"/>
      <c r="AB66" s="130"/>
      <c r="AC66" s="130"/>
      <c r="AD66" s="584"/>
      <c r="AE66" s="130"/>
      <c r="AF66" s="130"/>
      <c r="AG66" s="130"/>
      <c r="AH66" s="589"/>
      <c r="AI66" s="589"/>
      <c r="AJ66" s="589"/>
      <c r="AK66" s="589"/>
      <c r="AL66" s="589"/>
      <c r="AM66" s="589"/>
      <c r="AN66" s="589"/>
      <c r="AO66" s="589"/>
      <c r="AP66" s="589"/>
      <c r="AQ66" s="589"/>
      <c r="AR66" s="140"/>
      <c r="AS66" s="139"/>
      <c r="AT66" s="139"/>
      <c r="AU66" s="139"/>
    </row>
    <row r="67" spans="1:47" ht="15" customHeight="1" x14ac:dyDescent="0.4">
      <c r="C67" s="36"/>
      <c r="D67" s="36"/>
      <c r="E67" s="447" t="s">
        <v>1221</v>
      </c>
      <c r="F67" s="155"/>
      <c r="G67" s="7"/>
      <c r="H67" s="20"/>
      <c r="I67" s="3" t="s">
        <v>392</v>
      </c>
      <c r="L67" s="3" t="s">
        <v>348</v>
      </c>
      <c r="M67" s="5">
        <v>0</v>
      </c>
      <c r="R67" s="3" t="s">
        <v>352</v>
      </c>
      <c r="S67" s="5">
        <f>SLEQwidth+M67+O67</f>
        <v>71.5</v>
      </c>
      <c r="T67" s="3" t="s">
        <v>366</v>
      </c>
      <c r="U67" s="20"/>
      <c r="V67" s="38" t="s">
        <v>369</v>
      </c>
      <c r="W67" s="3" t="s">
        <v>405</v>
      </c>
      <c r="X67" s="38" t="s">
        <v>369</v>
      </c>
      <c r="Y67" s="41">
        <v>600050010</v>
      </c>
      <c r="Z67" s="41"/>
      <c r="AA67" s="20"/>
      <c r="AB67" s="3">
        <v>42</v>
      </c>
      <c r="AC67" s="3">
        <v>1</v>
      </c>
      <c r="AD67" s="5">
        <f>AC67*S67/12</f>
        <v>5.958333333333333</v>
      </c>
      <c r="AE67" s="3" t="s">
        <v>367</v>
      </c>
      <c r="AF67" s="3"/>
      <c r="AG67" s="3"/>
      <c r="AH67" s="39">
        <v>0</v>
      </c>
      <c r="AM67" s="39"/>
      <c r="AN67" s="39"/>
      <c r="AO67" s="39"/>
      <c r="AP67" s="39"/>
      <c r="AQ67" s="39"/>
      <c r="AR67" s="140"/>
      <c r="AS67" s="139"/>
      <c r="AT67" s="139"/>
      <c r="AU67" s="139"/>
    </row>
    <row r="68" spans="1:47" ht="15" customHeight="1" thickBot="1" x14ac:dyDescent="0.25">
      <c r="C68" s="1849"/>
      <c r="D68" s="1849"/>
      <c r="E68" s="1850" t="s">
        <v>2352</v>
      </c>
      <c r="F68" s="1851"/>
      <c r="G68" s="1852"/>
      <c r="H68" s="1853"/>
      <c r="I68" s="1854" t="s">
        <v>392</v>
      </c>
      <c r="J68" s="1854"/>
      <c r="K68" s="1854"/>
      <c r="L68" s="1854"/>
      <c r="M68" s="1855"/>
      <c r="N68" s="1855"/>
      <c r="O68" s="1855"/>
      <c r="P68" s="1855"/>
      <c r="Q68" s="1855"/>
      <c r="R68" s="1854" t="s">
        <v>352</v>
      </c>
      <c r="S68" s="945">
        <f>SLEQwidth+M68+O68</f>
        <v>71.5</v>
      </c>
      <c r="T68" s="1854" t="s">
        <v>366</v>
      </c>
      <c r="U68" s="1853"/>
      <c r="V68" s="1856" t="s">
        <v>369</v>
      </c>
      <c r="W68" s="1854" t="s">
        <v>370</v>
      </c>
      <c r="X68" s="1856" t="s">
        <v>369</v>
      </c>
      <c r="Y68" s="1857" t="s">
        <v>2355</v>
      </c>
      <c r="Z68" s="1858"/>
      <c r="AA68" s="1853"/>
      <c r="AB68" s="1854"/>
      <c r="AC68" s="1854">
        <v>1</v>
      </c>
      <c r="AD68" s="1855">
        <f>AC68*S68/12</f>
        <v>5.958333333333333</v>
      </c>
      <c r="AE68" s="1854" t="s">
        <v>367</v>
      </c>
      <c r="AF68" s="1856"/>
      <c r="AG68" s="1856"/>
      <c r="AH68" s="1859">
        <f>0.018669</f>
        <v>1.8669000000000002E-2</v>
      </c>
      <c r="AI68" s="1860"/>
      <c r="AJ68" s="1860"/>
      <c r="AK68" s="1860"/>
      <c r="AL68" s="1860">
        <f>AH68*AD68</f>
        <v>0.11123612500000001</v>
      </c>
      <c r="AM68" s="1854"/>
      <c r="AN68" s="1854"/>
      <c r="AO68" s="1854"/>
      <c r="AP68" s="1854"/>
      <c r="AQ68" s="1854"/>
      <c r="AR68" s="140"/>
      <c r="AS68" s="139"/>
      <c r="AT68" s="139"/>
      <c r="AU68" s="139"/>
    </row>
    <row r="69" spans="1:47" ht="15" customHeight="1" x14ac:dyDescent="0.4">
      <c r="A69" s="3" t="s">
        <v>394</v>
      </c>
      <c r="B69" s="3"/>
      <c r="C69" s="173" t="s">
        <v>395</v>
      </c>
      <c r="D69" s="116"/>
      <c r="E69" s="116"/>
      <c r="F69" s="174" t="s">
        <v>391</v>
      </c>
      <c r="G69" s="173"/>
      <c r="H69" s="175"/>
      <c r="I69" s="116" t="s">
        <v>392</v>
      </c>
      <c r="J69" s="116"/>
      <c r="K69" s="116"/>
      <c r="L69" s="116" t="s">
        <v>348</v>
      </c>
      <c r="M69" s="177">
        <v>6.1879999999999997</v>
      </c>
      <c r="N69" s="177" t="s">
        <v>348</v>
      </c>
      <c r="O69" s="177">
        <f>0.125*2</f>
        <v>0.25</v>
      </c>
      <c r="P69" s="177"/>
      <c r="Q69" s="177"/>
      <c r="R69" s="116" t="s">
        <v>352</v>
      </c>
      <c r="S69" s="177">
        <f>SLEQwidth+M69+O69</f>
        <v>77.938000000000002</v>
      </c>
      <c r="T69" s="116" t="s">
        <v>366</v>
      </c>
      <c r="U69" s="175"/>
      <c r="V69" s="173"/>
      <c r="W69" s="173"/>
      <c r="X69" s="173"/>
      <c r="Y69" s="116"/>
      <c r="Z69" s="116"/>
      <c r="AA69" s="175"/>
      <c r="AB69" s="116">
        <v>42</v>
      </c>
      <c r="AC69" s="116">
        <v>1</v>
      </c>
      <c r="AD69" s="177">
        <f>AC69*S69/12</f>
        <v>6.4948333333333332</v>
      </c>
      <c r="AE69" s="116" t="s">
        <v>367</v>
      </c>
      <c r="AF69" s="179">
        <v>0</v>
      </c>
      <c r="AG69" s="177">
        <f>AF69*AtolbperftEQ</f>
        <v>0</v>
      </c>
      <c r="AH69" s="185"/>
      <c r="AI69" s="185"/>
      <c r="AJ69" s="185"/>
      <c r="AK69" s="185"/>
      <c r="AL69" s="180"/>
      <c r="AQ69" s="139"/>
      <c r="AR69" s="139"/>
      <c r="AS69" s="139"/>
      <c r="AT69" s="139"/>
      <c r="AU69" s="139"/>
    </row>
    <row r="70" spans="1:47" ht="15" customHeight="1" x14ac:dyDescent="0.4">
      <c r="B70" s="3"/>
      <c r="C70" s="36"/>
      <c r="D70" s="36"/>
      <c r="E70" s="155"/>
      <c r="F70" s="155" t="s">
        <v>396</v>
      </c>
      <c r="G70" s="7"/>
      <c r="H70" s="20"/>
      <c r="I70" s="3" t="s">
        <v>392</v>
      </c>
      <c r="L70" s="3" t="s">
        <v>348</v>
      </c>
      <c r="M70" s="5">
        <f>M69-1.125*2</f>
        <v>3.9379999999999997</v>
      </c>
      <c r="N70" s="5" t="s">
        <v>348</v>
      </c>
      <c r="O70" s="5">
        <f>0.125*2</f>
        <v>0.25</v>
      </c>
      <c r="P70" s="24"/>
      <c r="Q70" s="24"/>
      <c r="R70" s="3" t="s">
        <v>352</v>
      </c>
      <c r="S70" s="5">
        <f>SLEQwidth+M70+O70</f>
        <v>75.688000000000002</v>
      </c>
      <c r="T70" s="3" t="s">
        <v>366</v>
      </c>
      <c r="U70" s="20"/>
      <c r="V70" s="38" t="s">
        <v>369</v>
      </c>
      <c r="W70" s="3" t="s">
        <v>370</v>
      </c>
      <c r="X70" s="38" t="s">
        <v>369</v>
      </c>
      <c r="Y70" s="41">
        <v>200175003</v>
      </c>
      <c r="Z70" s="41"/>
      <c r="AA70" s="20"/>
      <c r="AE70" s="3"/>
      <c r="AF70" s="38"/>
      <c r="AH70" s="39">
        <f>1*AG69</f>
        <v>0</v>
      </c>
      <c r="AI70" s="39"/>
      <c r="AJ70" s="39"/>
      <c r="AK70" s="39"/>
      <c r="AL70" s="39">
        <f>AH70*AD69</f>
        <v>0</v>
      </c>
      <c r="AQ70" s="139"/>
      <c r="AR70" s="139"/>
      <c r="AS70" s="139"/>
      <c r="AT70" s="139"/>
      <c r="AU70" s="139"/>
    </row>
    <row r="71" spans="1:47" ht="15" customHeight="1" x14ac:dyDescent="0.4">
      <c r="B71" s="3"/>
      <c r="C71" s="36"/>
      <c r="D71" s="36"/>
      <c r="E71" s="155"/>
      <c r="F71" s="155" t="s">
        <v>380</v>
      </c>
      <c r="G71" s="7"/>
      <c r="H71" s="20"/>
      <c r="I71" s="3" t="s">
        <v>392</v>
      </c>
      <c r="L71" s="3" t="s">
        <v>348</v>
      </c>
      <c r="M71" s="5">
        <f>M70</f>
        <v>3.9379999999999997</v>
      </c>
      <c r="N71" s="5" t="s">
        <v>348</v>
      </c>
      <c r="O71" s="5">
        <v>0</v>
      </c>
      <c r="P71" s="24"/>
      <c r="Q71" s="24"/>
      <c r="R71" s="3" t="s">
        <v>352</v>
      </c>
      <c r="S71" s="5">
        <f>SLEQwidth+M71+O71</f>
        <v>75.438000000000002</v>
      </c>
      <c r="T71" s="3" t="s">
        <v>366</v>
      </c>
      <c r="U71" s="20"/>
      <c r="V71" s="38" t="s">
        <v>369</v>
      </c>
      <c r="W71" s="3" t="s">
        <v>372</v>
      </c>
      <c r="X71" s="38" t="s">
        <v>369</v>
      </c>
      <c r="Y71" s="41">
        <v>200175021</v>
      </c>
      <c r="Z71" s="41"/>
      <c r="AA71" s="20"/>
      <c r="AE71" s="3"/>
      <c r="AF71" s="3"/>
      <c r="AH71" s="39">
        <f>1*AG69</f>
        <v>0</v>
      </c>
      <c r="AI71" s="39"/>
      <c r="AJ71" s="39"/>
      <c r="AK71" s="39"/>
      <c r="AL71" s="39">
        <f>AH71*AD69</f>
        <v>0</v>
      </c>
      <c r="AQ71" s="139"/>
      <c r="AR71" s="139"/>
      <c r="AS71" s="139"/>
      <c r="AT71" s="139"/>
      <c r="AU71" s="139"/>
    </row>
    <row r="72" spans="1:47" ht="15" customHeight="1" x14ac:dyDescent="0.4">
      <c r="B72" s="3"/>
      <c r="C72" s="36"/>
      <c r="D72" s="36"/>
      <c r="E72" s="155"/>
      <c r="F72" s="155"/>
      <c r="G72" s="7"/>
      <c r="H72" s="20"/>
      <c r="P72" s="24"/>
      <c r="Q72" s="24"/>
      <c r="U72" s="20"/>
      <c r="V72" s="38" t="s">
        <v>369</v>
      </c>
      <c r="W72" s="3" t="s">
        <v>373</v>
      </c>
      <c r="X72" s="38" t="s">
        <v>369</v>
      </c>
      <c r="Y72" s="41">
        <v>200175033</v>
      </c>
      <c r="Z72" s="41"/>
      <c r="AA72" s="20"/>
      <c r="AE72" s="3"/>
      <c r="AF72" s="3"/>
      <c r="AH72" s="39">
        <f>1*AG69</f>
        <v>0</v>
      </c>
      <c r="AI72" s="39"/>
      <c r="AJ72" s="39"/>
      <c r="AK72" s="39"/>
      <c r="AL72" s="39">
        <f>AH72*AD69</f>
        <v>0</v>
      </c>
      <c r="AQ72" s="139"/>
      <c r="AR72" s="139"/>
      <c r="AS72" s="139"/>
      <c r="AT72" s="139"/>
      <c r="AU72" s="139"/>
    </row>
    <row r="73" spans="1:47" ht="15" customHeight="1" x14ac:dyDescent="0.4">
      <c r="B73" s="3"/>
      <c r="C73" s="36"/>
      <c r="D73" s="36"/>
      <c r="E73" s="155"/>
      <c r="F73" s="155"/>
      <c r="G73" s="7"/>
      <c r="H73" s="20"/>
      <c r="P73" s="24"/>
      <c r="Q73" s="24"/>
      <c r="U73" s="20"/>
      <c r="V73" s="3" t="s">
        <v>2363</v>
      </c>
      <c r="W73" s="3" t="s">
        <v>370</v>
      </c>
      <c r="X73" s="38" t="s">
        <v>369</v>
      </c>
      <c r="Y73" s="41">
        <v>200175127</v>
      </c>
      <c r="Z73" s="41"/>
      <c r="AA73" s="20"/>
      <c r="AE73" s="3"/>
      <c r="AF73" s="3"/>
      <c r="AH73" s="1036">
        <f>1*AG70</f>
        <v>0</v>
      </c>
      <c r="AI73" s="39"/>
      <c r="AJ73" s="39"/>
      <c r="AK73" s="39"/>
      <c r="AL73" s="39">
        <f>AH73*AD70</f>
        <v>0</v>
      </c>
      <c r="AQ73" s="139"/>
      <c r="AR73" s="139"/>
      <c r="AS73" s="139"/>
      <c r="AT73" s="139"/>
      <c r="AU73" s="139"/>
    </row>
    <row r="74" spans="1:47" ht="15" customHeight="1" x14ac:dyDescent="0.4">
      <c r="B74" s="3"/>
      <c r="C74" s="36"/>
      <c r="D74" s="36"/>
      <c r="E74" s="155"/>
      <c r="F74" s="155"/>
      <c r="G74" s="7"/>
      <c r="H74" s="20"/>
      <c r="P74" s="24"/>
      <c r="Q74" s="24"/>
      <c r="U74" s="20"/>
      <c r="V74" s="38" t="s">
        <v>2365</v>
      </c>
      <c r="W74" s="3" t="s">
        <v>370</v>
      </c>
      <c r="X74" s="38" t="s">
        <v>369</v>
      </c>
      <c r="Y74" s="41">
        <v>200175180</v>
      </c>
      <c r="Z74" s="41"/>
      <c r="AA74" s="20"/>
      <c r="AE74" s="3"/>
      <c r="AF74" s="3"/>
      <c r="AH74" s="39"/>
      <c r="AI74" s="39"/>
      <c r="AJ74" s="39"/>
      <c r="AK74" s="39"/>
      <c r="AQ74" s="139"/>
      <c r="AR74" s="139"/>
      <c r="AS74" s="139"/>
      <c r="AT74" s="139"/>
      <c r="AU74" s="139"/>
    </row>
    <row r="75" spans="1:47" ht="15" customHeight="1" x14ac:dyDescent="0.4">
      <c r="B75" s="3"/>
      <c r="C75" s="36"/>
      <c r="D75" s="36"/>
      <c r="E75" s="623"/>
      <c r="F75" s="623"/>
      <c r="G75" s="221"/>
      <c r="H75" s="624"/>
      <c r="I75" s="577"/>
      <c r="J75" s="577"/>
      <c r="K75" s="577"/>
      <c r="L75" s="577"/>
      <c r="M75" s="575"/>
      <c r="N75" s="575"/>
      <c r="O75" s="575"/>
      <c r="P75" s="625"/>
      <c r="Q75" s="625"/>
      <c r="R75" s="577"/>
      <c r="S75" s="575"/>
      <c r="T75" s="577"/>
      <c r="U75" s="624"/>
      <c r="V75" s="1873" t="s">
        <v>2367</v>
      </c>
      <c r="W75" s="1873" t="s">
        <v>370</v>
      </c>
      <c r="X75" s="1874" t="s">
        <v>369</v>
      </c>
      <c r="Y75" s="1901">
        <v>200175152</v>
      </c>
      <c r="Z75" s="864"/>
      <c r="AA75" s="624"/>
      <c r="AB75" s="577"/>
      <c r="AC75" s="577"/>
      <c r="AD75" s="575"/>
      <c r="AE75" s="577"/>
      <c r="AF75" s="577"/>
      <c r="AG75" s="575"/>
      <c r="AH75" s="581">
        <v>0</v>
      </c>
      <c r="AI75" s="581"/>
      <c r="AJ75" s="581"/>
      <c r="AK75" s="581"/>
      <c r="AL75" s="581">
        <f t="shared" ref="AL75" si="2">AH75*AD72</f>
        <v>0</v>
      </c>
      <c r="AQ75" s="139"/>
      <c r="AR75" s="139"/>
      <c r="AS75" s="139"/>
      <c r="AT75" s="139"/>
      <c r="AU75" s="139"/>
    </row>
    <row r="76" spans="1:47" ht="15" customHeight="1" thickBot="1" x14ac:dyDescent="0.45">
      <c r="B76" s="3"/>
      <c r="C76" s="36"/>
      <c r="D76" s="36" t="s">
        <v>381</v>
      </c>
      <c r="E76" s="155"/>
      <c r="F76" s="155"/>
      <c r="G76" s="7"/>
      <c r="H76" s="20"/>
      <c r="I76" s="3" t="s">
        <v>392</v>
      </c>
      <c r="L76" s="3" t="s">
        <v>348</v>
      </c>
      <c r="M76" s="5">
        <f>M69</f>
        <v>6.1879999999999997</v>
      </c>
      <c r="N76" s="5" t="s">
        <v>348</v>
      </c>
      <c r="O76" s="5">
        <f>O69</f>
        <v>0.25</v>
      </c>
      <c r="P76" s="24"/>
      <c r="Q76" s="24"/>
      <c r="R76" s="3" t="s">
        <v>352</v>
      </c>
      <c r="S76" s="5">
        <f>SLEQwidth+M76+O76</f>
        <v>77.938000000000002</v>
      </c>
      <c r="T76" s="3" t="s">
        <v>366</v>
      </c>
      <c r="U76" s="20"/>
      <c r="V76" s="38"/>
      <c r="X76" s="38"/>
      <c r="Y76" s="1443">
        <v>610025061</v>
      </c>
      <c r="Z76" s="41">
        <v>251882</v>
      </c>
      <c r="AA76" s="20"/>
      <c r="AC76" s="3">
        <v>2</v>
      </c>
      <c r="AD76" s="5">
        <f>AC76*S76/12</f>
        <v>12.989666666666666</v>
      </c>
      <c r="AE76" s="3" t="s">
        <v>367</v>
      </c>
      <c r="AF76" s="3"/>
      <c r="AH76" s="39"/>
      <c r="AI76" s="39"/>
      <c r="AJ76" s="39"/>
      <c r="AK76" s="39"/>
      <c r="AM76" s="39"/>
      <c r="AN76" s="39"/>
      <c r="AO76" s="39"/>
      <c r="AP76" s="39"/>
      <c r="AQ76" s="39"/>
      <c r="AR76" s="139"/>
      <c r="AS76" s="139"/>
      <c r="AT76" s="139"/>
      <c r="AU76" s="139"/>
    </row>
    <row r="77" spans="1:47" ht="15" customHeight="1" x14ac:dyDescent="0.4">
      <c r="B77" s="3"/>
      <c r="C77" s="173" t="s">
        <v>397</v>
      </c>
      <c r="D77" s="181"/>
      <c r="E77" s="182"/>
      <c r="F77" s="182"/>
      <c r="G77" s="430" t="s">
        <v>383</v>
      </c>
      <c r="H77" s="175"/>
      <c r="I77" s="116" t="s">
        <v>392</v>
      </c>
      <c r="J77" s="116"/>
      <c r="K77" s="116"/>
      <c r="L77" s="116" t="s">
        <v>348</v>
      </c>
      <c r="M77" s="177">
        <v>3</v>
      </c>
      <c r="N77" s="177" t="s">
        <v>348</v>
      </c>
      <c r="O77" s="177">
        <f>0.25</f>
        <v>0.25</v>
      </c>
      <c r="P77" s="178"/>
      <c r="Q77" s="178"/>
      <c r="R77" s="116" t="s">
        <v>352</v>
      </c>
      <c r="S77" s="177">
        <f>SLEQwidth+M77+O77</f>
        <v>74.75</v>
      </c>
      <c r="T77" s="116" t="s">
        <v>366</v>
      </c>
      <c r="U77" s="175"/>
      <c r="V77" s="179"/>
      <c r="W77" s="116"/>
      <c r="X77" s="179"/>
      <c r="Y77" s="184"/>
      <c r="Z77" s="184"/>
      <c r="AA77" s="175"/>
      <c r="AB77" s="116">
        <v>42</v>
      </c>
      <c r="AC77" s="116">
        <v>1</v>
      </c>
      <c r="AD77" s="177">
        <f>AC77*S77/12</f>
        <v>6.229166666666667</v>
      </c>
      <c r="AE77" s="116" t="s">
        <v>367</v>
      </c>
      <c r="AF77" s="116">
        <v>0</v>
      </c>
      <c r="AG77" s="177">
        <f>AF77*AtolbperftEQ</f>
        <v>0</v>
      </c>
      <c r="AH77" s="185"/>
      <c r="AI77" s="185"/>
      <c r="AJ77" s="185"/>
      <c r="AK77" s="185"/>
      <c r="AL77" s="180"/>
      <c r="AQ77" s="139"/>
      <c r="AR77" s="139"/>
      <c r="AS77" s="139"/>
      <c r="AT77" s="139"/>
      <c r="AU77" s="139"/>
    </row>
    <row r="78" spans="1:47" ht="15" customHeight="1" x14ac:dyDescent="0.4">
      <c r="B78" s="36"/>
      <c r="C78" s="155"/>
      <c r="D78" s="155"/>
      <c r="E78" s="155"/>
      <c r="F78" s="155"/>
      <c r="G78" s="7"/>
      <c r="H78" s="20"/>
      <c r="P78" s="24"/>
      <c r="Q78" s="24"/>
      <c r="U78" s="20"/>
      <c r="V78" s="38" t="s">
        <v>369</v>
      </c>
      <c r="W78" s="3" t="s">
        <v>370</v>
      </c>
      <c r="X78" s="38" t="s">
        <v>369</v>
      </c>
      <c r="Y78" s="41">
        <v>200169003</v>
      </c>
      <c r="Z78" s="41"/>
      <c r="AA78" s="20"/>
      <c r="AE78" s="3"/>
      <c r="AF78" s="38"/>
      <c r="AH78" s="39">
        <f>1*AG77</f>
        <v>0</v>
      </c>
      <c r="AI78" s="39"/>
      <c r="AJ78" s="39"/>
      <c r="AK78" s="39"/>
      <c r="AL78" s="39">
        <f>AH78*AD77</f>
        <v>0</v>
      </c>
      <c r="AQ78" s="139"/>
      <c r="AR78" s="139"/>
      <c r="AS78" s="139"/>
      <c r="AT78" s="139"/>
      <c r="AU78" s="139"/>
    </row>
    <row r="79" spans="1:47" ht="15" customHeight="1" x14ac:dyDescent="0.4">
      <c r="B79" s="36"/>
      <c r="C79" s="155"/>
      <c r="D79" s="155"/>
      <c r="E79" s="155"/>
      <c r="F79" s="155"/>
      <c r="G79" s="7"/>
      <c r="H79" s="20"/>
      <c r="P79" s="24"/>
      <c r="Q79" s="24"/>
      <c r="U79" s="20"/>
      <c r="V79" s="38" t="s">
        <v>369</v>
      </c>
      <c r="W79" s="3" t="s">
        <v>372</v>
      </c>
      <c r="X79" s="38" t="s">
        <v>369</v>
      </c>
      <c r="Y79" s="41">
        <v>200169021</v>
      </c>
      <c r="Z79" s="41"/>
      <c r="AA79" s="20"/>
      <c r="AE79" s="3"/>
      <c r="AF79" s="3"/>
      <c r="AH79" s="39">
        <f>1*AG77</f>
        <v>0</v>
      </c>
      <c r="AI79" s="39"/>
      <c r="AJ79" s="39"/>
      <c r="AK79" s="39"/>
      <c r="AL79" s="39">
        <f>AH79*AD77</f>
        <v>0</v>
      </c>
      <c r="AQ79" s="139"/>
      <c r="AR79" s="139"/>
      <c r="AS79" s="139"/>
      <c r="AT79" s="139"/>
      <c r="AU79" s="139"/>
    </row>
    <row r="80" spans="1:47" ht="15" customHeight="1" x14ac:dyDescent="0.4">
      <c r="B80" s="36"/>
      <c r="C80" s="155"/>
      <c r="D80" s="155"/>
      <c r="E80" s="155"/>
      <c r="F80" s="155"/>
      <c r="G80" s="7"/>
      <c r="H80" s="20"/>
      <c r="P80" s="24"/>
      <c r="Q80" s="24"/>
      <c r="U80" s="20"/>
      <c r="V80" s="38" t="s">
        <v>369</v>
      </c>
      <c r="W80" s="3" t="s">
        <v>373</v>
      </c>
      <c r="X80" s="38" t="s">
        <v>369</v>
      </c>
      <c r="Y80" s="41">
        <v>200169033</v>
      </c>
      <c r="Z80" s="41"/>
      <c r="AA80" s="20"/>
      <c r="AE80" s="3"/>
      <c r="AF80" s="3"/>
      <c r="AH80" s="1036">
        <f>1*AG78</f>
        <v>0</v>
      </c>
      <c r="AI80" s="39"/>
      <c r="AJ80" s="39"/>
      <c r="AK80" s="39"/>
      <c r="AL80" s="39">
        <f>AH80*AD78</f>
        <v>0</v>
      </c>
      <c r="AQ80" s="139"/>
      <c r="AR80" s="139"/>
      <c r="AS80" s="139"/>
      <c r="AT80" s="139"/>
      <c r="AU80" s="139"/>
    </row>
    <row r="81" spans="1:47" ht="15" customHeight="1" x14ac:dyDescent="0.4">
      <c r="B81" s="36"/>
      <c r="C81" s="155"/>
      <c r="D81" s="155"/>
      <c r="E81" s="155"/>
      <c r="F81" s="155"/>
      <c r="G81" s="7"/>
      <c r="H81" s="20"/>
      <c r="P81" s="24"/>
      <c r="Q81" s="24"/>
      <c r="U81" s="20"/>
      <c r="V81" s="38" t="s">
        <v>369</v>
      </c>
      <c r="W81" s="3" t="s">
        <v>374</v>
      </c>
      <c r="X81" s="38" t="s">
        <v>369</v>
      </c>
      <c r="Y81" s="41">
        <v>200169090</v>
      </c>
      <c r="Z81" s="41"/>
      <c r="AA81" s="20"/>
      <c r="AE81" s="3"/>
      <c r="AF81" s="3"/>
      <c r="AH81" s="1036"/>
      <c r="AI81" s="39"/>
      <c r="AJ81" s="39"/>
      <c r="AK81" s="39"/>
      <c r="AQ81" s="139"/>
      <c r="AR81" s="139"/>
      <c r="AS81" s="139"/>
      <c r="AT81" s="139"/>
      <c r="AU81" s="139"/>
    </row>
    <row r="82" spans="1:47" ht="15" customHeight="1" x14ac:dyDescent="0.4">
      <c r="B82" s="36"/>
      <c r="C82" s="155"/>
      <c r="D82" s="155"/>
      <c r="E82" s="155"/>
      <c r="F82" s="155"/>
      <c r="G82" s="7"/>
      <c r="H82" s="20"/>
      <c r="P82" s="24"/>
      <c r="Q82" s="24"/>
      <c r="U82" s="20"/>
      <c r="V82" s="38" t="s">
        <v>369</v>
      </c>
      <c r="W82" s="3" t="s">
        <v>375</v>
      </c>
      <c r="X82" s="38" t="s">
        <v>369</v>
      </c>
      <c r="Y82" s="41">
        <v>200169133</v>
      </c>
      <c r="Z82" s="41"/>
      <c r="AA82" s="20"/>
      <c r="AE82" s="3"/>
      <c r="AF82" s="3"/>
      <c r="AH82" s="39">
        <f>1*AG77</f>
        <v>0</v>
      </c>
      <c r="AI82" s="39"/>
      <c r="AJ82" s="39"/>
      <c r="AK82" s="39"/>
      <c r="AL82" s="39">
        <f>AH82*AD77</f>
        <v>0</v>
      </c>
      <c r="AQ82" s="139"/>
      <c r="AR82" s="139"/>
      <c r="AS82" s="139"/>
      <c r="AT82" s="139"/>
      <c r="AU82" s="139"/>
    </row>
    <row r="83" spans="1:47" ht="15" customHeight="1" thickBot="1" x14ac:dyDescent="0.45">
      <c r="B83" s="36"/>
      <c r="C83" s="155"/>
      <c r="D83" s="155"/>
      <c r="E83" s="155"/>
      <c r="F83" s="155"/>
      <c r="G83" s="7"/>
      <c r="H83" s="20"/>
      <c r="P83" s="24"/>
      <c r="Q83" s="24"/>
      <c r="U83" s="20"/>
      <c r="V83" s="279" t="s">
        <v>369</v>
      </c>
      <c r="W83" s="112" t="s">
        <v>1849</v>
      </c>
      <c r="X83" s="279" t="s">
        <v>369</v>
      </c>
      <c r="Y83" s="1900">
        <v>200169148</v>
      </c>
      <c r="Z83" s="41"/>
      <c r="AA83" s="20"/>
      <c r="AE83" s="3"/>
      <c r="AF83" s="3"/>
      <c r="AH83" s="39">
        <v>0</v>
      </c>
      <c r="AI83" s="39"/>
      <c r="AJ83" s="39"/>
      <c r="AK83" s="39"/>
      <c r="AL83" s="39">
        <f>AH83*AD78</f>
        <v>0</v>
      </c>
      <c r="AM83" s="889"/>
      <c r="AN83" s="889"/>
      <c r="AO83" s="889"/>
      <c r="AP83" s="889"/>
      <c r="AQ83" s="1163"/>
      <c r="AR83" s="139"/>
      <c r="AS83" s="139"/>
      <c r="AT83" s="139"/>
      <c r="AU83" s="139"/>
    </row>
    <row r="84" spans="1:47" ht="15" customHeight="1" x14ac:dyDescent="0.4">
      <c r="B84" s="3"/>
      <c r="C84" s="173" t="s">
        <v>398</v>
      </c>
      <c r="D84" s="181"/>
      <c r="E84" s="182"/>
      <c r="F84" s="182"/>
      <c r="G84" s="173"/>
      <c r="H84" s="175"/>
      <c r="I84" s="116" t="s">
        <v>392</v>
      </c>
      <c r="J84" s="116"/>
      <c r="K84" s="116"/>
      <c r="L84" s="116" t="s">
        <v>348</v>
      </c>
      <c r="M84" s="177">
        <v>0.438</v>
      </c>
      <c r="N84" s="177"/>
      <c r="O84" s="177"/>
      <c r="P84" s="178"/>
      <c r="Q84" s="178"/>
      <c r="R84" s="116" t="s">
        <v>352</v>
      </c>
      <c r="S84" s="177">
        <f>SLEQwidth+M84+O84</f>
        <v>71.938000000000002</v>
      </c>
      <c r="T84" s="116" t="s">
        <v>366</v>
      </c>
      <c r="U84" s="175"/>
      <c r="V84" s="179"/>
      <c r="W84" s="116"/>
      <c r="X84" s="179"/>
      <c r="Y84" s="184"/>
      <c r="Z84" s="184"/>
      <c r="AA84" s="175"/>
      <c r="AB84" s="116">
        <v>42</v>
      </c>
      <c r="AC84" s="116">
        <v>1</v>
      </c>
      <c r="AD84" s="177">
        <f>AC84*S84/12</f>
        <v>5.9948333333333332</v>
      </c>
      <c r="AE84" s="116" t="s">
        <v>367</v>
      </c>
      <c r="AF84" s="116">
        <v>0</v>
      </c>
      <c r="AG84" s="177">
        <f>AF84*AtolbperftEQ</f>
        <v>0</v>
      </c>
      <c r="AH84" s="185"/>
      <c r="AI84" s="185"/>
      <c r="AJ84" s="185"/>
      <c r="AK84" s="185"/>
      <c r="AL84" s="180"/>
      <c r="AQ84" s="139"/>
      <c r="AR84" s="139"/>
      <c r="AS84" s="139"/>
      <c r="AT84" s="139"/>
    </row>
    <row r="85" spans="1:47" ht="15" customHeight="1" x14ac:dyDescent="0.4">
      <c r="B85" s="36"/>
      <c r="C85" s="36"/>
      <c r="D85" s="155"/>
      <c r="E85" s="155"/>
      <c r="F85" s="155"/>
      <c r="G85" s="7"/>
      <c r="H85" s="20"/>
      <c r="P85" s="24"/>
      <c r="Q85" s="24"/>
      <c r="U85" s="20"/>
      <c r="V85" s="38" t="s">
        <v>369</v>
      </c>
      <c r="W85" s="3" t="s">
        <v>370</v>
      </c>
      <c r="X85" s="38" t="s">
        <v>369</v>
      </c>
      <c r="Y85" s="1443">
        <v>200178003</v>
      </c>
      <c r="Z85" s="41"/>
      <c r="AA85" s="20"/>
      <c r="AE85" s="3"/>
      <c r="AF85" s="38"/>
      <c r="AH85" s="39">
        <v>0</v>
      </c>
      <c r="AI85" s="39"/>
      <c r="AJ85" s="39"/>
      <c r="AK85" s="39"/>
      <c r="AL85" s="39">
        <f>AH85*AD84</f>
        <v>0</v>
      </c>
      <c r="AQ85" s="139"/>
      <c r="AR85" s="139"/>
      <c r="AS85" s="139"/>
      <c r="AT85" s="139"/>
    </row>
    <row r="86" spans="1:47" ht="15" customHeight="1" x14ac:dyDescent="0.4">
      <c r="B86" s="36"/>
      <c r="C86" s="36"/>
      <c r="D86" s="155"/>
      <c r="E86" s="155"/>
      <c r="F86" s="155"/>
      <c r="G86" s="7"/>
      <c r="H86" s="20"/>
      <c r="P86" s="24"/>
      <c r="Q86" s="24"/>
      <c r="U86" s="20"/>
      <c r="V86" s="38" t="s">
        <v>369</v>
      </c>
      <c r="W86" s="3" t="s">
        <v>372</v>
      </c>
      <c r="X86" s="38" t="s">
        <v>369</v>
      </c>
      <c r="Y86" s="1443">
        <v>200178021</v>
      </c>
      <c r="Z86" s="41"/>
      <c r="AA86" s="20"/>
      <c r="AE86" s="3"/>
      <c r="AF86" s="3"/>
      <c r="AH86" s="39">
        <v>0</v>
      </c>
      <c r="AI86" s="39"/>
      <c r="AJ86" s="39"/>
      <c r="AK86" s="39"/>
      <c r="AL86" s="39">
        <f>AH86*AD84</f>
        <v>0</v>
      </c>
      <c r="AQ86" s="139"/>
      <c r="AR86" s="139"/>
      <c r="AS86" s="139"/>
      <c r="AT86" s="139"/>
    </row>
    <row r="87" spans="1:47" ht="15" customHeight="1" x14ac:dyDescent="0.4">
      <c r="B87" s="36"/>
      <c r="C87" s="36"/>
      <c r="D87" s="155"/>
      <c r="E87" s="155"/>
      <c r="F87" s="155"/>
      <c r="G87" s="7"/>
      <c r="H87" s="20"/>
      <c r="P87" s="24"/>
      <c r="Q87" s="24"/>
      <c r="U87" s="20"/>
      <c r="V87" s="38" t="s">
        <v>369</v>
      </c>
      <c r="W87" s="3" t="s">
        <v>373</v>
      </c>
      <c r="X87" s="38" t="s">
        <v>369</v>
      </c>
      <c r="Y87" s="1443">
        <v>200178033</v>
      </c>
      <c r="Z87" s="41"/>
      <c r="AA87" s="20"/>
      <c r="AE87" s="3"/>
      <c r="AF87" s="3"/>
      <c r="AH87" s="39">
        <v>0</v>
      </c>
      <c r="AI87" s="39"/>
      <c r="AJ87" s="39"/>
      <c r="AK87" s="39"/>
      <c r="AL87" s="39">
        <f>AH87*AD84</f>
        <v>0</v>
      </c>
      <c r="AQ87" s="139"/>
      <c r="AR87" s="139"/>
      <c r="AS87" s="139"/>
      <c r="AT87" s="139"/>
    </row>
    <row r="88" spans="1:47" ht="15" customHeight="1" x14ac:dyDescent="0.4">
      <c r="B88" s="36"/>
      <c r="C88" s="36"/>
      <c r="D88" s="155"/>
      <c r="E88" s="155"/>
      <c r="F88" s="155"/>
      <c r="G88" s="7"/>
      <c r="H88" s="20"/>
      <c r="P88" s="24"/>
      <c r="Q88" s="24"/>
      <c r="U88" s="20"/>
      <c r="V88" s="38" t="s">
        <v>369</v>
      </c>
      <c r="W88" s="3" t="s">
        <v>374</v>
      </c>
      <c r="X88" s="38" t="s">
        <v>369</v>
      </c>
      <c r="Y88" s="1443">
        <v>200178090</v>
      </c>
      <c r="Z88" s="41"/>
      <c r="AA88" s="20"/>
      <c r="AE88" s="3"/>
      <c r="AF88" s="3"/>
      <c r="AH88" s="1036">
        <v>0</v>
      </c>
      <c r="AI88" s="39"/>
      <c r="AJ88" s="39"/>
      <c r="AK88" s="39"/>
      <c r="AL88" s="39">
        <f>AH88*AD85</f>
        <v>0</v>
      </c>
      <c r="AQ88" s="139"/>
      <c r="AR88" s="139"/>
      <c r="AS88" s="139"/>
      <c r="AT88" s="139"/>
    </row>
    <row r="89" spans="1:47" ht="15" customHeight="1" x14ac:dyDescent="0.4">
      <c r="B89" s="36"/>
      <c r="C89" s="36"/>
      <c r="D89" s="155"/>
      <c r="E89" s="155"/>
      <c r="F89" s="155"/>
      <c r="G89" s="7"/>
      <c r="H89" s="20"/>
      <c r="P89" s="24"/>
      <c r="Q89" s="24"/>
      <c r="U89" s="20"/>
      <c r="V89" s="38" t="s">
        <v>369</v>
      </c>
      <c r="W89" s="3" t="s">
        <v>375</v>
      </c>
      <c r="X89" s="38" t="s">
        <v>369</v>
      </c>
      <c r="Y89" s="1443">
        <v>200178133</v>
      </c>
      <c r="Z89" s="41"/>
      <c r="AA89" s="20"/>
      <c r="AE89" s="3"/>
      <c r="AF89" s="3"/>
      <c r="AH89" s="39"/>
      <c r="AI89" s="39"/>
      <c r="AJ89" s="39"/>
      <c r="AK89" s="39"/>
      <c r="AQ89" s="139"/>
      <c r="AR89" s="139"/>
      <c r="AS89" s="139"/>
      <c r="AT89" s="139"/>
    </row>
    <row r="90" spans="1:47" ht="15" customHeight="1" thickBot="1" x14ac:dyDescent="0.45">
      <c r="B90" s="943"/>
      <c r="C90" s="155"/>
      <c r="D90" s="155"/>
      <c r="E90" s="155"/>
      <c r="F90" s="155"/>
      <c r="G90" s="7"/>
      <c r="H90" s="20"/>
      <c r="P90" s="24"/>
      <c r="Q90" s="24"/>
      <c r="U90" s="20"/>
      <c r="V90" s="279" t="s">
        <v>369</v>
      </c>
      <c r="W90" s="112" t="s">
        <v>1849</v>
      </c>
      <c r="X90" s="279" t="s">
        <v>369</v>
      </c>
      <c r="Y90" s="1871">
        <v>200178148</v>
      </c>
      <c r="Z90" s="41"/>
      <c r="AA90" s="20"/>
      <c r="AE90" s="3"/>
      <c r="AF90" s="3"/>
      <c r="AH90" s="39"/>
      <c r="AI90" s="39"/>
      <c r="AJ90" s="39"/>
      <c r="AK90" s="39"/>
      <c r="AQ90" s="139"/>
      <c r="AR90" s="139"/>
      <c r="AS90" s="139"/>
      <c r="AT90" s="139"/>
      <c r="AU90" s="139"/>
    </row>
    <row r="91" spans="1:47" ht="15" customHeight="1" thickBot="1" x14ac:dyDescent="0.45">
      <c r="B91" s="7" t="s">
        <v>401</v>
      </c>
      <c r="C91" s="173"/>
      <c r="D91" s="116"/>
      <c r="E91" s="116"/>
      <c r="F91" s="174"/>
      <c r="G91" s="173"/>
      <c r="H91" s="175"/>
      <c r="I91" s="116"/>
      <c r="J91" s="116"/>
      <c r="K91" s="116"/>
      <c r="L91" s="116"/>
      <c r="M91" s="116"/>
      <c r="N91" s="177"/>
      <c r="O91" s="177"/>
      <c r="P91" s="177"/>
      <c r="Q91" s="177"/>
      <c r="R91" s="116"/>
      <c r="S91" s="177"/>
      <c r="T91" s="116"/>
      <c r="U91" s="175"/>
      <c r="V91" s="173"/>
      <c r="W91" s="173"/>
      <c r="X91" s="173"/>
      <c r="Y91" s="116"/>
      <c r="Z91" s="116"/>
      <c r="AA91" s="175"/>
      <c r="AB91" s="116"/>
      <c r="AC91" s="116"/>
      <c r="AD91" s="177"/>
      <c r="AE91" s="116"/>
      <c r="AF91" s="179"/>
      <c r="AG91" s="177"/>
      <c r="AH91" s="185"/>
      <c r="AI91" s="475"/>
      <c r="AJ91" s="475"/>
      <c r="AK91" s="475"/>
      <c r="AL91" s="180"/>
      <c r="AM91" s="137"/>
      <c r="AN91" s="137"/>
      <c r="AO91" s="137"/>
      <c r="AP91" s="137"/>
      <c r="AQ91" s="137"/>
      <c r="AR91" s="139"/>
      <c r="AS91" s="139"/>
      <c r="AT91" s="139"/>
      <c r="AU91" s="139"/>
    </row>
    <row r="92" spans="1:47" ht="15" customHeight="1" x14ac:dyDescent="0.4">
      <c r="A92" s="3" t="s">
        <v>402</v>
      </c>
      <c r="B92" s="173"/>
      <c r="C92" s="173" t="s">
        <v>403</v>
      </c>
      <c r="D92" s="182"/>
      <c r="E92" s="182" t="s">
        <v>1222</v>
      </c>
      <c r="F92" s="173"/>
      <c r="G92" s="173"/>
      <c r="H92" s="175"/>
      <c r="I92" s="116" t="s">
        <v>392</v>
      </c>
      <c r="J92" s="116"/>
      <c r="K92" s="116"/>
      <c r="L92" s="116" t="s">
        <v>348</v>
      </c>
      <c r="M92" s="177">
        <f>1.375*2</f>
        <v>2.75</v>
      </c>
      <c r="N92" s="177" t="s">
        <v>348</v>
      </c>
      <c r="O92" s="177">
        <f>0.25</f>
        <v>0.25</v>
      </c>
      <c r="P92" s="177"/>
      <c r="Q92" s="177"/>
      <c r="R92" s="116" t="s">
        <v>352</v>
      </c>
      <c r="S92" s="177">
        <f>SLEQwidth+M92+O92</f>
        <v>74.5</v>
      </c>
      <c r="T92" s="116" t="s">
        <v>366</v>
      </c>
      <c r="U92" s="175"/>
      <c r="V92" s="179"/>
      <c r="W92" s="116"/>
      <c r="X92" s="179"/>
      <c r="Y92" s="116"/>
      <c r="Z92" s="116"/>
      <c r="AA92" s="175"/>
      <c r="AB92" s="116">
        <v>42</v>
      </c>
      <c r="AC92" s="116">
        <v>1</v>
      </c>
      <c r="AD92" s="177">
        <f>AC92*S92/12</f>
        <v>6.208333333333333</v>
      </c>
      <c r="AE92" s="116" t="s">
        <v>367</v>
      </c>
      <c r="AF92" s="179">
        <v>0.88200000000000001</v>
      </c>
      <c r="AG92" s="177">
        <f>AF92*AtolbperftEQ</f>
        <v>0.55786499999999994</v>
      </c>
      <c r="AH92" s="185"/>
      <c r="AI92" s="39"/>
      <c r="AJ92" s="39"/>
      <c r="AK92" s="39"/>
      <c r="AL92" s="180"/>
      <c r="AQ92" s="139"/>
      <c r="AR92" s="139"/>
      <c r="AS92" s="139"/>
      <c r="AT92" s="139"/>
      <c r="AU92" s="139"/>
    </row>
    <row r="93" spans="1:47" ht="15" customHeight="1" x14ac:dyDescent="0.4">
      <c r="C93" s="36"/>
      <c r="D93" s="7"/>
      <c r="E93" s="47" t="s">
        <v>393</v>
      </c>
      <c r="F93" s="3"/>
      <c r="G93" s="7"/>
      <c r="H93" s="20"/>
      <c r="I93" s="3" t="s">
        <v>392</v>
      </c>
      <c r="L93" s="3" t="s">
        <v>348</v>
      </c>
      <c r="M93" s="5">
        <v>0</v>
      </c>
      <c r="N93" s="5" t="s">
        <v>348</v>
      </c>
      <c r="O93" s="5">
        <v>0.25</v>
      </c>
      <c r="R93" s="3" t="s">
        <v>352</v>
      </c>
      <c r="S93" s="5">
        <f>SLEQwidth+M93+O93</f>
        <v>71.75</v>
      </c>
      <c r="T93" s="3" t="s">
        <v>366</v>
      </c>
      <c r="U93" s="20"/>
      <c r="V93" s="38" t="s">
        <v>369</v>
      </c>
      <c r="W93" s="3" t="s">
        <v>370</v>
      </c>
      <c r="X93" s="38" t="s">
        <v>369</v>
      </c>
      <c r="Y93" s="41">
        <v>200153003</v>
      </c>
      <c r="Z93" s="41"/>
      <c r="AA93" s="20"/>
      <c r="AE93" s="3"/>
      <c r="AF93" s="38"/>
      <c r="AH93" s="39">
        <f>$AG$9*AG92</f>
        <v>0.50765715</v>
      </c>
      <c r="AI93" s="39"/>
      <c r="AJ93" s="39"/>
      <c r="AK93" s="39"/>
      <c r="AL93" s="39">
        <f>AH93*AD92</f>
        <v>3.1517048062499997</v>
      </c>
      <c r="AQ93" s="139"/>
      <c r="AR93" s="444"/>
      <c r="AS93" s="139"/>
      <c r="AT93" s="139"/>
      <c r="AU93" s="139"/>
    </row>
    <row r="94" spans="1:47" ht="15" customHeight="1" x14ac:dyDescent="0.4">
      <c r="C94" s="36"/>
      <c r="D94" s="7"/>
      <c r="E94" s="155"/>
      <c r="F94" s="155"/>
      <c r="G94" s="7"/>
      <c r="H94" s="20"/>
      <c r="U94" s="20"/>
      <c r="V94" s="38" t="s">
        <v>369</v>
      </c>
      <c r="W94" s="3" t="s">
        <v>372</v>
      </c>
      <c r="X94" s="38" t="s">
        <v>369</v>
      </c>
      <c r="Y94" s="41">
        <v>200153021</v>
      </c>
      <c r="Z94" s="41"/>
      <c r="AA94" s="20"/>
      <c r="AE94" s="3"/>
      <c r="AF94" s="38"/>
      <c r="AH94" s="39">
        <f>1*AG92</f>
        <v>0.55786499999999994</v>
      </c>
      <c r="AI94" s="39"/>
      <c r="AJ94" s="39"/>
      <c r="AK94" s="39"/>
      <c r="AL94" s="39">
        <f>AH94*AD92</f>
        <v>3.4634118749999994</v>
      </c>
      <c r="AQ94" s="139"/>
      <c r="AR94" s="444"/>
      <c r="AS94" s="139"/>
      <c r="AT94" s="139"/>
      <c r="AU94" s="139"/>
    </row>
    <row r="95" spans="1:47" ht="15" customHeight="1" x14ac:dyDescent="0.4">
      <c r="C95" s="36"/>
      <c r="D95" s="7"/>
      <c r="E95" s="155"/>
      <c r="F95" s="155"/>
      <c r="G95" s="7"/>
      <c r="H95" s="20"/>
      <c r="U95" s="20"/>
      <c r="V95" s="38" t="s">
        <v>369</v>
      </c>
      <c r="W95" s="3" t="s">
        <v>373</v>
      </c>
      <c r="X95" s="38" t="s">
        <v>369</v>
      </c>
      <c r="Y95" s="41">
        <v>200153033</v>
      </c>
      <c r="Z95" s="41"/>
      <c r="AA95" s="20"/>
      <c r="AE95" s="3"/>
      <c r="AF95" s="38"/>
      <c r="AH95" s="39">
        <f>1*AG92</f>
        <v>0.55786499999999994</v>
      </c>
      <c r="AL95" s="39">
        <f>AH95*AD92</f>
        <v>3.4634118749999994</v>
      </c>
      <c r="AQ95" s="445"/>
      <c r="AR95" s="446"/>
      <c r="AS95" s="139"/>
      <c r="AT95" s="139"/>
      <c r="AU95" s="139"/>
    </row>
    <row r="96" spans="1:47" ht="15" customHeight="1" x14ac:dyDescent="0.4">
      <c r="C96" s="36"/>
      <c r="D96" s="7"/>
      <c r="E96" s="155"/>
      <c r="F96" s="155"/>
      <c r="G96" s="7"/>
      <c r="H96" s="20"/>
      <c r="P96" s="41"/>
      <c r="U96" s="20"/>
      <c r="V96" s="3" t="s">
        <v>2363</v>
      </c>
      <c r="W96" s="3" t="s">
        <v>370</v>
      </c>
      <c r="X96" s="38" t="s">
        <v>369</v>
      </c>
      <c r="Y96" s="41">
        <v>200153127</v>
      </c>
      <c r="Z96" s="41"/>
      <c r="AA96" s="20"/>
      <c r="AE96" s="3"/>
      <c r="AF96" s="38"/>
      <c r="AH96" s="39"/>
      <c r="AQ96" s="445"/>
      <c r="AR96" s="446"/>
      <c r="AS96" s="139"/>
      <c r="AT96" s="139"/>
      <c r="AU96" s="139"/>
    </row>
    <row r="97" spans="2:47" ht="15" customHeight="1" x14ac:dyDescent="0.4">
      <c r="C97" s="36"/>
      <c r="D97" s="7"/>
      <c r="E97" s="155"/>
      <c r="F97" s="155"/>
      <c r="G97" s="7"/>
      <c r="H97" s="20"/>
      <c r="P97" s="41"/>
      <c r="U97" s="20"/>
      <c r="V97" s="112" t="s">
        <v>2366</v>
      </c>
      <c r="W97" s="112" t="s">
        <v>370</v>
      </c>
      <c r="X97" s="279" t="s">
        <v>369</v>
      </c>
      <c r="Y97" s="1900">
        <v>200153128</v>
      </c>
      <c r="Z97" s="41"/>
      <c r="AA97" s="20"/>
      <c r="AE97" s="3"/>
      <c r="AF97" s="38"/>
      <c r="AH97" s="39"/>
      <c r="AQ97" s="445"/>
      <c r="AR97" s="446"/>
      <c r="AS97" s="139"/>
      <c r="AT97" s="139"/>
      <c r="AU97" s="139"/>
    </row>
    <row r="98" spans="2:47" ht="15" customHeight="1" x14ac:dyDescent="0.4">
      <c r="C98" s="36"/>
      <c r="D98" s="7"/>
      <c r="E98" s="155"/>
      <c r="F98" s="155"/>
      <c r="G98" s="7"/>
      <c r="H98" s="20"/>
      <c r="P98" s="41"/>
      <c r="U98" s="20"/>
      <c r="V98" s="3" t="s">
        <v>2365</v>
      </c>
      <c r="W98" s="3" t="s">
        <v>370</v>
      </c>
      <c r="X98" s="38" t="s">
        <v>369</v>
      </c>
      <c r="Y98" s="41">
        <v>200153180</v>
      </c>
      <c r="Z98" s="41"/>
      <c r="AA98" s="20"/>
      <c r="AE98" s="3"/>
      <c r="AF98" s="38"/>
      <c r="AH98" s="1036">
        <v>0</v>
      </c>
      <c r="AL98" s="39">
        <f t="shared" ref="AL98:AL100" si="3">AH98*AD95</f>
        <v>0</v>
      </c>
      <c r="AQ98" s="445"/>
      <c r="AR98" s="446"/>
      <c r="AS98" s="139"/>
      <c r="AT98" s="139"/>
      <c r="AU98" s="139"/>
    </row>
    <row r="99" spans="2:47" ht="15" customHeight="1" x14ac:dyDescent="0.4">
      <c r="C99" s="36"/>
      <c r="D99" s="7"/>
      <c r="E99" s="155"/>
      <c r="F99" s="155"/>
      <c r="G99" s="7"/>
      <c r="H99" s="20"/>
      <c r="U99" s="20"/>
      <c r="V99" s="3" t="s">
        <v>2364</v>
      </c>
      <c r="W99" s="3" t="s">
        <v>370</v>
      </c>
      <c r="X99" s="38" t="s">
        <v>369</v>
      </c>
      <c r="Y99" s="41">
        <v>200153129</v>
      </c>
      <c r="Z99" s="41"/>
      <c r="AA99" s="20"/>
      <c r="AE99" s="3"/>
      <c r="AF99" s="38"/>
      <c r="AH99" s="39"/>
      <c r="AQ99" s="445"/>
      <c r="AR99" s="446"/>
      <c r="AS99" s="139"/>
      <c r="AT99" s="139"/>
      <c r="AU99" s="139"/>
    </row>
    <row r="100" spans="2:47" ht="15" customHeight="1" x14ac:dyDescent="0.4">
      <c r="C100" s="36"/>
      <c r="D100" s="7"/>
      <c r="E100" s="155"/>
      <c r="F100" s="155"/>
      <c r="G100" s="7"/>
      <c r="H100" s="20"/>
      <c r="U100" s="20"/>
      <c r="V100" s="112" t="s">
        <v>2367</v>
      </c>
      <c r="W100" s="112" t="s">
        <v>370</v>
      </c>
      <c r="X100" s="279" t="s">
        <v>369</v>
      </c>
      <c r="Y100" s="1900">
        <v>200153152</v>
      </c>
      <c r="Z100" s="41"/>
      <c r="AA100" s="20"/>
      <c r="AE100" s="3"/>
      <c r="AF100" s="38"/>
      <c r="AH100" s="39">
        <v>0</v>
      </c>
      <c r="AL100" s="39">
        <f t="shared" si="3"/>
        <v>0</v>
      </c>
      <c r="AQ100" s="445"/>
      <c r="AR100" s="446"/>
      <c r="AS100" s="139"/>
      <c r="AT100" s="139"/>
      <c r="AU100" s="139"/>
    </row>
    <row r="101" spans="2:47" ht="15" customHeight="1" x14ac:dyDescent="0.4">
      <c r="C101" s="36"/>
      <c r="D101" s="7"/>
      <c r="E101" s="155"/>
      <c r="F101" s="155"/>
      <c r="G101" s="7"/>
      <c r="H101" s="20"/>
      <c r="U101" s="20"/>
      <c r="V101" s="3" t="s">
        <v>2365</v>
      </c>
      <c r="W101" s="3" t="s">
        <v>370</v>
      </c>
      <c r="X101" s="38" t="s">
        <v>2365</v>
      </c>
      <c r="Y101" s="41">
        <v>200153181</v>
      </c>
      <c r="Z101" s="41"/>
      <c r="AA101" s="20"/>
      <c r="AE101" s="3"/>
      <c r="AF101" s="38"/>
      <c r="AH101" s="39"/>
      <c r="AM101" s="577"/>
      <c r="AN101" s="577"/>
      <c r="AO101" s="577"/>
      <c r="AP101" s="577"/>
      <c r="AQ101" s="1897"/>
      <c r="AR101" s="446"/>
      <c r="AS101" s="139"/>
      <c r="AT101" s="139"/>
      <c r="AU101" s="139"/>
    </row>
    <row r="102" spans="2:47" ht="15" customHeight="1" x14ac:dyDescent="0.4">
      <c r="C102" s="36"/>
      <c r="D102" s="36"/>
      <c r="E102" s="1031" t="s">
        <v>1220</v>
      </c>
      <c r="F102" s="951"/>
      <c r="G102" s="454"/>
      <c r="H102" s="1032"/>
      <c r="I102" s="1033"/>
      <c r="J102" s="1033"/>
      <c r="K102" s="1033"/>
      <c r="L102" s="1033"/>
      <c r="M102" s="1034"/>
      <c r="N102" s="1034"/>
      <c r="O102" s="1034"/>
      <c r="P102" s="1034"/>
      <c r="Q102" s="1034"/>
      <c r="R102" s="1033"/>
      <c r="S102" s="1034"/>
      <c r="T102" s="1033"/>
      <c r="U102" s="1032"/>
      <c r="V102" s="587" t="s">
        <v>369</v>
      </c>
      <c r="W102" s="130" t="s">
        <v>405</v>
      </c>
      <c r="X102" s="587" t="s">
        <v>369</v>
      </c>
      <c r="Y102" s="1035">
        <v>600042010</v>
      </c>
      <c r="Z102" s="1035"/>
      <c r="AA102" s="1032"/>
      <c r="AB102" s="130"/>
      <c r="AC102" s="130"/>
      <c r="AD102" s="584"/>
      <c r="AE102" s="130"/>
      <c r="AF102" s="130"/>
      <c r="AG102" s="130"/>
      <c r="AH102" s="589"/>
      <c r="AI102" s="589"/>
      <c r="AJ102" s="589"/>
      <c r="AK102" s="589"/>
      <c r="AL102" s="589"/>
      <c r="AQ102" s="140"/>
      <c r="AR102" s="140"/>
      <c r="AS102" s="139"/>
      <c r="AT102" s="139"/>
      <c r="AU102" s="139"/>
    </row>
    <row r="103" spans="2:47" ht="15" customHeight="1" x14ac:dyDescent="0.4">
      <c r="C103" s="36"/>
      <c r="D103" s="36"/>
      <c r="E103" s="447" t="s">
        <v>1221</v>
      </c>
      <c r="F103" s="155"/>
      <c r="G103" s="7"/>
      <c r="H103" s="20"/>
      <c r="I103" s="3" t="s">
        <v>392</v>
      </c>
      <c r="L103" s="3" t="s">
        <v>348</v>
      </c>
      <c r="M103" s="5">
        <v>0</v>
      </c>
      <c r="R103" s="3" t="s">
        <v>352</v>
      </c>
      <c r="S103" s="5">
        <f>SLEQwidth+M103+O103</f>
        <v>71.5</v>
      </c>
      <c r="T103" s="3" t="s">
        <v>366</v>
      </c>
      <c r="U103" s="20"/>
      <c r="V103" s="38" t="s">
        <v>369</v>
      </c>
      <c r="W103" s="3" t="s">
        <v>405</v>
      </c>
      <c r="X103" s="38" t="s">
        <v>369</v>
      </c>
      <c r="Y103" s="41">
        <v>600050010</v>
      </c>
      <c r="Z103" s="41"/>
      <c r="AA103" s="20"/>
      <c r="AB103" s="3">
        <v>42</v>
      </c>
      <c r="AC103" s="3">
        <v>1</v>
      </c>
      <c r="AD103" s="5">
        <f>AC103*S103/12</f>
        <v>5.958333333333333</v>
      </c>
      <c r="AE103" s="3" t="s">
        <v>367</v>
      </c>
      <c r="AF103" s="3"/>
      <c r="AG103" s="3"/>
      <c r="AH103" s="39">
        <v>0</v>
      </c>
      <c r="AI103" s="39"/>
      <c r="AJ103" s="39"/>
      <c r="AK103" s="39"/>
      <c r="AM103" s="39"/>
      <c r="AN103" s="39"/>
      <c r="AO103" s="39"/>
      <c r="AP103" s="39"/>
      <c r="AQ103" s="39"/>
      <c r="AR103" s="140"/>
      <c r="AS103" s="139"/>
      <c r="AT103" s="139"/>
      <c r="AU103" s="139"/>
    </row>
    <row r="104" spans="2:47" ht="15" customHeight="1" thickBot="1" x14ac:dyDescent="0.25">
      <c r="C104" s="1849"/>
      <c r="D104" s="1849"/>
      <c r="E104" s="1850" t="s">
        <v>2352</v>
      </c>
      <c r="F104" s="1851"/>
      <c r="G104" s="1852"/>
      <c r="H104" s="1853"/>
      <c r="I104" s="1854" t="s">
        <v>392</v>
      </c>
      <c r="J104" s="1854"/>
      <c r="K104" s="1854"/>
      <c r="L104" s="1854"/>
      <c r="M104" s="1855"/>
      <c r="N104" s="1855"/>
      <c r="O104" s="1855"/>
      <c r="P104" s="1855"/>
      <c r="Q104" s="1855"/>
      <c r="R104" s="1854" t="s">
        <v>352</v>
      </c>
      <c r="S104" s="945">
        <f>SLEQwidth+M104+O104</f>
        <v>71.5</v>
      </c>
      <c r="T104" s="1854" t="s">
        <v>366</v>
      </c>
      <c r="U104" s="1853"/>
      <c r="V104" s="1856" t="s">
        <v>369</v>
      </c>
      <c r="W104" s="1854" t="s">
        <v>370</v>
      </c>
      <c r="X104" s="1856" t="s">
        <v>369</v>
      </c>
      <c r="Y104" s="1857" t="s">
        <v>2355</v>
      </c>
      <c r="Z104" s="1858"/>
      <c r="AA104" s="1853"/>
      <c r="AB104" s="1854"/>
      <c r="AC104" s="1854">
        <v>1</v>
      </c>
      <c r="AD104" s="1855">
        <f>AC104*S104/12</f>
        <v>5.958333333333333</v>
      </c>
      <c r="AE104" s="1854" t="s">
        <v>367</v>
      </c>
      <c r="AF104" s="1856"/>
      <c r="AG104" s="1856"/>
      <c r="AH104" s="1859">
        <f>0.018669</f>
        <v>1.8669000000000002E-2</v>
      </c>
      <c r="AI104" s="1860"/>
      <c r="AJ104" s="1860"/>
      <c r="AK104" s="1860"/>
      <c r="AL104" s="1860">
        <f>AH104*AD104</f>
        <v>0.11123612500000001</v>
      </c>
      <c r="AM104" s="1854"/>
      <c r="AN104" s="1854"/>
      <c r="AO104" s="1854"/>
      <c r="AP104" s="1854"/>
      <c r="AQ104" s="1854"/>
      <c r="AR104" s="140"/>
      <c r="AS104" s="139"/>
      <c r="AT104" s="139"/>
      <c r="AU104" s="139"/>
    </row>
    <row r="105" spans="2:47" ht="15" customHeight="1" x14ac:dyDescent="0.4">
      <c r="B105" s="3"/>
      <c r="C105" s="173" t="s">
        <v>407</v>
      </c>
      <c r="D105" s="181"/>
      <c r="E105" s="182"/>
      <c r="F105" s="182"/>
      <c r="G105" s="430" t="s">
        <v>383</v>
      </c>
      <c r="H105" s="175"/>
      <c r="I105" s="116" t="s">
        <v>392</v>
      </c>
      <c r="J105" s="116"/>
      <c r="K105" s="116"/>
      <c r="L105" s="116" t="s">
        <v>348</v>
      </c>
      <c r="M105" s="177">
        <v>3</v>
      </c>
      <c r="N105" s="177" t="s">
        <v>348</v>
      </c>
      <c r="O105" s="177">
        <f>0.25</f>
        <v>0.25</v>
      </c>
      <c r="P105" s="178"/>
      <c r="Q105" s="178"/>
      <c r="R105" s="116" t="s">
        <v>352</v>
      </c>
      <c r="S105" s="177">
        <f>SLEQwidth+M105+O105</f>
        <v>74.75</v>
      </c>
      <c r="T105" s="116" t="s">
        <v>366</v>
      </c>
      <c r="U105" s="175"/>
      <c r="V105" s="179"/>
      <c r="W105" s="116"/>
      <c r="X105" s="179"/>
      <c r="Y105" s="184"/>
      <c r="Z105" s="184"/>
      <c r="AA105" s="175"/>
      <c r="AB105" s="116">
        <v>42</v>
      </c>
      <c r="AC105" s="116">
        <v>1</v>
      </c>
      <c r="AD105" s="177">
        <f>AC105*S105/12</f>
        <v>6.229166666666667</v>
      </c>
      <c r="AE105" s="116" t="s">
        <v>367</v>
      </c>
      <c r="AF105" s="116">
        <v>0</v>
      </c>
      <c r="AG105" s="177">
        <f>AF105*AtolbperftEQ</f>
        <v>0</v>
      </c>
      <c r="AH105" s="185"/>
      <c r="AI105" s="39"/>
      <c r="AJ105" s="39"/>
      <c r="AK105" s="39"/>
      <c r="AL105" s="180"/>
      <c r="AQ105" s="139"/>
      <c r="AR105" s="139"/>
      <c r="AS105" s="139"/>
      <c r="AT105" s="139"/>
      <c r="AU105" s="139"/>
    </row>
    <row r="106" spans="2:47" ht="15" customHeight="1" x14ac:dyDescent="0.4">
      <c r="B106" s="36"/>
      <c r="C106" s="155"/>
      <c r="D106" s="155"/>
      <c r="E106" s="155"/>
      <c r="F106" s="155"/>
      <c r="G106" s="7"/>
      <c r="H106" s="20"/>
      <c r="P106" s="24"/>
      <c r="Q106" s="24"/>
      <c r="U106" s="20"/>
      <c r="V106" s="38" t="s">
        <v>369</v>
      </c>
      <c r="W106" s="3" t="s">
        <v>370</v>
      </c>
      <c r="X106" s="38" t="s">
        <v>369</v>
      </c>
      <c r="Y106" s="41">
        <v>200169003</v>
      </c>
      <c r="Z106" s="41"/>
      <c r="AA106" s="20"/>
      <c r="AE106" s="3"/>
      <c r="AF106" s="38"/>
      <c r="AH106" s="39">
        <f>1*AG105</f>
        <v>0</v>
      </c>
      <c r="AL106" s="39">
        <f>AH106*AD105</f>
        <v>0</v>
      </c>
      <c r="AQ106" s="139"/>
      <c r="AR106" s="139"/>
      <c r="AS106" s="139"/>
      <c r="AT106" s="139"/>
      <c r="AU106" s="139"/>
    </row>
    <row r="107" spans="2:47" ht="15" customHeight="1" x14ac:dyDescent="0.4">
      <c r="B107" s="36"/>
      <c r="C107" s="155"/>
      <c r="D107" s="155"/>
      <c r="E107" s="155"/>
      <c r="F107" s="155"/>
      <c r="G107" s="7"/>
      <c r="H107" s="20"/>
      <c r="P107" s="24"/>
      <c r="Q107" s="24"/>
      <c r="U107" s="20"/>
      <c r="V107" s="38" t="s">
        <v>369</v>
      </c>
      <c r="W107" s="3" t="s">
        <v>372</v>
      </c>
      <c r="X107" s="38" t="s">
        <v>369</v>
      </c>
      <c r="Y107" s="41">
        <v>200169021</v>
      </c>
      <c r="Z107" s="41"/>
      <c r="AA107" s="20"/>
      <c r="AE107" s="3"/>
      <c r="AF107" s="3"/>
      <c r="AH107" s="39">
        <f>1*AG105</f>
        <v>0</v>
      </c>
      <c r="AL107" s="39">
        <f>AH107*AD105</f>
        <v>0</v>
      </c>
      <c r="AQ107" s="139"/>
      <c r="AR107" s="139"/>
      <c r="AS107" s="139"/>
      <c r="AT107" s="139"/>
      <c r="AU107" s="139"/>
    </row>
    <row r="108" spans="2:47" ht="15" customHeight="1" x14ac:dyDescent="0.4">
      <c r="B108" s="36"/>
      <c r="C108" s="155"/>
      <c r="D108" s="155"/>
      <c r="E108" s="155"/>
      <c r="F108" s="155"/>
      <c r="G108" s="7"/>
      <c r="H108" s="20"/>
      <c r="P108" s="24"/>
      <c r="Q108" s="24"/>
      <c r="U108" s="20"/>
      <c r="V108" s="38" t="s">
        <v>369</v>
      </c>
      <c r="W108" s="3" t="s">
        <v>373</v>
      </c>
      <c r="X108" s="38" t="s">
        <v>369</v>
      </c>
      <c r="Y108" s="41">
        <v>200169033</v>
      </c>
      <c r="Z108" s="41"/>
      <c r="AA108" s="20"/>
      <c r="AE108" s="3"/>
      <c r="AF108" s="3"/>
      <c r="AH108" s="39">
        <f>1*AG105</f>
        <v>0</v>
      </c>
      <c r="AI108" s="39"/>
      <c r="AJ108" s="39"/>
      <c r="AK108" s="39"/>
      <c r="AL108" s="39">
        <f>AH108*AD105</f>
        <v>0</v>
      </c>
      <c r="AQ108" s="139"/>
      <c r="AR108" s="139"/>
      <c r="AS108" s="139"/>
      <c r="AT108" s="139"/>
      <c r="AU108" s="139"/>
    </row>
    <row r="109" spans="2:47" ht="15" customHeight="1" x14ac:dyDescent="0.4">
      <c r="B109" s="36"/>
      <c r="C109" s="155"/>
      <c r="D109" s="155"/>
      <c r="E109" s="155"/>
      <c r="F109" s="155"/>
      <c r="G109" s="7"/>
      <c r="H109" s="20"/>
      <c r="P109" s="24"/>
      <c r="Q109" s="24"/>
      <c r="U109" s="20"/>
      <c r="V109" s="38" t="s">
        <v>369</v>
      </c>
      <c r="W109" s="3" t="s">
        <v>374</v>
      </c>
      <c r="X109" s="38" t="s">
        <v>369</v>
      </c>
      <c r="Y109" s="41">
        <v>200169090</v>
      </c>
      <c r="Z109" s="41"/>
      <c r="AA109" s="20"/>
      <c r="AE109" s="3"/>
      <c r="AF109" s="3"/>
      <c r="AH109" s="1036">
        <v>0</v>
      </c>
      <c r="AI109" s="39"/>
      <c r="AJ109" s="39"/>
      <c r="AK109" s="39"/>
      <c r="AL109" s="39">
        <f>AH109*AD106</f>
        <v>0</v>
      </c>
      <c r="AQ109" s="139"/>
      <c r="AR109" s="139"/>
      <c r="AS109" s="139"/>
      <c r="AT109" s="139"/>
      <c r="AU109" s="139"/>
    </row>
    <row r="110" spans="2:47" ht="15" customHeight="1" x14ac:dyDescent="0.4">
      <c r="B110" s="36"/>
      <c r="C110" s="155"/>
      <c r="D110" s="155"/>
      <c r="E110" s="155"/>
      <c r="F110" s="155"/>
      <c r="G110" s="7"/>
      <c r="H110" s="20"/>
      <c r="P110" s="24"/>
      <c r="Q110" s="24"/>
      <c r="U110" s="20"/>
      <c r="V110" s="38" t="s">
        <v>369</v>
      </c>
      <c r="W110" s="3" t="s">
        <v>375</v>
      </c>
      <c r="X110" s="38" t="s">
        <v>369</v>
      </c>
      <c r="Y110" s="41">
        <v>200169133</v>
      </c>
      <c r="Z110" s="41"/>
      <c r="AA110" s="20"/>
      <c r="AE110" s="3"/>
      <c r="AF110" s="3"/>
      <c r="AH110" s="39"/>
      <c r="AI110" s="39"/>
      <c r="AJ110" s="39"/>
      <c r="AK110" s="39"/>
      <c r="AQ110" s="139"/>
      <c r="AR110" s="139"/>
      <c r="AS110" s="139"/>
      <c r="AT110" s="139"/>
      <c r="AU110" s="139"/>
    </row>
    <row r="111" spans="2:47" ht="15" customHeight="1" thickBot="1" x14ac:dyDescent="0.45">
      <c r="B111" s="36"/>
      <c r="C111" s="155"/>
      <c r="D111" s="155"/>
      <c r="E111" s="155"/>
      <c r="F111" s="155"/>
      <c r="G111" s="7"/>
      <c r="H111" s="20"/>
      <c r="P111" s="24"/>
      <c r="Q111" s="24"/>
      <c r="U111" s="20"/>
      <c r="V111" s="279" t="s">
        <v>369</v>
      </c>
      <c r="W111" s="112" t="s">
        <v>1849</v>
      </c>
      <c r="X111" s="279" t="s">
        <v>369</v>
      </c>
      <c r="Y111" s="1900">
        <v>200169148</v>
      </c>
      <c r="Z111" s="41"/>
      <c r="AA111" s="20"/>
      <c r="AE111" s="3"/>
      <c r="AF111" s="3"/>
      <c r="AH111" s="39">
        <v>0</v>
      </c>
      <c r="AI111" s="39"/>
      <c r="AJ111" s="39"/>
      <c r="AK111" s="39"/>
      <c r="AL111" s="39">
        <f t="shared" ref="AL111" si="4">AH111*AD108</f>
        <v>0</v>
      </c>
      <c r="AM111" s="947"/>
      <c r="AN111" s="947"/>
      <c r="AO111" s="947"/>
      <c r="AP111" s="947"/>
      <c r="AQ111" s="947"/>
      <c r="AR111" s="139"/>
      <c r="AS111" s="139"/>
      <c r="AT111" s="139"/>
      <c r="AU111" s="139"/>
    </row>
    <row r="112" spans="2:47" ht="15" customHeight="1" x14ac:dyDescent="0.4">
      <c r="B112" s="3"/>
      <c r="C112" s="173" t="s">
        <v>408</v>
      </c>
      <c r="D112" s="181"/>
      <c r="E112" s="182"/>
      <c r="F112" s="182"/>
      <c r="G112" s="173"/>
      <c r="H112" s="175"/>
      <c r="I112" s="116" t="s">
        <v>392</v>
      </c>
      <c r="J112" s="116"/>
      <c r="K112" s="116"/>
      <c r="L112" s="116" t="s">
        <v>348</v>
      </c>
      <c r="M112" s="177">
        <v>0.438</v>
      </c>
      <c r="N112" s="177"/>
      <c r="O112" s="177"/>
      <c r="P112" s="178"/>
      <c r="Q112" s="178"/>
      <c r="R112" s="116" t="s">
        <v>352</v>
      </c>
      <c r="S112" s="177">
        <f>SLEQwidth+M112+O112</f>
        <v>71.938000000000002</v>
      </c>
      <c r="T112" s="116" t="s">
        <v>366</v>
      </c>
      <c r="U112" s="175"/>
      <c r="V112" s="179"/>
      <c r="W112" s="116"/>
      <c r="X112" s="179"/>
      <c r="Y112" s="184"/>
      <c r="Z112" s="184"/>
      <c r="AA112" s="175"/>
      <c r="AB112" s="116">
        <v>42</v>
      </c>
      <c r="AC112" s="116">
        <v>1</v>
      </c>
      <c r="AD112" s="177">
        <f>AC112*S112/12</f>
        <v>5.9948333333333332</v>
      </c>
      <c r="AE112" s="116" t="s">
        <v>367</v>
      </c>
      <c r="AF112" s="116">
        <v>0</v>
      </c>
      <c r="AG112" s="177">
        <f>AF112*AtolbperftEQ</f>
        <v>0</v>
      </c>
      <c r="AH112" s="185"/>
      <c r="AI112" s="185"/>
      <c r="AJ112" s="185"/>
      <c r="AK112" s="185"/>
      <c r="AL112" s="180"/>
      <c r="AQ112" s="139"/>
      <c r="AR112" s="139"/>
      <c r="AS112" s="139"/>
      <c r="AT112" s="139"/>
    </row>
    <row r="113" spans="1:47" ht="15" customHeight="1" x14ac:dyDescent="0.4">
      <c r="B113" s="36"/>
      <c r="C113" s="36"/>
      <c r="D113" s="155"/>
      <c r="E113" s="155"/>
      <c r="F113" s="155"/>
      <c r="G113" s="7"/>
      <c r="H113" s="20"/>
      <c r="P113" s="24"/>
      <c r="Q113" s="24"/>
      <c r="U113" s="20"/>
      <c r="V113" s="38" t="s">
        <v>369</v>
      </c>
      <c r="W113" s="3" t="s">
        <v>370</v>
      </c>
      <c r="X113" s="38" t="s">
        <v>369</v>
      </c>
      <c r="Y113" s="1443">
        <v>200178003</v>
      </c>
      <c r="Z113" s="41"/>
      <c r="AA113" s="20"/>
      <c r="AE113" s="3"/>
      <c r="AF113" s="38"/>
      <c r="AH113" s="39">
        <v>0</v>
      </c>
      <c r="AI113" s="39"/>
      <c r="AJ113" s="39"/>
      <c r="AK113" s="39"/>
      <c r="AL113" s="39">
        <f>AH113*AD112</f>
        <v>0</v>
      </c>
      <c r="AQ113" s="139"/>
      <c r="AR113" s="139"/>
      <c r="AS113" s="139"/>
      <c r="AT113" s="139"/>
    </row>
    <row r="114" spans="1:47" ht="15" customHeight="1" x14ac:dyDescent="0.4">
      <c r="B114" s="36"/>
      <c r="C114" s="36"/>
      <c r="D114" s="155"/>
      <c r="E114" s="155"/>
      <c r="F114" s="155"/>
      <c r="G114" s="7"/>
      <c r="H114" s="20"/>
      <c r="P114" s="24"/>
      <c r="Q114" s="24"/>
      <c r="U114" s="20"/>
      <c r="V114" s="38" t="s">
        <v>369</v>
      </c>
      <c r="W114" s="3" t="s">
        <v>372</v>
      </c>
      <c r="X114" s="38" t="s">
        <v>369</v>
      </c>
      <c r="Y114" s="1443">
        <v>200178021</v>
      </c>
      <c r="Z114" s="41"/>
      <c r="AA114" s="20"/>
      <c r="AE114" s="3"/>
      <c r="AF114" s="3"/>
      <c r="AH114" s="39">
        <v>0</v>
      </c>
      <c r="AI114" s="39"/>
      <c r="AJ114" s="39"/>
      <c r="AK114" s="39"/>
      <c r="AL114" s="39">
        <f>AH114*AD112</f>
        <v>0</v>
      </c>
      <c r="AQ114" s="139"/>
      <c r="AR114" s="139"/>
      <c r="AS114" s="139"/>
      <c r="AT114" s="139"/>
    </row>
    <row r="115" spans="1:47" ht="15" customHeight="1" x14ac:dyDescent="0.4">
      <c r="B115" s="36"/>
      <c r="C115" s="36"/>
      <c r="D115" s="155"/>
      <c r="E115" s="155"/>
      <c r="F115" s="155"/>
      <c r="G115" s="7"/>
      <c r="H115" s="20"/>
      <c r="P115" s="24"/>
      <c r="Q115" s="24"/>
      <c r="U115" s="20"/>
      <c r="V115" s="38" t="s">
        <v>369</v>
      </c>
      <c r="W115" s="3" t="s">
        <v>373</v>
      </c>
      <c r="X115" s="38" t="s">
        <v>369</v>
      </c>
      <c r="Y115" s="1443">
        <v>200178033</v>
      </c>
      <c r="Z115" s="41"/>
      <c r="AA115" s="20"/>
      <c r="AE115" s="3"/>
      <c r="AF115" s="3"/>
      <c r="AH115" s="39">
        <v>0</v>
      </c>
      <c r="AI115" s="39"/>
      <c r="AJ115" s="39"/>
      <c r="AK115" s="39"/>
      <c r="AL115" s="39">
        <f>AH115*AD112</f>
        <v>0</v>
      </c>
      <c r="AQ115" s="139"/>
      <c r="AR115" s="139"/>
      <c r="AS115" s="139"/>
      <c r="AT115" s="139"/>
    </row>
    <row r="116" spans="1:47" ht="15" customHeight="1" x14ac:dyDescent="0.4">
      <c r="B116" s="36"/>
      <c r="C116" s="36"/>
      <c r="D116" s="155"/>
      <c r="E116" s="155"/>
      <c r="F116" s="155"/>
      <c r="G116" s="7"/>
      <c r="H116" s="20"/>
      <c r="P116" s="24"/>
      <c r="Q116" s="24"/>
      <c r="U116" s="20"/>
      <c r="V116" s="38" t="s">
        <v>369</v>
      </c>
      <c r="W116" s="3" t="s">
        <v>374</v>
      </c>
      <c r="X116" s="38" t="s">
        <v>369</v>
      </c>
      <c r="Y116" s="1443">
        <v>200178090</v>
      </c>
      <c r="Z116" s="41"/>
      <c r="AA116" s="20"/>
      <c r="AE116" s="3"/>
      <c r="AF116" s="3"/>
      <c r="AH116" s="1036">
        <v>0</v>
      </c>
      <c r="AI116" s="39"/>
      <c r="AJ116" s="39"/>
      <c r="AK116" s="39"/>
      <c r="AL116" s="39">
        <f>AH116*AD113</f>
        <v>0</v>
      </c>
      <c r="AQ116" s="139"/>
      <c r="AR116" s="139"/>
      <c r="AS116" s="139"/>
      <c r="AT116" s="139"/>
    </row>
    <row r="117" spans="1:47" ht="15" customHeight="1" x14ac:dyDescent="0.4">
      <c r="B117" s="36"/>
      <c r="C117" s="36"/>
      <c r="D117" s="155"/>
      <c r="E117" s="155"/>
      <c r="F117" s="155"/>
      <c r="G117" s="7"/>
      <c r="H117" s="20"/>
      <c r="P117" s="24"/>
      <c r="Q117" s="24"/>
      <c r="U117" s="20"/>
      <c r="V117" s="38" t="s">
        <v>369</v>
      </c>
      <c r="W117" s="3" t="s">
        <v>375</v>
      </c>
      <c r="X117" s="38" t="s">
        <v>369</v>
      </c>
      <c r="Y117" s="1443">
        <v>200178133</v>
      </c>
      <c r="Z117" s="41"/>
      <c r="AA117" s="20"/>
      <c r="AE117" s="3"/>
      <c r="AF117" s="3"/>
      <c r="AH117" s="39"/>
      <c r="AI117" s="39"/>
      <c r="AJ117" s="39"/>
      <c r="AK117" s="39"/>
      <c r="AQ117" s="139"/>
      <c r="AR117" s="139"/>
      <c r="AS117" s="139"/>
      <c r="AT117" s="139"/>
    </row>
    <row r="118" spans="1:47" ht="15" customHeight="1" thickBot="1" x14ac:dyDescent="0.45">
      <c r="B118" s="36"/>
      <c r="C118" s="36"/>
      <c r="D118" s="155"/>
      <c r="E118" s="155"/>
      <c r="F118" s="155"/>
      <c r="G118" s="7"/>
      <c r="H118" s="20"/>
      <c r="P118" s="24"/>
      <c r="Q118" s="24"/>
      <c r="U118" s="20"/>
      <c r="V118" s="279" t="s">
        <v>369</v>
      </c>
      <c r="W118" s="112" t="s">
        <v>1849</v>
      </c>
      <c r="X118" s="279" t="s">
        <v>369</v>
      </c>
      <c r="Y118" s="1871">
        <v>200178148</v>
      </c>
      <c r="Z118" s="41"/>
      <c r="AA118" s="20"/>
      <c r="AE118" s="3"/>
      <c r="AF118" s="3"/>
      <c r="AH118" s="39">
        <v>0</v>
      </c>
      <c r="AI118" s="947"/>
      <c r="AJ118" s="947"/>
      <c r="AK118" s="947"/>
      <c r="AL118" s="39">
        <f t="shared" ref="AL118" si="5">AH118*AD115</f>
        <v>0</v>
      </c>
      <c r="AM118" s="947"/>
      <c r="AN118" s="947"/>
      <c r="AO118" s="947"/>
      <c r="AP118" s="947"/>
      <c r="AQ118" s="947"/>
      <c r="AR118" s="139"/>
      <c r="AS118" s="139"/>
      <c r="AT118" s="139"/>
    </row>
    <row r="119" spans="1:47" ht="15" customHeight="1" x14ac:dyDescent="0.4">
      <c r="A119" s="3" t="s">
        <v>409</v>
      </c>
      <c r="C119" s="173" t="s">
        <v>410</v>
      </c>
      <c r="D119" s="116"/>
      <c r="E119" s="116"/>
      <c r="F119" s="174"/>
      <c r="G119" s="173"/>
      <c r="H119" s="175"/>
      <c r="I119" s="116" t="s">
        <v>392</v>
      </c>
      <c r="J119" s="116"/>
      <c r="K119" s="116"/>
      <c r="L119" s="116" t="s">
        <v>348</v>
      </c>
      <c r="M119" s="177">
        <v>3.9375</v>
      </c>
      <c r="N119" s="177"/>
      <c r="O119" s="177"/>
      <c r="P119" s="177"/>
      <c r="Q119" s="177"/>
      <c r="R119" s="116" t="s">
        <v>352</v>
      </c>
      <c r="S119" s="177">
        <f>SLEQwidth+M119+O119</f>
        <v>75.4375</v>
      </c>
      <c r="T119" s="116" t="s">
        <v>366</v>
      </c>
      <c r="U119" s="175"/>
      <c r="V119" s="173"/>
      <c r="W119" s="173"/>
      <c r="X119" s="173"/>
      <c r="Y119" s="116"/>
      <c r="Z119" s="116"/>
      <c r="AA119" s="175"/>
      <c r="AB119" s="116">
        <v>42</v>
      </c>
      <c r="AC119" s="116">
        <v>1</v>
      </c>
      <c r="AD119" s="177">
        <f>AC119*S119/12</f>
        <v>6.286458333333333</v>
      </c>
      <c r="AE119" s="116" t="s">
        <v>367</v>
      </c>
      <c r="AF119" s="179">
        <v>0</v>
      </c>
      <c r="AG119" s="177">
        <f>AF119*AtolbperftEQ</f>
        <v>0</v>
      </c>
      <c r="AH119" s="185"/>
      <c r="AI119" s="39"/>
      <c r="AJ119" s="39"/>
      <c r="AK119" s="39"/>
      <c r="AL119" s="180"/>
      <c r="AQ119" s="139"/>
      <c r="AR119" s="139"/>
      <c r="AS119" s="139"/>
      <c r="AT119" s="139"/>
      <c r="AU119" s="139"/>
    </row>
    <row r="120" spans="1:47" ht="15" customHeight="1" x14ac:dyDescent="0.4">
      <c r="C120" s="36"/>
      <c r="D120" s="36"/>
      <c r="E120" s="155"/>
      <c r="F120" s="155"/>
      <c r="G120" s="7"/>
      <c r="H120" s="20"/>
      <c r="P120" s="24"/>
      <c r="Q120" s="24"/>
      <c r="U120" s="20"/>
      <c r="V120" s="38" t="s">
        <v>369</v>
      </c>
      <c r="W120" s="3" t="s">
        <v>370</v>
      </c>
      <c r="X120" s="38" t="s">
        <v>369</v>
      </c>
      <c r="Y120" s="1443">
        <v>200174003</v>
      </c>
      <c r="Z120" s="41"/>
      <c r="AA120" s="20"/>
      <c r="AE120" s="3"/>
      <c r="AF120" s="38"/>
      <c r="AH120" s="39">
        <f>1*AG119</f>
        <v>0</v>
      </c>
      <c r="AI120" s="39"/>
      <c r="AJ120" s="39"/>
      <c r="AK120" s="39"/>
      <c r="AL120" s="39">
        <f>AH120*AD119</f>
        <v>0</v>
      </c>
      <c r="AQ120" s="139"/>
      <c r="AR120" s="139"/>
      <c r="AS120" s="139"/>
      <c r="AT120" s="139"/>
      <c r="AU120" s="139"/>
    </row>
    <row r="121" spans="1:47" ht="15" customHeight="1" x14ac:dyDescent="0.4">
      <c r="C121" s="36"/>
      <c r="D121" s="36"/>
      <c r="E121" s="155"/>
      <c r="F121" s="155"/>
      <c r="G121" s="7"/>
      <c r="H121" s="20"/>
      <c r="P121" s="24"/>
      <c r="Q121" s="24"/>
      <c r="U121" s="20"/>
      <c r="V121" s="38" t="s">
        <v>369</v>
      </c>
      <c r="W121" s="3" t="s">
        <v>372</v>
      </c>
      <c r="X121" s="38" t="s">
        <v>369</v>
      </c>
      <c r="Y121" s="1443">
        <v>200174021</v>
      </c>
      <c r="Z121" s="41"/>
      <c r="AA121" s="20"/>
      <c r="AE121" s="3"/>
      <c r="AF121" s="3"/>
      <c r="AH121" s="39">
        <f>1*AG119</f>
        <v>0</v>
      </c>
      <c r="AI121" s="39"/>
      <c r="AJ121" s="39"/>
      <c r="AK121" s="39"/>
      <c r="AL121" s="39">
        <f>AH121*AD119</f>
        <v>0</v>
      </c>
      <c r="AQ121" s="139"/>
      <c r="AR121" s="139"/>
      <c r="AS121" s="139"/>
      <c r="AT121" s="139"/>
      <c r="AU121" s="139"/>
    </row>
    <row r="122" spans="1:47" ht="15" customHeight="1" x14ac:dyDescent="0.4">
      <c r="C122" s="36"/>
      <c r="D122" s="36"/>
      <c r="E122" s="155"/>
      <c r="F122" s="155"/>
      <c r="G122" s="7"/>
      <c r="H122" s="20"/>
      <c r="P122" s="24"/>
      <c r="Q122" s="24"/>
      <c r="U122" s="20"/>
      <c r="V122" s="38" t="s">
        <v>369</v>
      </c>
      <c r="W122" s="3" t="s">
        <v>373</v>
      </c>
      <c r="X122" s="38" t="s">
        <v>369</v>
      </c>
      <c r="Y122" s="1443">
        <v>200174033</v>
      </c>
      <c r="Z122" s="41"/>
      <c r="AA122" s="20"/>
      <c r="AE122" s="3"/>
      <c r="AF122" s="3"/>
      <c r="AH122" s="39">
        <f>1*AG119</f>
        <v>0</v>
      </c>
      <c r="AI122" s="39"/>
      <c r="AJ122" s="39"/>
      <c r="AK122" s="39"/>
      <c r="AL122" s="39">
        <f>AH122*AD119</f>
        <v>0</v>
      </c>
      <c r="AQ122" s="139"/>
      <c r="AR122" s="139"/>
      <c r="AS122" s="139"/>
      <c r="AT122" s="139"/>
      <c r="AU122" s="139"/>
    </row>
    <row r="123" spans="1:47" ht="15" customHeight="1" x14ac:dyDescent="0.4">
      <c r="C123" s="36"/>
      <c r="D123" s="36"/>
      <c r="E123" s="155"/>
      <c r="F123" s="155"/>
      <c r="G123" s="7"/>
      <c r="H123" s="20"/>
      <c r="P123" s="24"/>
      <c r="Q123" s="24"/>
      <c r="U123" s="20"/>
      <c r="V123" s="3" t="s">
        <v>2363</v>
      </c>
      <c r="W123" s="3" t="s">
        <v>370</v>
      </c>
      <c r="X123" s="38" t="s">
        <v>369</v>
      </c>
      <c r="Y123" s="1443">
        <v>200174127</v>
      </c>
      <c r="Z123" s="41"/>
      <c r="AA123" s="20"/>
      <c r="AE123" s="3"/>
      <c r="AF123" s="3"/>
      <c r="AH123" s="1036">
        <f>1*AG120</f>
        <v>0</v>
      </c>
      <c r="AI123" s="39"/>
      <c r="AJ123" s="39"/>
      <c r="AK123" s="39"/>
      <c r="AL123" s="39">
        <f>AH123*AD120</f>
        <v>0</v>
      </c>
      <c r="AQ123" s="139"/>
      <c r="AR123" s="139"/>
      <c r="AS123" s="139"/>
      <c r="AT123" s="139"/>
      <c r="AU123" s="139"/>
    </row>
    <row r="124" spans="1:47" ht="15" customHeight="1" x14ac:dyDescent="0.4">
      <c r="C124" s="36"/>
      <c r="D124" s="36"/>
      <c r="E124" s="155"/>
      <c r="F124" s="155"/>
      <c r="G124" s="7"/>
      <c r="H124" s="20"/>
      <c r="P124" s="24"/>
      <c r="Q124" s="24"/>
      <c r="U124" s="20"/>
      <c r="V124" s="38" t="s">
        <v>2365</v>
      </c>
      <c r="W124" s="3" t="s">
        <v>370</v>
      </c>
      <c r="X124" s="38" t="s">
        <v>369</v>
      </c>
      <c r="Y124" s="1443">
        <v>200174180</v>
      </c>
      <c r="Z124" s="41"/>
      <c r="AA124" s="20"/>
      <c r="AE124" s="3"/>
      <c r="AF124" s="3"/>
      <c r="AH124" s="39"/>
      <c r="AI124" s="39"/>
      <c r="AJ124" s="39"/>
      <c r="AK124" s="39"/>
      <c r="AQ124" s="139"/>
      <c r="AR124" s="139"/>
      <c r="AS124" s="139"/>
      <c r="AT124" s="139"/>
      <c r="AU124" s="139"/>
    </row>
    <row r="125" spans="1:47" ht="15" customHeight="1" thickBot="1" x14ac:dyDescent="0.45">
      <c r="C125" s="943"/>
      <c r="D125" s="943"/>
      <c r="E125" s="925"/>
      <c r="F125" s="925"/>
      <c r="G125" s="924"/>
      <c r="H125" s="887"/>
      <c r="I125" s="889"/>
      <c r="J125" s="889"/>
      <c r="K125" s="889"/>
      <c r="L125" s="889"/>
      <c r="M125" s="945"/>
      <c r="N125" s="945"/>
      <c r="O125" s="945"/>
      <c r="P125" s="1020"/>
      <c r="Q125" s="1020"/>
      <c r="R125" s="889"/>
      <c r="S125" s="945"/>
      <c r="T125" s="889"/>
      <c r="U125" s="887"/>
      <c r="V125" s="112" t="s">
        <v>2367</v>
      </c>
      <c r="W125" s="112" t="s">
        <v>370</v>
      </c>
      <c r="X125" s="279" t="s">
        <v>369</v>
      </c>
      <c r="Y125" s="1871">
        <v>200174152</v>
      </c>
      <c r="Z125" s="41"/>
      <c r="AA125" s="20"/>
      <c r="AE125" s="3"/>
      <c r="AF125" s="3"/>
      <c r="AH125" s="39">
        <v>0</v>
      </c>
      <c r="AI125" s="39"/>
      <c r="AJ125" s="39"/>
      <c r="AK125" s="39"/>
      <c r="AL125" s="39">
        <f t="shared" ref="AL125" si="6">AH125*AD122</f>
        <v>0</v>
      </c>
      <c r="AM125" s="947"/>
      <c r="AN125" s="947"/>
      <c r="AO125" s="947"/>
      <c r="AP125" s="947"/>
      <c r="AQ125" s="947"/>
      <c r="AR125" s="139"/>
      <c r="AS125" s="139"/>
      <c r="AT125" s="139"/>
      <c r="AU125" s="139"/>
    </row>
    <row r="126" spans="1:47" ht="15" customHeight="1" x14ac:dyDescent="0.4">
      <c r="C126" s="36" t="s">
        <v>411</v>
      </c>
      <c r="D126" s="36"/>
      <c r="E126" s="447"/>
      <c r="F126" s="155"/>
      <c r="G126" s="7"/>
      <c r="H126" s="20"/>
      <c r="S126" s="5">
        <v>1</v>
      </c>
      <c r="T126" s="3" t="s">
        <v>385</v>
      </c>
      <c r="U126" s="20"/>
      <c r="V126" s="173"/>
      <c r="W126" s="173"/>
      <c r="X126" s="173"/>
      <c r="Y126" s="116"/>
      <c r="Z126" s="116"/>
      <c r="AA126" s="175"/>
      <c r="AB126" s="116">
        <v>40</v>
      </c>
      <c r="AC126" s="116">
        <v>2</v>
      </c>
      <c r="AD126" s="177">
        <f>AC126*S126</f>
        <v>2</v>
      </c>
      <c r="AE126" s="116" t="s">
        <v>385</v>
      </c>
      <c r="AF126" s="179"/>
      <c r="AG126" s="177">
        <f>AF126*AtolbperftEQ</f>
        <v>0</v>
      </c>
      <c r="AH126" s="185"/>
      <c r="AI126" s="185"/>
      <c r="AJ126" s="185"/>
      <c r="AK126" s="185"/>
      <c r="AL126" s="180"/>
      <c r="AQ126" s="140"/>
      <c r="AR126" s="140"/>
      <c r="AS126" s="139"/>
      <c r="AT126" s="139"/>
      <c r="AU126" s="139"/>
    </row>
    <row r="127" spans="1:47" ht="15" customHeight="1" x14ac:dyDescent="0.4">
      <c r="C127" s="36"/>
      <c r="D127" s="36"/>
      <c r="E127" s="447"/>
      <c r="F127" s="155"/>
      <c r="G127" s="7"/>
      <c r="H127" s="20"/>
      <c r="U127" s="20"/>
      <c r="V127" s="38" t="s">
        <v>369</v>
      </c>
      <c r="W127" s="3" t="s">
        <v>370</v>
      </c>
      <c r="X127" s="38" t="s">
        <v>369</v>
      </c>
      <c r="Y127" s="1443">
        <v>430027003</v>
      </c>
      <c r="Z127" s="41"/>
      <c r="AA127" s="20"/>
      <c r="AE127" s="3"/>
      <c r="AF127" s="38"/>
      <c r="AH127" s="39">
        <f>1*AG126</f>
        <v>0</v>
      </c>
      <c r="AI127" s="39"/>
      <c r="AJ127" s="39"/>
      <c r="AK127" s="39"/>
      <c r="AL127" s="39">
        <f>AH127*AD126</f>
        <v>0</v>
      </c>
      <c r="AQ127" s="140"/>
      <c r="AR127" s="140"/>
      <c r="AS127" s="139"/>
      <c r="AT127" s="139"/>
      <c r="AU127" s="139"/>
    </row>
    <row r="128" spans="1:47" ht="15" customHeight="1" x14ac:dyDescent="0.4">
      <c r="C128" s="36"/>
      <c r="D128" s="36"/>
      <c r="E128" s="447"/>
      <c r="F128" s="155"/>
      <c r="G128" s="7"/>
      <c r="H128" s="20"/>
      <c r="U128" s="20"/>
      <c r="V128" s="38" t="s">
        <v>369</v>
      </c>
      <c r="W128" s="3" t="s">
        <v>372</v>
      </c>
      <c r="X128" s="38" t="s">
        <v>369</v>
      </c>
      <c r="Y128" s="1443">
        <v>430027021</v>
      </c>
      <c r="Z128" s="41"/>
      <c r="AA128" s="20"/>
      <c r="AE128" s="3"/>
      <c r="AF128" s="3"/>
      <c r="AH128" s="39">
        <f>1*AG126</f>
        <v>0</v>
      </c>
      <c r="AI128" s="39"/>
      <c r="AJ128" s="39"/>
      <c r="AK128" s="39"/>
      <c r="AL128" s="39">
        <f>AH128*AD126</f>
        <v>0</v>
      </c>
      <c r="AQ128" s="140"/>
      <c r="AR128" s="140"/>
      <c r="AS128" s="139"/>
      <c r="AT128" s="139"/>
      <c r="AU128" s="139"/>
    </row>
    <row r="129" spans="2:47" ht="15" customHeight="1" x14ac:dyDescent="0.4">
      <c r="C129" s="36"/>
      <c r="D129" s="36"/>
      <c r="E129" s="447"/>
      <c r="F129" s="155"/>
      <c r="G129" s="7"/>
      <c r="H129" s="20"/>
      <c r="U129" s="20"/>
      <c r="V129" s="38" t="s">
        <v>369</v>
      </c>
      <c r="W129" s="3" t="s">
        <v>373</v>
      </c>
      <c r="X129" s="38" t="s">
        <v>369</v>
      </c>
      <c r="Y129" s="1443">
        <v>430027033</v>
      </c>
      <c r="Z129" s="41"/>
      <c r="AA129" s="20"/>
      <c r="AE129" s="3"/>
      <c r="AF129" s="3"/>
      <c r="AH129" s="39">
        <f>1*AG126</f>
        <v>0</v>
      </c>
      <c r="AI129" s="39"/>
      <c r="AJ129" s="39"/>
      <c r="AK129" s="39"/>
      <c r="AL129" s="39">
        <f>AH129*AD126</f>
        <v>0</v>
      </c>
      <c r="AQ129" s="140"/>
      <c r="AR129" s="140"/>
      <c r="AS129" s="139"/>
      <c r="AT129" s="139"/>
      <c r="AU129" s="139"/>
    </row>
    <row r="130" spans="2:47" ht="15" customHeight="1" x14ac:dyDescent="0.4">
      <c r="C130" s="36"/>
      <c r="D130" s="36"/>
      <c r="E130" s="447"/>
      <c r="F130" s="155"/>
      <c r="G130" s="7"/>
      <c r="H130" s="20"/>
      <c r="U130" s="20"/>
      <c r="V130" s="38" t="s">
        <v>369</v>
      </c>
      <c r="W130" s="3" t="s">
        <v>374</v>
      </c>
      <c r="X130" s="38" t="s">
        <v>369</v>
      </c>
      <c r="Y130" s="1443">
        <v>430027090</v>
      </c>
      <c r="Z130" s="41"/>
      <c r="AA130" s="20"/>
      <c r="AE130" s="3"/>
      <c r="AF130" s="3"/>
      <c r="AH130" s="1036">
        <f>1*AG127</f>
        <v>0</v>
      </c>
      <c r="AI130" s="39"/>
      <c r="AJ130" s="39"/>
      <c r="AK130" s="39"/>
      <c r="AL130" s="39">
        <f>AH130*AD127</f>
        <v>0</v>
      </c>
      <c r="AQ130" s="140"/>
      <c r="AR130" s="140"/>
      <c r="AS130" s="139"/>
      <c r="AT130" s="139"/>
      <c r="AU130" s="139"/>
    </row>
    <row r="131" spans="2:47" ht="15" customHeight="1" x14ac:dyDescent="0.4">
      <c r="C131" s="36"/>
      <c r="D131" s="36"/>
      <c r="E131" s="447"/>
      <c r="F131" s="155"/>
      <c r="G131" s="7"/>
      <c r="H131" s="20"/>
      <c r="U131" s="20"/>
      <c r="V131" s="38" t="s">
        <v>369</v>
      </c>
      <c r="W131" s="3" t="s">
        <v>375</v>
      </c>
      <c r="X131" s="38" t="s">
        <v>369</v>
      </c>
      <c r="Y131" s="1443">
        <v>430027133</v>
      </c>
      <c r="Z131" s="41"/>
      <c r="AA131" s="20"/>
      <c r="AE131" s="3"/>
      <c r="AF131" s="3"/>
      <c r="AH131" s="39"/>
      <c r="AI131" s="39"/>
      <c r="AJ131" s="39"/>
      <c r="AK131" s="39"/>
      <c r="AQ131" s="140"/>
      <c r="AR131" s="140"/>
      <c r="AS131" s="139"/>
      <c r="AT131" s="139"/>
      <c r="AU131" s="139"/>
    </row>
    <row r="132" spans="2:47" ht="15" customHeight="1" thickBot="1" x14ac:dyDescent="0.45">
      <c r="C132" s="36"/>
      <c r="D132" s="36"/>
      <c r="E132" s="447"/>
      <c r="F132" s="155"/>
      <c r="G132" s="7"/>
      <c r="H132" s="20"/>
      <c r="U132" s="20"/>
      <c r="V132" s="279" t="s">
        <v>369</v>
      </c>
      <c r="W132" s="112" t="s">
        <v>1849</v>
      </c>
      <c r="X132" s="279" t="s">
        <v>369</v>
      </c>
      <c r="Y132" s="1878">
        <v>430027148</v>
      </c>
      <c r="Z132" s="41"/>
      <c r="AA132" s="20"/>
      <c r="AB132" s="889"/>
      <c r="AC132" s="889"/>
      <c r="AD132" s="945"/>
      <c r="AE132" s="889"/>
      <c r="AF132" s="889"/>
      <c r="AG132" s="945"/>
      <c r="AH132" s="947">
        <v>0</v>
      </c>
      <c r="AI132" s="947"/>
      <c r="AJ132" s="947"/>
      <c r="AK132" s="947"/>
      <c r="AL132" s="947">
        <f t="shared" ref="AL132" si="7">AH132*AD129</f>
        <v>0</v>
      </c>
      <c r="AM132" s="947"/>
      <c r="AN132" s="947"/>
      <c r="AO132" s="947"/>
      <c r="AP132" s="947"/>
      <c r="AQ132" s="947"/>
      <c r="AR132" s="140"/>
      <c r="AS132" s="139"/>
      <c r="AT132" s="139"/>
      <c r="AU132" s="139"/>
    </row>
    <row r="133" spans="2:47" ht="15" customHeight="1" x14ac:dyDescent="0.4">
      <c r="C133" s="476" t="s">
        <v>1140</v>
      </c>
      <c r="D133" s="116"/>
      <c r="E133" s="116"/>
      <c r="F133" s="173"/>
      <c r="G133" s="173"/>
      <c r="H133" s="193"/>
      <c r="I133" s="114"/>
      <c r="J133" s="116"/>
      <c r="K133" s="116"/>
      <c r="L133" s="116"/>
      <c r="M133" s="177"/>
      <c r="N133" s="177"/>
      <c r="O133" s="177"/>
      <c r="P133" s="177"/>
      <c r="Q133" s="177"/>
      <c r="R133" s="116"/>
      <c r="S133" s="198">
        <v>1</v>
      </c>
      <c r="T133" s="116" t="s">
        <v>385</v>
      </c>
      <c r="U133" s="193"/>
      <c r="V133" s="179"/>
      <c r="W133" s="116"/>
      <c r="X133" s="179"/>
      <c r="Y133" s="116"/>
      <c r="Z133" s="116"/>
      <c r="AA133" s="193"/>
      <c r="AB133" s="3">
        <v>42</v>
      </c>
      <c r="AC133" s="3">
        <v>2</v>
      </c>
      <c r="AD133" s="56">
        <f>AC133*S133</f>
        <v>2</v>
      </c>
      <c r="AE133" s="3" t="s">
        <v>367</v>
      </c>
      <c r="AF133" s="38"/>
      <c r="AG133" s="38"/>
      <c r="AH133" s="477">
        <v>5.0000000000000001E-3</v>
      </c>
      <c r="AI133" s="39"/>
      <c r="AJ133" s="39"/>
      <c r="AK133" s="39"/>
      <c r="AL133" s="39">
        <f>AH133*AD133</f>
        <v>0.01</v>
      </c>
      <c r="AQ133" s="139"/>
      <c r="AR133" s="139"/>
      <c r="AS133" s="139"/>
      <c r="AT133" s="139"/>
      <c r="AU133" s="139"/>
    </row>
    <row r="134" spans="2:47" ht="15" customHeight="1" x14ac:dyDescent="0.4">
      <c r="B134" s="36"/>
      <c r="C134" s="7"/>
      <c r="D134" s="7"/>
      <c r="E134" s="7"/>
      <c r="F134" s="7"/>
      <c r="G134" s="7"/>
      <c r="I134" s="8"/>
      <c r="S134" s="56"/>
      <c r="V134" s="38" t="s">
        <v>369</v>
      </c>
      <c r="W134" s="3" t="s">
        <v>370</v>
      </c>
      <c r="X134" s="38" t="s">
        <v>369</v>
      </c>
      <c r="Y134" s="1443">
        <v>440029003</v>
      </c>
      <c r="Z134" s="41"/>
      <c r="AD134" s="56"/>
      <c r="AE134" s="3"/>
      <c r="AF134" s="38"/>
      <c r="AG134" s="38"/>
      <c r="AH134" s="477"/>
      <c r="AI134" s="39"/>
      <c r="AJ134" s="39"/>
      <c r="AK134" s="39"/>
      <c r="AQ134" s="139"/>
      <c r="AR134" s="139"/>
      <c r="AS134" s="139"/>
      <c r="AT134" s="139"/>
      <c r="AU134" s="139"/>
    </row>
    <row r="135" spans="2:47" ht="15" customHeight="1" x14ac:dyDescent="0.4">
      <c r="B135" s="36"/>
      <c r="C135" s="7"/>
      <c r="D135" s="7"/>
      <c r="E135" s="7"/>
      <c r="F135" s="7"/>
      <c r="G135" s="7"/>
      <c r="I135" s="8"/>
      <c r="S135" s="56"/>
      <c r="V135" s="38" t="s">
        <v>369</v>
      </c>
      <c r="W135" s="3" t="s">
        <v>372</v>
      </c>
      <c r="X135" s="38" t="s">
        <v>369</v>
      </c>
      <c r="Y135" s="1443">
        <v>440029021</v>
      </c>
      <c r="Z135" s="41"/>
      <c r="AD135" s="56"/>
      <c r="AE135" s="3"/>
      <c r="AF135" s="38"/>
      <c r="AG135" s="38"/>
      <c r="AH135" s="477"/>
      <c r="AI135" s="39"/>
      <c r="AJ135" s="39"/>
      <c r="AK135" s="39"/>
      <c r="AQ135" s="139"/>
      <c r="AR135" s="139"/>
      <c r="AS135" s="139"/>
      <c r="AT135" s="139"/>
      <c r="AU135" s="139"/>
    </row>
    <row r="136" spans="2:47" ht="15" customHeight="1" x14ac:dyDescent="0.4">
      <c r="B136" s="36"/>
      <c r="C136" s="7"/>
      <c r="D136" s="7"/>
      <c r="E136" s="7"/>
      <c r="F136" s="7"/>
      <c r="G136" s="7"/>
      <c r="I136" s="8"/>
      <c r="S136" s="56"/>
      <c r="V136" s="38" t="s">
        <v>369</v>
      </c>
      <c r="W136" s="3" t="s">
        <v>373</v>
      </c>
      <c r="X136" s="38" t="s">
        <v>369</v>
      </c>
      <c r="Y136" s="1443">
        <v>440029033</v>
      </c>
      <c r="Z136" s="41"/>
      <c r="AD136" s="56"/>
      <c r="AE136" s="3"/>
      <c r="AF136" s="38"/>
      <c r="AG136" s="38"/>
      <c r="AH136" s="477"/>
      <c r="AI136" s="39"/>
      <c r="AJ136" s="39"/>
      <c r="AK136" s="39"/>
      <c r="AQ136" s="139"/>
      <c r="AR136" s="139"/>
      <c r="AS136" s="139"/>
      <c r="AT136" s="139"/>
      <c r="AU136" s="139"/>
    </row>
    <row r="137" spans="2:47" ht="15" customHeight="1" x14ac:dyDescent="0.4">
      <c r="B137" s="36"/>
      <c r="C137" s="7"/>
      <c r="D137" s="7"/>
      <c r="E137" s="7"/>
      <c r="F137" s="7"/>
      <c r="G137" s="7"/>
      <c r="I137" s="8"/>
      <c r="S137" s="56"/>
      <c r="V137" s="38" t="s">
        <v>369</v>
      </c>
      <c r="W137" s="3" t="s">
        <v>374</v>
      </c>
      <c r="X137" s="38" t="s">
        <v>369</v>
      </c>
      <c r="Y137" s="1443">
        <v>440029090</v>
      </c>
      <c r="Z137" s="41"/>
      <c r="AD137" s="56"/>
      <c r="AE137" s="3"/>
      <c r="AF137" s="38"/>
      <c r="AG137" s="38"/>
      <c r="AH137" s="1045">
        <v>0</v>
      </c>
      <c r="AI137" s="39"/>
      <c r="AJ137" s="39"/>
      <c r="AK137" s="39"/>
      <c r="AQ137" s="139"/>
      <c r="AR137" s="139"/>
      <c r="AS137" s="139"/>
      <c r="AT137" s="139"/>
      <c r="AU137" s="139"/>
    </row>
    <row r="138" spans="2:47" ht="15" customHeight="1" x14ac:dyDescent="0.4">
      <c r="B138" s="36"/>
      <c r="C138" s="7"/>
      <c r="D138" s="7"/>
      <c r="E138" s="7"/>
      <c r="F138" s="7"/>
      <c r="G138" s="7"/>
      <c r="I138" s="8"/>
      <c r="S138" s="56"/>
      <c r="V138" s="38" t="s">
        <v>369</v>
      </c>
      <c r="W138" s="3" t="s">
        <v>375</v>
      </c>
      <c r="X138" s="38" t="s">
        <v>369</v>
      </c>
      <c r="Y138" s="1443">
        <v>440029133</v>
      </c>
      <c r="Z138" s="41"/>
      <c r="AD138" s="56"/>
      <c r="AE138" s="3"/>
      <c r="AF138" s="38"/>
      <c r="AG138" s="38"/>
      <c r="AH138" s="477"/>
      <c r="AI138" s="39"/>
      <c r="AJ138" s="39"/>
      <c r="AK138" s="39"/>
      <c r="AQ138" s="139"/>
      <c r="AR138" s="139"/>
      <c r="AS138" s="139"/>
      <c r="AT138" s="139"/>
      <c r="AU138" s="139"/>
    </row>
    <row r="139" spans="2:47" ht="15" customHeight="1" thickBot="1" x14ac:dyDescent="0.45">
      <c r="B139" s="36"/>
      <c r="C139" s="7"/>
      <c r="D139" s="7"/>
      <c r="E139" s="7"/>
      <c r="F139" s="7"/>
      <c r="G139" s="7"/>
      <c r="I139" s="8"/>
      <c r="S139" s="56"/>
      <c r="V139" s="279" t="s">
        <v>369</v>
      </c>
      <c r="W139" s="112" t="s">
        <v>1849</v>
      </c>
      <c r="X139" s="279" t="s">
        <v>369</v>
      </c>
      <c r="Y139" s="1871">
        <v>440029148</v>
      </c>
      <c r="Z139" s="41"/>
      <c r="AB139" s="889"/>
      <c r="AC139" s="889"/>
      <c r="AD139" s="1156"/>
      <c r="AE139" s="889"/>
      <c r="AF139" s="888"/>
      <c r="AG139" s="888"/>
      <c r="AH139" s="1157">
        <v>0</v>
      </c>
      <c r="AI139" s="947"/>
      <c r="AJ139" s="947"/>
      <c r="AK139" s="947"/>
      <c r="AL139" s="947"/>
      <c r="AM139" s="947"/>
      <c r="AN139" s="947"/>
      <c r="AO139" s="947"/>
      <c r="AP139" s="947"/>
      <c r="AQ139" s="947"/>
      <c r="AR139" s="139"/>
      <c r="AS139" s="139"/>
      <c r="AT139" s="139"/>
      <c r="AU139" s="139"/>
    </row>
    <row r="140" spans="2:47" ht="15" customHeight="1" x14ac:dyDescent="0.4">
      <c r="C140" s="476" t="s">
        <v>416</v>
      </c>
      <c r="D140" s="116"/>
      <c r="E140" s="116"/>
      <c r="F140" s="173"/>
      <c r="G140" s="173"/>
      <c r="H140" s="193"/>
      <c r="I140" s="114"/>
      <c r="J140" s="116"/>
      <c r="K140" s="116"/>
      <c r="L140" s="116"/>
      <c r="M140" s="177"/>
      <c r="N140" s="177"/>
      <c r="O140" s="177"/>
      <c r="P140" s="177"/>
      <c r="Q140" s="177"/>
      <c r="R140" s="116"/>
      <c r="S140" s="198">
        <v>1</v>
      </c>
      <c r="T140" s="116" t="s">
        <v>385</v>
      </c>
      <c r="U140" s="193"/>
      <c r="V140" s="179"/>
      <c r="W140" s="116"/>
      <c r="X140" s="179"/>
      <c r="Y140" s="116"/>
      <c r="Z140" s="116"/>
      <c r="AA140" s="193"/>
      <c r="AB140" s="3">
        <v>42</v>
      </c>
      <c r="AC140" s="3">
        <v>4</v>
      </c>
      <c r="AD140" s="56">
        <f>AC140*S140</f>
        <v>4</v>
      </c>
      <c r="AE140" s="3" t="s">
        <v>367</v>
      </c>
      <c r="AF140" s="38"/>
      <c r="AG140" s="38"/>
      <c r="AH140" s="477">
        <v>5.0000000000000001E-3</v>
      </c>
      <c r="AI140" s="39"/>
      <c r="AJ140" s="39"/>
      <c r="AK140" s="39"/>
      <c r="AL140" s="39">
        <f>AH140*AD140</f>
        <v>0.02</v>
      </c>
      <c r="AQ140" s="139"/>
      <c r="AR140" s="139"/>
      <c r="AS140" s="139"/>
      <c r="AT140" s="139"/>
      <c r="AU140" s="139"/>
    </row>
    <row r="141" spans="2:47" ht="15" customHeight="1" x14ac:dyDescent="0.4">
      <c r="B141" s="36"/>
      <c r="C141" s="7"/>
      <c r="D141" s="7"/>
      <c r="E141" s="7"/>
      <c r="F141" s="7"/>
      <c r="G141" s="7"/>
      <c r="I141" s="8"/>
      <c r="S141" s="56"/>
      <c r="V141" s="38" t="s">
        <v>369</v>
      </c>
      <c r="W141" s="3" t="s">
        <v>370</v>
      </c>
      <c r="X141" s="38" t="s">
        <v>369</v>
      </c>
      <c r="Y141" s="1443">
        <v>440016006</v>
      </c>
      <c r="Z141" s="41"/>
      <c r="AD141" s="56"/>
      <c r="AE141" s="3"/>
      <c r="AF141" s="38"/>
      <c r="AG141" s="38"/>
      <c r="AH141" s="477"/>
      <c r="AI141" s="477"/>
      <c r="AJ141" s="477"/>
      <c r="AK141" s="477"/>
      <c r="AQ141" s="139"/>
      <c r="AR141" s="139"/>
      <c r="AS141" s="139"/>
      <c r="AT141" s="139"/>
      <c r="AU141" s="139"/>
    </row>
    <row r="142" spans="2:47" ht="15" customHeight="1" x14ac:dyDescent="0.4">
      <c r="B142" s="36"/>
      <c r="C142" s="7"/>
      <c r="D142" s="7"/>
      <c r="E142" s="7"/>
      <c r="F142" s="7"/>
      <c r="G142" s="7"/>
      <c r="I142" s="8"/>
      <c r="S142" s="56"/>
      <c r="V142" s="38" t="s">
        <v>369</v>
      </c>
      <c r="W142" s="3" t="s">
        <v>372</v>
      </c>
      <c r="X142" s="38" t="s">
        <v>369</v>
      </c>
      <c r="Y142" s="1443">
        <v>440016021</v>
      </c>
      <c r="Z142" s="41"/>
      <c r="AD142" s="56"/>
      <c r="AE142" s="3"/>
      <c r="AF142" s="38"/>
      <c r="AG142" s="38"/>
      <c r="AH142" s="477"/>
      <c r="AI142" s="477"/>
      <c r="AJ142" s="477"/>
      <c r="AK142" s="477"/>
      <c r="AQ142" s="139"/>
      <c r="AR142" s="139"/>
      <c r="AS142" s="139"/>
      <c r="AT142" s="139"/>
      <c r="AU142" s="139"/>
    </row>
    <row r="143" spans="2:47" ht="12.75" customHeight="1" x14ac:dyDescent="0.4">
      <c r="B143" s="36"/>
      <c r="C143" s="7"/>
      <c r="D143" s="7"/>
      <c r="E143" s="7"/>
      <c r="F143" s="7"/>
      <c r="G143" s="7"/>
      <c r="I143" s="8"/>
      <c r="S143" s="56"/>
      <c r="V143" s="38" t="s">
        <v>369</v>
      </c>
      <c r="W143" s="3" t="s">
        <v>373</v>
      </c>
      <c r="X143" s="38" t="s">
        <v>369</v>
      </c>
      <c r="Y143" s="1443">
        <v>440016033</v>
      </c>
      <c r="Z143" s="41"/>
      <c r="AD143" s="56"/>
      <c r="AE143" s="3"/>
      <c r="AF143" s="38"/>
      <c r="AG143" s="38"/>
      <c r="AH143" s="477"/>
      <c r="AI143" s="477"/>
      <c r="AJ143" s="477"/>
      <c r="AK143" s="477"/>
      <c r="AQ143" s="139"/>
      <c r="AR143" s="139"/>
      <c r="AS143" s="139"/>
      <c r="AT143" s="139"/>
      <c r="AU143" s="139"/>
    </row>
    <row r="144" spans="2:47" ht="12.75" customHeight="1" x14ac:dyDescent="0.4">
      <c r="B144" s="36"/>
      <c r="C144" s="7"/>
      <c r="D144" s="7"/>
      <c r="E144" s="7"/>
      <c r="F144" s="7"/>
      <c r="G144" s="7"/>
      <c r="I144" s="8"/>
      <c r="S144" s="56"/>
      <c r="V144" s="38" t="s">
        <v>369</v>
      </c>
      <c r="W144" s="3" t="s">
        <v>374</v>
      </c>
      <c r="X144" s="38" t="s">
        <v>369</v>
      </c>
      <c r="Y144" s="1443">
        <v>440016090</v>
      </c>
      <c r="Z144" s="41"/>
      <c r="AD144" s="56"/>
      <c r="AE144" s="3"/>
      <c r="AF144" s="38"/>
      <c r="AG144" s="38"/>
      <c r="AH144" s="1045">
        <v>0</v>
      </c>
      <c r="AI144" s="477"/>
      <c r="AJ144" s="477"/>
      <c r="AK144" s="477"/>
      <c r="AQ144" s="139"/>
      <c r="AR144" s="139"/>
      <c r="AS144" s="139"/>
      <c r="AT144" s="139"/>
      <c r="AU144" s="139"/>
    </row>
    <row r="145" spans="2:47" ht="12.75" customHeight="1" thickBot="1" x14ac:dyDescent="0.45">
      <c r="B145" s="36"/>
      <c r="C145" s="7"/>
      <c r="D145" s="7"/>
      <c r="E145" s="7"/>
      <c r="F145" s="7"/>
      <c r="G145" s="7"/>
      <c r="I145" s="8"/>
      <c r="S145" s="56"/>
      <c r="V145" s="38" t="s">
        <v>369</v>
      </c>
      <c r="W145" s="3" t="s">
        <v>375</v>
      </c>
      <c r="X145" s="38" t="s">
        <v>369</v>
      </c>
      <c r="Y145" s="1443">
        <v>440016133</v>
      </c>
      <c r="Z145" s="41"/>
      <c r="AD145" s="56"/>
      <c r="AE145" s="3"/>
      <c r="AF145" s="38"/>
      <c r="AG145" s="38"/>
      <c r="AH145" s="477"/>
      <c r="AI145" s="477"/>
      <c r="AJ145" s="477"/>
      <c r="AK145" s="477"/>
      <c r="AM145" s="947"/>
      <c r="AN145" s="947"/>
      <c r="AO145" s="947"/>
      <c r="AP145" s="947"/>
      <c r="AQ145" s="947"/>
      <c r="AR145" s="139"/>
      <c r="AS145" s="139"/>
      <c r="AT145" s="139"/>
      <c r="AU145" s="139"/>
    </row>
    <row r="146" spans="2:47" ht="15" customHeight="1" x14ac:dyDescent="0.4">
      <c r="B146" s="3"/>
      <c r="C146" s="448"/>
      <c r="D146" s="449" t="s">
        <v>1141</v>
      </c>
      <c r="E146" s="182"/>
      <c r="F146" s="430" t="s">
        <v>418</v>
      </c>
      <c r="G146" s="431">
        <v>3</v>
      </c>
      <c r="H146" s="175"/>
      <c r="I146" s="432" t="str">
        <f xml:space="preserve"> "Length = INT ( ( UW - " &amp;FIXED(G147,2)&amp;") / "&amp;FIXED(G146,2)&amp;" ) *"&amp;FIXED(G146,2)</f>
        <v>Length = INT ( ( UW - 2.00) / 3.00 ) *3.00</v>
      </c>
      <c r="J146" s="116"/>
      <c r="K146" s="116"/>
      <c r="L146" s="116"/>
      <c r="M146" s="177"/>
      <c r="N146" s="177"/>
      <c r="O146" s="177"/>
      <c r="P146" s="178"/>
      <c r="Q146" s="178"/>
      <c r="R146" s="116" t="s">
        <v>352</v>
      </c>
      <c r="S146" s="177">
        <f>INT((SLEQwidth-G147)/G146)*G146</f>
        <v>69</v>
      </c>
      <c r="T146" s="116" t="s">
        <v>366</v>
      </c>
      <c r="U146" s="175"/>
      <c r="V146" s="179"/>
      <c r="W146" s="116"/>
      <c r="X146" s="179"/>
      <c r="Y146" s="184"/>
      <c r="Z146" s="184"/>
      <c r="AA146" s="175"/>
      <c r="AB146" s="116">
        <v>42</v>
      </c>
      <c r="AC146" s="116">
        <v>1</v>
      </c>
      <c r="AD146" s="177">
        <f>AC146*S146/12</f>
        <v>5.75</v>
      </c>
      <c r="AE146" s="116" t="s">
        <v>367</v>
      </c>
      <c r="AF146" s="116">
        <v>0</v>
      </c>
      <c r="AG146" s="177">
        <f>AF146*AtolbperftEQ</f>
        <v>0</v>
      </c>
      <c r="AH146" s="185"/>
      <c r="AI146" s="185"/>
      <c r="AJ146" s="185"/>
      <c r="AK146" s="185"/>
      <c r="AL146" s="180"/>
      <c r="AQ146" s="139"/>
      <c r="AR146" s="139"/>
      <c r="AS146" s="139"/>
      <c r="AT146" s="139"/>
      <c r="AU146" s="139"/>
    </row>
    <row r="147" spans="2:47" ht="15" customHeight="1" x14ac:dyDescent="0.4">
      <c r="B147" s="36"/>
      <c r="C147" s="155"/>
      <c r="D147" s="155"/>
      <c r="E147" s="155"/>
      <c r="F147" s="434" t="s">
        <v>419</v>
      </c>
      <c r="G147" s="435">
        <v>2</v>
      </c>
      <c r="H147" s="20"/>
      <c r="P147" s="24"/>
      <c r="Q147" s="24"/>
      <c r="U147" s="20"/>
      <c r="V147" s="38" t="s">
        <v>369</v>
      </c>
      <c r="W147" s="3" t="s">
        <v>370</v>
      </c>
      <c r="X147" s="38" t="s">
        <v>369</v>
      </c>
      <c r="Y147" s="1443">
        <v>200143003</v>
      </c>
      <c r="Z147" s="41"/>
      <c r="AA147" s="20"/>
      <c r="AE147" s="3"/>
      <c r="AF147" s="38"/>
      <c r="AH147" s="39">
        <f>1*AG146</f>
        <v>0</v>
      </c>
      <c r="AI147" s="39"/>
      <c r="AJ147" s="39"/>
      <c r="AK147" s="39"/>
      <c r="AL147" s="39">
        <f>AH147*AD146</f>
        <v>0</v>
      </c>
      <c r="AQ147" s="139"/>
      <c r="AR147" s="139"/>
      <c r="AS147" s="139"/>
      <c r="AT147" s="139"/>
      <c r="AU147" s="139"/>
    </row>
    <row r="148" spans="2:47" ht="15" customHeight="1" x14ac:dyDescent="0.4">
      <c r="B148" s="36"/>
      <c r="C148" s="155"/>
      <c r="D148" s="155"/>
      <c r="E148" s="155"/>
      <c r="F148" s="155"/>
      <c r="G148" s="7"/>
      <c r="H148" s="20"/>
      <c r="P148" s="24"/>
      <c r="Q148" s="24"/>
      <c r="U148" s="20"/>
      <c r="V148" s="38" t="s">
        <v>369</v>
      </c>
      <c r="W148" s="3" t="s">
        <v>372</v>
      </c>
      <c r="X148" s="38" t="s">
        <v>369</v>
      </c>
      <c r="Y148" s="1443">
        <v>200143021</v>
      </c>
      <c r="Z148" s="41"/>
      <c r="AA148" s="20"/>
      <c r="AE148" s="3"/>
      <c r="AF148" s="3"/>
      <c r="AH148" s="39">
        <f>1*AG146</f>
        <v>0</v>
      </c>
      <c r="AI148" s="39"/>
      <c r="AJ148" s="39"/>
      <c r="AK148" s="39"/>
      <c r="AL148" s="39">
        <f>AH148*AD146</f>
        <v>0</v>
      </c>
      <c r="AQ148" s="139"/>
      <c r="AR148" s="139"/>
      <c r="AS148" s="139"/>
      <c r="AT148" s="139"/>
      <c r="AU148" s="139"/>
    </row>
    <row r="149" spans="2:47" ht="15" customHeight="1" x14ac:dyDescent="0.4">
      <c r="B149" s="36"/>
      <c r="C149" s="155"/>
      <c r="D149" s="155"/>
      <c r="E149" s="155"/>
      <c r="F149" s="155"/>
      <c r="G149" s="7"/>
      <c r="H149" s="20"/>
      <c r="P149" s="24"/>
      <c r="Q149" s="24"/>
      <c r="U149" s="20"/>
      <c r="V149" s="38" t="s">
        <v>369</v>
      </c>
      <c r="W149" s="3" t="s">
        <v>373</v>
      </c>
      <c r="X149" s="38" t="s">
        <v>369</v>
      </c>
      <c r="Y149" s="1443">
        <v>200143033</v>
      </c>
      <c r="Z149" s="41"/>
      <c r="AA149" s="20"/>
      <c r="AE149" s="3"/>
      <c r="AF149" s="3"/>
      <c r="AH149" s="39">
        <f>1*AG146</f>
        <v>0</v>
      </c>
      <c r="AI149" s="39"/>
      <c r="AJ149" s="39"/>
      <c r="AK149" s="39"/>
      <c r="AL149" s="39">
        <f>AH149*AD146</f>
        <v>0</v>
      </c>
      <c r="AQ149" s="139"/>
      <c r="AR149" s="139"/>
      <c r="AS149" s="139"/>
      <c r="AT149" s="139"/>
      <c r="AU149" s="139"/>
    </row>
    <row r="150" spans="2:47" ht="15" customHeight="1" x14ac:dyDescent="0.4">
      <c r="B150" s="36"/>
      <c r="C150" s="155"/>
      <c r="D150" s="155"/>
      <c r="E150" s="155"/>
      <c r="F150" s="155"/>
      <c r="G150" s="7"/>
      <c r="H150" s="20"/>
      <c r="P150" s="24"/>
      <c r="Q150" s="24"/>
      <c r="U150" s="20"/>
      <c r="V150" s="38" t="s">
        <v>369</v>
      </c>
      <c r="W150" s="3" t="s">
        <v>374</v>
      </c>
      <c r="X150" s="38" t="s">
        <v>369</v>
      </c>
      <c r="Y150" s="1443">
        <v>200143090</v>
      </c>
      <c r="Z150" s="41"/>
      <c r="AA150" s="20"/>
      <c r="AE150" s="3"/>
      <c r="AF150" s="3"/>
      <c r="AH150" s="1036">
        <f>1*AG147</f>
        <v>0</v>
      </c>
      <c r="AI150" s="39"/>
      <c r="AJ150" s="39"/>
      <c r="AK150" s="39"/>
      <c r="AL150" s="39">
        <f>AH150*AD147</f>
        <v>0</v>
      </c>
      <c r="AQ150" s="139"/>
      <c r="AR150" s="139"/>
      <c r="AS150" s="139"/>
      <c r="AT150" s="139"/>
      <c r="AU150" s="139"/>
    </row>
    <row r="151" spans="2:47" ht="15" customHeight="1" x14ac:dyDescent="0.4">
      <c r="B151" s="36"/>
      <c r="C151" s="155"/>
      <c r="D151" s="155"/>
      <c r="E151" s="155"/>
      <c r="F151" s="155"/>
      <c r="G151" s="7"/>
      <c r="H151" s="20"/>
      <c r="P151" s="24"/>
      <c r="Q151" s="24"/>
      <c r="U151" s="20"/>
      <c r="V151" s="38" t="s">
        <v>369</v>
      </c>
      <c r="W151" s="3" t="s">
        <v>375</v>
      </c>
      <c r="X151" s="38" t="s">
        <v>369</v>
      </c>
      <c r="Y151" s="1443">
        <v>200143133</v>
      </c>
      <c r="Z151" s="41"/>
      <c r="AA151" s="20"/>
      <c r="AE151" s="3"/>
      <c r="AF151" s="3"/>
      <c r="AH151" s="39"/>
      <c r="AI151" s="39"/>
      <c r="AJ151" s="39"/>
      <c r="AK151" s="39"/>
      <c r="AQ151" s="139"/>
      <c r="AR151" s="139"/>
      <c r="AS151" s="139"/>
      <c r="AT151" s="139"/>
      <c r="AU151" s="139"/>
    </row>
    <row r="152" spans="2:47" ht="15" customHeight="1" thickBot="1" x14ac:dyDescent="0.45">
      <c r="B152" s="36"/>
      <c r="C152" s="155"/>
      <c r="D152" s="155"/>
      <c r="E152" s="155"/>
      <c r="F152" s="155"/>
      <c r="G152" s="7"/>
      <c r="H152" s="20"/>
      <c r="P152" s="24"/>
      <c r="Q152" s="24"/>
      <c r="U152" s="20"/>
      <c r="V152" s="1876" t="s">
        <v>369</v>
      </c>
      <c r="W152" s="1877" t="s">
        <v>1849</v>
      </c>
      <c r="X152" s="1876" t="s">
        <v>369</v>
      </c>
      <c r="Y152" s="1878">
        <v>200143148</v>
      </c>
      <c r="Z152" s="41"/>
      <c r="AA152" s="20"/>
      <c r="AE152" s="3"/>
      <c r="AF152" s="3"/>
      <c r="AH152" s="39">
        <v>0</v>
      </c>
      <c r="AI152" s="39"/>
      <c r="AJ152" s="39"/>
      <c r="AK152" s="39"/>
      <c r="AL152" s="39">
        <f t="shared" ref="AL152" si="8">AH152*AD149</f>
        <v>0</v>
      </c>
      <c r="AM152" s="947"/>
      <c r="AN152" s="947"/>
      <c r="AO152" s="947"/>
      <c r="AP152" s="947"/>
      <c r="AQ152" s="947"/>
      <c r="AR152" s="139"/>
      <c r="AS152" s="139"/>
      <c r="AT152" s="139"/>
      <c r="AU152" s="139"/>
    </row>
    <row r="153" spans="2:47" ht="15" customHeight="1" thickBot="1" x14ac:dyDescent="0.45">
      <c r="B153" s="135" t="s">
        <v>420</v>
      </c>
      <c r="C153" s="827"/>
      <c r="D153" s="827"/>
      <c r="E153" s="827"/>
      <c r="F153" s="827"/>
      <c r="G153" s="135"/>
      <c r="H153" s="828"/>
      <c r="I153" s="136"/>
      <c r="J153" s="136"/>
      <c r="K153" s="136"/>
      <c r="L153" s="136"/>
      <c r="M153" s="506"/>
      <c r="N153" s="506"/>
      <c r="O153" s="506"/>
      <c r="P153" s="496"/>
      <c r="Q153" s="496"/>
      <c r="R153" s="136"/>
      <c r="S153" s="506"/>
      <c r="T153" s="136"/>
      <c r="U153" s="828"/>
      <c r="V153" s="557"/>
      <c r="W153" s="136"/>
      <c r="X153" s="557"/>
      <c r="Y153" s="829"/>
      <c r="Z153" s="829"/>
      <c r="AA153" s="828"/>
      <c r="AB153" s="136"/>
      <c r="AC153" s="136"/>
      <c r="AD153" s="506"/>
      <c r="AE153" s="136"/>
      <c r="AF153" s="136"/>
      <c r="AG153" s="506"/>
      <c r="AH153" s="475"/>
      <c r="AI153" s="137"/>
      <c r="AJ153" s="137"/>
      <c r="AK153" s="137"/>
      <c r="AL153" s="137"/>
      <c r="AM153" s="947"/>
      <c r="AN153" s="947"/>
      <c r="AO153" s="947"/>
      <c r="AP153" s="947"/>
      <c r="AQ153" s="947"/>
      <c r="AR153" s="139"/>
      <c r="AS153" s="139"/>
      <c r="AT153" s="139"/>
      <c r="AU153" s="139"/>
    </row>
    <row r="154" spans="2:47" ht="15" customHeight="1" x14ac:dyDescent="0.4">
      <c r="B154" s="36"/>
      <c r="C154" s="476" t="s">
        <v>421</v>
      </c>
      <c r="G154" s="7"/>
      <c r="H154" s="20"/>
      <c r="P154" s="24"/>
      <c r="Q154" s="24"/>
      <c r="S154" s="5">
        <v>1</v>
      </c>
      <c r="U154" s="20"/>
      <c r="V154" s="38" t="s">
        <v>369</v>
      </c>
      <c r="W154" s="3" t="s">
        <v>422</v>
      </c>
      <c r="X154" s="38" t="s">
        <v>369</v>
      </c>
      <c r="Y154" s="1443">
        <v>120032000</v>
      </c>
      <c r="Z154" s="41">
        <v>251334</v>
      </c>
      <c r="AA154" s="20"/>
      <c r="AB154" s="3">
        <v>45</v>
      </c>
      <c r="AC154" s="3">
        <v>1</v>
      </c>
      <c r="AD154" s="177">
        <f>S154*AC154</f>
        <v>1</v>
      </c>
      <c r="AE154" s="3"/>
      <c r="AF154" s="3"/>
      <c r="AH154" s="51">
        <v>7.7600000000000002E-2</v>
      </c>
      <c r="AI154" s="39"/>
      <c r="AJ154" s="39"/>
      <c r="AK154" s="39"/>
      <c r="AL154" s="39">
        <f>AD$154*AH154+SUM(AI154:AK154)</f>
        <v>7.7600000000000002E-2</v>
      </c>
      <c r="AQ154" s="139"/>
      <c r="AR154" s="139"/>
      <c r="AS154" s="139"/>
      <c r="AT154" s="139"/>
      <c r="AU154" s="139"/>
    </row>
    <row r="155" spans="2:47" ht="15" customHeight="1" thickBot="1" x14ac:dyDescent="0.45">
      <c r="B155" s="36"/>
      <c r="C155" s="1191"/>
      <c r="D155" s="968"/>
      <c r="E155" s="968"/>
      <c r="F155" s="968"/>
      <c r="G155" s="924"/>
      <c r="H155" s="887"/>
      <c r="I155" s="889"/>
      <c r="J155" s="889"/>
      <c r="K155" s="889"/>
      <c r="L155" s="889"/>
      <c r="M155" s="945"/>
      <c r="N155" s="945"/>
      <c r="O155" s="945"/>
      <c r="P155" s="1020"/>
      <c r="Q155" s="1020"/>
      <c r="R155" s="889"/>
      <c r="S155" s="945"/>
      <c r="T155" s="889"/>
      <c r="U155" s="887"/>
      <c r="V155" s="888"/>
      <c r="W155" s="889"/>
      <c r="X155" s="888"/>
      <c r="Y155" s="1444"/>
      <c r="Z155" s="946"/>
      <c r="AA155" s="887"/>
      <c r="AB155" s="889"/>
      <c r="AC155" s="889"/>
      <c r="AD155" s="945"/>
      <c r="AE155" s="889"/>
      <c r="AF155" s="889"/>
      <c r="AG155" s="945"/>
      <c r="AH155" s="937"/>
      <c r="AI155" s="947"/>
      <c r="AJ155" s="947"/>
      <c r="AK155" s="947"/>
      <c r="AL155" s="947"/>
      <c r="AM155" s="947"/>
      <c r="AN155" s="947"/>
      <c r="AO155" s="947"/>
      <c r="AP155" s="947"/>
      <c r="AQ155" s="947"/>
      <c r="AR155" s="139"/>
      <c r="AS155" s="139"/>
      <c r="AT155" s="139"/>
      <c r="AU155" s="139"/>
    </row>
    <row r="156" spans="2:47" ht="15" customHeight="1" x14ac:dyDescent="0.4">
      <c r="B156" s="36"/>
      <c r="C156" s="7" t="s">
        <v>423</v>
      </c>
      <c r="G156" s="7"/>
      <c r="H156" s="20"/>
      <c r="P156" s="24"/>
      <c r="Q156" s="24"/>
      <c r="S156" s="5">
        <v>1</v>
      </c>
      <c r="U156" s="20"/>
      <c r="V156" s="38" t="s">
        <v>369</v>
      </c>
      <c r="X156" s="38" t="s">
        <v>369</v>
      </c>
      <c r="Y156" s="1443">
        <v>170243000</v>
      </c>
      <c r="Z156" s="41" t="s">
        <v>424</v>
      </c>
      <c r="AA156" s="20"/>
      <c r="AB156" s="3">
        <v>42</v>
      </c>
      <c r="AC156" s="3">
        <v>1</v>
      </c>
      <c r="AD156" s="5">
        <f>S156*AC156</f>
        <v>1</v>
      </c>
      <c r="AE156" s="3"/>
      <c r="AF156" s="3"/>
      <c r="AH156" s="51">
        <v>0.01</v>
      </c>
      <c r="AI156" s="39"/>
      <c r="AJ156" s="39"/>
      <c r="AK156" s="39"/>
      <c r="AL156" s="39">
        <f>AD$156*AH156+SUM(AI156:AK156)</f>
        <v>0.01</v>
      </c>
      <c r="AQ156" s="139"/>
      <c r="AR156" s="139"/>
      <c r="AS156" s="139"/>
      <c r="AT156" s="139"/>
      <c r="AU156" s="139"/>
    </row>
    <row r="157" spans="2:47" ht="15" customHeight="1" thickBot="1" x14ac:dyDescent="0.45">
      <c r="B157" s="36"/>
      <c r="C157" s="924"/>
      <c r="D157" s="968"/>
      <c r="E157" s="968"/>
      <c r="F157" s="968"/>
      <c r="G157" s="924"/>
      <c r="H157" s="887"/>
      <c r="I157" s="889"/>
      <c r="J157" s="889"/>
      <c r="K157" s="889"/>
      <c r="L157" s="889"/>
      <c r="M157" s="945"/>
      <c r="N157" s="945"/>
      <c r="O157" s="945"/>
      <c r="P157" s="1020"/>
      <c r="Q157" s="1020"/>
      <c r="R157" s="889"/>
      <c r="S157" s="945"/>
      <c r="T157" s="889"/>
      <c r="U157" s="887"/>
      <c r="V157" s="888"/>
      <c r="W157" s="889"/>
      <c r="X157" s="888"/>
      <c r="Y157" s="1444"/>
      <c r="Z157" s="946"/>
      <c r="AA157" s="887"/>
      <c r="AB157" s="889"/>
      <c r="AC157" s="889"/>
      <c r="AD157" s="945"/>
      <c r="AE157" s="889"/>
      <c r="AF157" s="889"/>
      <c r="AG157" s="945"/>
      <c r="AH157" s="937"/>
      <c r="AI157" s="947"/>
      <c r="AJ157" s="947"/>
      <c r="AK157" s="947"/>
      <c r="AL157" s="947"/>
      <c r="AM157" s="889"/>
      <c r="AN157" s="889"/>
      <c r="AO157" s="889"/>
      <c r="AP157" s="889"/>
      <c r="AQ157" s="1163"/>
      <c r="AR157" s="139"/>
      <c r="AS157" s="139"/>
      <c r="AT157" s="139"/>
      <c r="AU157" s="139"/>
    </row>
    <row r="158" spans="2:47" ht="15" customHeight="1" x14ac:dyDescent="0.4">
      <c r="B158" s="36"/>
      <c r="C158" s="7" t="s">
        <v>425</v>
      </c>
      <c r="G158" s="7"/>
      <c r="H158" s="20"/>
      <c r="M158" s="5" t="s">
        <v>426</v>
      </c>
      <c r="P158" s="24"/>
      <c r="Q158" s="24"/>
      <c r="S158" s="5">
        <v>1</v>
      </c>
      <c r="U158" s="20"/>
      <c r="V158" s="38" t="s">
        <v>369</v>
      </c>
      <c r="X158" s="38" t="s">
        <v>369</v>
      </c>
      <c r="Y158" s="1443">
        <v>440121000</v>
      </c>
      <c r="Z158" s="41">
        <v>254058</v>
      </c>
      <c r="AA158" s="20"/>
      <c r="AB158" s="3">
        <v>45</v>
      </c>
      <c r="AC158" s="3">
        <v>6</v>
      </c>
      <c r="AD158" s="5">
        <f>S158*AC158</f>
        <v>6</v>
      </c>
      <c r="AE158" s="3"/>
      <c r="AF158" s="3"/>
      <c r="AH158" s="51">
        <v>1.7600000000000001E-2</v>
      </c>
      <c r="AI158" s="39"/>
      <c r="AJ158" s="39"/>
      <c r="AK158" s="39"/>
      <c r="AL158" s="39">
        <f>AD$158*AH158+SUM(AI158:AK158)</f>
        <v>0.1056</v>
      </c>
      <c r="AQ158" s="139"/>
      <c r="AR158" s="139"/>
      <c r="AS158" s="139"/>
      <c r="AT158" s="139"/>
      <c r="AU158" s="139"/>
    </row>
    <row r="159" spans="2:47" ht="15" customHeight="1" x14ac:dyDescent="0.4">
      <c r="B159" s="36"/>
      <c r="C159" s="4"/>
      <c r="G159" s="7"/>
      <c r="H159" s="20"/>
      <c r="P159" s="24"/>
      <c r="Q159" s="24"/>
      <c r="U159" s="20"/>
      <c r="V159" s="38"/>
      <c r="X159" s="38"/>
      <c r="Y159" s="41"/>
      <c r="Z159" s="41"/>
      <c r="AA159" s="20"/>
      <c r="AE159" s="3"/>
      <c r="AF159" s="3"/>
      <c r="AI159" s="39"/>
      <c r="AJ159" s="39"/>
      <c r="AK159" s="39"/>
      <c r="AQ159" s="139"/>
      <c r="AR159" s="139"/>
      <c r="AS159" s="139"/>
      <c r="AT159" s="139"/>
      <c r="AU159" s="139"/>
    </row>
    <row r="160" spans="2:47" ht="15" customHeight="1" thickBot="1" x14ac:dyDescent="0.45">
      <c r="B160" s="36"/>
      <c r="C160" s="4"/>
      <c r="G160" s="7"/>
      <c r="H160" s="20"/>
      <c r="P160" s="24"/>
      <c r="Q160" s="24"/>
      <c r="U160" s="20"/>
      <c r="V160" s="38"/>
      <c r="X160" s="38"/>
      <c r="Y160" s="41"/>
      <c r="Z160" s="41"/>
      <c r="AA160" s="20"/>
      <c r="AE160" s="3"/>
      <c r="AF160" s="3"/>
      <c r="AI160" s="39"/>
      <c r="AJ160" s="39"/>
      <c r="AK160" s="39"/>
      <c r="AQ160" s="139"/>
      <c r="AR160" s="139"/>
      <c r="AS160" s="139"/>
      <c r="AT160" s="139"/>
      <c r="AU160" s="139"/>
    </row>
    <row r="161" spans="1:47" ht="15" customHeight="1" thickBot="1" x14ac:dyDescent="0.45">
      <c r="B161" s="629" t="s">
        <v>427</v>
      </c>
      <c r="C161" s="630"/>
      <c r="D161" s="631"/>
      <c r="E161" s="631"/>
      <c r="F161" s="631"/>
      <c r="G161" s="631"/>
      <c r="H161" s="632"/>
      <c r="I161" s="632"/>
      <c r="J161" s="632"/>
      <c r="K161" s="632"/>
      <c r="L161" s="632"/>
      <c r="M161" s="633"/>
      <c r="N161" s="633"/>
      <c r="O161" s="633"/>
      <c r="P161" s="633"/>
      <c r="Q161" s="633"/>
      <c r="R161" s="632"/>
      <c r="S161" s="633"/>
      <c r="T161" s="632"/>
      <c r="U161" s="632"/>
      <c r="V161" s="631"/>
      <c r="W161" s="631"/>
      <c r="X161" s="631"/>
      <c r="Y161" s="634"/>
      <c r="Z161" s="634"/>
      <c r="AA161" s="632"/>
      <c r="AB161" s="635"/>
      <c r="AC161" s="632"/>
      <c r="AD161" s="633"/>
      <c r="AE161" s="632"/>
      <c r="AF161" s="632"/>
      <c r="AG161" s="632"/>
      <c r="AH161" s="636"/>
      <c r="AI161" s="636"/>
      <c r="AJ161" s="636"/>
      <c r="AK161" s="636"/>
      <c r="AL161" s="854">
        <f>SUBTOTAL(109,AL163:AL485)</f>
        <v>242.69575538078863</v>
      </c>
      <c r="AM161" s="636"/>
      <c r="AN161" s="636"/>
      <c r="AO161" s="636"/>
      <c r="AP161" s="636"/>
      <c r="AQ161" s="636"/>
      <c r="AR161" s="139"/>
      <c r="AS161" s="139"/>
      <c r="AT161" s="139"/>
      <c r="AU161" s="139"/>
    </row>
    <row r="162" spans="1:47" ht="15" customHeight="1" thickBot="1" x14ac:dyDescent="0.45">
      <c r="B162" s="173" t="s">
        <v>429</v>
      </c>
      <c r="C162" s="173"/>
      <c r="D162" s="116"/>
      <c r="E162" s="116"/>
      <c r="F162" s="174"/>
      <c r="G162" s="173"/>
      <c r="H162" s="175"/>
      <c r="I162" s="116"/>
      <c r="J162" s="116"/>
      <c r="K162" s="116"/>
      <c r="L162" s="116"/>
      <c r="M162" s="177"/>
      <c r="N162" s="177"/>
      <c r="O162" s="177"/>
      <c r="P162" s="177"/>
      <c r="Q162" s="177"/>
      <c r="R162" s="116"/>
      <c r="S162" s="177"/>
      <c r="T162" s="116"/>
      <c r="U162" s="175"/>
      <c r="V162" s="173"/>
      <c r="W162" s="173"/>
      <c r="X162" s="173"/>
      <c r="Y162" s="116"/>
      <c r="Z162" s="116"/>
      <c r="AA162" s="175"/>
      <c r="AB162" s="116"/>
      <c r="AC162" s="116"/>
      <c r="AD162" s="177"/>
      <c r="AE162" s="116"/>
      <c r="AF162" s="179"/>
      <c r="AG162" s="177"/>
      <c r="AH162" s="185"/>
      <c r="AI162" s="475"/>
      <c r="AJ162" s="475"/>
      <c r="AK162" s="475"/>
      <c r="AL162" s="180"/>
      <c r="AM162" s="889"/>
      <c r="AN162" s="889"/>
      <c r="AO162" s="889"/>
      <c r="AP162" s="889"/>
      <c r="AQ162" s="1163"/>
      <c r="AR162" s="139"/>
      <c r="AS162" s="139"/>
      <c r="AT162" s="139"/>
      <c r="AU162" s="139"/>
    </row>
    <row r="163" spans="1:47" ht="15" customHeight="1" x14ac:dyDescent="0.4">
      <c r="A163" s="3" t="s">
        <v>362</v>
      </c>
      <c r="B163" s="173"/>
      <c r="C163" s="173" t="s">
        <v>430</v>
      </c>
      <c r="D163" s="116"/>
      <c r="E163" s="116"/>
      <c r="F163" s="174" t="s">
        <v>431</v>
      </c>
      <c r="G163" s="173"/>
      <c r="H163" s="175"/>
      <c r="I163" s="116" t="s">
        <v>365</v>
      </c>
      <c r="J163" s="116"/>
      <c r="K163" s="116"/>
      <c r="L163" s="116" t="s">
        <v>348</v>
      </c>
      <c r="M163" s="177">
        <v>3</v>
      </c>
      <c r="N163" s="177" t="s">
        <v>348</v>
      </c>
      <c r="O163" s="177">
        <f>0.25</f>
        <v>0.25</v>
      </c>
      <c r="P163" s="177"/>
      <c r="Q163" s="177"/>
      <c r="R163" s="116" t="s">
        <v>352</v>
      </c>
      <c r="S163" s="177">
        <f>SLEQheight+M163+O163</f>
        <v>50.75</v>
      </c>
      <c r="T163" s="116" t="s">
        <v>366</v>
      </c>
      <c r="U163" s="175"/>
      <c r="V163" s="173"/>
      <c r="W163" s="173"/>
      <c r="X163" s="173"/>
      <c r="Y163" s="116"/>
      <c r="Z163" s="116"/>
      <c r="AA163" s="175"/>
      <c r="AB163" s="116">
        <v>42</v>
      </c>
      <c r="AC163" s="116">
        <v>2</v>
      </c>
      <c r="AD163" s="177">
        <f>AC163*S163/12</f>
        <v>8.4583333333333339</v>
      </c>
      <c r="AE163" s="116" t="s">
        <v>367</v>
      </c>
      <c r="AF163" s="179">
        <v>1.1200000000000001</v>
      </c>
      <c r="AG163" s="177">
        <f>AF163*AtolbperftEQ</f>
        <v>0.70840000000000003</v>
      </c>
      <c r="AH163" s="185"/>
      <c r="AI163" s="39"/>
      <c r="AJ163" s="39"/>
      <c r="AK163" s="39"/>
      <c r="AL163" s="180"/>
      <c r="AQ163" s="139"/>
      <c r="AR163" s="139"/>
      <c r="AS163" s="139"/>
      <c r="AT163" s="139"/>
      <c r="AU163" s="139"/>
    </row>
    <row r="164" spans="1:47" ht="15" customHeight="1" x14ac:dyDescent="0.4">
      <c r="B164" s="36"/>
      <c r="C164" s="36"/>
      <c r="D164" s="155"/>
      <c r="E164" s="155" t="s">
        <v>439</v>
      </c>
      <c r="F164" s="155"/>
      <c r="G164" s="7"/>
      <c r="H164" s="20"/>
      <c r="I164" s="3" t="s">
        <v>365</v>
      </c>
      <c r="L164" s="3" t="s">
        <v>348</v>
      </c>
      <c r="M164" s="5">
        <v>0</v>
      </c>
      <c r="N164" s="5" t="s">
        <v>348</v>
      </c>
      <c r="O164" s="5">
        <f>0.25</f>
        <v>0.25</v>
      </c>
      <c r="P164" s="24"/>
      <c r="Q164" s="24"/>
      <c r="R164" s="3" t="s">
        <v>352</v>
      </c>
      <c r="S164" s="5">
        <f>SLEQheight+M164+O164</f>
        <v>47.75</v>
      </c>
      <c r="T164" s="3" t="s">
        <v>366</v>
      </c>
      <c r="U164" s="20"/>
      <c r="V164" s="38" t="s">
        <v>369</v>
      </c>
      <c r="W164" s="3" t="s">
        <v>370</v>
      </c>
      <c r="X164" s="38" t="s">
        <v>369</v>
      </c>
      <c r="Y164" s="41">
        <v>200152003</v>
      </c>
      <c r="Z164" s="41"/>
      <c r="AA164" s="20"/>
      <c r="AE164" s="3"/>
      <c r="AF164" s="38"/>
      <c r="AH164" s="39">
        <f>0.91*AG163</f>
        <v>0.64464399999999999</v>
      </c>
      <c r="AI164" s="39"/>
      <c r="AJ164" s="39"/>
      <c r="AK164" s="39"/>
      <c r="AL164" s="39">
        <f>AH164*AD163</f>
        <v>5.4526138333333334</v>
      </c>
      <c r="AQ164" s="139"/>
      <c r="AR164" s="139"/>
      <c r="AS164" s="139"/>
      <c r="AT164" s="139"/>
      <c r="AU164" s="139"/>
    </row>
    <row r="165" spans="1:47" ht="15" customHeight="1" x14ac:dyDescent="0.4">
      <c r="B165" s="36"/>
      <c r="C165" s="36"/>
      <c r="D165" s="155"/>
      <c r="E165" s="155"/>
      <c r="F165" s="155"/>
      <c r="G165" s="7"/>
      <c r="H165" s="20"/>
      <c r="P165" s="24"/>
      <c r="Q165" s="24"/>
      <c r="U165" s="20"/>
      <c r="V165" s="38" t="s">
        <v>369</v>
      </c>
      <c r="W165" s="3" t="s">
        <v>372</v>
      </c>
      <c r="X165" s="38" t="s">
        <v>369</v>
      </c>
      <c r="Y165" s="41">
        <v>200152021</v>
      </c>
      <c r="Z165" s="41"/>
      <c r="AA165" s="20"/>
      <c r="AE165" s="3"/>
      <c r="AF165" s="3"/>
      <c r="AH165" s="39">
        <f>1*AG163</f>
        <v>0.70840000000000003</v>
      </c>
      <c r="AI165" s="477"/>
      <c r="AJ165" s="477"/>
      <c r="AK165" s="477"/>
      <c r="AL165" s="39">
        <f>AH165*AD163</f>
        <v>5.9918833333333339</v>
      </c>
      <c r="AQ165" s="139"/>
      <c r="AR165" s="139"/>
      <c r="AS165" s="139"/>
      <c r="AT165" s="139"/>
      <c r="AU165" s="139"/>
    </row>
    <row r="166" spans="1:47" ht="15.75" customHeight="1" x14ac:dyDescent="0.4">
      <c r="C166" s="36"/>
      <c r="D166" s="155"/>
      <c r="E166" s="155"/>
      <c r="F166" s="155"/>
      <c r="G166" s="7"/>
      <c r="H166" s="20"/>
      <c r="P166" s="24"/>
      <c r="Q166" s="24"/>
      <c r="U166" s="20"/>
      <c r="V166" s="38" t="s">
        <v>369</v>
      </c>
      <c r="W166" s="3" t="s">
        <v>373</v>
      </c>
      <c r="X166" s="38" t="s">
        <v>369</v>
      </c>
      <c r="Y166" s="41">
        <v>200152033</v>
      </c>
      <c r="Z166" s="41"/>
      <c r="AA166" s="20"/>
      <c r="AE166" s="3"/>
      <c r="AF166" s="3"/>
      <c r="AH166" s="39">
        <f>1*AG163</f>
        <v>0.70840000000000003</v>
      </c>
      <c r="AI166" s="477"/>
      <c r="AJ166" s="477"/>
      <c r="AK166" s="477"/>
      <c r="AL166" s="39">
        <f>AH166*AD163</f>
        <v>5.9918833333333339</v>
      </c>
      <c r="AQ166" s="139"/>
      <c r="AR166" s="139"/>
      <c r="AS166" s="139"/>
      <c r="AT166" s="139"/>
      <c r="AU166" s="139"/>
    </row>
    <row r="167" spans="1:47" ht="15.75" customHeight="1" x14ac:dyDescent="0.4">
      <c r="C167" s="36"/>
      <c r="D167" s="155"/>
      <c r="E167" s="155"/>
      <c r="F167" s="155"/>
      <c r="G167" s="7"/>
      <c r="H167" s="20"/>
      <c r="P167" s="24"/>
      <c r="Q167" s="24"/>
      <c r="U167" s="20"/>
      <c r="V167" s="3" t="s">
        <v>2363</v>
      </c>
      <c r="W167" s="3" t="s">
        <v>370</v>
      </c>
      <c r="X167" s="38" t="s">
        <v>369</v>
      </c>
      <c r="Y167" s="41">
        <v>200152127</v>
      </c>
      <c r="Z167" s="41"/>
      <c r="AA167" s="20"/>
      <c r="AE167" s="3"/>
      <c r="AF167" s="3"/>
      <c r="AH167" s="51">
        <v>0.88829999999999998</v>
      </c>
      <c r="AI167" s="39"/>
      <c r="AJ167" s="39"/>
      <c r="AK167" s="39"/>
      <c r="AL167" s="39">
        <f>AH167*AD163</f>
        <v>7.5135375</v>
      </c>
      <c r="AR167" s="139"/>
      <c r="AS167" s="139"/>
      <c r="AT167" s="139"/>
      <c r="AU167" s="139"/>
    </row>
    <row r="168" spans="1:47" ht="15.75" customHeight="1" x14ac:dyDescent="0.4">
      <c r="C168" s="36"/>
      <c r="D168" s="623"/>
      <c r="E168" s="623"/>
      <c r="F168" s="623"/>
      <c r="G168" s="221"/>
      <c r="H168" s="624"/>
      <c r="I168" s="577"/>
      <c r="J168" s="577"/>
      <c r="K168" s="577"/>
      <c r="L168" s="577"/>
      <c r="M168" s="575"/>
      <c r="N168" s="575"/>
      <c r="O168" s="575"/>
      <c r="P168" s="625"/>
      <c r="Q168" s="625"/>
      <c r="R168" s="577"/>
      <c r="S168" s="575"/>
      <c r="T168" s="577"/>
      <c r="U168" s="624"/>
      <c r="V168" s="577" t="s">
        <v>2365</v>
      </c>
      <c r="W168" s="577" t="s">
        <v>370</v>
      </c>
      <c r="X168" s="579" t="s">
        <v>369</v>
      </c>
      <c r="Y168" s="864">
        <v>200152180</v>
      </c>
      <c r="Z168" s="864"/>
      <c r="AA168" s="624"/>
      <c r="AB168" s="577"/>
      <c r="AC168" s="577"/>
      <c r="AD168" s="575"/>
      <c r="AE168" s="577"/>
      <c r="AF168" s="577"/>
      <c r="AG168" s="575"/>
      <c r="AH168" s="626">
        <v>0.95860000000000001</v>
      </c>
      <c r="AI168" s="581"/>
      <c r="AJ168" s="581"/>
      <c r="AK168" s="581"/>
      <c r="AL168" s="581">
        <f>AH168*AD163</f>
        <v>8.1081583333333338</v>
      </c>
      <c r="AM168" s="577"/>
      <c r="AN168" s="577"/>
      <c r="AO168" s="577"/>
      <c r="AP168" s="577"/>
      <c r="AQ168" s="577"/>
      <c r="AR168" s="139"/>
      <c r="AS168" s="139"/>
      <c r="AT168" s="139"/>
      <c r="AU168" s="139"/>
    </row>
    <row r="169" spans="1:47" ht="15" customHeight="1" x14ac:dyDescent="0.4">
      <c r="B169" s="36"/>
      <c r="C169" s="36"/>
      <c r="D169" s="447" t="s">
        <v>1220</v>
      </c>
      <c r="E169" s="155"/>
      <c r="F169" s="155"/>
      <c r="G169" s="7"/>
      <c r="H169" s="20"/>
      <c r="I169" s="500"/>
      <c r="J169" s="500"/>
      <c r="K169" s="500"/>
      <c r="L169" s="500"/>
      <c r="M169" s="24"/>
      <c r="N169" s="24"/>
      <c r="O169" s="24"/>
      <c r="P169" s="24"/>
      <c r="Q169" s="24"/>
      <c r="R169" s="500"/>
      <c r="S169" s="24"/>
      <c r="T169" s="500"/>
      <c r="U169" s="20"/>
      <c r="V169" s="38" t="s">
        <v>369</v>
      </c>
      <c r="W169" s="3" t="s">
        <v>405</v>
      </c>
      <c r="X169" s="38" t="s">
        <v>369</v>
      </c>
      <c r="Y169" s="41">
        <v>600042010</v>
      </c>
      <c r="Z169" s="41"/>
      <c r="AA169" s="20"/>
      <c r="AE169" s="3"/>
      <c r="AF169" s="3"/>
      <c r="AG169" s="3"/>
      <c r="AH169" s="39"/>
      <c r="AI169" s="39"/>
      <c r="AJ169" s="39"/>
      <c r="AK169" s="39"/>
      <c r="AM169" s="130"/>
      <c r="AN169" s="130"/>
      <c r="AO169" s="130"/>
      <c r="AQ169" s="140"/>
      <c r="AR169" s="140"/>
      <c r="AS169" s="139"/>
      <c r="AT169" s="139"/>
      <c r="AU169" s="139"/>
    </row>
    <row r="170" spans="1:47" ht="15" customHeight="1" x14ac:dyDescent="0.4">
      <c r="B170" s="3"/>
      <c r="C170" s="36"/>
      <c r="D170" s="447" t="s">
        <v>1221</v>
      </c>
      <c r="E170" s="155"/>
      <c r="F170" s="155"/>
      <c r="G170" s="7"/>
      <c r="H170" s="20"/>
      <c r="I170" s="3" t="s">
        <v>365</v>
      </c>
      <c r="L170" s="3" t="s">
        <v>348</v>
      </c>
      <c r="M170" s="5">
        <v>0</v>
      </c>
      <c r="R170" s="3" t="s">
        <v>352</v>
      </c>
      <c r="S170" s="5">
        <f>S163</f>
        <v>50.75</v>
      </c>
      <c r="T170" s="3" t="s">
        <v>366</v>
      </c>
      <c r="U170" s="20"/>
      <c r="V170" s="38" t="s">
        <v>369</v>
      </c>
      <c r="W170" s="3" t="s">
        <v>405</v>
      </c>
      <c r="X170" s="38" t="s">
        <v>369</v>
      </c>
      <c r="Y170" s="41">
        <v>600050010</v>
      </c>
      <c r="Z170" s="41"/>
      <c r="AA170" s="20"/>
      <c r="AB170" s="3">
        <v>42</v>
      </c>
      <c r="AC170" s="3">
        <v>1</v>
      </c>
      <c r="AD170" s="5">
        <f>AC170*S170/12</f>
        <v>4.229166666666667</v>
      </c>
      <c r="AE170" s="3" t="s">
        <v>367</v>
      </c>
      <c r="AF170" s="3"/>
      <c r="AG170" s="3"/>
      <c r="AH170" s="39">
        <v>0</v>
      </c>
      <c r="AI170" s="39"/>
      <c r="AJ170" s="39"/>
      <c r="AK170" s="39"/>
      <c r="AQ170" s="140"/>
      <c r="AR170" s="140"/>
      <c r="AS170" s="139"/>
      <c r="AT170" s="139"/>
      <c r="AU170" s="139"/>
    </row>
    <row r="171" spans="1:47" ht="15" customHeight="1" thickBot="1" x14ac:dyDescent="0.25">
      <c r="C171" s="943"/>
      <c r="D171" s="1861" t="s">
        <v>2353</v>
      </c>
      <c r="E171" s="889"/>
      <c r="F171" s="925"/>
      <c r="G171" s="924"/>
      <c r="H171" s="887"/>
      <c r="I171" s="889" t="s">
        <v>365</v>
      </c>
      <c r="J171" s="889"/>
      <c r="K171" s="889"/>
      <c r="L171" s="889"/>
      <c r="M171" s="945"/>
      <c r="N171" s="945"/>
      <c r="O171" s="945"/>
      <c r="P171" s="945"/>
      <c r="Q171" s="945"/>
      <c r="R171" s="889" t="s">
        <v>352</v>
      </c>
      <c r="S171" s="945">
        <f>SLEQheight</f>
        <v>47.5</v>
      </c>
      <c r="T171" s="889" t="s">
        <v>366</v>
      </c>
      <c r="U171" s="887"/>
      <c r="V171" s="888" t="s">
        <v>369</v>
      </c>
      <c r="W171" s="889" t="s">
        <v>370</v>
      </c>
      <c r="X171" s="888" t="s">
        <v>369</v>
      </c>
      <c r="Y171" s="1862">
        <v>120074014938</v>
      </c>
      <c r="Z171" s="1444"/>
      <c r="AA171" s="887"/>
      <c r="AB171" s="889"/>
      <c r="AC171" s="889">
        <v>2</v>
      </c>
      <c r="AD171" s="945">
        <f>AC171*S171/12</f>
        <v>7.916666666666667</v>
      </c>
      <c r="AE171" s="889" t="s">
        <v>367</v>
      </c>
      <c r="AF171" s="888"/>
      <c r="AG171" s="888"/>
      <c r="AH171" s="998">
        <f>0.00877</f>
        <v>8.77E-3</v>
      </c>
      <c r="AI171" s="947"/>
      <c r="AJ171" s="947"/>
      <c r="AK171" s="947"/>
      <c r="AL171" s="947">
        <f>AH171*AD171</f>
        <v>6.9429166666666667E-2</v>
      </c>
      <c r="AM171" s="889"/>
      <c r="AN171" s="889"/>
      <c r="AO171" s="889"/>
      <c r="AP171" s="889"/>
      <c r="AQ171" s="889"/>
      <c r="AR171" s="140"/>
      <c r="AS171" s="139"/>
      <c r="AT171" s="139"/>
      <c r="AU171" s="139"/>
    </row>
    <row r="172" spans="1:47" ht="15" customHeight="1" x14ac:dyDescent="0.4">
      <c r="C172" s="173" t="s">
        <v>433</v>
      </c>
      <c r="D172" s="116"/>
      <c r="E172" s="116"/>
      <c r="F172" s="174" t="s">
        <v>431</v>
      </c>
      <c r="G172" s="173"/>
      <c r="H172" s="175"/>
      <c r="I172" s="116" t="s">
        <v>365</v>
      </c>
      <c r="J172" s="116"/>
      <c r="K172" s="116"/>
      <c r="L172" s="116" t="s">
        <v>348</v>
      </c>
      <c r="M172" s="177">
        <v>3</v>
      </c>
      <c r="N172" s="177" t="s">
        <v>348</v>
      </c>
      <c r="O172" s="177">
        <f>0.25</f>
        <v>0.25</v>
      </c>
      <c r="P172" s="177"/>
      <c r="Q172" s="177"/>
      <c r="R172" s="116" t="s">
        <v>352</v>
      </c>
      <c r="S172" s="177">
        <f>SLEQheight+M172+O172</f>
        <v>50.75</v>
      </c>
      <c r="T172" s="116" t="s">
        <v>366</v>
      </c>
      <c r="U172" s="175"/>
      <c r="V172" s="173"/>
      <c r="W172" s="173"/>
      <c r="X172" s="173"/>
      <c r="Y172" s="116"/>
      <c r="Z172" s="116"/>
      <c r="AA172" s="175"/>
      <c r="AB172" s="116">
        <v>42</v>
      </c>
      <c r="AC172" s="116">
        <v>2</v>
      </c>
      <c r="AD172" s="177">
        <f>AC172*S172/12</f>
        <v>8.4583333333333339</v>
      </c>
      <c r="AE172" s="116" t="s">
        <v>367</v>
      </c>
      <c r="AF172" s="179">
        <v>1.1200000000000001</v>
      </c>
      <c r="AG172" s="177">
        <f>AF172*AtolbperftEQ</f>
        <v>0.70840000000000003</v>
      </c>
      <c r="AH172" s="185"/>
      <c r="AI172" s="477"/>
      <c r="AJ172" s="477"/>
      <c r="AK172" s="477"/>
      <c r="AL172" s="180"/>
      <c r="AQ172" s="139"/>
      <c r="AR172" s="139"/>
      <c r="AS172" s="139"/>
      <c r="AT172" s="139"/>
      <c r="AU172" s="139"/>
    </row>
    <row r="173" spans="1:47" ht="15" customHeight="1" x14ac:dyDescent="0.4">
      <c r="B173" s="36"/>
      <c r="C173" s="36"/>
      <c r="D173" s="155"/>
      <c r="E173" s="155" t="s">
        <v>439</v>
      </c>
      <c r="F173" s="155"/>
      <c r="G173" s="7"/>
      <c r="H173" s="20"/>
      <c r="I173" s="3" t="s">
        <v>365</v>
      </c>
      <c r="L173" s="3" t="s">
        <v>348</v>
      </c>
      <c r="M173" s="5">
        <v>0</v>
      </c>
      <c r="N173" s="5" t="s">
        <v>348</v>
      </c>
      <c r="O173" s="5">
        <f>0.25</f>
        <v>0.25</v>
      </c>
      <c r="P173" s="24"/>
      <c r="Q173" s="24"/>
      <c r="R173" s="3" t="s">
        <v>352</v>
      </c>
      <c r="S173" s="5">
        <f>SLEQheight+M173+O173</f>
        <v>47.75</v>
      </c>
      <c r="T173" s="3" t="s">
        <v>366</v>
      </c>
      <c r="U173" s="20"/>
      <c r="V173" s="38" t="s">
        <v>369</v>
      </c>
      <c r="W173" s="3" t="s">
        <v>370</v>
      </c>
      <c r="X173" s="38" t="s">
        <v>369</v>
      </c>
      <c r="Y173" s="41">
        <v>200151003</v>
      </c>
      <c r="Z173" s="41"/>
      <c r="AA173" s="20"/>
      <c r="AE173" s="3"/>
      <c r="AF173" s="38"/>
      <c r="AH173" s="39">
        <f>0.91*AG172</f>
        <v>0.64464399999999999</v>
      </c>
      <c r="AL173" s="39">
        <f>AH173*AD172</f>
        <v>5.4526138333333334</v>
      </c>
      <c r="AQ173" s="139"/>
      <c r="AR173" s="139"/>
      <c r="AS173" s="139"/>
      <c r="AT173" s="139"/>
      <c r="AU173" s="139"/>
    </row>
    <row r="174" spans="1:47" ht="15" customHeight="1" x14ac:dyDescent="0.4">
      <c r="B174" s="36"/>
      <c r="C174" s="36"/>
      <c r="D174" s="155"/>
      <c r="E174" s="155"/>
      <c r="F174" s="155"/>
      <c r="G174" s="7"/>
      <c r="H174" s="20"/>
      <c r="P174" s="24"/>
      <c r="Q174" s="24"/>
      <c r="U174" s="20"/>
      <c r="V174" s="38" t="s">
        <v>369</v>
      </c>
      <c r="W174" s="3" t="s">
        <v>372</v>
      </c>
      <c r="X174" s="38" t="s">
        <v>369</v>
      </c>
      <c r="Y174" s="41">
        <v>200151021</v>
      </c>
      <c r="Z174" s="41"/>
      <c r="AA174" s="20"/>
      <c r="AE174" s="3"/>
      <c r="AF174" s="3"/>
      <c r="AH174" s="39">
        <f>1*AG172</f>
        <v>0.70840000000000003</v>
      </c>
      <c r="AI174" s="39"/>
      <c r="AJ174" s="39"/>
      <c r="AK174" s="39"/>
      <c r="AL174" s="39">
        <f>AH174*AD172</f>
        <v>5.9918833333333339</v>
      </c>
      <c r="AQ174" s="139"/>
      <c r="AR174" s="139"/>
      <c r="AS174" s="139"/>
      <c r="AT174" s="139"/>
      <c r="AU174" s="139"/>
    </row>
    <row r="175" spans="1:47" ht="15.75" customHeight="1" x14ac:dyDescent="0.4">
      <c r="B175" s="36"/>
      <c r="C175" s="36"/>
      <c r="D175" s="155"/>
      <c r="E175" s="155"/>
      <c r="F175" s="155"/>
      <c r="G175" s="7"/>
      <c r="H175" s="20"/>
      <c r="P175" s="24"/>
      <c r="Q175" s="24"/>
      <c r="U175" s="20"/>
      <c r="V175" s="38" t="s">
        <v>369</v>
      </c>
      <c r="W175" s="3" t="s">
        <v>373</v>
      </c>
      <c r="X175" s="38" t="s">
        <v>369</v>
      </c>
      <c r="Y175" s="41">
        <v>200151033</v>
      </c>
      <c r="Z175" s="41"/>
      <c r="AA175" s="20"/>
      <c r="AE175" s="3"/>
      <c r="AF175" s="3"/>
      <c r="AH175" s="39">
        <f>1*AG172</f>
        <v>0.70840000000000003</v>
      </c>
      <c r="AI175" s="39"/>
      <c r="AJ175" s="39"/>
      <c r="AK175" s="39"/>
      <c r="AL175" s="39">
        <f>AH175*$AD$172</f>
        <v>5.9918833333333339</v>
      </c>
      <c r="AQ175" s="139"/>
      <c r="AR175" s="139"/>
      <c r="AS175" s="139"/>
      <c r="AT175" s="139"/>
      <c r="AU175" s="139"/>
    </row>
    <row r="176" spans="1:47" ht="15.75" customHeight="1" x14ac:dyDescent="0.4">
      <c r="B176" s="36"/>
      <c r="C176" s="36"/>
      <c r="D176" s="155"/>
      <c r="E176" s="155"/>
      <c r="F176" s="155"/>
      <c r="G176" s="7"/>
      <c r="H176" s="20"/>
      <c r="P176" s="24"/>
      <c r="Q176" s="24"/>
      <c r="U176" s="20"/>
      <c r="V176" s="3" t="s">
        <v>2363</v>
      </c>
      <c r="W176" s="3" t="s">
        <v>370</v>
      </c>
      <c r="X176" s="38" t="s">
        <v>369</v>
      </c>
      <c r="Y176" s="41">
        <v>200151127</v>
      </c>
      <c r="Z176" s="41"/>
      <c r="AA176" s="20"/>
      <c r="AE176" s="3"/>
      <c r="AF176" s="3"/>
      <c r="AH176" s="51">
        <v>0.90069999999999995</v>
      </c>
      <c r="AI176" s="39"/>
      <c r="AJ176" s="39"/>
      <c r="AK176" s="39"/>
      <c r="AL176" s="39">
        <f t="shared" ref="AL176:AL177" si="9">AH176*$AD$172</f>
        <v>7.6184208333333334</v>
      </c>
      <c r="AR176" s="139"/>
      <c r="AS176" s="139"/>
      <c r="AT176" s="139"/>
      <c r="AU176" s="139"/>
    </row>
    <row r="177" spans="1:47" ht="15.75" customHeight="1" x14ac:dyDescent="0.4">
      <c r="B177" s="36"/>
      <c r="C177" s="36"/>
      <c r="D177" s="155"/>
      <c r="E177" s="623"/>
      <c r="F177" s="623"/>
      <c r="G177" s="221"/>
      <c r="H177" s="624"/>
      <c r="I177" s="577"/>
      <c r="J177" s="577"/>
      <c r="K177" s="577"/>
      <c r="L177" s="577"/>
      <c r="M177" s="575"/>
      <c r="N177" s="575"/>
      <c r="O177" s="575"/>
      <c r="P177" s="625"/>
      <c r="Q177" s="625"/>
      <c r="R177" s="577"/>
      <c r="S177" s="575"/>
      <c r="T177" s="577"/>
      <c r="U177" s="624"/>
      <c r="V177" s="577" t="s">
        <v>2365</v>
      </c>
      <c r="W177" s="577" t="s">
        <v>370</v>
      </c>
      <c r="X177" s="579" t="s">
        <v>369</v>
      </c>
      <c r="Y177" s="864">
        <v>200151180</v>
      </c>
      <c r="Z177" s="864"/>
      <c r="AA177" s="624"/>
      <c r="AB177" s="577"/>
      <c r="AC177" s="577"/>
      <c r="AD177" s="575"/>
      <c r="AE177" s="577"/>
      <c r="AF177" s="577"/>
      <c r="AG177" s="575"/>
      <c r="AH177" s="626">
        <v>0.97099999999999997</v>
      </c>
      <c r="AI177" s="581"/>
      <c r="AJ177" s="581"/>
      <c r="AK177" s="581"/>
      <c r="AL177" s="581">
        <f t="shared" si="9"/>
        <v>8.2130416666666672</v>
      </c>
      <c r="AM177" s="577"/>
      <c r="AN177" s="577"/>
      <c r="AO177" s="577"/>
      <c r="AP177" s="577"/>
      <c r="AQ177" s="577"/>
      <c r="AR177" s="139"/>
      <c r="AS177" s="139"/>
      <c r="AT177" s="139"/>
      <c r="AU177" s="139"/>
    </row>
    <row r="178" spans="1:47" ht="15" customHeight="1" x14ac:dyDescent="0.4">
      <c r="B178" s="36"/>
      <c r="C178" s="36"/>
      <c r="D178" s="447" t="s">
        <v>1220</v>
      </c>
      <c r="E178" s="155"/>
      <c r="F178" s="155"/>
      <c r="G178" s="7"/>
      <c r="H178" s="20"/>
      <c r="I178" s="500"/>
      <c r="J178" s="500"/>
      <c r="K178" s="500"/>
      <c r="L178" s="500"/>
      <c r="M178" s="24"/>
      <c r="N178" s="24"/>
      <c r="O178" s="24"/>
      <c r="P178" s="24"/>
      <c r="Q178" s="24"/>
      <c r="R178" s="500"/>
      <c r="S178" s="24"/>
      <c r="T178" s="500"/>
      <c r="U178" s="20"/>
      <c r="V178" s="38" t="s">
        <v>369</v>
      </c>
      <c r="W178" s="3" t="s">
        <v>405</v>
      </c>
      <c r="X178" s="38" t="s">
        <v>369</v>
      </c>
      <c r="Y178" s="41">
        <v>600042010</v>
      </c>
      <c r="Z178" s="41"/>
      <c r="AA178" s="20"/>
      <c r="AE178" s="3"/>
      <c r="AF178" s="3"/>
      <c r="AG178" s="3"/>
      <c r="AH178" s="39"/>
      <c r="AI178" s="39"/>
      <c r="AJ178" s="39"/>
      <c r="AK178" s="39"/>
      <c r="AQ178" s="140"/>
      <c r="AR178" s="140"/>
      <c r="AS178" s="139"/>
      <c r="AT178" s="139"/>
      <c r="AU178" s="139"/>
    </row>
    <row r="179" spans="1:47" ht="15" customHeight="1" x14ac:dyDescent="0.4">
      <c r="B179" s="3"/>
      <c r="C179" s="36"/>
      <c r="D179" s="447" t="s">
        <v>1221</v>
      </c>
      <c r="E179" s="155"/>
      <c r="F179" s="155"/>
      <c r="G179" s="7"/>
      <c r="H179" s="20"/>
      <c r="I179" s="3" t="s">
        <v>365</v>
      </c>
      <c r="L179" s="3" t="s">
        <v>348</v>
      </c>
      <c r="M179" s="5">
        <v>0</v>
      </c>
      <c r="R179" s="3" t="s">
        <v>352</v>
      </c>
      <c r="S179" s="5">
        <f>S172</f>
        <v>50.75</v>
      </c>
      <c r="T179" s="3" t="s">
        <v>366</v>
      </c>
      <c r="U179" s="20"/>
      <c r="V179" s="38" t="s">
        <v>369</v>
      </c>
      <c r="W179" s="3" t="s">
        <v>405</v>
      </c>
      <c r="X179" s="38" t="s">
        <v>369</v>
      </c>
      <c r="Y179" s="41">
        <v>600050010</v>
      </c>
      <c r="Z179" s="41"/>
      <c r="AA179" s="20"/>
      <c r="AB179" s="3">
        <v>42</v>
      </c>
      <c r="AC179" s="3">
        <v>1</v>
      </c>
      <c r="AD179" s="5">
        <f>AC179*S179/12</f>
        <v>4.229166666666667</v>
      </c>
      <c r="AE179" s="3" t="s">
        <v>367</v>
      </c>
      <c r="AF179" s="3"/>
      <c r="AG179" s="3"/>
      <c r="AH179" s="39">
        <v>0</v>
      </c>
      <c r="AI179" s="39"/>
      <c r="AJ179" s="39"/>
      <c r="AK179" s="39"/>
      <c r="AQ179" s="140"/>
      <c r="AR179" s="140"/>
      <c r="AS179" s="139"/>
      <c r="AT179" s="139"/>
      <c r="AU179" s="139"/>
    </row>
    <row r="180" spans="1:47" ht="15" customHeight="1" thickBot="1" x14ac:dyDescent="0.25">
      <c r="C180" s="1849"/>
      <c r="D180" s="1850" t="s">
        <v>2353</v>
      </c>
      <c r="E180" s="889"/>
      <c r="F180" s="1851"/>
      <c r="G180" s="1852"/>
      <c r="H180" s="1853"/>
      <c r="I180" s="1854" t="s">
        <v>365</v>
      </c>
      <c r="J180" s="1854"/>
      <c r="K180" s="1854"/>
      <c r="L180" s="1854"/>
      <c r="M180" s="1855"/>
      <c r="N180" s="1855"/>
      <c r="O180" s="1855"/>
      <c r="P180" s="1855"/>
      <c r="Q180" s="1855"/>
      <c r="R180" s="1854" t="s">
        <v>352</v>
      </c>
      <c r="S180" s="1855">
        <f>SLEQheight</f>
        <v>47.5</v>
      </c>
      <c r="T180" s="1854" t="s">
        <v>366</v>
      </c>
      <c r="U180" s="1853"/>
      <c r="V180" s="1856" t="s">
        <v>369</v>
      </c>
      <c r="W180" s="1854" t="s">
        <v>370</v>
      </c>
      <c r="X180" s="1856" t="s">
        <v>369</v>
      </c>
      <c r="Y180" s="1863">
        <v>120074014938</v>
      </c>
      <c r="Z180" s="1858"/>
      <c r="AA180" s="1853"/>
      <c r="AB180" s="1854"/>
      <c r="AC180" s="1854">
        <v>2</v>
      </c>
      <c r="AD180" s="1855">
        <f>AC180*S180/12</f>
        <v>7.916666666666667</v>
      </c>
      <c r="AE180" s="1854" t="s">
        <v>367</v>
      </c>
      <c r="AF180" s="1856"/>
      <c r="AG180" s="1856"/>
      <c r="AH180" s="1859">
        <f>0.00877</f>
        <v>8.77E-3</v>
      </c>
      <c r="AI180" s="1860"/>
      <c r="AJ180" s="1860"/>
      <c r="AK180" s="1860"/>
      <c r="AL180" s="1860">
        <f>AH180*AD180</f>
        <v>6.9429166666666667E-2</v>
      </c>
      <c r="AM180" s="1854"/>
      <c r="AN180" s="1854"/>
      <c r="AO180" s="1854"/>
      <c r="AP180" s="1854"/>
      <c r="AQ180" s="1854"/>
      <c r="AR180" s="140"/>
      <c r="AS180" s="139"/>
      <c r="AT180" s="139"/>
      <c r="AU180" s="139"/>
    </row>
    <row r="181" spans="1:47" ht="15" customHeight="1" x14ac:dyDescent="0.4">
      <c r="B181" s="3"/>
      <c r="C181" s="173" t="s">
        <v>435</v>
      </c>
      <c r="D181" s="181"/>
      <c r="E181" s="182"/>
      <c r="F181" s="182"/>
      <c r="G181" s="173"/>
      <c r="H181" s="175"/>
      <c r="I181" s="116"/>
      <c r="J181" s="116"/>
      <c r="K181" s="116"/>
      <c r="L181" s="116"/>
      <c r="M181" s="177"/>
      <c r="N181" s="177"/>
      <c r="O181" s="177"/>
      <c r="P181" s="178"/>
      <c r="Q181" s="178"/>
      <c r="R181" s="116"/>
      <c r="S181" s="198">
        <v>1</v>
      </c>
      <c r="T181" s="116" t="s">
        <v>385</v>
      </c>
      <c r="U181" s="175"/>
      <c r="V181" s="179"/>
      <c r="W181" s="116"/>
      <c r="X181" s="179"/>
      <c r="Y181" s="184"/>
      <c r="Z181" s="184"/>
      <c r="AA181" s="175"/>
      <c r="AB181" s="116">
        <v>42</v>
      </c>
      <c r="AC181" s="116">
        <v>2</v>
      </c>
      <c r="AD181" s="198">
        <f>AC181*S181</f>
        <v>2</v>
      </c>
      <c r="AE181" s="116" t="s">
        <v>385</v>
      </c>
      <c r="AF181" s="116">
        <v>0</v>
      </c>
      <c r="AG181" s="177">
        <f>AF181*AtolbperftEQ</f>
        <v>0</v>
      </c>
      <c r="AH181" s="185"/>
      <c r="AI181" s="185"/>
      <c r="AJ181" s="185"/>
      <c r="AK181" s="185"/>
      <c r="AL181" s="180"/>
      <c r="AQ181" s="139"/>
      <c r="AR181" s="139"/>
      <c r="AS181" s="139"/>
      <c r="AT181" s="139"/>
    </row>
    <row r="182" spans="1:47" ht="15" customHeight="1" x14ac:dyDescent="0.4">
      <c r="B182" s="36"/>
      <c r="C182" s="36"/>
      <c r="D182" s="155"/>
      <c r="E182" s="155"/>
      <c r="F182" s="155"/>
      <c r="G182" s="7"/>
      <c r="H182" s="20"/>
      <c r="P182" s="24"/>
      <c r="Q182" s="24"/>
      <c r="U182" s="20"/>
      <c r="V182" s="38" t="s">
        <v>369</v>
      </c>
      <c r="W182" s="3" t="s">
        <v>386</v>
      </c>
      <c r="X182" s="38" t="s">
        <v>369</v>
      </c>
      <c r="Y182" s="41">
        <v>200161008</v>
      </c>
      <c r="Z182" s="41"/>
      <c r="AA182" s="20"/>
      <c r="AE182" s="3"/>
      <c r="AF182" s="38"/>
      <c r="AH182" s="39">
        <v>0</v>
      </c>
      <c r="AI182" s="39"/>
      <c r="AJ182" s="39"/>
      <c r="AK182" s="39"/>
      <c r="AL182" s="39">
        <f>AH182*AD181</f>
        <v>0</v>
      </c>
      <c r="AQ182" s="139"/>
      <c r="AR182" s="139"/>
      <c r="AS182" s="139"/>
      <c r="AT182" s="139"/>
    </row>
    <row r="183" spans="1:47" ht="15" customHeight="1" x14ac:dyDescent="0.4">
      <c r="B183" s="36"/>
      <c r="C183" s="36"/>
      <c r="D183" s="155"/>
      <c r="E183" s="155"/>
      <c r="F183" s="155"/>
      <c r="G183" s="7"/>
      <c r="H183" s="20"/>
      <c r="P183" s="24"/>
      <c r="Q183" s="24"/>
      <c r="U183" s="20"/>
      <c r="V183" s="38"/>
      <c r="X183" s="38"/>
      <c r="Y183" s="41"/>
      <c r="Z183" s="41"/>
      <c r="AA183" s="20"/>
      <c r="AE183" s="3"/>
      <c r="AF183" s="3"/>
      <c r="AH183" s="39">
        <v>0</v>
      </c>
      <c r="AI183" s="39"/>
      <c r="AJ183" s="39"/>
      <c r="AK183" s="39"/>
      <c r="AL183" s="39">
        <f>AH183*AD181</f>
        <v>0</v>
      </c>
      <c r="AQ183" s="139"/>
      <c r="AR183" s="139"/>
      <c r="AS183" s="139"/>
      <c r="AT183" s="139"/>
    </row>
    <row r="184" spans="1:47" ht="15" customHeight="1" thickBot="1" x14ac:dyDescent="0.45">
      <c r="B184" s="36"/>
      <c r="C184" s="943"/>
      <c r="D184" s="925"/>
      <c r="E184" s="925"/>
      <c r="F184" s="925"/>
      <c r="G184" s="924"/>
      <c r="H184" s="887"/>
      <c r="I184" s="889"/>
      <c r="J184" s="889"/>
      <c r="K184" s="889"/>
      <c r="L184" s="889"/>
      <c r="M184" s="945"/>
      <c r="N184" s="945"/>
      <c r="O184" s="945"/>
      <c r="P184" s="1020"/>
      <c r="Q184" s="1020"/>
      <c r="R184" s="889"/>
      <c r="S184" s="945"/>
      <c r="T184" s="889"/>
      <c r="U184" s="887"/>
      <c r="V184" s="888"/>
      <c r="W184" s="889"/>
      <c r="X184" s="888"/>
      <c r="Y184" s="946"/>
      <c r="Z184" s="946"/>
      <c r="AA184" s="887"/>
      <c r="AB184" s="889"/>
      <c r="AC184" s="889"/>
      <c r="AD184" s="945"/>
      <c r="AE184" s="889"/>
      <c r="AF184" s="889"/>
      <c r="AG184" s="945"/>
      <c r="AH184" s="947">
        <v>0</v>
      </c>
      <c r="AI184" s="947"/>
      <c r="AJ184" s="947"/>
      <c r="AK184" s="947"/>
      <c r="AL184" s="947">
        <f>AH184*AD181</f>
        <v>0</v>
      </c>
      <c r="AM184" s="889"/>
      <c r="AN184" s="889"/>
      <c r="AO184" s="889"/>
      <c r="AP184" s="889"/>
      <c r="AQ184" s="1163"/>
      <c r="AR184" s="139"/>
      <c r="AS184" s="139"/>
      <c r="AT184" s="139"/>
    </row>
    <row r="185" spans="1:47" ht="15" customHeight="1" x14ac:dyDescent="0.4">
      <c r="C185" s="173" t="s">
        <v>382</v>
      </c>
      <c r="D185" s="182"/>
      <c r="F185" s="182"/>
      <c r="G185" s="430" t="s">
        <v>383</v>
      </c>
      <c r="H185" s="175"/>
      <c r="I185" s="116" t="s">
        <v>365</v>
      </c>
      <c r="J185" s="116"/>
      <c r="K185" s="116"/>
      <c r="L185" s="116" t="s">
        <v>348</v>
      </c>
      <c r="M185" s="177">
        <v>3</v>
      </c>
      <c r="N185" s="177" t="s">
        <v>348</v>
      </c>
      <c r="O185" s="177">
        <f>0.25</f>
        <v>0.25</v>
      </c>
      <c r="P185" s="178"/>
      <c r="Q185" s="178"/>
      <c r="R185" s="116" t="s">
        <v>352</v>
      </c>
      <c r="S185" s="177">
        <f>SLEQheight+M185+O185</f>
        <v>50.75</v>
      </c>
      <c r="T185" s="116" t="s">
        <v>366</v>
      </c>
      <c r="U185" s="175"/>
      <c r="V185" s="179"/>
      <c r="W185" s="116"/>
      <c r="X185" s="179"/>
      <c r="Y185" s="184"/>
      <c r="Z185" s="184"/>
      <c r="AA185" s="175"/>
      <c r="AB185" s="116">
        <v>42</v>
      </c>
      <c r="AC185" s="116">
        <v>2</v>
      </c>
      <c r="AD185" s="177">
        <f>AC185*S185/12</f>
        <v>8.4583333333333339</v>
      </c>
      <c r="AE185" s="116" t="s">
        <v>367</v>
      </c>
      <c r="AF185" s="116">
        <v>0</v>
      </c>
      <c r="AG185" s="177">
        <f>AF185*AtolbperftEQ</f>
        <v>0</v>
      </c>
      <c r="AH185" s="185"/>
      <c r="AI185" s="39"/>
      <c r="AJ185" s="39"/>
      <c r="AK185" s="39"/>
      <c r="AL185" s="180"/>
      <c r="AQ185" s="139"/>
      <c r="AR185" s="139"/>
      <c r="AS185" s="139"/>
      <c r="AT185" s="139"/>
      <c r="AU185" s="139"/>
    </row>
    <row r="186" spans="1:47" ht="15" customHeight="1" x14ac:dyDescent="0.4">
      <c r="B186" s="36"/>
      <c r="C186" s="36"/>
      <c r="D186" s="155"/>
      <c r="E186" s="155"/>
      <c r="F186" s="155"/>
      <c r="G186" s="7"/>
      <c r="H186" s="20"/>
      <c r="P186" s="24"/>
      <c r="Q186" s="24"/>
      <c r="U186" s="20"/>
      <c r="V186" s="38" t="s">
        <v>369</v>
      </c>
      <c r="W186" s="3" t="s">
        <v>370</v>
      </c>
      <c r="X186" s="38" t="s">
        <v>369</v>
      </c>
      <c r="Y186" s="1443">
        <v>200114003</v>
      </c>
      <c r="Z186" s="41"/>
      <c r="AA186" s="20"/>
      <c r="AE186" s="3"/>
      <c r="AF186" s="38"/>
      <c r="AH186" s="51">
        <v>9.3600000000000003E-2</v>
      </c>
      <c r="AI186" s="478"/>
      <c r="AJ186" s="478"/>
      <c r="AK186" s="478"/>
      <c r="AL186" s="39">
        <f>AH186*AD185</f>
        <v>0.79170000000000007</v>
      </c>
      <c r="AQ186" s="139"/>
      <c r="AR186" s="139"/>
      <c r="AS186" s="139"/>
      <c r="AT186" s="139"/>
      <c r="AU186" s="139"/>
    </row>
    <row r="187" spans="1:47" ht="15" customHeight="1" x14ac:dyDescent="0.4">
      <c r="B187" s="36"/>
      <c r="C187" s="36"/>
      <c r="D187" s="155"/>
      <c r="E187" s="155"/>
      <c r="F187" s="155"/>
      <c r="G187" s="7"/>
      <c r="H187" s="20"/>
      <c r="P187" s="24"/>
      <c r="Q187" s="24"/>
      <c r="U187" s="20"/>
      <c r="V187" s="38" t="s">
        <v>369</v>
      </c>
      <c r="W187" s="3" t="s">
        <v>372</v>
      </c>
      <c r="X187" s="38" t="s">
        <v>369</v>
      </c>
      <c r="Y187" s="1443">
        <v>200114021</v>
      </c>
      <c r="Z187" s="41"/>
      <c r="AA187" s="20"/>
      <c r="AE187" s="3"/>
      <c r="AF187" s="3"/>
      <c r="AH187" s="51">
        <v>0.10050000000000001</v>
      </c>
      <c r="AI187" s="478"/>
      <c r="AJ187" s="478"/>
      <c r="AK187" s="478"/>
      <c r="AL187" s="39">
        <f>AH187*AD185</f>
        <v>0.85006250000000017</v>
      </c>
      <c r="AQ187" s="139"/>
      <c r="AR187" s="139"/>
      <c r="AS187" s="139"/>
      <c r="AT187" s="139"/>
      <c r="AU187" s="139"/>
    </row>
    <row r="188" spans="1:47" ht="15" customHeight="1" x14ac:dyDescent="0.4">
      <c r="B188" s="36"/>
      <c r="C188" s="36"/>
      <c r="D188" s="155"/>
      <c r="E188" s="155"/>
      <c r="F188" s="155"/>
      <c r="G188" s="7"/>
      <c r="H188" s="20"/>
      <c r="P188" s="24"/>
      <c r="Q188" s="24"/>
      <c r="U188" s="20"/>
      <c r="V188" s="38" t="s">
        <v>369</v>
      </c>
      <c r="W188" s="3" t="s">
        <v>373</v>
      </c>
      <c r="X188" s="38" t="s">
        <v>369</v>
      </c>
      <c r="Y188" s="1443">
        <v>200114033</v>
      </c>
      <c r="Z188" s="41"/>
      <c r="AA188" s="20"/>
      <c r="AE188" s="3"/>
      <c r="AF188" s="3"/>
      <c r="AH188" s="51">
        <v>0.1021</v>
      </c>
      <c r="AL188" s="39">
        <f>AH188*AD185</f>
        <v>0.86359583333333334</v>
      </c>
      <c r="AQ188" s="139"/>
      <c r="AR188" s="139"/>
      <c r="AS188" s="139"/>
      <c r="AT188" s="139"/>
      <c r="AU188" s="139"/>
    </row>
    <row r="189" spans="1:47" ht="15" customHeight="1" x14ac:dyDescent="0.4">
      <c r="B189" s="36"/>
      <c r="C189" s="36"/>
      <c r="D189" s="155"/>
      <c r="E189" s="155"/>
      <c r="F189" s="155"/>
      <c r="G189" s="7"/>
      <c r="H189" s="20"/>
      <c r="P189" s="24"/>
      <c r="Q189" s="24"/>
      <c r="U189" s="20"/>
      <c r="V189" s="38" t="s">
        <v>369</v>
      </c>
      <c r="W189" s="3" t="s">
        <v>374</v>
      </c>
      <c r="X189" s="38" t="s">
        <v>369</v>
      </c>
      <c r="Y189" s="1443">
        <v>200114090</v>
      </c>
      <c r="Z189" s="1443"/>
      <c r="AA189" s="20"/>
      <c r="AE189" s="3"/>
      <c r="AF189" s="3"/>
      <c r="AH189" s="51">
        <v>0.26579999999999998</v>
      </c>
      <c r="AI189" s="39"/>
      <c r="AJ189" s="39"/>
      <c r="AK189" s="39"/>
      <c r="AL189" s="39">
        <f t="shared" ref="AL189:AL190" si="10">AH189*$AD$185</f>
        <v>2.2482250000000001</v>
      </c>
      <c r="AR189" s="139"/>
      <c r="AS189" s="139"/>
      <c r="AT189" s="139"/>
      <c r="AU189" s="139"/>
    </row>
    <row r="190" spans="1:47" ht="15" customHeight="1" thickBot="1" x14ac:dyDescent="0.45">
      <c r="B190" s="943"/>
      <c r="C190" s="943"/>
      <c r="D190" s="925"/>
      <c r="E190" s="925"/>
      <c r="F190" s="925"/>
      <c r="G190" s="924"/>
      <c r="H190" s="887"/>
      <c r="I190" s="889"/>
      <c r="J190" s="889"/>
      <c r="K190" s="889"/>
      <c r="L190" s="889"/>
      <c r="M190" s="945"/>
      <c r="N190" s="945"/>
      <c r="O190" s="945"/>
      <c r="P190" s="1020"/>
      <c r="Q190" s="1020"/>
      <c r="R190" s="889"/>
      <c r="S190" s="945"/>
      <c r="T190" s="889"/>
      <c r="U190" s="887"/>
      <c r="V190" s="888" t="s">
        <v>369</v>
      </c>
      <c r="W190" s="889" t="s">
        <v>375</v>
      </c>
      <c r="X190" s="888" t="s">
        <v>369</v>
      </c>
      <c r="Y190" s="1444">
        <v>200114133</v>
      </c>
      <c r="Z190" s="1444"/>
      <c r="AA190" s="887"/>
      <c r="AB190" s="889"/>
      <c r="AC190" s="889"/>
      <c r="AD190" s="945"/>
      <c r="AE190" s="889"/>
      <c r="AF190" s="889"/>
      <c r="AG190" s="945"/>
      <c r="AH190" s="844">
        <v>0.28470000000000001</v>
      </c>
      <c r="AI190" s="947"/>
      <c r="AJ190" s="947"/>
      <c r="AK190" s="947"/>
      <c r="AL190" s="947">
        <f t="shared" si="10"/>
        <v>2.4080875000000002</v>
      </c>
      <c r="AM190" s="889"/>
      <c r="AN190" s="889"/>
      <c r="AO190" s="889"/>
      <c r="AP190" s="889"/>
      <c r="AQ190" s="889"/>
      <c r="AR190" s="139"/>
      <c r="AS190" s="139"/>
      <c r="AT190" s="139"/>
      <c r="AU190" s="139"/>
    </row>
    <row r="191" spans="1:47" ht="15" customHeight="1" thickBot="1" x14ac:dyDescent="0.45">
      <c r="B191" s="173" t="s">
        <v>436</v>
      </c>
      <c r="C191" s="173"/>
      <c r="D191" s="116"/>
      <c r="E191" s="116"/>
      <c r="F191" s="174"/>
      <c r="G191" s="173"/>
      <c r="H191" s="175"/>
      <c r="I191" s="116"/>
      <c r="J191" s="116"/>
      <c r="K191" s="116"/>
      <c r="L191" s="116"/>
      <c r="M191" s="116"/>
      <c r="N191" s="177"/>
      <c r="O191" s="177"/>
      <c r="P191" s="177"/>
      <c r="Q191" s="177"/>
      <c r="R191" s="116"/>
      <c r="S191" s="177"/>
      <c r="T191" s="116"/>
      <c r="U191" s="175"/>
      <c r="V191" s="173"/>
      <c r="W191" s="173"/>
      <c r="X191" s="173"/>
      <c r="Y191" s="116"/>
      <c r="Z191" s="116"/>
      <c r="AA191" s="175"/>
      <c r="AB191" s="116"/>
      <c r="AC191" s="116"/>
      <c r="AD191" s="177"/>
      <c r="AE191" s="116"/>
      <c r="AF191" s="179"/>
      <c r="AG191" s="177"/>
      <c r="AH191" s="185"/>
      <c r="AI191" s="937"/>
      <c r="AJ191" s="937"/>
      <c r="AK191" s="937"/>
      <c r="AL191" s="180"/>
      <c r="AM191" s="889"/>
      <c r="AN191" s="889"/>
      <c r="AO191" s="889"/>
      <c r="AP191" s="889"/>
      <c r="AQ191" s="1163"/>
      <c r="AR191" s="139"/>
      <c r="AS191" s="139"/>
      <c r="AT191" s="139"/>
      <c r="AU191" s="139"/>
    </row>
    <row r="192" spans="1:47" ht="15" customHeight="1" x14ac:dyDescent="0.4">
      <c r="A192" s="3" t="s">
        <v>389</v>
      </c>
      <c r="B192" s="173"/>
      <c r="C192" s="173" t="s">
        <v>437</v>
      </c>
      <c r="D192" s="116"/>
      <c r="E192" s="182"/>
      <c r="F192" s="182" t="s">
        <v>438</v>
      </c>
      <c r="G192" s="173"/>
      <c r="H192" s="175"/>
      <c r="I192" s="116" t="s">
        <v>392</v>
      </c>
      <c r="J192" s="116"/>
      <c r="K192" s="116"/>
      <c r="L192" s="116" t="s">
        <v>348</v>
      </c>
      <c r="M192" s="177">
        <v>3</v>
      </c>
      <c r="N192" s="177" t="s">
        <v>348</v>
      </c>
      <c r="O192" s="177">
        <f>0.25</f>
        <v>0.25</v>
      </c>
      <c r="P192" s="177"/>
      <c r="Q192" s="177"/>
      <c r="R192" s="116" t="s">
        <v>352</v>
      </c>
      <c r="S192" s="177">
        <f>SLEQwidth+M192+O192</f>
        <v>74.75</v>
      </c>
      <c r="T192" s="116" t="s">
        <v>366</v>
      </c>
      <c r="U192" s="175"/>
      <c r="V192" s="179"/>
      <c r="W192" s="116"/>
      <c r="X192" s="179"/>
      <c r="Y192" s="116"/>
      <c r="Z192" s="116"/>
      <c r="AA192" s="175"/>
      <c r="AB192" s="116">
        <v>42</v>
      </c>
      <c r="AC192" s="116">
        <v>1</v>
      </c>
      <c r="AD192" s="177">
        <f>AC192*S192/12</f>
        <v>6.229166666666667</v>
      </c>
      <c r="AE192" s="116" t="s">
        <v>367</v>
      </c>
      <c r="AF192" s="179">
        <f>AF163</f>
        <v>1.1200000000000001</v>
      </c>
      <c r="AG192" s="177">
        <f>AF192*AtolbperftEQ</f>
        <v>0.70840000000000003</v>
      </c>
      <c r="AH192" s="185"/>
      <c r="AI192" s="39"/>
      <c r="AJ192" s="39"/>
      <c r="AK192" s="39"/>
      <c r="AL192" s="180"/>
      <c r="AQ192" s="139"/>
      <c r="AR192" s="139"/>
      <c r="AS192" s="139"/>
      <c r="AT192" s="139"/>
      <c r="AU192" s="139"/>
    </row>
    <row r="193" spans="2:47" ht="15" customHeight="1" x14ac:dyDescent="0.4">
      <c r="B193" s="36"/>
      <c r="C193" s="155"/>
      <c r="D193" s="155"/>
      <c r="E193" s="155" t="s">
        <v>439</v>
      </c>
      <c r="F193" s="155"/>
      <c r="G193" s="7"/>
      <c r="H193" s="20"/>
      <c r="I193" s="3" t="s">
        <v>392</v>
      </c>
      <c r="L193" s="3" t="s">
        <v>348</v>
      </c>
      <c r="M193" s="5">
        <v>0</v>
      </c>
      <c r="N193" s="5" t="s">
        <v>348</v>
      </c>
      <c r="O193" s="5">
        <f>0.25</f>
        <v>0.25</v>
      </c>
      <c r="P193" s="24"/>
      <c r="Q193" s="24"/>
      <c r="R193" s="3" t="s">
        <v>352</v>
      </c>
      <c r="S193" s="5">
        <f>SLEQwidth+M193+O193</f>
        <v>71.75</v>
      </c>
      <c r="T193" s="3" t="s">
        <v>366</v>
      </c>
      <c r="U193" s="20"/>
      <c r="V193" s="38" t="s">
        <v>369</v>
      </c>
      <c r="W193" s="3" t="s">
        <v>370</v>
      </c>
      <c r="X193" s="38" t="s">
        <v>369</v>
      </c>
      <c r="Y193" s="41">
        <v>200152003</v>
      </c>
      <c r="Z193" s="41"/>
      <c r="AA193" s="20"/>
      <c r="AE193" s="3"/>
      <c r="AF193" s="38"/>
      <c r="AH193" s="39">
        <f>0.91*AG192</f>
        <v>0.64464399999999999</v>
      </c>
      <c r="AI193" s="39"/>
      <c r="AJ193" s="39"/>
      <c r="AK193" s="39"/>
      <c r="AL193" s="39">
        <f>AH193*AD192</f>
        <v>4.0155949166666671</v>
      </c>
      <c r="AQ193" s="139"/>
      <c r="AR193" s="139"/>
      <c r="AS193" s="139"/>
      <c r="AT193" s="139"/>
      <c r="AU193" s="139"/>
    </row>
    <row r="194" spans="2:47" ht="15" customHeight="1" x14ac:dyDescent="0.4">
      <c r="B194" s="36"/>
      <c r="C194" s="155"/>
      <c r="D194" s="155"/>
      <c r="E194" s="155"/>
      <c r="F194" s="155"/>
      <c r="G194" s="7"/>
      <c r="H194" s="20"/>
      <c r="U194" s="20"/>
      <c r="V194" s="38" t="s">
        <v>369</v>
      </c>
      <c r="W194" s="3" t="s">
        <v>372</v>
      </c>
      <c r="X194" s="38" t="s">
        <v>369</v>
      </c>
      <c r="Y194" s="41">
        <v>200152021</v>
      </c>
      <c r="Z194" s="41"/>
      <c r="AA194" s="20"/>
      <c r="AE194" s="3"/>
      <c r="AF194" s="38"/>
      <c r="AH194" s="39">
        <f>1*AG192</f>
        <v>0.70840000000000003</v>
      </c>
      <c r="AI194" s="39"/>
      <c r="AJ194" s="39"/>
      <c r="AK194" s="39"/>
      <c r="AL194" s="39">
        <f>AH194*AD192</f>
        <v>4.4127416666666672</v>
      </c>
      <c r="AQ194" s="139"/>
      <c r="AR194" s="139"/>
      <c r="AS194" s="139"/>
      <c r="AT194" s="139"/>
      <c r="AU194" s="139"/>
    </row>
    <row r="195" spans="2:47" ht="15" customHeight="1" x14ac:dyDescent="0.4">
      <c r="B195" s="3"/>
      <c r="C195" s="36"/>
      <c r="D195" s="155"/>
      <c r="E195" s="155"/>
      <c r="F195" s="155"/>
      <c r="G195" s="7"/>
      <c r="H195" s="20"/>
      <c r="U195" s="20"/>
      <c r="V195" s="38" t="s">
        <v>369</v>
      </c>
      <c r="W195" s="3" t="s">
        <v>373</v>
      </c>
      <c r="X195" s="38" t="s">
        <v>369</v>
      </c>
      <c r="Y195" s="41">
        <v>200152033</v>
      </c>
      <c r="Z195" s="41"/>
      <c r="AA195" s="20"/>
      <c r="AE195" s="3"/>
      <c r="AF195" s="38"/>
      <c r="AH195" s="39">
        <f>1*AG192</f>
        <v>0.70840000000000003</v>
      </c>
      <c r="AL195" s="39">
        <f>AH195*AD192</f>
        <v>4.4127416666666672</v>
      </c>
      <c r="AQ195" s="139"/>
      <c r="AR195" s="139"/>
      <c r="AS195" s="139"/>
      <c r="AT195" s="139"/>
      <c r="AU195" s="139"/>
    </row>
    <row r="196" spans="2:47" ht="15.75" customHeight="1" x14ac:dyDescent="0.4">
      <c r="C196" s="36"/>
      <c r="D196" s="155"/>
      <c r="E196" s="155"/>
      <c r="F196" s="155"/>
      <c r="G196" s="7"/>
      <c r="H196" s="20"/>
      <c r="P196" s="24"/>
      <c r="Q196" s="24"/>
      <c r="U196" s="20"/>
      <c r="V196" s="3" t="s">
        <v>2363</v>
      </c>
      <c r="W196" s="3" t="s">
        <v>370</v>
      </c>
      <c r="X196" s="38" t="s">
        <v>369</v>
      </c>
      <c r="Y196" s="41">
        <v>200152127</v>
      </c>
      <c r="Z196" s="41"/>
      <c r="AA196" s="20"/>
      <c r="AE196" s="3"/>
      <c r="AF196" s="3"/>
      <c r="AH196" s="51">
        <v>0.88829999999999998</v>
      </c>
      <c r="AI196" s="39"/>
      <c r="AJ196" s="39"/>
      <c r="AK196" s="39"/>
      <c r="AL196" s="39">
        <f>AH196*AD192</f>
        <v>5.5333687500000002</v>
      </c>
      <c r="AR196" s="139"/>
      <c r="AS196" s="139"/>
      <c r="AT196" s="139"/>
      <c r="AU196" s="139"/>
    </row>
    <row r="197" spans="2:47" ht="15.75" customHeight="1" x14ac:dyDescent="0.4">
      <c r="C197" s="36"/>
      <c r="D197" s="623"/>
      <c r="E197" s="623"/>
      <c r="F197" s="623"/>
      <c r="G197" s="221"/>
      <c r="H197" s="624"/>
      <c r="I197" s="577"/>
      <c r="J197" s="577"/>
      <c r="K197" s="577"/>
      <c r="L197" s="577"/>
      <c r="M197" s="575"/>
      <c r="N197" s="575"/>
      <c r="O197" s="575"/>
      <c r="P197" s="625"/>
      <c r="Q197" s="625"/>
      <c r="R197" s="577"/>
      <c r="S197" s="575"/>
      <c r="T197" s="577"/>
      <c r="U197" s="624"/>
      <c r="V197" s="577" t="s">
        <v>2365</v>
      </c>
      <c r="W197" s="577" t="s">
        <v>370</v>
      </c>
      <c r="X197" s="579" t="s">
        <v>369</v>
      </c>
      <c r="Y197" s="864">
        <v>200152180</v>
      </c>
      <c r="Z197" s="864"/>
      <c r="AA197" s="624"/>
      <c r="AB197" s="577"/>
      <c r="AC197" s="577"/>
      <c r="AD197" s="575"/>
      <c r="AE197" s="577"/>
      <c r="AF197" s="577"/>
      <c r="AG197" s="575"/>
      <c r="AH197" s="626">
        <v>0.95860000000000001</v>
      </c>
      <c r="AI197" s="581"/>
      <c r="AJ197" s="581"/>
      <c r="AK197" s="581"/>
      <c r="AL197" s="581">
        <f>AH197*AD192</f>
        <v>5.9712791666666671</v>
      </c>
      <c r="AM197" s="577"/>
      <c r="AN197" s="577"/>
      <c r="AO197" s="577"/>
      <c r="AP197" s="577"/>
      <c r="AQ197" s="577"/>
      <c r="AR197" s="139"/>
      <c r="AS197" s="139"/>
      <c r="AT197" s="139"/>
      <c r="AU197" s="139"/>
    </row>
    <row r="198" spans="2:47" ht="15" customHeight="1" x14ac:dyDescent="0.4">
      <c r="B198" s="36"/>
      <c r="C198" s="36"/>
      <c r="D198" s="447" t="s">
        <v>1220</v>
      </c>
      <c r="E198" s="155"/>
      <c r="F198" s="155"/>
      <c r="G198" s="7"/>
      <c r="H198" s="20"/>
      <c r="I198" s="500"/>
      <c r="J198" s="500"/>
      <c r="K198" s="500"/>
      <c r="L198" s="500"/>
      <c r="M198" s="24"/>
      <c r="N198" s="24"/>
      <c r="O198" s="24"/>
      <c r="P198" s="24"/>
      <c r="Q198" s="24"/>
      <c r="R198" s="500"/>
      <c r="S198" s="24"/>
      <c r="T198" s="500"/>
      <c r="U198" s="20"/>
      <c r="V198" s="38" t="s">
        <v>369</v>
      </c>
      <c r="W198" s="3" t="s">
        <v>405</v>
      </c>
      <c r="X198" s="38" t="s">
        <v>369</v>
      </c>
      <c r="Y198" s="41">
        <v>600042010</v>
      </c>
      <c r="Z198" s="41"/>
      <c r="AA198" s="20"/>
      <c r="AE198" s="3"/>
      <c r="AF198" s="3"/>
      <c r="AG198" s="3"/>
      <c r="AH198" s="39"/>
      <c r="AI198" s="39"/>
      <c r="AJ198" s="39"/>
      <c r="AK198" s="39"/>
      <c r="AQ198" s="140"/>
      <c r="AR198" s="140"/>
      <c r="AS198" s="139"/>
      <c r="AT198" s="139"/>
      <c r="AU198" s="139"/>
    </row>
    <row r="199" spans="2:47" ht="15" customHeight="1" x14ac:dyDescent="0.4">
      <c r="B199" s="3"/>
      <c r="C199" s="36"/>
      <c r="D199" s="447" t="s">
        <v>1221</v>
      </c>
      <c r="E199" s="155"/>
      <c r="F199" s="155"/>
      <c r="G199" s="7"/>
      <c r="H199" s="20"/>
      <c r="I199" s="3" t="s">
        <v>392</v>
      </c>
      <c r="L199" s="3" t="s">
        <v>348</v>
      </c>
      <c r="M199" s="5">
        <v>0</v>
      </c>
      <c r="R199" s="3" t="s">
        <v>352</v>
      </c>
      <c r="S199" s="5">
        <f>S192</f>
        <v>74.75</v>
      </c>
      <c r="T199" s="3" t="s">
        <v>366</v>
      </c>
      <c r="U199" s="20"/>
      <c r="V199" s="38" t="s">
        <v>369</v>
      </c>
      <c r="W199" s="3" t="s">
        <v>405</v>
      </c>
      <c r="X199" s="38" t="s">
        <v>369</v>
      </c>
      <c r="Y199" s="41">
        <v>600050010</v>
      </c>
      <c r="Z199" s="41"/>
      <c r="AA199" s="20"/>
      <c r="AB199" s="3">
        <v>42</v>
      </c>
      <c r="AC199" s="3">
        <v>1</v>
      </c>
      <c r="AD199" s="5">
        <f>AC199*S199/12</f>
        <v>6.229166666666667</v>
      </c>
      <c r="AE199" s="3" t="s">
        <v>367</v>
      </c>
      <c r="AF199" s="3"/>
      <c r="AG199" s="3"/>
      <c r="AH199" s="39">
        <v>0</v>
      </c>
      <c r="AI199" s="39"/>
      <c r="AJ199" s="39"/>
      <c r="AK199" s="39"/>
      <c r="AQ199" s="140"/>
      <c r="AR199" s="140"/>
      <c r="AS199" s="139"/>
      <c r="AT199" s="139"/>
      <c r="AU199" s="139"/>
    </row>
    <row r="200" spans="2:47" ht="15" customHeight="1" thickBot="1" x14ac:dyDescent="0.25">
      <c r="C200" s="1849"/>
      <c r="D200" s="1850" t="s">
        <v>2353</v>
      </c>
      <c r="E200" s="889"/>
      <c r="F200" s="1851"/>
      <c r="G200" s="1852"/>
      <c r="H200" s="1853"/>
      <c r="I200" s="1854" t="s">
        <v>392</v>
      </c>
      <c r="J200" s="1854"/>
      <c r="K200" s="1854"/>
      <c r="L200" s="1854"/>
      <c r="M200" s="1855"/>
      <c r="N200" s="1855"/>
      <c r="O200" s="1855"/>
      <c r="P200" s="1855"/>
      <c r="Q200" s="1855"/>
      <c r="R200" s="1854" t="s">
        <v>352</v>
      </c>
      <c r="S200" s="1855">
        <f>SLEQwidth</f>
        <v>71.5</v>
      </c>
      <c r="T200" s="1854" t="s">
        <v>366</v>
      </c>
      <c r="U200" s="1853"/>
      <c r="V200" s="1856" t="s">
        <v>369</v>
      </c>
      <c r="W200" s="1854" t="s">
        <v>370</v>
      </c>
      <c r="X200" s="1856" t="s">
        <v>369</v>
      </c>
      <c r="Y200" s="1863">
        <v>120074014938</v>
      </c>
      <c r="Z200" s="1858"/>
      <c r="AA200" s="1853"/>
      <c r="AB200" s="1854"/>
      <c r="AC200" s="1854">
        <v>1</v>
      </c>
      <c r="AD200" s="1855">
        <f>AC200*S200/12</f>
        <v>5.958333333333333</v>
      </c>
      <c r="AE200" s="1854" t="s">
        <v>367</v>
      </c>
      <c r="AF200" s="1856"/>
      <c r="AG200" s="1856"/>
      <c r="AH200" s="1859">
        <f>0.00877</f>
        <v>8.77E-3</v>
      </c>
      <c r="AI200" s="1860"/>
      <c r="AJ200" s="1860"/>
      <c r="AK200" s="1860"/>
      <c r="AL200" s="1860">
        <f>AH200*AD200</f>
        <v>5.2254583333333333E-2</v>
      </c>
      <c r="AM200" s="1854"/>
      <c r="AN200" s="1854"/>
      <c r="AO200" s="1854"/>
      <c r="AP200" s="1854"/>
      <c r="AQ200" s="1854"/>
      <c r="AR200" s="140"/>
      <c r="AS200" s="139"/>
      <c r="AT200" s="139"/>
      <c r="AU200" s="139"/>
    </row>
    <row r="201" spans="2:47" ht="15.75" customHeight="1" x14ac:dyDescent="0.4">
      <c r="B201" s="3"/>
      <c r="C201" s="173" t="s">
        <v>440</v>
      </c>
      <c r="D201" s="116"/>
      <c r="E201" s="182"/>
      <c r="F201" s="182" t="s">
        <v>438</v>
      </c>
      <c r="G201" s="173"/>
      <c r="H201" s="175"/>
      <c r="I201" s="116" t="s">
        <v>392</v>
      </c>
      <c r="J201" s="116"/>
      <c r="K201" s="116"/>
      <c r="L201" s="116" t="s">
        <v>348</v>
      </c>
      <c r="M201" s="177">
        <v>3</v>
      </c>
      <c r="N201" s="177" t="s">
        <v>348</v>
      </c>
      <c r="O201" s="177">
        <f>0.25</f>
        <v>0.25</v>
      </c>
      <c r="P201" s="177"/>
      <c r="Q201" s="177"/>
      <c r="R201" s="116" t="s">
        <v>352</v>
      </c>
      <c r="S201" s="177">
        <f>SLEQwidth+M201+O201</f>
        <v>74.75</v>
      </c>
      <c r="T201" s="116" t="s">
        <v>366</v>
      </c>
      <c r="U201" s="175"/>
      <c r="V201" s="179"/>
      <c r="W201" s="116"/>
      <c r="X201" s="179"/>
      <c r="Y201" s="116"/>
      <c r="Z201" s="116"/>
      <c r="AA201" s="175"/>
      <c r="AB201" s="116">
        <v>42</v>
      </c>
      <c r="AC201" s="116">
        <v>1</v>
      </c>
      <c r="AD201" s="177">
        <f>AC201*S201/12</f>
        <v>6.229166666666667</v>
      </c>
      <c r="AE201" s="116" t="s">
        <v>367</v>
      </c>
      <c r="AF201" s="179">
        <f>AF172</f>
        <v>1.1200000000000001</v>
      </c>
      <c r="AG201" s="177">
        <f>AF201*AtolbperftEQ</f>
        <v>0.70840000000000003</v>
      </c>
      <c r="AH201" s="185"/>
      <c r="AI201" s="39"/>
      <c r="AJ201" s="39"/>
      <c r="AK201" s="39"/>
      <c r="AL201" s="180"/>
      <c r="AQ201" s="139"/>
      <c r="AR201" s="139"/>
      <c r="AS201" s="139"/>
      <c r="AT201" s="139"/>
      <c r="AU201" s="139"/>
    </row>
    <row r="202" spans="2:47" ht="15" customHeight="1" x14ac:dyDescent="0.4">
      <c r="B202" s="36"/>
      <c r="C202" s="155"/>
      <c r="D202" s="155"/>
      <c r="E202" s="155" t="s">
        <v>439</v>
      </c>
      <c r="F202" s="155"/>
      <c r="G202" s="7"/>
      <c r="H202" s="20"/>
      <c r="I202" s="3" t="s">
        <v>392</v>
      </c>
      <c r="L202" s="3" t="s">
        <v>348</v>
      </c>
      <c r="M202" s="5">
        <v>0</v>
      </c>
      <c r="N202" s="5" t="s">
        <v>348</v>
      </c>
      <c r="O202" s="5">
        <f>0.25</f>
        <v>0.25</v>
      </c>
      <c r="P202" s="24"/>
      <c r="Q202" s="24"/>
      <c r="R202" s="3" t="s">
        <v>352</v>
      </c>
      <c r="S202" s="5">
        <f>SLEQwidth+M202+O202</f>
        <v>71.75</v>
      </c>
      <c r="T202" s="3" t="s">
        <v>366</v>
      </c>
      <c r="U202" s="20"/>
      <c r="V202" s="38" t="s">
        <v>369</v>
      </c>
      <c r="W202" s="3" t="s">
        <v>370</v>
      </c>
      <c r="X202" s="38" t="s">
        <v>369</v>
      </c>
      <c r="Y202" s="41">
        <v>200151003</v>
      </c>
      <c r="Z202" s="41"/>
      <c r="AA202" s="20"/>
      <c r="AE202" s="3"/>
      <c r="AF202" s="38"/>
      <c r="AH202" s="39">
        <f>0.91*AG201</f>
        <v>0.64464399999999999</v>
      </c>
      <c r="AI202" s="39"/>
      <c r="AJ202" s="39"/>
      <c r="AK202" s="39"/>
      <c r="AL202" s="39">
        <f>AH202*AD201</f>
        <v>4.0155949166666671</v>
      </c>
      <c r="AQ202" s="139"/>
      <c r="AR202" s="139"/>
      <c r="AS202" s="139"/>
      <c r="AT202" s="139"/>
      <c r="AU202" s="139"/>
    </row>
    <row r="203" spans="2:47" ht="15" customHeight="1" x14ac:dyDescent="0.4">
      <c r="B203" s="36"/>
      <c r="C203" s="155"/>
      <c r="D203" s="155"/>
      <c r="E203" s="155"/>
      <c r="F203" s="155"/>
      <c r="G203" s="7"/>
      <c r="H203" s="20"/>
      <c r="U203" s="20"/>
      <c r="V203" s="38" t="s">
        <v>369</v>
      </c>
      <c r="W203" s="3" t="s">
        <v>372</v>
      </c>
      <c r="X203" s="38" t="s">
        <v>369</v>
      </c>
      <c r="Y203" s="41">
        <v>200151021</v>
      </c>
      <c r="Z203" s="41"/>
      <c r="AA203" s="20"/>
      <c r="AE203" s="3"/>
      <c r="AF203" s="38"/>
      <c r="AH203" s="39">
        <f>1*AG201</f>
        <v>0.70840000000000003</v>
      </c>
      <c r="AI203" s="39"/>
      <c r="AJ203" s="39"/>
      <c r="AK203" s="39"/>
      <c r="AL203" s="39">
        <f>AH203*AD201</f>
        <v>4.4127416666666672</v>
      </c>
      <c r="AQ203" s="139"/>
      <c r="AR203" s="139"/>
      <c r="AS203" s="139"/>
      <c r="AT203" s="139"/>
      <c r="AU203" s="139"/>
    </row>
    <row r="204" spans="2:47" ht="15" customHeight="1" x14ac:dyDescent="0.4">
      <c r="C204" s="155"/>
      <c r="D204" s="36"/>
      <c r="E204" s="155"/>
      <c r="F204" s="155"/>
      <c r="G204" s="7"/>
      <c r="H204" s="20"/>
      <c r="U204" s="20"/>
      <c r="V204" s="38" t="s">
        <v>369</v>
      </c>
      <c r="W204" s="3" t="s">
        <v>373</v>
      </c>
      <c r="X204" s="38" t="s">
        <v>369</v>
      </c>
      <c r="Y204" s="41">
        <v>200151033</v>
      </c>
      <c r="Z204" s="41"/>
      <c r="AA204" s="20"/>
      <c r="AE204" s="3"/>
      <c r="AF204" s="38"/>
      <c r="AH204" s="39">
        <f>1*AG201</f>
        <v>0.70840000000000003</v>
      </c>
      <c r="AL204" s="39">
        <f>AH204*AD201</f>
        <v>4.4127416666666672</v>
      </c>
      <c r="AQ204" s="139"/>
      <c r="AR204" s="139"/>
      <c r="AS204" s="139"/>
      <c r="AT204" s="139"/>
      <c r="AU204" s="139"/>
    </row>
    <row r="205" spans="2:47" ht="15.75" customHeight="1" x14ac:dyDescent="0.4">
      <c r="B205" s="36"/>
      <c r="C205" s="36"/>
      <c r="D205" s="155"/>
      <c r="E205" s="155"/>
      <c r="F205" s="155"/>
      <c r="G205" s="7"/>
      <c r="H205" s="20"/>
      <c r="P205" s="24"/>
      <c r="Q205" s="24"/>
      <c r="U205" s="20"/>
      <c r="V205" s="3" t="s">
        <v>2363</v>
      </c>
      <c r="W205" s="3" t="s">
        <v>370</v>
      </c>
      <c r="X205" s="38" t="s">
        <v>369</v>
      </c>
      <c r="Y205" s="41">
        <v>200151127</v>
      </c>
      <c r="Z205" s="41"/>
      <c r="AA205" s="20"/>
      <c r="AE205" s="3"/>
      <c r="AF205" s="3"/>
      <c r="AH205" s="51">
        <v>0.90069999999999995</v>
      </c>
      <c r="AI205" s="39"/>
      <c r="AJ205" s="39"/>
      <c r="AK205" s="39"/>
      <c r="AL205" s="39">
        <f t="shared" ref="AL205:AL206" si="11">AH205*$AD$172</f>
        <v>7.6184208333333334</v>
      </c>
      <c r="AR205" s="139"/>
      <c r="AS205" s="139"/>
      <c r="AT205" s="139"/>
      <c r="AU205" s="139"/>
    </row>
    <row r="206" spans="2:47" ht="15.75" customHeight="1" x14ac:dyDescent="0.4">
      <c r="B206" s="36"/>
      <c r="C206" s="36"/>
      <c r="D206" s="155"/>
      <c r="E206" s="623"/>
      <c r="F206" s="623"/>
      <c r="G206" s="221"/>
      <c r="H206" s="624"/>
      <c r="I206" s="577"/>
      <c r="J206" s="577"/>
      <c r="K206" s="577"/>
      <c r="L206" s="577"/>
      <c r="M206" s="575"/>
      <c r="N206" s="575"/>
      <c r="O206" s="575"/>
      <c r="P206" s="625"/>
      <c r="Q206" s="625"/>
      <c r="R206" s="577"/>
      <c r="S206" s="575"/>
      <c r="T206" s="577"/>
      <c r="U206" s="624"/>
      <c r="V206" s="577" t="s">
        <v>2365</v>
      </c>
      <c r="W206" s="577" t="s">
        <v>370</v>
      </c>
      <c r="X206" s="579" t="s">
        <v>369</v>
      </c>
      <c r="Y206" s="864">
        <v>200151180</v>
      </c>
      <c r="Z206" s="864"/>
      <c r="AA206" s="624"/>
      <c r="AB206" s="577"/>
      <c r="AC206" s="577"/>
      <c r="AD206" s="575"/>
      <c r="AE206" s="577"/>
      <c r="AF206" s="577"/>
      <c r="AG206" s="575"/>
      <c r="AH206" s="626">
        <v>0.97099999999999997</v>
      </c>
      <c r="AI206" s="581"/>
      <c r="AJ206" s="581"/>
      <c r="AK206" s="581"/>
      <c r="AL206" s="581">
        <f t="shared" si="11"/>
        <v>8.2130416666666672</v>
      </c>
      <c r="AM206" s="577"/>
      <c r="AN206" s="577"/>
      <c r="AO206" s="577"/>
      <c r="AP206" s="577"/>
      <c r="AQ206" s="577"/>
      <c r="AR206" s="139"/>
      <c r="AS206" s="139"/>
      <c r="AT206" s="139"/>
      <c r="AU206" s="139"/>
    </row>
    <row r="207" spans="2:47" ht="15" customHeight="1" x14ac:dyDescent="0.4">
      <c r="B207" s="36"/>
      <c r="C207" s="36"/>
      <c r="D207" s="447" t="s">
        <v>1220</v>
      </c>
      <c r="E207" s="155"/>
      <c r="F207" s="155"/>
      <c r="G207" s="7"/>
      <c r="H207" s="20"/>
      <c r="I207" s="500"/>
      <c r="J207" s="500"/>
      <c r="K207" s="500"/>
      <c r="L207" s="500"/>
      <c r="M207" s="24"/>
      <c r="N207" s="24"/>
      <c r="O207" s="24"/>
      <c r="P207" s="24"/>
      <c r="Q207" s="24"/>
      <c r="R207" s="500"/>
      <c r="S207" s="24"/>
      <c r="T207" s="500"/>
      <c r="U207" s="20"/>
      <c r="V207" s="38" t="s">
        <v>369</v>
      </c>
      <c r="W207" s="3" t="s">
        <v>405</v>
      </c>
      <c r="X207" s="38" t="s">
        <v>369</v>
      </c>
      <c r="Y207" s="41">
        <v>600042010</v>
      </c>
      <c r="Z207" s="41"/>
      <c r="AA207" s="20"/>
      <c r="AE207" s="3"/>
      <c r="AF207" s="3"/>
      <c r="AG207" s="3"/>
      <c r="AH207" s="39"/>
      <c r="AI207" s="39"/>
      <c r="AJ207" s="39"/>
      <c r="AK207" s="39"/>
      <c r="AQ207" s="140"/>
      <c r="AR207" s="140"/>
      <c r="AS207" s="139"/>
      <c r="AT207" s="139"/>
      <c r="AU207" s="139"/>
    </row>
    <row r="208" spans="2:47" ht="15" customHeight="1" x14ac:dyDescent="0.4">
      <c r="B208" s="3"/>
      <c r="C208" s="36"/>
      <c r="D208" s="447" t="s">
        <v>1221</v>
      </c>
      <c r="E208" s="155"/>
      <c r="F208" s="155"/>
      <c r="G208" s="7"/>
      <c r="H208" s="20"/>
      <c r="I208" s="3" t="s">
        <v>392</v>
      </c>
      <c r="L208" s="3" t="s">
        <v>348</v>
      </c>
      <c r="M208" s="5">
        <v>0</v>
      </c>
      <c r="R208" s="3" t="s">
        <v>352</v>
      </c>
      <c r="S208" s="5">
        <f>S201</f>
        <v>74.75</v>
      </c>
      <c r="T208" s="3" t="s">
        <v>366</v>
      </c>
      <c r="U208" s="20"/>
      <c r="V208" s="38" t="s">
        <v>369</v>
      </c>
      <c r="W208" s="3" t="s">
        <v>405</v>
      </c>
      <c r="X208" s="38" t="s">
        <v>369</v>
      </c>
      <c r="Y208" s="41">
        <v>600050010</v>
      </c>
      <c r="Z208" s="41"/>
      <c r="AA208" s="20"/>
      <c r="AB208" s="3">
        <v>42</v>
      </c>
      <c r="AC208" s="3">
        <v>1</v>
      </c>
      <c r="AD208" s="5">
        <f>AC208*S208/12</f>
        <v>6.229166666666667</v>
      </c>
      <c r="AE208" s="3" t="s">
        <v>367</v>
      </c>
      <c r="AF208" s="3"/>
      <c r="AG208" s="3"/>
      <c r="AH208" s="39">
        <v>0</v>
      </c>
      <c r="AI208" s="39"/>
      <c r="AJ208" s="39"/>
      <c r="AK208" s="39"/>
      <c r="AQ208" s="140"/>
      <c r="AR208" s="140"/>
      <c r="AS208" s="139"/>
      <c r="AT208" s="139"/>
      <c r="AU208" s="139"/>
    </row>
    <row r="209" spans="1:47" ht="15" customHeight="1" thickBot="1" x14ac:dyDescent="0.25">
      <c r="C209" s="1849"/>
      <c r="D209" s="1850" t="s">
        <v>2353</v>
      </c>
      <c r="E209" s="889"/>
      <c r="F209" s="1851"/>
      <c r="G209" s="1852"/>
      <c r="H209" s="1853"/>
      <c r="I209" s="1854" t="s">
        <v>392</v>
      </c>
      <c r="J209" s="1854"/>
      <c r="K209" s="1854"/>
      <c r="L209" s="1854"/>
      <c r="M209" s="1855"/>
      <c r="N209" s="1855"/>
      <c r="O209" s="1855"/>
      <c r="P209" s="1855"/>
      <c r="Q209" s="1855"/>
      <c r="R209" s="1854" t="s">
        <v>352</v>
      </c>
      <c r="S209" s="1855">
        <f>SLEQwidth</f>
        <v>71.5</v>
      </c>
      <c r="T209" s="1854" t="s">
        <v>366</v>
      </c>
      <c r="U209" s="1853"/>
      <c r="V209" s="1856" t="s">
        <v>369</v>
      </c>
      <c r="W209" s="1854" t="s">
        <v>370</v>
      </c>
      <c r="X209" s="1856" t="s">
        <v>369</v>
      </c>
      <c r="Y209" s="1863">
        <v>120074014938</v>
      </c>
      <c r="Z209" s="1858"/>
      <c r="AA209" s="1853"/>
      <c r="AB209" s="1854"/>
      <c r="AC209" s="1854">
        <v>1</v>
      </c>
      <c r="AD209" s="1855">
        <f>AC209*S209/12</f>
        <v>5.958333333333333</v>
      </c>
      <c r="AE209" s="1854" t="s">
        <v>367</v>
      </c>
      <c r="AF209" s="1856"/>
      <c r="AG209" s="1856"/>
      <c r="AH209" s="1859">
        <f>0.00877</f>
        <v>8.77E-3</v>
      </c>
      <c r="AI209" s="1860"/>
      <c r="AJ209" s="1860"/>
      <c r="AK209" s="1860"/>
      <c r="AL209" s="1860">
        <f>AH209*AD209</f>
        <v>5.2254583333333333E-2</v>
      </c>
      <c r="AM209" s="1854"/>
      <c r="AN209" s="1854"/>
      <c r="AO209" s="1854"/>
      <c r="AP209" s="1854"/>
      <c r="AQ209" s="1854"/>
      <c r="AR209" s="140"/>
      <c r="AS209" s="139"/>
      <c r="AT209" s="139"/>
      <c r="AU209" s="139"/>
    </row>
    <row r="210" spans="1:47" ht="15" customHeight="1" x14ac:dyDescent="0.4">
      <c r="C210" s="173" t="s">
        <v>397</v>
      </c>
      <c r="D210" s="181"/>
      <c r="E210" s="182"/>
      <c r="F210" s="182"/>
      <c r="G210" s="430" t="s">
        <v>383</v>
      </c>
      <c r="H210" s="175"/>
      <c r="I210" s="116" t="s">
        <v>392</v>
      </c>
      <c r="J210" s="116"/>
      <c r="K210" s="116"/>
      <c r="L210" s="116" t="s">
        <v>348</v>
      </c>
      <c r="M210" s="177">
        <v>3</v>
      </c>
      <c r="N210" s="177" t="s">
        <v>348</v>
      </c>
      <c r="O210" s="177">
        <f>0.25</f>
        <v>0.25</v>
      </c>
      <c r="P210" s="178"/>
      <c r="Q210" s="178"/>
      <c r="R210" s="116" t="s">
        <v>352</v>
      </c>
      <c r="S210" s="177">
        <f>SLEQwidth+M210+O210</f>
        <v>74.75</v>
      </c>
      <c r="T210" s="116" t="s">
        <v>366</v>
      </c>
      <c r="U210" s="175"/>
      <c r="V210" s="179"/>
      <c r="W210" s="116"/>
      <c r="X210" s="179"/>
      <c r="Y210" s="184"/>
      <c r="Z210" s="184"/>
      <c r="AA210" s="175"/>
      <c r="AB210" s="116">
        <v>42</v>
      </c>
      <c r="AC210" s="116">
        <v>1</v>
      </c>
      <c r="AD210" s="177">
        <f>AC210*S210/12</f>
        <v>6.229166666666667</v>
      </c>
      <c r="AE210" s="116" t="s">
        <v>367</v>
      </c>
      <c r="AF210" s="116">
        <v>0</v>
      </c>
      <c r="AG210" s="177">
        <f>AF210*AtolbperftEQ</f>
        <v>0</v>
      </c>
      <c r="AH210" s="185"/>
      <c r="AI210" s="39"/>
      <c r="AJ210" s="39"/>
      <c r="AK210" s="39"/>
      <c r="AL210" s="180"/>
      <c r="AQ210" s="139"/>
      <c r="AR210" s="139"/>
      <c r="AS210" s="139"/>
      <c r="AT210" s="139"/>
      <c r="AU210" s="139"/>
    </row>
    <row r="211" spans="1:47" ht="15" customHeight="1" x14ac:dyDescent="0.4">
      <c r="B211" s="36"/>
      <c r="C211" s="36"/>
      <c r="D211" s="155"/>
      <c r="E211" s="155"/>
      <c r="F211" s="155"/>
      <c r="G211" s="7"/>
      <c r="H211" s="20"/>
      <c r="P211" s="24"/>
      <c r="Q211" s="24"/>
      <c r="U211" s="20"/>
      <c r="V211" s="38" t="s">
        <v>369</v>
      </c>
      <c r="W211" s="3" t="s">
        <v>370</v>
      </c>
      <c r="X211" s="38" t="s">
        <v>369</v>
      </c>
      <c r="Y211" s="1443">
        <v>200114003</v>
      </c>
      <c r="Z211" s="41"/>
      <c r="AA211" s="20"/>
      <c r="AE211" s="3"/>
      <c r="AF211" s="38"/>
      <c r="AH211" s="51">
        <v>9.3600000000000003E-2</v>
      </c>
      <c r="AI211" s="39"/>
      <c r="AJ211" s="39"/>
      <c r="AK211" s="39"/>
      <c r="AL211" s="39">
        <f>AH211*AD210</f>
        <v>0.58305000000000007</v>
      </c>
      <c r="AQ211" s="139"/>
      <c r="AR211" s="139"/>
      <c r="AS211" s="139"/>
      <c r="AT211" s="139"/>
      <c r="AU211" s="139"/>
    </row>
    <row r="212" spans="1:47" ht="15" customHeight="1" x14ac:dyDescent="0.4">
      <c r="B212" s="36"/>
      <c r="C212" s="36"/>
      <c r="D212" s="155"/>
      <c r="E212" s="155"/>
      <c r="F212" s="155"/>
      <c r="G212" s="7"/>
      <c r="H212" s="20"/>
      <c r="P212" s="24"/>
      <c r="Q212" s="24"/>
      <c r="U212" s="20"/>
      <c r="V212" s="38" t="s">
        <v>369</v>
      </c>
      <c r="W212" s="3" t="s">
        <v>372</v>
      </c>
      <c r="X212" s="38" t="s">
        <v>369</v>
      </c>
      <c r="Y212" s="1443">
        <v>200114021</v>
      </c>
      <c r="Z212" s="41"/>
      <c r="AA212" s="20"/>
      <c r="AE212" s="3"/>
      <c r="AF212" s="3"/>
      <c r="AH212" s="51">
        <v>0.10050000000000001</v>
      </c>
      <c r="AI212" s="39"/>
      <c r="AJ212" s="39"/>
      <c r="AK212" s="39"/>
      <c r="AL212" s="39">
        <f>AH212*AD210</f>
        <v>0.62603125000000004</v>
      </c>
      <c r="AQ212" s="139"/>
      <c r="AR212" s="139"/>
      <c r="AS212" s="139"/>
      <c r="AT212" s="139"/>
      <c r="AU212" s="139"/>
    </row>
    <row r="213" spans="1:47" ht="15" customHeight="1" x14ac:dyDescent="0.4">
      <c r="B213" s="36"/>
      <c r="C213" s="36"/>
      <c r="D213" s="155"/>
      <c r="E213" s="155"/>
      <c r="F213" s="155"/>
      <c r="G213" s="7"/>
      <c r="H213" s="20"/>
      <c r="P213" s="24"/>
      <c r="Q213" s="24"/>
      <c r="U213" s="20"/>
      <c r="V213" s="38" t="s">
        <v>369</v>
      </c>
      <c r="W213" s="3" t="s">
        <v>373</v>
      </c>
      <c r="X213" s="38" t="s">
        <v>369</v>
      </c>
      <c r="Y213" s="1443">
        <v>200114033</v>
      </c>
      <c r="Z213" s="41"/>
      <c r="AA213" s="20"/>
      <c r="AE213" s="3"/>
      <c r="AF213" s="3"/>
      <c r="AH213" s="51">
        <v>0.1021</v>
      </c>
      <c r="AL213" s="39">
        <f>AH213*$AD$210</f>
        <v>0.63599791666666672</v>
      </c>
      <c r="AQ213" s="139"/>
      <c r="AR213" s="139"/>
      <c r="AS213" s="139"/>
      <c r="AT213" s="139"/>
      <c r="AU213" s="139"/>
    </row>
    <row r="214" spans="1:47" ht="15" customHeight="1" x14ac:dyDescent="0.4">
      <c r="B214" s="36"/>
      <c r="C214" s="36"/>
      <c r="D214" s="155"/>
      <c r="E214" s="155"/>
      <c r="F214" s="155"/>
      <c r="G214" s="7"/>
      <c r="H214" s="20"/>
      <c r="P214" s="24"/>
      <c r="Q214" s="24"/>
      <c r="U214" s="20"/>
      <c r="V214" s="38" t="s">
        <v>369</v>
      </c>
      <c r="W214" s="3" t="s">
        <v>374</v>
      </c>
      <c r="X214" s="38" t="s">
        <v>369</v>
      </c>
      <c r="Y214" s="1443">
        <v>200114090</v>
      </c>
      <c r="Z214" s="1443"/>
      <c r="AA214" s="20"/>
      <c r="AE214" s="3"/>
      <c r="AF214" s="3"/>
      <c r="AH214" s="51">
        <v>0.26579999999999998</v>
      </c>
      <c r="AI214" s="39"/>
      <c r="AJ214" s="39"/>
      <c r="AK214" s="39"/>
      <c r="AL214" s="39">
        <f t="shared" ref="AL214:AL215" si="12">AH214*$AD$210</f>
        <v>1.6557124999999999</v>
      </c>
      <c r="AR214" s="139"/>
      <c r="AS214" s="139"/>
      <c r="AT214" s="139"/>
      <c r="AU214" s="139"/>
    </row>
    <row r="215" spans="1:47" ht="15" customHeight="1" thickBot="1" x14ac:dyDescent="0.45">
      <c r="B215" s="943"/>
      <c r="C215" s="943"/>
      <c r="D215" s="925"/>
      <c r="E215" s="925"/>
      <c r="F215" s="925"/>
      <c r="G215" s="924"/>
      <c r="H215" s="887"/>
      <c r="I215" s="889"/>
      <c r="J215" s="889"/>
      <c r="K215" s="889"/>
      <c r="L215" s="889"/>
      <c r="M215" s="945"/>
      <c r="N215" s="945"/>
      <c r="O215" s="945"/>
      <c r="P215" s="1020"/>
      <c r="Q215" s="1020"/>
      <c r="R215" s="889"/>
      <c r="S215" s="945"/>
      <c r="T215" s="889"/>
      <c r="U215" s="887"/>
      <c r="V215" s="888" t="s">
        <v>369</v>
      </c>
      <c r="W215" s="889" t="s">
        <v>375</v>
      </c>
      <c r="X215" s="888" t="s">
        <v>369</v>
      </c>
      <c r="Y215" s="1444">
        <v>200114133</v>
      </c>
      <c r="Z215" s="1444"/>
      <c r="AA215" s="887"/>
      <c r="AB215" s="889"/>
      <c r="AC215" s="889"/>
      <c r="AD215" s="945"/>
      <c r="AE215" s="889"/>
      <c r="AF215" s="889"/>
      <c r="AG215" s="945"/>
      <c r="AH215" s="844">
        <v>0.28470000000000001</v>
      </c>
      <c r="AI215" s="947"/>
      <c r="AJ215" s="947"/>
      <c r="AK215" s="947"/>
      <c r="AL215" s="947">
        <f t="shared" si="12"/>
        <v>1.7734437500000002</v>
      </c>
      <c r="AM215" s="889"/>
      <c r="AN215" s="889"/>
      <c r="AO215" s="889"/>
      <c r="AP215" s="889"/>
      <c r="AQ215" s="889"/>
      <c r="AR215" s="139"/>
      <c r="AS215" s="139"/>
      <c r="AT215" s="139"/>
      <c r="AU215" s="139"/>
    </row>
    <row r="216" spans="1:47" ht="15" customHeight="1" thickBot="1" x14ac:dyDescent="0.45">
      <c r="B216" s="7" t="s">
        <v>442</v>
      </c>
      <c r="C216" s="173"/>
      <c r="D216" s="116"/>
      <c r="E216" s="116"/>
      <c r="F216" s="174"/>
      <c r="G216" s="173"/>
      <c r="H216" s="175"/>
      <c r="I216" s="116"/>
      <c r="J216" s="116"/>
      <c r="K216" s="116"/>
      <c r="L216" s="116"/>
      <c r="M216" s="116"/>
      <c r="N216" s="177"/>
      <c r="O216" s="177"/>
      <c r="P216" s="177"/>
      <c r="Q216" s="177"/>
      <c r="R216" s="116"/>
      <c r="S216" s="177"/>
      <c r="T216" s="116"/>
      <c r="U216" s="175"/>
      <c r="V216" s="173"/>
      <c r="W216" s="173"/>
      <c r="X216" s="173"/>
      <c r="Y216" s="116"/>
      <c r="Z216" s="116"/>
      <c r="AA216" s="175"/>
      <c r="AB216" s="116"/>
      <c r="AC216" s="116"/>
      <c r="AD216" s="177"/>
      <c r="AE216" s="116"/>
      <c r="AF216" s="179"/>
      <c r="AG216" s="177"/>
      <c r="AH216" s="185"/>
      <c r="AI216" s="947"/>
      <c r="AJ216" s="947"/>
      <c r="AK216" s="947"/>
      <c r="AL216" s="180"/>
      <c r="AM216" s="889"/>
      <c r="AN216" s="889"/>
      <c r="AO216" s="889"/>
      <c r="AP216" s="889"/>
      <c r="AQ216" s="1163"/>
      <c r="AR216" s="139"/>
      <c r="AS216" s="139"/>
      <c r="AT216" s="139"/>
      <c r="AU216" s="139"/>
    </row>
    <row r="217" spans="1:47" ht="15" customHeight="1" x14ac:dyDescent="0.4">
      <c r="A217" s="3" t="s">
        <v>402</v>
      </c>
      <c r="B217" s="173"/>
      <c r="C217" s="173" t="s">
        <v>443</v>
      </c>
      <c r="D217" s="182"/>
      <c r="E217" s="182"/>
      <c r="F217" s="182" t="s">
        <v>438</v>
      </c>
      <c r="G217" s="173"/>
      <c r="H217" s="175"/>
      <c r="I217" s="116" t="s">
        <v>392</v>
      </c>
      <c r="J217" s="116"/>
      <c r="K217" s="116"/>
      <c r="L217" s="116" t="s">
        <v>348</v>
      </c>
      <c r="M217" s="177">
        <v>3</v>
      </c>
      <c r="N217" s="177" t="s">
        <v>348</v>
      </c>
      <c r="O217" s="177">
        <f>0.25</f>
        <v>0.25</v>
      </c>
      <c r="P217" s="177"/>
      <c r="Q217" s="177"/>
      <c r="R217" s="116" t="s">
        <v>352</v>
      </c>
      <c r="S217" s="177">
        <f>SLEQwidth+M217+O217</f>
        <v>74.75</v>
      </c>
      <c r="T217" s="116" t="s">
        <v>366</v>
      </c>
      <c r="U217" s="175"/>
      <c r="V217" s="179"/>
      <c r="W217" s="116"/>
      <c r="X217" s="179"/>
      <c r="Y217" s="116"/>
      <c r="Z217" s="116"/>
      <c r="AA217" s="175"/>
      <c r="AB217" s="116">
        <v>42</v>
      </c>
      <c r="AC217" s="116">
        <v>1</v>
      </c>
      <c r="AD217" s="177">
        <f>AC217*S217/12</f>
        <v>6.229166666666667</v>
      </c>
      <c r="AE217" s="116" t="s">
        <v>367</v>
      </c>
      <c r="AF217" s="179">
        <v>0.88200000000000001</v>
      </c>
      <c r="AG217" s="177">
        <f>AF217*AtolbperftEQ</f>
        <v>0.55786499999999994</v>
      </c>
      <c r="AH217" s="185"/>
      <c r="AI217" s="39"/>
      <c r="AJ217" s="39"/>
      <c r="AK217" s="39"/>
      <c r="AL217" s="180"/>
      <c r="AQ217" s="139"/>
      <c r="AR217" s="139"/>
      <c r="AS217" s="139"/>
      <c r="AT217" s="139"/>
      <c r="AU217" s="139"/>
    </row>
    <row r="218" spans="1:47" ht="15" customHeight="1" x14ac:dyDescent="0.4">
      <c r="B218" s="36"/>
      <c r="C218" s="7"/>
      <c r="D218" s="155"/>
      <c r="E218" s="155" t="s">
        <v>439</v>
      </c>
      <c r="F218" s="155"/>
      <c r="G218" s="7"/>
      <c r="H218" s="20"/>
      <c r="I218" s="3" t="s">
        <v>392</v>
      </c>
      <c r="L218" s="3" t="s">
        <v>348</v>
      </c>
      <c r="M218" s="5">
        <v>0</v>
      </c>
      <c r="N218" s="5" t="s">
        <v>348</v>
      </c>
      <c r="O218" s="5">
        <f>0.25</f>
        <v>0.25</v>
      </c>
      <c r="P218" s="24"/>
      <c r="Q218" s="24"/>
      <c r="R218" s="3" t="s">
        <v>352</v>
      </c>
      <c r="S218" s="5">
        <f>SLEQwidth+M218+O218</f>
        <v>71.75</v>
      </c>
      <c r="T218" s="3" t="s">
        <v>366</v>
      </c>
      <c r="U218" s="20"/>
      <c r="V218" s="38" t="s">
        <v>369</v>
      </c>
      <c r="W218" s="3" t="s">
        <v>370</v>
      </c>
      <c r="X218" s="38" t="s">
        <v>369</v>
      </c>
      <c r="Y218" s="41">
        <v>200152003</v>
      </c>
      <c r="Z218" s="41"/>
      <c r="AA218" s="20"/>
      <c r="AE218" s="3"/>
      <c r="AF218" s="38"/>
      <c r="AH218" s="39">
        <f>0.91*AG217</f>
        <v>0.50765715</v>
      </c>
      <c r="AI218" s="39"/>
      <c r="AJ218" s="39"/>
      <c r="AK218" s="39"/>
      <c r="AL218" s="39">
        <f>AH218*AD217</f>
        <v>3.1622809968750003</v>
      </c>
      <c r="AQ218" s="139"/>
      <c r="AR218" s="444"/>
      <c r="AS218" s="139"/>
      <c r="AT218" s="139"/>
      <c r="AU218" s="139"/>
    </row>
    <row r="219" spans="1:47" ht="15" customHeight="1" x14ac:dyDescent="0.4">
      <c r="B219" s="36"/>
      <c r="C219" s="7"/>
      <c r="D219" s="155"/>
      <c r="E219" s="155"/>
      <c r="F219" s="155"/>
      <c r="G219" s="7"/>
      <c r="H219" s="20"/>
      <c r="T219" s="3" t="s">
        <v>366</v>
      </c>
      <c r="U219" s="20"/>
      <c r="V219" s="38" t="s">
        <v>369</v>
      </c>
      <c r="W219" s="3" t="s">
        <v>372</v>
      </c>
      <c r="X219" s="38" t="s">
        <v>369</v>
      </c>
      <c r="Y219" s="41">
        <v>200152021</v>
      </c>
      <c r="Z219" s="41"/>
      <c r="AA219" s="20"/>
      <c r="AE219" s="3"/>
      <c r="AF219" s="38"/>
      <c r="AH219" s="39">
        <f>1*AG217</f>
        <v>0.55786499999999994</v>
      </c>
      <c r="AL219" s="39">
        <f>AH219*AD217</f>
        <v>3.4750340624999998</v>
      </c>
      <c r="AQ219" s="139"/>
      <c r="AR219" s="444"/>
      <c r="AS219" s="139"/>
      <c r="AT219" s="139"/>
      <c r="AU219" s="139"/>
    </row>
    <row r="220" spans="1:47" ht="15" customHeight="1" x14ac:dyDescent="0.4">
      <c r="B220" s="36"/>
      <c r="C220" s="7"/>
      <c r="D220" s="155"/>
      <c r="E220" s="155"/>
      <c r="F220" s="155"/>
      <c r="G220" s="7"/>
      <c r="H220" s="20"/>
      <c r="T220" s="3" t="s">
        <v>366</v>
      </c>
      <c r="U220" s="20"/>
      <c r="V220" s="38" t="s">
        <v>369</v>
      </c>
      <c r="W220" s="3" t="s">
        <v>373</v>
      </c>
      <c r="X220" s="38" t="s">
        <v>369</v>
      </c>
      <c r="Y220" s="41">
        <v>200152033</v>
      </c>
      <c r="Z220" s="41"/>
      <c r="AA220" s="20"/>
      <c r="AE220" s="3"/>
      <c r="AF220" s="38"/>
      <c r="AH220" s="39">
        <f>1*AG217</f>
        <v>0.55786499999999994</v>
      </c>
      <c r="AL220" s="39">
        <f>AH220*AD217</f>
        <v>3.4750340624999998</v>
      </c>
      <c r="AQ220" s="445"/>
      <c r="AR220" s="446"/>
      <c r="AS220" s="139"/>
      <c r="AT220" s="139"/>
      <c r="AU220" s="139"/>
    </row>
    <row r="221" spans="1:47" ht="15.75" customHeight="1" x14ac:dyDescent="0.4">
      <c r="C221" s="36"/>
      <c r="D221" s="155"/>
      <c r="E221" s="155"/>
      <c r="F221" s="155"/>
      <c r="G221" s="7"/>
      <c r="H221" s="20"/>
      <c r="P221" s="24"/>
      <c r="Q221" s="24"/>
      <c r="U221" s="20"/>
      <c r="V221" s="3" t="s">
        <v>2363</v>
      </c>
      <c r="W221" s="3" t="s">
        <v>370</v>
      </c>
      <c r="X221" s="38" t="s">
        <v>369</v>
      </c>
      <c r="Y221" s="41">
        <v>200152127</v>
      </c>
      <c r="Z221" s="41"/>
      <c r="AA221" s="20"/>
      <c r="AE221" s="3"/>
      <c r="AF221" s="3"/>
      <c r="AH221" s="51">
        <v>0.88829999999999998</v>
      </c>
      <c r="AI221" s="39"/>
      <c r="AJ221" s="39"/>
      <c r="AK221" s="39"/>
      <c r="AL221" s="39">
        <f>AH221*AD218</f>
        <v>0</v>
      </c>
      <c r="AR221" s="139"/>
      <c r="AS221" s="139"/>
      <c r="AT221" s="139"/>
      <c r="AU221" s="139"/>
    </row>
    <row r="222" spans="1:47" ht="15.75" customHeight="1" x14ac:dyDescent="0.4">
      <c r="C222" s="36"/>
      <c r="D222" s="623"/>
      <c r="E222" s="623"/>
      <c r="F222" s="623"/>
      <c r="G222" s="221"/>
      <c r="H222" s="624"/>
      <c r="I222" s="577"/>
      <c r="J222" s="577"/>
      <c r="K222" s="577"/>
      <c r="L222" s="577"/>
      <c r="M222" s="575"/>
      <c r="N222" s="575"/>
      <c r="O222" s="575"/>
      <c r="P222" s="625"/>
      <c r="Q222" s="625"/>
      <c r="R222" s="577"/>
      <c r="S222" s="575"/>
      <c r="T222" s="577"/>
      <c r="U222" s="624"/>
      <c r="V222" s="577" t="s">
        <v>2365</v>
      </c>
      <c r="W222" s="577" t="s">
        <v>370</v>
      </c>
      <c r="X222" s="579" t="s">
        <v>369</v>
      </c>
      <c r="Y222" s="864">
        <v>200152180</v>
      </c>
      <c r="Z222" s="864"/>
      <c r="AA222" s="624"/>
      <c r="AB222" s="577"/>
      <c r="AC222" s="577"/>
      <c r="AD222" s="575"/>
      <c r="AE222" s="577"/>
      <c r="AF222" s="577"/>
      <c r="AG222" s="575"/>
      <c r="AH222" s="626">
        <v>0.95860000000000001</v>
      </c>
      <c r="AI222" s="581"/>
      <c r="AJ222" s="581"/>
      <c r="AK222" s="581"/>
      <c r="AL222" s="581">
        <f>AH222*AD218</f>
        <v>0</v>
      </c>
      <c r="AM222" s="577"/>
      <c r="AN222" s="577"/>
      <c r="AO222" s="577"/>
      <c r="AP222" s="577"/>
      <c r="AQ222" s="577"/>
      <c r="AR222" s="139"/>
      <c r="AS222" s="139"/>
      <c r="AT222" s="139"/>
      <c r="AU222" s="139"/>
    </row>
    <row r="223" spans="1:47" ht="15" customHeight="1" x14ac:dyDescent="0.4">
      <c r="B223" s="36"/>
      <c r="C223" s="36"/>
      <c r="D223" s="447" t="s">
        <v>1220</v>
      </c>
      <c r="E223" s="155"/>
      <c r="F223" s="155"/>
      <c r="G223" s="7"/>
      <c r="H223" s="20"/>
      <c r="I223" s="500"/>
      <c r="J223" s="500"/>
      <c r="K223" s="500"/>
      <c r="L223" s="500"/>
      <c r="M223" s="24"/>
      <c r="N223" s="24"/>
      <c r="O223" s="24"/>
      <c r="P223" s="24"/>
      <c r="Q223" s="24"/>
      <c r="R223" s="500"/>
      <c r="S223" s="24"/>
      <c r="T223" s="500"/>
      <c r="U223" s="20"/>
      <c r="V223" s="38" t="s">
        <v>369</v>
      </c>
      <c r="W223" s="3" t="s">
        <v>405</v>
      </c>
      <c r="X223" s="38" t="s">
        <v>369</v>
      </c>
      <c r="Y223" s="41">
        <v>600042010</v>
      </c>
      <c r="Z223" s="41"/>
      <c r="AA223" s="20"/>
      <c r="AE223" s="3"/>
      <c r="AF223" s="3"/>
      <c r="AG223" s="3"/>
      <c r="AH223" s="39"/>
      <c r="AI223" s="39"/>
      <c r="AJ223" s="39"/>
      <c r="AK223" s="39"/>
      <c r="AQ223" s="140"/>
      <c r="AR223" s="140"/>
      <c r="AS223" s="139"/>
      <c r="AT223" s="139"/>
      <c r="AU223" s="139"/>
    </row>
    <row r="224" spans="1:47" ht="15" customHeight="1" x14ac:dyDescent="0.4">
      <c r="B224" s="3"/>
      <c r="C224" s="36"/>
      <c r="D224" s="447" t="s">
        <v>1221</v>
      </c>
      <c r="E224" s="155"/>
      <c r="F224" s="155"/>
      <c r="G224" s="7"/>
      <c r="H224" s="20"/>
      <c r="I224" s="3" t="s">
        <v>392</v>
      </c>
      <c r="L224" s="3" t="s">
        <v>348</v>
      </c>
      <c r="M224" s="5">
        <v>0</v>
      </c>
      <c r="R224" s="3" t="s">
        <v>352</v>
      </c>
      <c r="S224" s="5">
        <f>SLEQwidth+M224+O224</f>
        <v>71.5</v>
      </c>
      <c r="T224" s="3" t="s">
        <v>366</v>
      </c>
      <c r="U224" s="20"/>
      <c r="V224" s="38" t="s">
        <v>369</v>
      </c>
      <c r="W224" s="3" t="s">
        <v>405</v>
      </c>
      <c r="X224" s="38" t="s">
        <v>369</v>
      </c>
      <c r="Y224" s="41">
        <v>600050010</v>
      </c>
      <c r="Z224" s="41"/>
      <c r="AA224" s="20"/>
      <c r="AB224" s="3">
        <v>42</v>
      </c>
      <c r="AC224" s="3">
        <v>1</v>
      </c>
      <c r="AD224" s="5">
        <f>AC224*S224/12</f>
        <v>5.958333333333333</v>
      </c>
      <c r="AE224" s="3" t="s">
        <v>367</v>
      </c>
      <c r="AF224" s="3"/>
      <c r="AG224" s="3"/>
      <c r="AH224" s="39">
        <v>0</v>
      </c>
      <c r="AI224" s="39"/>
      <c r="AJ224" s="39"/>
      <c r="AK224" s="39"/>
      <c r="AQ224" s="140"/>
      <c r="AR224" s="140"/>
      <c r="AS224" s="139"/>
      <c r="AT224" s="139"/>
      <c r="AU224" s="139"/>
    </row>
    <row r="225" spans="2:47" ht="15" customHeight="1" thickBot="1" x14ac:dyDescent="0.25">
      <c r="C225" s="1849"/>
      <c r="D225" s="1850" t="s">
        <v>2353</v>
      </c>
      <c r="E225" s="889"/>
      <c r="F225" s="1851"/>
      <c r="G225" s="1852"/>
      <c r="H225" s="1853"/>
      <c r="I225" s="1854" t="s">
        <v>392</v>
      </c>
      <c r="J225" s="1854"/>
      <c r="K225" s="1854"/>
      <c r="L225" s="1854"/>
      <c r="M225" s="1855"/>
      <c r="N225" s="1855"/>
      <c r="O225" s="1855"/>
      <c r="P225" s="1855"/>
      <c r="Q225" s="1855"/>
      <c r="R225" s="1854" t="s">
        <v>352</v>
      </c>
      <c r="S225" s="1855">
        <f>SLEQwidth</f>
        <v>71.5</v>
      </c>
      <c r="T225" s="1854" t="s">
        <v>366</v>
      </c>
      <c r="U225" s="1853"/>
      <c r="V225" s="1856" t="s">
        <v>369</v>
      </c>
      <c r="W225" s="1854" t="s">
        <v>370</v>
      </c>
      <c r="X225" s="1856" t="s">
        <v>369</v>
      </c>
      <c r="Y225" s="1863">
        <v>120074014938</v>
      </c>
      <c r="Z225" s="1858"/>
      <c r="AA225" s="1853"/>
      <c r="AB225" s="1854"/>
      <c r="AC225" s="1854">
        <v>1</v>
      </c>
      <c r="AD225" s="1855">
        <f>AC225*S225/12</f>
        <v>5.958333333333333</v>
      </c>
      <c r="AE225" s="1854" t="s">
        <v>367</v>
      </c>
      <c r="AF225" s="1856"/>
      <c r="AG225" s="1856"/>
      <c r="AH225" s="1859">
        <f>0.00877</f>
        <v>8.77E-3</v>
      </c>
      <c r="AI225" s="1860"/>
      <c r="AJ225" s="1860"/>
      <c r="AK225" s="1860"/>
      <c r="AL225" s="1860">
        <f>AH225*AD225</f>
        <v>5.2254583333333333E-2</v>
      </c>
      <c r="AM225" s="1854"/>
      <c r="AN225" s="1854"/>
      <c r="AO225" s="1854"/>
      <c r="AP225" s="1854"/>
      <c r="AQ225" s="1854"/>
      <c r="AR225" s="140"/>
      <c r="AS225" s="139"/>
      <c r="AT225" s="139"/>
      <c r="AU225" s="139"/>
    </row>
    <row r="226" spans="2:47" ht="15" customHeight="1" x14ac:dyDescent="0.4">
      <c r="B226" s="3"/>
      <c r="C226" s="173" t="s">
        <v>445</v>
      </c>
      <c r="D226" s="182"/>
      <c r="E226" s="182"/>
      <c r="F226" s="182" t="s">
        <v>438</v>
      </c>
      <c r="G226" s="173"/>
      <c r="H226" s="175"/>
      <c r="I226" s="116" t="s">
        <v>392</v>
      </c>
      <c r="J226" s="116"/>
      <c r="K226" s="116"/>
      <c r="L226" s="116" t="s">
        <v>348</v>
      </c>
      <c r="M226" s="177">
        <v>3</v>
      </c>
      <c r="N226" s="177" t="s">
        <v>348</v>
      </c>
      <c r="O226" s="177">
        <f>0.25</f>
        <v>0.25</v>
      </c>
      <c r="P226" s="177"/>
      <c r="Q226" s="177"/>
      <c r="R226" s="116" t="s">
        <v>352</v>
      </c>
      <c r="S226" s="177">
        <f>SLEQwidth+M226+O226</f>
        <v>74.75</v>
      </c>
      <c r="T226" s="116" t="s">
        <v>366</v>
      </c>
      <c r="U226" s="175"/>
      <c r="V226" s="179"/>
      <c r="W226" s="116"/>
      <c r="X226" s="179"/>
      <c r="Y226" s="116"/>
      <c r="Z226" s="116"/>
      <c r="AA226" s="175"/>
      <c r="AB226" s="116">
        <v>42</v>
      </c>
      <c r="AC226" s="116">
        <v>1</v>
      </c>
      <c r="AD226" s="177">
        <f>AC226*S226/12</f>
        <v>6.229166666666667</v>
      </c>
      <c r="AE226" s="116" t="s">
        <v>367</v>
      </c>
      <c r="AF226" s="179">
        <v>0.88200000000000001</v>
      </c>
      <c r="AG226" s="177">
        <f>AF226*AtolbperftEQ</f>
        <v>0.55786499999999994</v>
      </c>
      <c r="AH226" s="185"/>
      <c r="AI226" s="185"/>
      <c r="AJ226" s="185"/>
      <c r="AK226" s="185"/>
      <c r="AL226" s="180"/>
      <c r="AQ226" s="139"/>
      <c r="AR226" s="139"/>
      <c r="AS226" s="139"/>
      <c r="AT226" s="139"/>
      <c r="AU226" s="139"/>
    </row>
    <row r="227" spans="2:47" ht="15" customHeight="1" x14ac:dyDescent="0.4">
      <c r="B227" s="36"/>
      <c r="C227" s="7"/>
      <c r="D227" s="155"/>
      <c r="E227" s="155" t="s">
        <v>439</v>
      </c>
      <c r="F227" s="155"/>
      <c r="G227" s="7"/>
      <c r="H227" s="20"/>
      <c r="I227" s="3" t="s">
        <v>392</v>
      </c>
      <c r="L227" s="3" t="s">
        <v>348</v>
      </c>
      <c r="M227" s="5">
        <v>0</v>
      </c>
      <c r="N227" s="5" t="s">
        <v>348</v>
      </c>
      <c r="O227" s="5">
        <f>0.25</f>
        <v>0.25</v>
      </c>
      <c r="P227" s="24"/>
      <c r="Q227" s="24"/>
      <c r="R227" s="3" t="s">
        <v>352</v>
      </c>
      <c r="S227" s="5">
        <f>SLEQwidth+M227+O227</f>
        <v>71.75</v>
      </c>
      <c r="T227" s="3" t="s">
        <v>366</v>
      </c>
      <c r="U227" s="20"/>
      <c r="V227" s="38" t="s">
        <v>369</v>
      </c>
      <c r="W227" s="3" t="s">
        <v>370</v>
      </c>
      <c r="X227" s="38" t="s">
        <v>369</v>
      </c>
      <c r="Y227" s="41">
        <v>200151003</v>
      </c>
      <c r="Z227" s="41"/>
      <c r="AA227" s="20"/>
      <c r="AE227" s="3"/>
      <c r="AF227" s="38"/>
      <c r="AH227" s="39">
        <f>0.91*AG226</f>
        <v>0.50765715</v>
      </c>
      <c r="AI227" s="39"/>
      <c r="AJ227" s="39"/>
      <c r="AK227" s="39"/>
      <c r="AL227" s="39">
        <f>AH227*AD226</f>
        <v>3.1622809968750003</v>
      </c>
      <c r="AQ227" s="139"/>
      <c r="AR227" s="444"/>
      <c r="AS227" s="139"/>
      <c r="AT227" s="139"/>
      <c r="AU227" s="139"/>
    </row>
    <row r="228" spans="2:47" ht="15" customHeight="1" x14ac:dyDescent="0.4">
      <c r="B228" s="36"/>
      <c r="C228" s="7"/>
      <c r="D228" s="155"/>
      <c r="E228" s="155"/>
      <c r="F228" s="155"/>
      <c r="G228" s="7"/>
      <c r="H228" s="20"/>
      <c r="T228" s="3" t="s">
        <v>366</v>
      </c>
      <c r="U228" s="20"/>
      <c r="V228" s="38" t="s">
        <v>369</v>
      </c>
      <c r="W228" s="3" t="s">
        <v>372</v>
      </c>
      <c r="X228" s="38" t="s">
        <v>369</v>
      </c>
      <c r="Y228" s="41">
        <v>200151021</v>
      </c>
      <c r="Z228" s="41"/>
      <c r="AA228" s="20"/>
      <c r="AE228" s="3"/>
      <c r="AF228" s="38"/>
      <c r="AH228" s="39">
        <f>1*AG226</f>
        <v>0.55786499999999994</v>
      </c>
      <c r="AI228" s="39"/>
      <c r="AJ228" s="39"/>
      <c r="AK228" s="39"/>
      <c r="AL228" s="39">
        <f>AH228*AD226</f>
        <v>3.4750340624999998</v>
      </c>
      <c r="AQ228" s="139"/>
      <c r="AR228" s="444"/>
      <c r="AS228" s="139"/>
      <c r="AT228" s="139"/>
      <c r="AU228" s="139"/>
    </row>
    <row r="229" spans="2:47" ht="15" customHeight="1" x14ac:dyDescent="0.4">
      <c r="B229" s="36"/>
      <c r="C229" s="7"/>
      <c r="D229" s="155"/>
      <c r="E229" s="155"/>
      <c r="F229" s="155"/>
      <c r="G229" s="7"/>
      <c r="H229" s="20"/>
      <c r="T229" s="3" t="s">
        <v>366</v>
      </c>
      <c r="U229" s="20"/>
      <c r="V229" s="38" t="s">
        <v>369</v>
      </c>
      <c r="W229" s="3" t="s">
        <v>373</v>
      </c>
      <c r="X229" s="38" t="s">
        <v>369</v>
      </c>
      <c r="Y229" s="41">
        <v>200151033</v>
      </c>
      <c r="Z229" s="41"/>
      <c r="AA229" s="20"/>
      <c r="AE229" s="3"/>
      <c r="AF229" s="38"/>
      <c r="AH229" s="39">
        <f>1*AG226</f>
        <v>0.55786499999999994</v>
      </c>
      <c r="AI229" s="39"/>
      <c r="AJ229" s="39"/>
      <c r="AK229" s="39"/>
      <c r="AL229" s="39">
        <f>AH229*AD226</f>
        <v>3.4750340624999998</v>
      </c>
      <c r="AQ229" s="445"/>
      <c r="AR229" s="446"/>
      <c r="AS229" s="139"/>
      <c r="AT229" s="139"/>
      <c r="AU229" s="139"/>
    </row>
    <row r="230" spans="2:47" ht="15.75" customHeight="1" x14ac:dyDescent="0.4">
      <c r="B230" s="36"/>
      <c r="C230" s="36"/>
      <c r="D230" s="155"/>
      <c r="E230" s="155"/>
      <c r="F230" s="155"/>
      <c r="G230" s="7"/>
      <c r="H230" s="20"/>
      <c r="P230" s="24"/>
      <c r="Q230" s="24"/>
      <c r="U230" s="20"/>
      <c r="V230" s="3" t="s">
        <v>2363</v>
      </c>
      <c r="W230" s="3" t="s">
        <v>370</v>
      </c>
      <c r="X230" s="38" t="s">
        <v>369</v>
      </c>
      <c r="Y230" s="41">
        <v>200151127</v>
      </c>
      <c r="Z230" s="41"/>
      <c r="AA230" s="20"/>
      <c r="AE230" s="3"/>
      <c r="AF230" s="3"/>
      <c r="AH230" s="51">
        <v>0.90069999999999995</v>
      </c>
      <c r="AI230" s="39"/>
      <c r="AJ230" s="39"/>
      <c r="AK230" s="39"/>
      <c r="AL230" s="39">
        <f t="shared" ref="AL230:AL231" si="13">AH230*$AD$172</f>
        <v>7.6184208333333334</v>
      </c>
      <c r="AR230" s="139"/>
      <c r="AS230" s="139"/>
      <c r="AT230" s="139"/>
      <c r="AU230" s="139"/>
    </row>
    <row r="231" spans="2:47" ht="15.75" customHeight="1" x14ac:dyDescent="0.4">
      <c r="B231" s="36"/>
      <c r="C231" s="36"/>
      <c r="D231" s="155"/>
      <c r="E231" s="623"/>
      <c r="F231" s="623"/>
      <c r="G231" s="221"/>
      <c r="H231" s="624"/>
      <c r="I231" s="577"/>
      <c r="J231" s="577"/>
      <c r="K231" s="577"/>
      <c r="L231" s="577"/>
      <c r="M231" s="575"/>
      <c r="N231" s="575"/>
      <c r="O231" s="575"/>
      <c r="P231" s="625"/>
      <c r="Q231" s="625"/>
      <c r="R231" s="577"/>
      <c r="S231" s="575"/>
      <c r="T231" s="577"/>
      <c r="U231" s="624"/>
      <c r="V231" s="577" t="s">
        <v>2365</v>
      </c>
      <c r="W231" s="577" t="s">
        <v>370</v>
      </c>
      <c r="X231" s="579" t="s">
        <v>369</v>
      </c>
      <c r="Y231" s="864">
        <v>200151180</v>
      </c>
      <c r="Z231" s="864"/>
      <c r="AA231" s="624"/>
      <c r="AB231" s="577"/>
      <c r="AC231" s="577"/>
      <c r="AD231" s="575"/>
      <c r="AE231" s="577"/>
      <c r="AF231" s="577"/>
      <c r="AG231" s="575"/>
      <c r="AH231" s="626">
        <v>0.97099999999999997</v>
      </c>
      <c r="AI231" s="581"/>
      <c r="AJ231" s="581"/>
      <c r="AK231" s="581"/>
      <c r="AL231" s="581">
        <f t="shared" si="13"/>
        <v>8.2130416666666672</v>
      </c>
      <c r="AM231" s="577"/>
      <c r="AN231" s="577"/>
      <c r="AO231" s="577"/>
      <c r="AP231" s="577"/>
      <c r="AQ231" s="577"/>
      <c r="AR231" s="139"/>
      <c r="AS231" s="139"/>
      <c r="AT231" s="139"/>
      <c r="AU231" s="139"/>
    </row>
    <row r="232" spans="2:47" ht="15" customHeight="1" x14ac:dyDescent="0.4">
      <c r="B232" s="36"/>
      <c r="C232" s="36"/>
      <c r="D232" s="447" t="s">
        <v>1220</v>
      </c>
      <c r="E232" s="155"/>
      <c r="F232" s="155"/>
      <c r="G232" s="7"/>
      <c r="H232" s="20"/>
      <c r="I232" s="500"/>
      <c r="J232" s="500"/>
      <c r="K232" s="500"/>
      <c r="L232" s="500"/>
      <c r="M232" s="24"/>
      <c r="N232" s="24"/>
      <c r="O232" s="24"/>
      <c r="P232" s="24"/>
      <c r="Q232" s="24"/>
      <c r="R232" s="500"/>
      <c r="S232" s="24"/>
      <c r="T232" s="500"/>
      <c r="U232" s="20"/>
      <c r="V232" s="38" t="s">
        <v>369</v>
      </c>
      <c r="W232" s="3" t="s">
        <v>405</v>
      </c>
      <c r="X232" s="38" t="s">
        <v>369</v>
      </c>
      <c r="Y232" s="41">
        <v>600042010</v>
      </c>
      <c r="Z232" s="41"/>
      <c r="AA232" s="20"/>
      <c r="AE232" s="3"/>
      <c r="AF232" s="3"/>
      <c r="AG232" s="3"/>
      <c r="AH232" s="39"/>
      <c r="AI232" s="39"/>
      <c r="AJ232" s="39"/>
      <c r="AK232" s="39"/>
      <c r="AQ232" s="140"/>
      <c r="AR232" s="140"/>
      <c r="AS232" s="139"/>
      <c r="AT232" s="139"/>
      <c r="AU232" s="139"/>
    </row>
    <row r="233" spans="2:47" ht="15" customHeight="1" x14ac:dyDescent="0.4">
      <c r="B233" s="36"/>
      <c r="C233" s="36"/>
      <c r="D233" s="447" t="s">
        <v>1221</v>
      </c>
      <c r="E233" s="155"/>
      <c r="F233" s="155"/>
      <c r="G233" s="7"/>
      <c r="H233" s="20"/>
      <c r="I233" s="3" t="s">
        <v>392</v>
      </c>
      <c r="L233" s="3" t="s">
        <v>348</v>
      </c>
      <c r="M233" s="5">
        <v>0</v>
      </c>
      <c r="R233" s="3" t="s">
        <v>352</v>
      </c>
      <c r="S233" s="5">
        <f>SLEQwidth+M233+O233</f>
        <v>71.5</v>
      </c>
      <c r="T233" s="3" t="s">
        <v>366</v>
      </c>
      <c r="U233" s="20"/>
      <c r="V233" s="38" t="s">
        <v>369</v>
      </c>
      <c r="W233" s="3" t="s">
        <v>405</v>
      </c>
      <c r="X233" s="38" t="s">
        <v>369</v>
      </c>
      <c r="Y233" s="41">
        <v>600050010</v>
      </c>
      <c r="Z233" s="41"/>
      <c r="AA233" s="20"/>
      <c r="AB233" s="3">
        <v>42</v>
      </c>
      <c r="AC233" s="3">
        <v>1</v>
      </c>
      <c r="AD233" s="5">
        <f>AC233*S233/12</f>
        <v>5.958333333333333</v>
      </c>
      <c r="AE233" s="3" t="s">
        <v>367</v>
      </c>
      <c r="AF233" s="3"/>
      <c r="AG233" s="3"/>
      <c r="AH233" s="39">
        <v>0</v>
      </c>
      <c r="AI233" s="39"/>
      <c r="AJ233" s="39"/>
      <c r="AK233" s="39"/>
      <c r="AQ233" s="140"/>
      <c r="AR233" s="140"/>
      <c r="AS233" s="139"/>
      <c r="AT233" s="139"/>
      <c r="AU233" s="139"/>
    </row>
    <row r="234" spans="2:47" ht="15" customHeight="1" thickBot="1" x14ac:dyDescent="0.25">
      <c r="C234" s="1849"/>
      <c r="D234" s="1850" t="s">
        <v>2353</v>
      </c>
      <c r="E234" s="889"/>
      <c r="F234" s="1851"/>
      <c r="G234" s="1852"/>
      <c r="H234" s="1853"/>
      <c r="I234" s="1854" t="s">
        <v>392</v>
      </c>
      <c r="J234" s="1854"/>
      <c r="K234" s="1854"/>
      <c r="L234" s="1854"/>
      <c r="M234" s="1855"/>
      <c r="N234" s="1855"/>
      <c r="O234" s="1855"/>
      <c r="P234" s="1855"/>
      <c r="Q234" s="1855"/>
      <c r="R234" s="1854" t="s">
        <v>352</v>
      </c>
      <c r="S234" s="1855">
        <f>SLEQwidth</f>
        <v>71.5</v>
      </c>
      <c r="T234" s="1854" t="s">
        <v>366</v>
      </c>
      <c r="U234" s="1853"/>
      <c r="V234" s="1856" t="s">
        <v>369</v>
      </c>
      <c r="W234" s="1854" t="s">
        <v>370</v>
      </c>
      <c r="X234" s="1856" t="s">
        <v>369</v>
      </c>
      <c r="Y234" s="1863">
        <v>120074014938</v>
      </c>
      <c r="Z234" s="1858"/>
      <c r="AA234" s="1853"/>
      <c r="AB234" s="1854"/>
      <c r="AC234" s="1854">
        <v>1</v>
      </c>
      <c r="AD234" s="1855">
        <f>AC234*S234/12</f>
        <v>5.958333333333333</v>
      </c>
      <c r="AE234" s="1854" t="s">
        <v>367</v>
      </c>
      <c r="AF234" s="1856"/>
      <c r="AG234" s="1856"/>
      <c r="AH234" s="1859">
        <f>0.00877</f>
        <v>8.77E-3</v>
      </c>
      <c r="AI234" s="1860"/>
      <c r="AJ234" s="1860"/>
      <c r="AK234" s="1860"/>
      <c r="AL234" s="1860">
        <f>AH234*AD234</f>
        <v>5.2254583333333333E-2</v>
      </c>
      <c r="AM234" s="1854"/>
      <c r="AN234" s="1854"/>
      <c r="AO234" s="1854"/>
      <c r="AP234" s="1854"/>
      <c r="AQ234" s="1854"/>
      <c r="AR234" s="140"/>
      <c r="AS234" s="139"/>
      <c r="AT234" s="139"/>
      <c r="AU234" s="139"/>
    </row>
    <row r="235" spans="2:47" ht="15" customHeight="1" x14ac:dyDescent="0.4">
      <c r="C235" s="173" t="s">
        <v>407</v>
      </c>
      <c r="D235" s="181"/>
      <c r="E235" s="182"/>
      <c r="F235" s="182"/>
      <c r="G235" s="430" t="s">
        <v>383</v>
      </c>
      <c r="H235" s="175"/>
      <c r="I235" s="116" t="s">
        <v>392</v>
      </c>
      <c r="J235" s="116"/>
      <c r="K235" s="116"/>
      <c r="L235" s="116" t="s">
        <v>348</v>
      </c>
      <c r="M235" s="177">
        <v>3</v>
      </c>
      <c r="N235" s="177" t="s">
        <v>348</v>
      </c>
      <c r="O235" s="177">
        <f>0.25</f>
        <v>0.25</v>
      </c>
      <c r="P235" s="178"/>
      <c r="Q235" s="178"/>
      <c r="R235" s="116" t="s">
        <v>352</v>
      </c>
      <c r="S235" s="177">
        <f>SLEQwidth+M235+O235</f>
        <v>74.75</v>
      </c>
      <c r="T235" s="116" t="s">
        <v>366</v>
      </c>
      <c r="U235" s="175"/>
      <c r="V235" s="179"/>
      <c r="W235" s="116"/>
      <c r="X235" s="179"/>
      <c r="Y235" s="184"/>
      <c r="Z235" s="184"/>
      <c r="AA235" s="175"/>
      <c r="AB235" s="116">
        <v>42</v>
      </c>
      <c r="AC235" s="116">
        <v>1</v>
      </c>
      <c r="AD235" s="177">
        <f>AC235*S235/12</f>
        <v>6.229166666666667</v>
      </c>
      <c r="AE235" s="116" t="s">
        <v>367</v>
      </c>
      <c r="AF235" s="116">
        <v>0</v>
      </c>
      <c r="AG235" s="177">
        <f>AF235*AtolbperftEQ</f>
        <v>0</v>
      </c>
      <c r="AH235" s="185"/>
      <c r="AI235" s="39"/>
      <c r="AJ235" s="39"/>
      <c r="AK235" s="39"/>
      <c r="AL235" s="180"/>
      <c r="AQ235" s="139"/>
      <c r="AR235" s="139"/>
      <c r="AS235" s="139"/>
      <c r="AT235" s="139"/>
      <c r="AU235" s="139"/>
    </row>
    <row r="236" spans="2:47" ht="15" customHeight="1" x14ac:dyDescent="0.4">
      <c r="B236" s="36"/>
      <c r="C236" s="36"/>
      <c r="D236" s="155"/>
      <c r="E236" s="155"/>
      <c r="F236" s="155"/>
      <c r="G236" s="7"/>
      <c r="H236" s="20"/>
      <c r="P236" s="24"/>
      <c r="Q236" s="24"/>
      <c r="U236" s="20"/>
      <c r="V236" s="38" t="s">
        <v>369</v>
      </c>
      <c r="W236" s="3" t="s">
        <v>370</v>
      </c>
      <c r="X236" s="38" t="s">
        <v>369</v>
      </c>
      <c r="Y236" s="1443">
        <v>200114003</v>
      </c>
      <c r="Z236" s="41"/>
      <c r="AA236" s="20"/>
      <c r="AE236" s="3"/>
      <c r="AF236" s="38"/>
      <c r="AH236" s="51">
        <v>9.3600000000000003E-2</v>
      </c>
      <c r="AI236" s="478"/>
      <c r="AJ236" s="478"/>
      <c r="AK236" s="478"/>
      <c r="AL236" s="39">
        <f>AH236*AD235</f>
        <v>0.58305000000000007</v>
      </c>
      <c r="AQ236" s="139"/>
      <c r="AR236" s="139"/>
      <c r="AS236" s="139"/>
      <c r="AT236" s="139"/>
      <c r="AU236" s="139"/>
    </row>
    <row r="237" spans="2:47" ht="15" customHeight="1" x14ac:dyDescent="0.4">
      <c r="B237" s="36"/>
      <c r="C237" s="36"/>
      <c r="D237" s="155"/>
      <c r="E237" s="155"/>
      <c r="F237" s="155"/>
      <c r="G237" s="7"/>
      <c r="H237" s="20"/>
      <c r="P237" s="24"/>
      <c r="Q237" s="24"/>
      <c r="U237" s="20"/>
      <c r="V237" s="38" t="s">
        <v>369</v>
      </c>
      <c r="W237" s="3" t="s">
        <v>372</v>
      </c>
      <c r="X237" s="38" t="s">
        <v>369</v>
      </c>
      <c r="Y237" s="1443">
        <v>200114021</v>
      </c>
      <c r="Z237" s="41"/>
      <c r="AA237" s="20"/>
      <c r="AE237" s="3"/>
      <c r="AF237" s="3"/>
      <c r="AH237" s="51">
        <v>0.10050000000000001</v>
      </c>
      <c r="AI237" s="478"/>
      <c r="AJ237" s="478"/>
      <c r="AK237" s="478"/>
      <c r="AL237" s="39">
        <f>AH237*AD235</f>
        <v>0.62603125000000004</v>
      </c>
      <c r="AQ237" s="139"/>
      <c r="AR237" s="139"/>
      <c r="AS237" s="139"/>
      <c r="AT237" s="139"/>
      <c r="AU237" s="139"/>
    </row>
    <row r="238" spans="2:47" ht="15" customHeight="1" x14ac:dyDescent="0.4">
      <c r="B238" s="36"/>
      <c r="C238" s="36"/>
      <c r="D238" s="155"/>
      <c r="E238" s="155"/>
      <c r="F238" s="155"/>
      <c r="G238" s="7"/>
      <c r="H238" s="20"/>
      <c r="P238" s="24"/>
      <c r="Q238" s="24"/>
      <c r="U238" s="20"/>
      <c r="V238" s="38" t="s">
        <v>369</v>
      </c>
      <c r="W238" s="3" t="s">
        <v>373</v>
      </c>
      <c r="X238" s="38" t="s">
        <v>369</v>
      </c>
      <c r="Y238" s="1443">
        <v>200114033</v>
      </c>
      <c r="Z238" s="41"/>
      <c r="AA238" s="20"/>
      <c r="AE238" s="3"/>
      <c r="AF238" s="3"/>
      <c r="AH238" s="51">
        <v>0.1021</v>
      </c>
      <c r="AL238" s="39">
        <f>AH238*AD235</f>
        <v>0.63599791666666672</v>
      </c>
      <c r="AQ238" s="139"/>
      <c r="AR238" s="139"/>
      <c r="AS238" s="139"/>
      <c r="AT238" s="139"/>
      <c r="AU238" s="139"/>
    </row>
    <row r="239" spans="2:47" ht="15" customHeight="1" x14ac:dyDescent="0.4">
      <c r="B239" s="36"/>
      <c r="C239" s="36"/>
      <c r="D239" s="155"/>
      <c r="E239" s="155"/>
      <c r="F239" s="155"/>
      <c r="G239" s="7"/>
      <c r="H239" s="20"/>
      <c r="P239" s="24"/>
      <c r="Q239" s="24"/>
      <c r="U239" s="20"/>
      <c r="V239" s="38" t="s">
        <v>369</v>
      </c>
      <c r="W239" s="3" t="s">
        <v>374</v>
      </c>
      <c r="X239" s="38" t="s">
        <v>369</v>
      </c>
      <c r="Y239" s="1443">
        <v>200114090</v>
      </c>
      <c r="Z239" s="1443"/>
      <c r="AA239" s="20"/>
      <c r="AE239" s="3"/>
      <c r="AF239" s="3"/>
      <c r="AH239" s="51">
        <v>0.26579999999999998</v>
      </c>
      <c r="AI239" s="39"/>
      <c r="AJ239" s="39"/>
      <c r="AK239" s="39"/>
      <c r="AL239" s="39">
        <f t="shared" ref="AL239:AL240" si="14">AH239*$AD$185</f>
        <v>2.2482250000000001</v>
      </c>
      <c r="AR239" s="139"/>
      <c r="AS239" s="139"/>
      <c r="AT239" s="139"/>
      <c r="AU239" s="139"/>
    </row>
    <row r="240" spans="2:47" ht="15" customHeight="1" thickBot="1" x14ac:dyDescent="0.45">
      <c r="B240" s="943"/>
      <c r="C240" s="943"/>
      <c r="D240" s="925"/>
      <c r="E240" s="925"/>
      <c r="F240" s="925"/>
      <c r="G240" s="924"/>
      <c r="H240" s="887"/>
      <c r="I240" s="889"/>
      <c r="J240" s="889"/>
      <c r="K240" s="889"/>
      <c r="L240" s="889"/>
      <c r="M240" s="945"/>
      <c r="N240" s="945"/>
      <c r="O240" s="945"/>
      <c r="P240" s="1020"/>
      <c r="Q240" s="1020"/>
      <c r="R240" s="889"/>
      <c r="S240" s="945"/>
      <c r="T240" s="889"/>
      <c r="U240" s="887"/>
      <c r="V240" s="888" t="s">
        <v>369</v>
      </c>
      <c r="W240" s="889" t="s">
        <v>375</v>
      </c>
      <c r="X240" s="888" t="s">
        <v>369</v>
      </c>
      <c r="Y240" s="1444">
        <v>200114133</v>
      </c>
      <c r="Z240" s="1444"/>
      <c r="AA240" s="887"/>
      <c r="AB240" s="889"/>
      <c r="AC240" s="889"/>
      <c r="AD240" s="945"/>
      <c r="AE240" s="889"/>
      <c r="AF240" s="889"/>
      <c r="AG240" s="945"/>
      <c r="AH240" s="844">
        <v>0.28470000000000001</v>
      </c>
      <c r="AI240" s="947"/>
      <c r="AJ240" s="947"/>
      <c r="AK240" s="947"/>
      <c r="AL240" s="947">
        <f t="shared" si="14"/>
        <v>2.4080875000000002</v>
      </c>
      <c r="AM240" s="889"/>
      <c r="AN240" s="889"/>
      <c r="AO240" s="889"/>
      <c r="AP240" s="889"/>
      <c r="AQ240" s="889"/>
      <c r="AR240" s="139"/>
      <c r="AS240" s="139"/>
      <c r="AT240" s="139"/>
      <c r="AU240" s="139"/>
    </row>
    <row r="241" spans="1:47" ht="15" customHeight="1" x14ac:dyDescent="0.4">
      <c r="B241" s="173" t="s">
        <v>446</v>
      </c>
      <c r="C241" s="173"/>
      <c r="D241" s="181"/>
      <c r="E241" s="182"/>
      <c r="F241" s="430" t="s">
        <v>418</v>
      </c>
      <c r="G241" s="431">
        <v>3</v>
      </c>
      <c r="H241" s="175"/>
      <c r="I241" s="432" t="str">
        <f xml:space="preserve"> "Length = INT ( ( UW - " &amp;FIXED(G242,2)&amp;") / "&amp;FIXED(G241,2)&amp;" ) *"&amp;FIXED(G241,2)</f>
        <v>Length = INT ( ( UW - 1.00) / 3.00 ) *3.00</v>
      </c>
      <c r="J241" s="116"/>
      <c r="K241" s="116"/>
      <c r="L241" s="116"/>
      <c r="M241" s="177"/>
      <c r="N241" s="177"/>
      <c r="O241" s="177"/>
      <c r="P241" s="178"/>
      <c r="Q241" s="178"/>
      <c r="R241" s="116" t="s">
        <v>352</v>
      </c>
      <c r="S241" s="177">
        <f>INT((SLEQwidth-G242)/G241)*G241</f>
        <v>69</v>
      </c>
      <c r="T241" s="116" t="s">
        <v>366</v>
      </c>
      <c r="U241" s="175"/>
      <c r="V241" s="179"/>
      <c r="W241" s="116"/>
      <c r="X241" s="179"/>
      <c r="Y241" s="184"/>
      <c r="Z241" s="184"/>
      <c r="AA241" s="175"/>
      <c r="AB241" s="116">
        <v>42</v>
      </c>
      <c r="AC241" s="116">
        <v>1</v>
      </c>
      <c r="AD241" s="177">
        <f>AC241*S241/12</f>
        <v>5.75</v>
      </c>
      <c r="AE241" s="116" t="s">
        <v>367</v>
      </c>
      <c r="AF241" s="116">
        <v>0</v>
      </c>
      <c r="AG241" s="177">
        <f>AF241*AtolbperftEQ</f>
        <v>0</v>
      </c>
      <c r="AH241" s="185"/>
      <c r="AI241" s="39"/>
      <c r="AJ241" s="39"/>
      <c r="AK241" s="39"/>
      <c r="AL241" s="180"/>
      <c r="AQ241" s="139"/>
      <c r="AR241" s="139"/>
      <c r="AS241" s="139"/>
      <c r="AT241" s="139"/>
      <c r="AU241" s="139"/>
    </row>
    <row r="242" spans="1:47" ht="15" customHeight="1" x14ac:dyDescent="0.4">
      <c r="B242" s="36"/>
      <c r="C242" s="155"/>
      <c r="D242" s="155"/>
      <c r="E242" s="155"/>
      <c r="F242" s="434" t="s">
        <v>419</v>
      </c>
      <c r="G242" s="435">
        <v>1</v>
      </c>
      <c r="H242" s="20"/>
      <c r="P242" s="24"/>
      <c r="Q242" s="24"/>
      <c r="U242" s="20"/>
      <c r="V242" s="38" t="s">
        <v>369</v>
      </c>
      <c r="W242" s="3" t="s">
        <v>370</v>
      </c>
      <c r="X242" s="38" t="s">
        <v>369</v>
      </c>
      <c r="Y242" s="41">
        <v>200142003</v>
      </c>
      <c r="Z242" s="41"/>
      <c r="AA242" s="20"/>
      <c r="AE242" s="3"/>
      <c r="AF242" s="38"/>
      <c r="AH242" s="39">
        <f>1*AG241</f>
        <v>0</v>
      </c>
      <c r="AI242" s="39"/>
      <c r="AJ242" s="39"/>
      <c r="AK242" s="39"/>
      <c r="AL242" s="39">
        <f>AH242*AD241</f>
        <v>0</v>
      </c>
      <c r="AQ242" s="139"/>
      <c r="AR242" s="139"/>
      <c r="AS242" s="139"/>
      <c r="AT242" s="139"/>
      <c r="AU242" s="139"/>
    </row>
    <row r="243" spans="1:47" ht="15" customHeight="1" x14ac:dyDescent="0.4">
      <c r="B243" s="36"/>
      <c r="C243" s="155"/>
      <c r="D243" s="155"/>
      <c r="E243" s="155"/>
      <c r="F243" s="155"/>
      <c r="G243" s="7"/>
      <c r="H243" s="20"/>
      <c r="P243" s="24"/>
      <c r="Q243" s="24"/>
      <c r="U243" s="20"/>
      <c r="V243" s="38" t="s">
        <v>369</v>
      </c>
      <c r="W243" s="3" t="s">
        <v>372</v>
      </c>
      <c r="X243" s="38" t="s">
        <v>369</v>
      </c>
      <c r="Y243" s="41">
        <v>200142021</v>
      </c>
      <c r="Z243" s="41"/>
      <c r="AA243" s="20"/>
      <c r="AE243" s="3"/>
      <c r="AF243" s="3"/>
      <c r="AH243" s="39">
        <f>1*AG241</f>
        <v>0</v>
      </c>
      <c r="AI243" s="39"/>
      <c r="AJ243" s="39"/>
      <c r="AK243" s="39"/>
      <c r="AL243" s="39">
        <f>AH243*AD241</f>
        <v>0</v>
      </c>
      <c r="AQ243" s="139"/>
      <c r="AR243" s="139"/>
      <c r="AS243" s="139"/>
      <c r="AT243" s="139"/>
      <c r="AU243" s="139"/>
    </row>
    <row r="244" spans="1:47" ht="15" customHeight="1" thickBot="1" x14ac:dyDescent="0.45">
      <c r="B244" s="943"/>
      <c r="C244" s="925"/>
      <c r="D244" s="925"/>
      <c r="E244" s="925"/>
      <c r="F244" s="925"/>
      <c r="G244" s="924"/>
      <c r="H244" s="887"/>
      <c r="I244" s="889"/>
      <c r="J244" s="889"/>
      <c r="K244" s="889"/>
      <c r="L244" s="889"/>
      <c r="M244" s="945"/>
      <c r="N244" s="945"/>
      <c r="O244" s="945"/>
      <c r="P244" s="1020"/>
      <c r="Q244" s="1020"/>
      <c r="R244" s="889"/>
      <c r="S244" s="945"/>
      <c r="T244" s="889"/>
      <c r="U244" s="887"/>
      <c r="V244" s="888" t="s">
        <v>369</v>
      </c>
      <c r="W244" s="889" t="s">
        <v>373</v>
      </c>
      <c r="X244" s="888" t="s">
        <v>369</v>
      </c>
      <c r="Y244" s="946">
        <v>200142033</v>
      </c>
      <c r="Z244" s="946"/>
      <c r="AA244" s="887"/>
      <c r="AB244" s="889"/>
      <c r="AC244" s="889"/>
      <c r="AD244" s="945"/>
      <c r="AE244" s="889"/>
      <c r="AF244" s="889"/>
      <c r="AG244" s="945"/>
      <c r="AH244" s="947">
        <f>1*AG241</f>
        <v>0</v>
      </c>
      <c r="AI244" s="947"/>
      <c r="AJ244" s="947"/>
      <c r="AK244" s="947"/>
      <c r="AL244" s="947">
        <f>AH244*AD241</f>
        <v>0</v>
      </c>
      <c r="AM244" s="889"/>
      <c r="AN244" s="889"/>
      <c r="AO244" s="889"/>
      <c r="AP244" s="889"/>
      <c r="AQ244" s="1163"/>
      <c r="AR244" s="139"/>
      <c r="AS244" s="139"/>
      <c r="AT244" s="139"/>
      <c r="AU244" s="139"/>
    </row>
    <row r="245" spans="1:47" s="112" customFormat="1" ht="15" customHeight="1" x14ac:dyDescent="0.4">
      <c r="B245" s="612" t="s">
        <v>447</v>
      </c>
      <c r="C245" s="613"/>
      <c r="D245" s="614"/>
      <c r="E245" s="614"/>
      <c r="F245" s="614"/>
      <c r="G245" s="614"/>
      <c r="H245" s="615"/>
      <c r="I245" s="615"/>
      <c r="J245" s="615"/>
      <c r="K245" s="615"/>
      <c r="L245" s="615"/>
      <c r="M245" s="616"/>
      <c r="N245" s="616"/>
      <c r="O245" s="616"/>
      <c r="P245" s="616"/>
      <c r="Q245" s="616"/>
      <c r="R245" s="615"/>
      <c r="S245" s="616"/>
      <c r="T245" s="615"/>
      <c r="U245" s="615"/>
      <c r="V245" s="614"/>
      <c r="W245" s="614"/>
      <c r="X245" s="614"/>
      <c r="Y245" s="618"/>
      <c r="Z245" s="618"/>
      <c r="AA245" s="615"/>
      <c r="AB245" s="618"/>
      <c r="AC245" s="615"/>
      <c r="AD245" s="616"/>
      <c r="AE245" s="615"/>
      <c r="AF245" s="615"/>
      <c r="AG245" s="615"/>
      <c r="AH245" s="640"/>
      <c r="AI245" s="640"/>
      <c r="AJ245" s="640"/>
      <c r="AK245" s="640"/>
      <c r="AL245" s="640"/>
      <c r="AM245" s="640"/>
      <c r="AN245" s="640"/>
      <c r="AO245" s="640"/>
      <c r="AP245" s="640"/>
      <c r="AQ245" s="640"/>
      <c r="AR245" s="450"/>
      <c r="AS245" s="450"/>
      <c r="AT245" s="450"/>
      <c r="AU245" s="450"/>
    </row>
    <row r="246" spans="1:47" ht="15" customHeight="1" x14ac:dyDescent="0.4">
      <c r="B246" s="36" t="s">
        <v>1224</v>
      </c>
      <c r="D246" s="155"/>
      <c r="E246" s="155"/>
      <c r="F246" s="155"/>
      <c r="G246" s="7"/>
      <c r="H246" s="20"/>
      <c r="P246" s="24"/>
      <c r="Q246" s="24"/>
      <c r="U246" s="20"/>
      <c r="V246" s="38"/>
      <c r="X246" s="38"/>
      <c r="Y246" s="41"/>
      <c r="Z246" s="41"/>
      <c r="AA246" s="20"/>
      <c r="AE246" s="3"/>
      <c r="AF246" s="3"/>
      <c r="AG246" s="3"/>
      <c r="AH246" s="39"/>
      <c r="AI246" s="39"/>
      <c r="AJ246" s="39"/>
      <c r="AK246" s="39"/>
      <c r="AQ246" s="139"/>
      <c r="AR246" s="139"/>
      <c r="AS246" s="139"/>
      <c r="AT246" s="139"/>
      <c r="AU246" s="139"/>
    </row>
    <row r="247" spans="1:47" ht="15" customHeight="1" x14ac:dyDescent="0.4">
      <c r="A247" s="3" t="s">
        <v>457</v>
      </c>
      <c r="B247" s="36"/>
      <c r="C247" s="36"/>
      <c r="D247" s="4" t="s">
        <v>1225</v>
      </c>
      <c r="E247" s="3"/>
      <c r="F247" s="3"/>
      <c r="G247" s="7"/>
      <c r="H247" s="20"/>
      <c r="I247" s="3" t="s">
        <v>392</v>
      </c>
      <c r="J247" s="38" t="s">
        <v>346</v>
      </c>
      <c r="K247" s="3">
        <v>3</v>
      </c>
      <c r="L247" s="3" t="s">
        <v>348</v>
      </c>
      <c r="M247" s="5">
        <f>-0.083</f>
        <v>-8.3000000000000004E-2</v>
      </c>
      <c r="N247" s="5" t="s">
        <v>348</v>
      </c>
      <c r="O247" s="5">
        <v>0.125</v>
      </c>
      <c r="P247" s="5" t="s">
        <v>348</v>
      </c>
      <c r="Q247" s="5" t="s">
        <v>2315</v>
      </c>
      <c r="R247" s="3" t="s">
        <v>352</v>
      </c>
      <c r="S247" s="5">
        <f>SLEQwidth/K247+M247+O247+SLEQSORnd</f>
        <v>23.875333333333334</v>
      </c>
      <c r="T247" s="3" t="s">
        <v>366</v>
      </c>
      <c r="U247" s="20"/>
      <c r="V247" s="7"/>
      <c r="W247" s="7"/>
      <c r="X247" s="7"/>
      <c r="AA247" s="20"/>
      <c r="AE247" s="3"/>
      <c r="AF247" s="38"/>
      <c r="AG247" s="3"/>
      <c r="AH247" s="39"/>
      <c r="AI247" s="39"/>
      <c r="AJ247" s="39"/>
      <c r="AK247" s="39"/>
      <c r="AQ247" s="139"/>
      <c r="AR247" s="139"/>
      <c r="AS247" s="139"/>
      <c r="AT247" s="139"/>
      <c r="AU247" s="139"/>
    </row>
    <row r="248" spans="1:47" ht="15" customHeight="1" x14ac:dyDescent="0.4">
      <c r="B248" s="36"/>
      <c r="C248" s="36"/>
      <c r="D248" s="4" t="s">
        <v>1226</v>
      </c>
      <c r="E248" s="3"/>
      <c r="F248" s="3"/>
      <c r="G248" s="7"/>
      <c r="H248" s="20"/>
      <c r="I248" s="3" t="s">
        <v>392</v>
      </c>
      <c r="J248" s="38" t="s">
        <v>346</v>
      </c>
      <c r="K248" s="3">
        <v>3</v>
      </c>
      <c r="L248" s="3" t="s">
        <v>348</v>
      </c>
      <c r="M248" s="5">
        <f>-2.396-0.25</f>
        <v>-2.6459999999999999</v>
      </c>
      <c r="N248" s="5" t="s">
        <v>348</v>
      </c>
      <c r="O248" s="5">
        <v>0.125</v>
      </c>
      <c r="P248" s="5" t="s">
        <v>348</v>
      </c>
      <c r="Q248" s="5" t="s">
        <v>2315</v>
      </c>
      <c r="R248" s="3" t="s">
        <v>352</v>
      </c>
      <c r="S248" s="5">
        <f>SLEQwidth/K248+M248+O248+SLEQSORnd</f>
        <v>21.312333333333331</v>
      </c>
      <c r="T248" s="3" t="s">
        <v>366</v>
      </c>
      <c r="U248" s="20"/>
      <c r="V248" s="7"/>
      <c r="W248" s="7"/>
      <c r="X248" s="7"/>
      <c r="AA248" s="20"/>
      <c r="AE248" s="3"/>
      <c r="AF248" s="38"/>
      <c r="AG248" s="3"/>
      <c r="AH248" s="39"/>
      <c r="AI248" s="39"/>
      <c r="AJ248" s="39"/>
      <c r="AK248" s="39"/>
      <c r="AQ248" s="139"/>
      <c r="AR248" s="139"/>
      <c r="AS248" s="139"/>
      <c r="AT248" s="139"/>
      <c r="AU248" s="139"/>
    </row>
    <row r="249" spans="1:47" ht="15" customHeight="1" thickBot="1" x14ac:dyDescent="0.45">
      <c r="B249" s="943"/>
      <c r="C249" s="943"/>
      <c r="D249" s="968" t="s">
        <v>1227</v>
      </c>
      <c r="E249" s="889"/>
      <c r="F249" s="889"/>
      <c r="G249" s="924"/>
      <c r="H249" s="887"/>
      <c r="I249" s="889" t="s">
        <v>392</v>
      </c>
      <c r="J249" s="888" t="s">
        <v>346</v>
      </c>
      <c r="K249" s="889">
        <v>3</v>
      </c>
      <c r="L249" s="889" t="s">
        <v>348</v>
      </c>
      <c r="M249" s="945">
        <v>-2.601</v>
      </c>
      <c r="N249" s="945"/>
      <c r="O249" s="945"/>
      <c r="P249" s="945" t="s">
        <v>348</v>
      </c>
      <c r="Q249" s="945" t="s">
        <v>2315</v>
      </c>
      <c r="R249" s="889" t="s">
        <v>352</v>
      </c>
      <c r="S249" s="945">
        <f>SLEQwidth/K249+M249+O249+SLEQSORnd</f>
        <v>21.232333333333333</v>
      </c>
      <c r="T249" s="889" t="s">
        <v>366</v>
      </c>
      <c r="U249" s="887"/>
      <c r="V249" s="924"/>
      <c r="W249" s="924"/>
      <c r="X249" s="924"/>
      <c r="Y249" s="889"/>
      <c r="Z249" s="889"/>
      <c r="AA249" s="887"/>
      <c r="AB249" s="889"/>
      <c r="AC249" s="889"/>
      <c r="AD249" s="945"/>
      <c r="AE249" s="889"/>
      <c r="AF249" s="888"/>
      <c r="AG249" s="889"/>
      <c r="AH249" s="947"/>
      <c r="AI249" s="947"/>
      <c r="AJ249" s="947"/>
      <c r="AK249" s="947"/>
      <c r="AL249" s="947"/>
      <c r="AM249" s="889"/>
      <c r="AN249" s="889"/>
      <c r="AO249" s="889"/>
      <c r="AP249" s="889"/>
      <c r="AQ249" s="1163"/>
      <c r="AR249" s="139"/>
      <c r="AS249" s="139"/>
      <c r="AT249" s="139"/>
      <c r="AU249" s="139"/>
    </row>
    <row r="250" spans="1:47" s="112" customFormat="1" ht="15" customHeight="1" x14ac:dyDescent="0.2">
      <c r="A250" s="3" t="s">
        <v>1228</v>
      </c>
      <c r="B250" s="7" t="s">
        <v>1229</v>
      </c>
      <c r="D250" s="155" t="s">
        <v>495</v>
      </c>
      <c r="F250" s="4"/>
      <c r="G250" s="155"/>
      <c r="H250" s="14"/>
      <c r="I250" s="3" t="s">
        <v>365</v>
      </c>
      <c r="J250" s="3"/>
      <c r="K250" s="3"/>
      <c r="L250" s="3" t="s">
        <v>348</v>
      </c>
      <c r="M250" s="554">
        <v>-4</v>
      </c>
      <c r="N250" s="356"/>
      <c r="O250" s="356"/>
      <c r="P250" s="5"/>
      <c r="Q250" s="5"/>
      <c r="R250" s="3" t="s">
        <v>352</v>
      </c>
      <c r="S250" s="5">
        <f>SLEQheight+M250</f>
        <v>43.5</v>
      </c>
      <c r="T250" s="3" t="s">
        <v>366</v>
      </c>
      <c r="U250" s="14"/>
      <c r="V250" s="4"/>
      <c r="W250" s="4"/>
      <c r="X250" s="4"/>
      <c r="Y250" s="3"/>
      <c r="Z250" s="3"/>
      <c r="AA250" s="14"/>
      <c r="AB250" s="3">
        <v>45</v>
      </c>
      <c r="AC250" s="3">
        <v>2</v>
      </c>
      <c r="AD250" s="5">
        <f>AC250*S250/12</f>
        <v>7.25</v>
      </c>
      <c r="AE250" s="3" t="s">
        <v>367</v>
      </c>
      <c r="AF250" s="38">
        <f>'Single Hung'!AG396</f>
        <v>0.46500000000000002</v>
      </c>
      <c r="AG250" s="5">
        <f>AF250*AtolbperftEQ</f>
        <v>0.2941125</v>
      </c>
      <c r="AH250" s="51"/>
      <c r="AI250" s="39"/>
      <c r="AJ250" s="39"/>
      <c r="AK250" s="39"/>
      <c r="AL250" s="39"/>
      <c r="AP250" s="3"/>
      <c r="AQ250" s="450"/>
      <c r="AR250" s="450"/>
      <c r="AS250" s="450"/>
      <c r="AT250" s="450"/>
      <c r="AU250" s="450"/>
    </row>
    <row r="251" spans="1:47" s="112" customFormat="1" ht="15" customHeight="1" x14ac:dyDescent="0.4">
      <c r="B251" s="8"/>
      <c r="C251" s="36"/>
      <c r="D251" s="155"/>
      <c r="E251" s="155"/>
      <c r="F251" s="155"/>
      <c r="G251" s="155"/>
      <c r="H251" s="14"/>
      <c r="I251" s="3"/>
      <c r="J251" s="3"/>
      <c r="K251" s="3"/>
      <c r="L251" s="3"/>
      <c r="M251" s="5"/>
      <c r="N251" s="5"/>
      <c r="O251" s="5"/>
      <c r="P251" s="5"/>
      <c r="Q251" s="5"/>
      <c r="R251" s="3"/>
      <c r="S251" s="5"/>
      <c r="T251" s="3"/>
      <c r="U251" s="14"/>
      <c r="V251" s="38" t="s">
        <v>369</v>
      </c>
      <c r="W251" s="3" t="s">
        <v>370</v>
      </c>
      <c r="X251" s="38" t="s">
        <v>369</v>
      </c>
      <c r="Y251" s="41">
        <v>200393003</v>
      </c>
      <c r="Z251" s="41"/>
      <c r="AA251" s="14"/>
      <c r="AB251" s="3"/>
      <c r="AC251" s="3"/>
      <c r="AD251" s="5"/>
      <c r="AE251" s="3"/>
      <c r="AF251" s="38"/>
      <c r="AG251" s="5"/>
      <c r="AH251" s="51">
        <v>0.36809999999999998</v>
      </c>
      <c r="AI251" s="39"/>
      <c r="AJ251" s="39"/>
      <c r="AK251" s="39"/>
      <c r="AL251" s="39">
        <f>AD$250*AH251+SUM(AI251:AK251)</f>
        <v>2.6687249999999998</v>
      </c>
      <c r="AM251" s="3"/>
      <c r="AN251" s="3"/>
      <c r="AO251" s="3"/>
      <c r="AP251" s="3"/>
      <c r="AQ251" s="450"/>
      <c r="AR251" s="450"/>
      <c r="AS251" s="450"/>
      <c r="AT251" s="450"/>
      <c r="AU251" s="450"/>
    </row>
    <row r="252" spans="1:47" ht="15" customHeight="1" x14ac:dyDescent="0.4">
      <c r="B252" s="8"/>
      <c r="C252" s="36"/>
      <c r="D252" s="155"/>
      <c r="E252" s="155"/>
      <c r="F252" s="155"/>
      <c r="G252" s="155"/>
      <c r="V252" s="38" t="s">
        <v>369</v>
      </c>
      <c r="W252" s="3" t="s">
        <v>372</v>
      </c>
      <c r="X252" s="38" t="s">
        <v>369</v>
      </c>
      <c r="Y252" s="41">
        <v>200393021</v>
      </c>
      <c r="Z252" s="41"/>
      <c r="AE252" s="3"/>
      <c r="AF252" s="38"/>
      <c r="AH252" s="51">
        <v>0.38869999999999999</v>
      </c>
      <c r="AI252" s="39"/>
      <c r="AJ252" s="39"/>
      <c r="AK252" s="39"/>
      <c r="AL252" s="39">
        <f t="shared" ref="AL252:AL258" si="15">AD$250*AH252+SUM(AI252:AK252)</f>
        <v>2.8180749999999999</v>
      </c>
      <c r="AQ252" s="139"/>
      <c r="AR252" s="139"/>
      <c r="AS252" s="139"/>
      <c r="AT252" s="139"/>
      <c r="AU252" s="139"/>
    </row>
    <row r="253" spans="1:47" ht="15" customHeight="1" x14ac:dyDescent="0.4">
      <c r="B253" s="8"/>
      <c r="C253" s="36"/>
      <c r="D253" s="155"/>
      <c r="E253" s="155"/>
      <c r="F253" s="155"/>
      <c r="G253" s="155"/>
      <c r="V253" s="38" t="s">
        <v>369</v>
      </c>
      <c r="W253" s="3" t="s">
        <v>373</v>
      </c>
      <c r="X253" s="38" t="s">
        <v>369</v>
      </c>
      <c r="Y253" s="41">
        <v>200393033</v>
      </c>
      <c r="Z253" s="41"/>
      <c r="AE253" s="3"/>
      <c r="AF253" s="38"/>
      <c r="AH253" s="51">
        <v>0.4133</v>
      </c>
      <c r="AI253" s="39"/>
      <c r="AJ253" s="39"/>
      <c r="AK253" s="39"/>
      <c r="AL253" s="39">
        <f t="shared" si="15"/>
        <v>2.9964249999999999</v>
      </c>
      <c r="AQ253" s="139"/>
      <c r="AR253" s="139"/>
      <c r="AS253" s="139"/>
      <c r="AT253" s="139"/>
      <c r="AU253" s="139"/>
    </row>
    <row r="254" spans="1:47" ht="15" customHeight="1" x14ac:dyDescent="0.4">
      <c r="B254" s="8"/>
      <c r="C254" s="36"/>
      <c r="D254" s="155"/>
      <c r="E254" s="155"/>
      <c r="F254" s="155"/>
      <c r="G254" s="155"/>
      <c r="V254" s="3" t="s">
        <v>2363</v>
      </c>
      <c r="W254" s="3" t="s">
        <v>370</v>
      </c>
      <c r="X254" s="38" t="s">
        <v>369</v>
      </c>
      <c r="Y254" s="41">
        <v>200393127</v>
      </c>
      <c r="Z254" s="41"/>
      <c r="AE254" s="3"/>
      <c r="AF254" s="38"/>
      <c r="AH254" s="51">
        <v>0.47920000000000001</v>
      </c>
      <c r="AI254" s="39"/>
      <c r="AJ254" s="39"/>
      <c r="AK254" s="39"/>
      <c r="AL254" s="39">
        <f t="shared" si="15"/>
        <v>3.4742000000000002</v>
      </c>
      <c r="AQ254" s="139"/>
      <c r="AR254" s="139"/>
      <c r="AS254" s="139"/>
      <c r="AT254" s="139"/>
      <c r="AU254" s="139"/>
    </row>
    <row r="255" spans="1:47" ht="15" customHeight="1" x14ac:dyDescent="0.4">
      <c r="B255" s="8"/>
      <c r="C255" s="36"/>
      <c r="D255" s="155"/>
      <c r="E255" s="155"/>
      <c r="F255" s="155"/>
      <c r="G255" s="155"/>
      <c r="V255" s="112" t="s">
        <v>2366</v>
      </c>
      <c r="W255" s="112" t="s">
        <v>370</v>
      </c>
      <c r="X255" s="279" t="s">
        <v>369</v>
      </c>
      <c r="Y255" s="1900">
        <v>200393128</v>
      </c>
      <c r="Z255" s="41"/>
      <c r="AE255" s="3"/>
      <c r="AF255" s="38"/>
      <c r="AH255" s="51">
        <v>0.4612</v>
      </c>
      <c r="AI255" s="39"/>
      <c r="AJ255" s="39"/>
      <c r="AK255" s="39"/>
      <c r="AL255" s="39">
        <f t="shared" si="15"/>
        <v>3.3437000000000001</v>
      </c>
      <c r="AQ255" s="139"/>
      <c r="AR255" s="139"/>
      <c r="AS255" s="139"/>
      <c r="AT255" s="139"/>
      <c r="AU255" s="139"/>
    </row>
    <row r="256" spans="1:47" ht="15" customHeight="1" x14ac:dyDescent="0.4">
      <c r="B256" s="8"/>
      <c r="C256" s="36"/>
      <c r="D256" s="155"/>
      <c r="E256" s="155"/>
      <c r="F256" s="155"/>
      <c r="G256" s="155"/>
      <c r="V256" s="3" t="s">
        <v>2365</v>
      </c>
      <c r="W256" s="3" t="s">
        <v>370</v>
      </c>
      <c r="X256" s="38" t="s">
        <v>369</v>
      </c>
      <c r="Y256" s="41">
        <v>200393180</v>
      </c>
      <c r="Z256" s="41"/>
      <c r="AE256" s="3"/>
      <c r="AF256" s="38"/>
      <c r="AH256" s="51">
        <v>0.52380000000000004</v>
      </c>
      <c r="AI256" s="39"/>
      <c r="AJ256" s="39"/>
      <c r="AK256" s="39"/>
      <c r="AL256" s="39">
        <f t="shared" ref="AL256" si="16">AD$250*AH256+SUM(AI256:AK256)</f>
        <v>3.7975500000000002</v>
      </c>
      <c r="AQ256" s="139"/>
      <c r="AR256" s="139"/>
      <c r="AS256" s="139"/>
      <c r="AT256" s="139"/>
      <c r="AU256" s="139"/>
    </row>
    <row r="257" spans="1:47" ht="15" customHeight="1" x14ac:dyDescent="0.4">
      <c r="B257" s="8"/>
      <c r="C257" s="36"/>
      <c r="D257" s="155"/>
      <c r="E257" s="155"/>
      <c r="F257" s="155"/>
      <c r="G257" s="155"/>
      <c r="V257" s="3" t="s">
        <v>2364</v>
      </c>
      <c r="W257" s="3" t="s">
        <v>370</v>
      </c>
      <c r="X257" s="38" t="s">
        <v>369</v>
      </c>
      <c r="Y257" s="41">
        <v>200393129</v>
      </c>
      <c r="Z257" s="41"/>
      <c r="AE257" s="3"/>
      <c r="AF257" s="38"/>
      <c r="AH257" s="51">
        <v>0.4647</v>
      </c>
      <c r="AI257" s="39"/>
      <c r="AJ257" s="39"/>
      <c r="AK257" s="39"/>
      <c r="AL257" s="39">
        <f t="shared" si="15"/>
        <v>3.369075</v>
      </c>
      <c r="AQ257" s="139"/>
      <c r="AR257" s="139"/>
      <c r="AS257" s="139"/>
      <c r="AT257" s="139"/>
      <c r="AU257" s="139"/>
    </row>
    <row r="258" spans="1:47" ht="15" customHeight="1" x14ac:dyDescent="0.4">
      <c r="B258" s="8"/>
      <c r="C258" s="36"/>
      <c r="D258" s="155"/>
      <c r="E258" s="155"/>
      <c r="F258" s="155"/>
      <c r="G258" s="155"/>
      <c r="V258" s="112" t="s">
        <v>2367</v>
      </c>
      <c r="W258" s="112" t="s">
        <v>370</v>
      </c>
      <c r="X258" s="279" t="s">
        <v>369</v>
      </c>
      <c r="Y258" s="1900">
        <v>200393152</v>
      </c>
      <c r="Z258" s="41"/>
      <c r="AE258" s="3"/>
      <c r="AF258" s="38"/>
      <c r="AH258" s="51">
        <v>0</v>
      </c>
      <c r="AI258" s="39"/>
      <c r="AJ258" s="39"/>
      <c r="AK258" s="39"/>
      <c r="AL258" s="39">
        <f t="shared" si="15"/>
        <v>0</v>
      </c>
      <c r="AQ258" s="139"/>
      <c r="AR258" s="139"/>
      <c r="AS258" s="139"/>
      <c r="AT258" s="139"/>
      <c r="AU258" s="139"/>
    </row>
    <row r="259" spans="1:47" ht="15" customHeight="1" x14ac:dyDescent="0.4">
      <c r="B259" s="8"/>
      <c r="C259" s="36"/>
      <c r="D259" s="623"/>
      <c r="E259" s="623"/>
      <c r="F259" s="623"/>
      <c r="G259" s="623"/>
      <c r="H259" s="574"/>
      <c r="I259" s="577"/>
      <c r="J259" s="577"/>
      <c r="K259" s="577"/>
      <c r="L259" s="577"/>
      <c r="M259" s="575"/>
      <c r="N259" s="575"/>
      <c r="O259" s="575"/>
      <c r="P259" s="575"/>
      <c r="Q259" s="575"/>
      <c r="R259" s="577"/>
      <c r="S259" s="575"/>
      <c r="T259" s="577"/>
      <c r="U259" s="574"/>
      <c r="V259" s="577" t="s">
        <v>2365</v>
      </c>
      <c r="W259" s="577" t="s">
        <v>370</v>
      </c>
      <c r="X259" s="579" t="s">
        <v>2365</v>
      </c>
      <c r="Y259" s="864">
        <v>200393181</v>
      </c>
      <c r="Z259" s="864"/>
      <c r="AA259" s="574"/>
      <c r="AB259" s="577"/>
      <c r="AC259" s="577"/>
      <c r="AD259" s="575"/>
      <c r="AE259" s="577"/>
      <c r="AF259" s="579"/>
      <c r="AG259" s="575"/>
      <c r="AH259" s="626"/>
      <c r="AI259" s="581"/>
      <c r="AJ259" s="581"/>
      <c r="AK259" s="581"/>
      <c r="AL259" s="581"/>
      <c r="AM259" s="577"/>
      <c r="AN259" s="577"/>
      <c r="AO259" s="577"/>
      <c r="AP259" s="577"/>
      <c r="AQ259" s="1372"/>
      <c r="AR259" s="139"/>
      <c r="AS259" s="139"/>
      <c r="AT259" s="139"/>
      <c r="AU259" s="139"/>
    </row>
    <row r="260" spans="1:47" ht="15" customHeight="1" x14ac:dyDescent="0.4">
      <c r="B260" s="36"/>
      <c r="C260" s="36"/>
      <c r="D260" s="951" t="s">
        <v>1220</v>
      </c>
      <c r="E260" s="951"/>
      <c r="F260" s="951"/>
      <c r="G260" s="454"/>
      <c r="H260" s="1032"/>
      <c r="I260" s="1033"/>
      <c r="J260" s="1033"/>
      <c r="K260" s="1033"/>
      <c r="L260" s="1033"/>
      <c r="M260" s="1034"/>
      <c r="N260" s="1034"/>
      <c r="O260" s="1034"/>
      <c r="P260" s="1034"/>
      <c r="Q260" s="1034"/>
      <c r="R260" s="1033"/>
      <c r="S260" s="1034"/>
      <c r="T260" s="1033"/>
      <c r="U260" s="1032"/>
      <c r="V260" s="587" t="s">
        <v>369</v>
      </c>
      <c r="W260" s="130" t="s">
        <v>405</v>
      </c>
      <c r="X260" s="587" t="s">
        <v>369</v>
      </c>
      <c r="Y260" s="1035">
        <v>600042010</v>
      </c>
      <c r="Z260" s="1035"/>
      <c r="AA260" s="1032"/>
      <c r="AB260" s="130"/>
      <c r="AC260" s="130"/>
      <c r="AD260" s="584"/>
      <c r="AE260" s="130"/>
      <c r="AF260" s="130"/>
      <c r="AG260" s="130"/>
      <c r="AH260" s="589"/>
      <c r="AI260" s="589"/>
      <c r="AJ260" s="589"/>
      <c r="AK260" s="589"/>
      <c r="AL260" s="589"/>
      <c r="AQ260" s="140"/>
      <c r="AR260" s="140"/>
      <c r="AS260" s="139"/>
      <c r="AT260" s="139"/>
      <c r="AU260" s="139"/>
    </row>
    <row r="261" spans="1:47" ht="15" customHeight="1" x14ac:dyDescent="0.2">
      <c r="B261" s="36"/>
      <c r="C261" s="36"/>
      <c r="D261" s="447" t="s">
        <v>1344</v>
      </c>
      <c r="E261" s="155"/>
      <c r="F261" s="155"/>
      <c r="G261" s="7"/>
      <c r="H261" s="20"/>
      <c r="I261" s="3" t="s">
        <v>365</v>
      </c>
      <c r="L261" s="3" t="s">
        <v>348</v>
      </c>
      <c r="M261" s="5">
        <f>M250</f>
        <v>-4</v>
      </c>
      <c r="N261" s="356"/>
      <c r="O261" s="356"/>
      <c r="R261" s="3" t="s">
        <v>352</v>
      </c>
      <c r="S261" s="5">
        <f>SLEQheight+M261</f>
        <v>43.5</v>
      </c>
      <c r="T261" s="3" t="s">
        <v>366</v>
      </c>
      <c r="U261" s="20"/>
      <c r="V261" s="38" t="s">
        <v>369</v>
      </c>
      <c r="W261" s="3" t="s">
        <v>405</v>
      </c>
      <c r="X261" s="38" t="s">
        <v>369</v>
      </c>
      <c r="Y261" s="41">
        <v>600050010</v>
      </c>
      <c r="Z261" s="41"/>
      <c r="AA261" s="20"/>
      <c r="AB261" s="3">
        <v>42</v>
      </c>
      <c r="AC261" s="3">
        <v>2</v>
      </c>
      <c r="AD261" s="5">
        <f>AC261*S261/12</f>
        <v>7.25</v>
      </c>
      <c r="AE261" s="3" t="s">
        <v>367</v>
      </c>
      <c r="AF261" s="3"/>
      <c r="AG261" s="3"/>
      <c r="AH261" s="39">
        <v>0</v>
      </c>
      <c r="AI261" s="39"/>
      <c r="AJ261" s="39"/>
      <c r="AK261" s="39"/>
      <c r="AL261" s="39">
        <f>AH261*AD252</f>
        <v>0</v>
      </c>
      <c r="AQ261" s="140"/>
      <c r="AR261" s="140"/>
      <c r="AS261" s="139"/>
      <c r="AT261" s="139"/>
      <c r="AU261" s="139"/>
    </row>
    <row r="262" spans="1:47" ht="15" customHeight="1" thickBot="1" x14ac:dyDescent="0.25">
      <c r="C262" s="1849"/>
      <c r="D262" s="1850" t="s">
        <v>2354</v>
      </c>
      <c r="E262" s="1854"/>
      <c r="F262" s="1851"/>
      <c r="G262" s="1852"/>
      <c r="H262" s="1853"/>
      <c r="I262" s="1854" t="s">
        <v>365</v>
      </c>
      <c r="J262" s="1854"/>
      <c r="K262" s="1854"/>
      <c r="L262" s="1854" t="s">
        <v>348</v>
      </c>
      <c r="M262" s="1855">
        <v>-4</v>
      </c>
      <c r="N262" s="1855"/>
      <c r="O262" s="1855"/>
      <c r="P262" s="1855"/>
      <c r="Q262" s="1855"/>
      <c r="R262" s="1854" t="s">
        <v>352</v>
      </c>
      <c r="S262" s="1855">
        <f>SLEQheight+M262</f>
        <v>43.5</v>
      </c>
      <c r="T262" s="1854" t="s">
        <v>366</v>
      </c>
      <c r="U262" s="1853"/>
      <c r="V262" s="1856" t="s">
        <v>369</v>
      </c>
      <c r="W262" s="1854" t="s">
        <v>370</v>
      </c>
      <c r="X262" s="1856" t="s">
        <v>369</v>
      </c>
      <c r="Y262" s="1863">
        <v>120074014015</v>
      </c>
      <c r="Z262" s="1858"/>
      <c r="AA262" s="1853"/>
      <c r="AB262" s="1854"/>
      <c r="AC262" s="1854">
        <v>2</v>
      </c>
      <c r="AD262" s="1855">
        <f>AC262*S262/12</f>
        <v>7.25</v>
      </c>
      <c r="AE262" s="1854" t="s">
        <v>367</v>
      </c>
      <c r="AF262" s="1856"/>
      <c r="AG262" s="1856"/>
      <c r="AH262" s="1859">
        <f>0.01399</f>
        <v>1.3990000000000001E-2</v>
      </c>
      <c r="AI262" s="1860"/>
      <c r="AJ262" s="1860"/>
      <c r="AK262" s="1860"/>
      <c r="AL262" s="1860">
        <f>AH262*AD262</f>
        <v>0.1014275</v>
      </c>
      <c r="AM262" s="1854"/>
      <c r="AN262" s="1854"/>
      <c r="AO262" s="1854"/>
      <c r="AP262" s="1854"/>
      <c r="AQ262" s="1854"/>
      <c r="AR262" s="140"/>
      <c r="AS262" s="139"/>
      <c r="AT262" s="139"/>
      <c r="AU262" s="139"/>
    </row>
    <row r="263" spans="1:47" ht="15" customHeight="1" x14ac:dyDescent="0.4">
      <c r="A263" s="3" t="s">
        <v>1230</v>
      </c>
      <c r="B263" s="36" t="s">
        <v>1345</v>
      </c>
      <c r="C263" s="36"/>
      <c r="D263" s="447" t="s">
        <v>1346</v>
      </c>
      <c r="E263" s="155"/>
      <c r="F263" s="155"/>
      <c r="G263" s="7"/>
      <c r="H263" s="20"/>
      <c r="I263" s="3" t="s">
        <v>392</v>
      </c>
      <c r="L263" s="3" t="s">
        <v>348</v>
      </c>
      <c r="M263" s="5">
        <v>-2.75</v>
      </c>
      <c r="R263" s="3" t="s">
        <v>352</v>
      </c>
      <c r="S263" s="5">
        <f>SLEQwidth+M263</f>
        <v>68.75</v>
      </c>
      <c r="T263" s="3" t="s">
        <v>366</v>
      </c>
      <c r="U263" s="20"/>
      <c r="V263" s="38"/>
      <c r="X263" s="38"/>
      <c r="Y263" s="41"/>
      <c r="Z263" s="41"/>
      <c r="AA263" s="20"/>
      <c r="AB263" s="3">
        <v>42</v>
      </c>
      <c r="AC263" s="3">
        <v>1</v>
      </c>
      <c r="AD263" s="5">
        <f>AC263*S263/12</f>
        <v>5.729166666666667</v>
      </c>
      <c r="AE263" s="3" t="s">
        <v>367</v>
      </c>
      <c r="AF263" s="3">
        <v>0.16500000000000001</v>
      </c>
      <c r="AG263" s="3"/>
      <c r="AH263" s="39">
        <v>0</v>
      </c>
      <c r="AI263" s="39"/>
      <c r="AJ263" s="39"/>
      <c r="AK263" s="39"/>
      <c r="AL263" s="39">
        <f>AH263*AD253</f>
        <v>0</v>
      </c>
      <c r="AQ263" s="140"/>
      <c r="AR263" s="140"/>
      <c r="AS263" s="139"/>
      <c r="AT263" s="139"/>
      <c r="AU263" s="139"/>
    </row>
    <row r="264" spans="1:47" ht="15" customHeight="1" x14ac:dyDescent="0.4">
      <c r="B264" s="36"/>
      <c r="C264" s="36"/>
      <c r="D264" s="447"/>
      <c r="E264" s="155"/>
      <c r="F264" s="155"/>
      <c r="G264" s="7"/>
      <c r="H264" s="20"/>
      <c r="U264" s="20"/>
      <c r="V264" s="38" t="s">
        <v>1252</v>
      </c>
      <c r="W264" s="3" t="s">
        <v>370</v>
      </c>
      <c r="X264" s="38" t="s">
        <v>369</v>
      </c>
      <c r="Y264" s="41">
        <v>200154003</v>
      </c>
      <c r="Z264" s="41"/>
      <c r="AA264" s="20"/>
      <c r="AE264" s="3"/>
      <c r="AF264" s="3"/>
      <c r="AG264" s="3"/>
      <c r="AH264" s="39"/>
      <c r="AI264" s="39"/>
      <c r="AJ264" s="39"/>
      <c r="AK264" s="39"/>
      <c r="AQ264" s="140"/>
      <c r="AR264" s="140"/>
      <c r="AS264" s="139"/>
      <c r="AT264" s="139"/>
      <c r="AU264" s="139"/>
    </row>
    <row r="265" spans="1:47" ht="15" customHeight="1" x14ac:dyDescent="0.4">
      <c r="B265" s="36"/>
      <c r="C265" s="36"/>
      <c r="D265" s="447"/>
      <c r="E265" s="155"/>
      <c r="F265" s="155"/>
      <c r="G265" s="7"/>
      <c r="H265" s="20"/>
      <c r="U265" s="20"/>
      <c r="V265" s="38" t="s">
        <v>1252</v>
      </c>
      <c r="W265" s="3" t="s">
        <v>372</v>
      </c>
      <c r="X265" s="38" t="s">
        <v>369</v>
      </c>
      <c r="Y265" s="41">
        <v>200154021</v>
      </c>
      <c r="Z265" s="41"/>
      <c r="AA265" s="20"/>
      <c r="AE265" s="3"/>
      <c r="AF265" s="3"/>
      <c r="AG265" s="3"/>
      <c r="AH265" s="39"/>
      <c r="AI265" s="39"/>
      <c r="AJ265" s="39"/>
      <c r="AK265" s="39"/>
      <c r="AQ265" s="140"/>
      <c r="AR265" s="140"/>
      <c r="AS265" s="139"/>
      <c r="AT265" s="139"/>
      <c r="AU265" s="139"/>
    </row>
    <row r="266" spans="1:47" ht="15" customHeight="1" x14ac:dyDescent="0.4">
      <c r="B266" s="36"/>
      <c r="C266" s="36"/>
      <c r="D266" s="447"/>
      <c r="E266" s="155"/>
      <c r="F266" s="155"/>
      <c r="G266" s="7"/>
      <c r="H266" s="20"/>
      <c r="U266" s="20"/>
      <c r="V266" s="38" t="s">
        <v>1252</v>
      </c>
      <c r="W266" s="3" t="s">
        <v>373</v>
      </c>
      <c r="X266" s="38" t="s">
        <v>369</v>
      </c>
      <c r="Y266" s="41">
        <v>200154033</v>
      </c>
      <c r="Z266" s="41"/>
      <c r="AA266" s="20"/>
      <c r="AE266" s="3"/>
      <c r="AF266" s="3"/>
      <c r="AG266" s="3"/>
      <c r="AH266" s="39"/>
      <c r="AI266" s="39"/>
      <c r="AJ266" s="39"/>
      <c r="AK266" s="39"/>
      <c r="AQ266" s="140"/>
      <c r="AR266" s="140"/>
      <c r="AS266" s="139"/>
      <c r="AT266" s="139"/>
      <c r="AU266" s="139"/>
    </row>
    <row r="267" spans="1:47" ht="15" customHeight="1" x14ac:dyDescent="0.4">
      <c r="B267" s="36"/>
      <c r="C267" s="36"/>
      <c r="D267" s="3"/>
      <c r="E267" s="155"/>
      <c r="F267" s="155"/>
      <c r="G267" s="7"/>
      <c r="H267" s="20"/>
      <c r="M267" s="3"/>
      <c r="N267" s="3"/>
      <c r="O267" s="3"/>
      <c r="P267" s="3"/>
      <c r="Q267" s="3"/>
      <c r="S267" s="3"/>
      <c r="U267" s="20"/>
      <c r="V267" s="38" t="s">
        <v>1252</v>
      </c>
      <c r="W267" s="3" t="s">
        <v>375</v>
      </c>
      <c r="X267" s="38" t="s">
        <v>369</v>
      </c>
      <c r="Y267" s="41">
        <v>200154133</v>
      </c>
      <c r="Z267" s="41"/>
      <c r="AA267" s="20"/>
      <c r="AE267" s="3"/>
      <c r="AF267" s="3"/>
      <c r="AG267" s="3"/>
      <c r="AH267" s="39"/>
      <c r="AI267" s="39"/>
      <c r="AJ267" s="39"/>
      <c r="AK267" s="39"/>
      <c r="AQ267" s="140"/>
      <c r="AR267" s="140"/>
      <c r="AS267" s="139"/>
      <c r="AT267" s="139"/>
      <c r="AU267" s="139"/>
    </row>
    <row r="268" spans="1:47" ht="15" customHeight="1" thickBot="1" x14ac:dyDescent="0.45">
      <c r="B268" s="943"/>
      <c r="C268" s="943"/>
      <c r="D268" s="944" t="s">
        <v>1233</v>
      </c>
      <c r="E268" s="925"/>
      <c r="F268" s="925"/>
      <c r="G268" s="924"/>
      <c r="H268" s="887"/>
      <c r="I268" s="889" t="s">
        <v>392</v>
      </c>
      <c r="J268" s="889" t="s">
        <v>346</v>
      </c>
      <c r="K268" s="889">
        <v>3</v>
      </c>
      <c r="L268" s="889" t="s">
        <v>348</v>
      </c>
      <c r="M268" s="945">
        <v>1.417</v>
      </c>
      <c r="N268" s="945"/>
      <c r="O268" s="945"/>
      <c r="P268" s="945"/>
      <c r="Q268" s="945"/>
      <c r="R268" s="889" t="s">
        <v>352</v>
      </c>
      <c r="S268" s="945">
        <f>SLEQwidth/K268+M268</f>
        <v>25.250333333333334</v>
      </c>
      <c r="T268" s="889" t="s">
        <v>366</v>
      </c>
      <c r="U268" s="887"/>
      <c r="V268" s="888"/>
      <c r="W268" s="889"/>
      <c r="X268" s="888"/>
      <c r="Y268" s="946"/>
      <c r="Z268" s="946"/>
      <c r="AA268" s="887"/>
      <c r="AB268" s="889"/>
      <c r="AC268" s="889"/>
      <c r="AD268" s="945"/>
      <c r="AE268" s="889"/>
      <c r="AF268" s="889"/>
      <c r="AG268" s="889"/>
      <c r="AH268" s="947"/>
      <c r="AI268" s="947"/>
      <c r="AJ268" s="947"/>
      <c r="AK268" s="947"/>
      <c r="AL268" s="947"/>
      <c r="AM268" s="889"/>
      <c r="AN268" s="889"/>
      <c r="AO268" s="889"/>
      <c r="AP268" s="889"/>
      <c r="AQ268" s="1639"/>
      <c r="AR268" s="140"/>
      <c r="AS268" s="139"/>
      <c r="AT268" s="139"/>
      <c r="AU268" s="139"/>
    </row>
    <row r="269" spans="1:47" ht="15" customHeight="1" x14ac:dyDescent="0.4">
      <c r="A269" s="3" t="s">
        <v>473</v>
      </c>
      <c r="B269" s="7" t="s">
        <v>474</v>
      </c>
      <c r="G269" s="7"/>
      <c r="I269" s="500" t="s">
        <v>461</v>
      </c>
      <c r="K269" s="3" t="s">
        <v>365</v>
      </c>
      <c r="L269" s="3" t="s">
        <v>465</v>
      </c>
      <c r="M269" s="24">
        <v>25</v>
      </c>
      <c r="R269" s="376"/>
      <c r="T269" s="376"/>
      <c r="V269" s="38"/>
      <c r="X269" s="38"/>
      <c r="AC269" s="42"/>
      <c r="AH269" s="477"/>
      <c r="AL269" s="477"/>
      <c r="AQ269" s="139"/>
      <c r="AR269" s="139"/>
      <c r="AS269" s="139"/>
      <c r="AT269" s="139"/>
      <c r="AU269" s="139"/>
    </row>
    <row r="270" spans="1:47" ht="15" customHeight="1" x14ac:dyDescent="0.4">
      <c r="B270" s="36"/>
      <c r="C270" s="3"/>
      <c r="D270" s="3"/>
      <c r="E270" s="3"/>
      <c r="F270" s="3"/>
      <c r="G270" s="42" t="s">
        <v>466</v>
      </c>
      <c r="H270" s="20"/>
      <c r="I270" s="3" t="s">
        <v>365</v>
      </c>
      <c r="J270" s="38" t="s">
        <v>346</v>
      </c>
      <c r="K270" s="3">
        <v>2</v>
      </c>
      <c r="L270" s="3" t="s">
        <v>348</v>
      </c>
      <c r="M270" s="790">
        <v>-2.5</v>
      </c>
      <c r="P270" s="3"/>
      <c r="R270" s="3" t="s">
        <v>352</v>
      </c>
      <c r="S270" s="24">
        <f>SLEQheight/K270+M270</f>
        <v>21.25</v>
      </c>
      <c r="T270" s="3" t="s">
        <v>366</v>
      </c>
      <c r="U270" s="20"/>
      <c r="V270" s="3" t="str">
        <f>IF(SLEQwidth&lt;M269,"√","")</f>
        <v/>
      </c>
      <c r="W270" s="7"/>
      <c r="X270" s="7"/>
      <c r="AA270" s="20"/>
      <c r="AE270" s="3"/>
      <c r="AF270" s="38"/>
      <c r="AG270" s="3"/>
      <c r="AH270" s="39"/>
      <c r="AI270" s="39"/>
      <c r="AJ270" s="39"/>
      <c r="AK270" s="39"/>
      <c r="AQ270" s="139"/>
      <c r="AR270" s="139"/>
      <c r="AS270" s="139"/>
      <c r="AT270" s="139"/>
      <c r="AU270" s="139"/>
    </row>
    <row r="271" spans="1:47" ht="15" customHeight="1" x14ac:dyDescent="0.4">
      <c r="B271" s="36"/>
      <c r="C271" s="3"/>
      <c r="D271" s="3"/>
      <c r="E271" s="3"/>
      <c r="F271" s="3"/>
      <c r="G271" s="7"/>
      <c r="H271" s="20"/>
      <c r="I271" s="36" t="s">
        <v>464</v>
      </c>
      <c r="J271" s="38"/>
      <c r="K271" s="3" t="s">
        <v>365</v>
      </c>
      <c r="L271" s="3" t="s">
        <v>463</v>
      </c>
      <c r="M271" s="5">
        <f>M269</f>
        <v>25</v>
      </c>
      <c r="N271" s="5" t="s">
        <v>747</v>
      </c>
      <c r="O271" s="5">
        <v>38</v>
      </c>
      <c r="P271" s="3"/>
      <c r="U271" s="20"/>
      <c r="V271" s="7"/>
      <c r="W271" s="7"/>
      <c r="X271" s="7"/>
      <c r="AA271" s="20"/>
      <c r="AE271" s="3"/>
      <c r="AF271" s="38"/>
      <c r="AG271" s="3"/>
      <c r="AH271" s="39"/>
      <c r="AI271" s="39"/>
      <c r="AJ271" s="39"/>
      <c r="AK271" s="39"/>
      <c r="AQ271" s="139"/>
      <c r="AR271" s="139"/>
      <c r="AS271" s="139"/>
      <c r="AT271" s="139"/>
      <c r="AU271" s="139"/>
    </row>
    <row r="272" spans="1:47" ht="15" customHeight="1" x14ac:dyDescent="0.4">
      <c r="B272" s="36"/>
      <c r="C272" s="3"/>
      <c r="D272" s="3"/>
      <c r="E272" s="3"/>
      <c r="F272" s="3"/>
      <c r="G272" s="7"/>
      <c r="H272" s="20"/>
      <c r="J272" s="38"/>
      <c r="M272" s="791">
        <v>7.0629999999999997</v>
      </c>
      <c r="P272" s="3"/>
      <c r="R272" s="3" t="s">
        <v>352</v>
      </c>
      <c r="S272" s="24">
        <f>M272</f>
        <v>7.0629999999999997</v>
      </c>
      <c r="T272" s="3" t="s">
        <v>366</v>
      </c>
      <c r="U272" s="20"/>
      <c r="V272" s="3" t="str">
        <f>IF(AND(SLEQwidth&gt;=M271,SLEQwidth&lt;=O271),"√","")</f>
        <v/>
      </c>
      <c r="W272" s="7"/>
      <c r="X272" s="7"/>
      <c r="AA272" s="20"/>
      <c r="AE272" s="3"/>
      <c r="AF272" s="38"/>
      <c r="AG272" s="3"/>
      <c r="AH272" s="39"/>
      <c r="AI272" s="39"/>
      <c r="AJ272" s="39"/>
      <c r="AK272" s="39"/>
      <c r="AQ272" s="139"/>
      <c r="AR272" s="139"/>
      <c r="AS272" s="139"/>
      <c r="AT272" s="139"/>
      <c r="AU272" s="139"/>
    </row>
    <row r="273" spans="1:47" ht="15" customHeight="1" x14ac:dyDescent="0.4">
      <c r="B273" s="36"/>
      <c r="C273" s="3"/>
      <c r="D273" s="3"/>
      <c r="E273" s="3"/>
      <c r="F273" s="3"/>
      <c r="G273" s="7"/>
      <c r="I273" s="36" t="s">
        <v>464</v>
      </c>
      <c r="J273" s="38"/>
      <c r="K273" s="3" t="s">
        <v>365</v>
      </c>
      <c r="L273" s="3" t="s">
        <v>1234</v>
      </c>
      <c r="M273" s="5">
        <f>O271</f>
        <v>38</v>
      </c>
      <c r="R273" s="376"/>
      <c r="S273" s="24"/>
      <c r="T273" s="376"/>
      <c r="V273" s="38"/>
      <c r="X273" s="38"/>
      <c r="AC273" s="42"/>
      <c r="AH273" s="477"/>
      <c r="AI273" s="39"/>
      <c r="AJ273" s="39"/>
      <c r="AK273" s="39"/>
      <c r="AL273" s="477"/>
      <c r="AQ273" s="139"/>
      <c r="AR273" s="139"/>
      <c r="AS273" s="139"/>
      <c r="AT273" s="139"/>
      <c r="AU273" s="139"/>
    </row>
    <row r="274" spans="1:47" ht="15" customHeight="1" x14ac:dyDescent="0.4">
      <c r="B274" s="36"/>
      <c r="C274" s="3"/>
      <c r="D274" s="3"/>
      <c r="E274" s="3"/>
      <c r="F274" s="3"/>
      <c r="G274" s="7"/>
      <c r="H274" s="20"/>
      <c r="J274" s="38"/>
      <c r="M274" s="544">
        <f>M272+4</f>
        <v>11.062999999999999</v>
      </c>
      <c r="P274" s="3"/>
      <c r="R274" s="3" t="s">
        <v>352</v>
      </c>
      <c r="S274" s="24">
        <f>M274</f>
        <v>11.062999999999999</v>
      </c>
      <c r="T274" s="3" t="s">
        <v>366</v>
      </c>
      <c r="U274" s="20"/>
      <c r="V274" s="3" t="str">
        <f>IF(SLEQwidth&gt;M273,"√","")</f>
        <v>√</v>
      </c>
      <c r="W274" s="7"/>
      <c r="X274" s="7"/>
      <c r="AA274" s="20"/>
      <c r="AE274" s="3"/>
      <c r="AF274" s="38"/>
      <c r="AG274" s="3"/>
      <c r="AH274" s="39"/>
      <c r="AI274" s="39"/>
      <c r="AJ274" s="39"/>
      <c r="AK274" s="39"/>
      <c r="AQ274" s="139"/>
      <c r="AR274" s="139"/>
      <c r="AS274" s="139"/>
      <c r="AT274" s="139"/>
      <c r="AU274" s="139"/>
    </row>
    <row r="275" spans="1:47" ht="15" customHeight="1" thickBot="1" x14ac:dyDescent="0.45">
      <c r="B275" s="943"/>
      <c r="C275" s="889"/>
      <c r="D275" s="889"/>
      <c r="E275" s="889"/>
      <c r="F275" s="889"/>
      <c r="G275" s="924"/>
      <c r="H275" s="948"/>
      <c r="I275" s="889"/>
      <c r="J275" s="889"/>
      <c r="K275" s="889"/>
      <c r="L275" s="889"/>
      <c r="M275" s="945"/>
      <c r="N275" s="945"/>
      <c r="O275" s="945"/>
      <c r="P275" s="945"/>
      <c r="Q275" s="945"/>
      <c r="R275" s="970"/>
      <c r="S275" s="945"/>
      <c r="T275" s="970"/>
      <c r="U275" s="948"/>
      <c r="V275" s="888"/>
      <c r="W275" s="889"/>
      <c r="X275" s="888"/>
      <c r="Y275" s="889"/>
      <c r="Z275" s="889"/>
      <c r="AA275" s="948"/>
      <c r="AB275" s="889"/>
      <c r="AC275" s="1154"/>
      <c r="AD275" s="945"/>
      <c r="AE275" s="945"/>
      <c r="AF275" s="945"/>
      <c r="AG275" s="945"/>
      <c r="AH275" s="1157"/>
      <c r="AI275" s="947"/>
      <c r="AJ275" s="947"/>
      <c r="AK275" s="947"/>
      <c r="AL275" s="1157"/>
      <c r="AM275" s="889"/>
      <c r="AN275" s="889"/>
      <c r="AO275" s="889"/>
      <c r="AP275" s="889"/>
      <c r="AQ275" s="1163"/>
      <c r="AR275" s="139"/>
      <c r="AS275" s="139"/>
      <c r="AT275" s="139"/>
      <c r="AU275" s="139"/>
    </row>
    <row r="276" spans="1:47" ht="15" customHeight="1" x14ac:dyDescent="0.2">
      <c r="A276" s="3" t="s">
        <v>1235</v>
      </c>
      <c r="B276" s="173" t="s">
        <v>1165</v>
      </c>
      <c r="C276" s="114"/>
      <c r="D276" s="182"/>
      <c r="E276" s="182"/>
      <c r="F276" s="182"/>
      <c r="G276" s="173"/>
      <c r="H276" s="193"/>
      <c r="I276" s="116" t="s">
        <v>392</v>
      </c>
      <c r="J276" s="116" t="s">
        <v>346</v>
      </c>
      <c r="K276" s="116">
        <v>3</v>
      </c>
      <c r="L276" s="116" t="s">
        <v>348</v>
      </c>
      <c r="M276" s="357">
        <f>-1.487+0.434</f>
        <v>-1.0530000000000002</v>
      </c>
      <c r="N276" s="177"/>
      <c r="O276" s="177"/>
      <c r="P276" s="177" t="s">
        <v>348</v>
      </c>
      <c r="Q276" s="5" t="s">
        <v>2315</v>
      </c>
      <c r="R276" s="116" t="s">
        <v>352</v>
      </c>
      <c r="S276" s="177">
        <f>SLEQwidth/K276+M276-SLEQSORnd*2</f>
        <v>22.780333333333331</v>
      </c>
      <c r="T276" s="116" t="s">
        <v>366</v>
      </c>
      <c r="U276" s="193"/>
      <c r="V276" s="138"/>
      <c r="W276" s="138"/>
      <c r="X276" s="138"/>
      <c r="Y276" s="116"/>
      <c r="Z276" s="116"/>
      <c r="AA276" s="193"/>
      <c r="AB276" s="116">
        <v>42</v>
      </c>
      <c r="AC276" s="116">
        <v>2</v>
      </c>
      <c r="AD276" s="177">
        <f>AC276*S276/12</f>
        <v>3.7967222222222219</v>
      </c>
      <c r="AE276" s="116" t="s">
        <v>367</v>
      </c>
      <c r="AF276" s="38">
        <v>2.8000000000000001E-2</v>
      </c>
      <c r="AG276" s="5">
        <f>AF276*AtolbperftEQ</f>
        <v>1.771E-2</v>
      </c>
      <c r="AI276" s="39"/>
      <c r="AJ276" s="39"/>
      <c r="AK276" s="39"/>
      <c r="AQ276" s="139"/>
      <c r="AR276" s="139"/>
      <c r="AS276" s="139"/>
      <c r="AT276" s="139"/>
      <c r="AU276" s="139"/>
    </row>
    <row r="277" spans="1:47" ht="15" customHeight="1" x14ac:dyDescent="0.4">
      <c r="B277" s="36"/>
      <c r="C277" s="7"/>
      <c r="D277" s="7"/>
      <c r="E277" s="7"/>
      <c r="F277" s="7"/>
      <c r="G277" s="7"/>
      <c r="V277" s="38" t="s">
        <v>369</v>
      </c>
      <c r="W277" s="3" t="s">
        <v>370</v>
      </c>
      <c r="X277" s="38" t="s">
        <v>369</v>
      </c>
      <c r="Y277" s="41" t="s">
        <v>505</v>
      </c>
      <c r="Z277" s="41"/>
      <c r="AE277" s="3"/>
      <c r="AF277" s="38"/>
      <c r="AH277" s="39">
        <f>1.3*AG276</f>
        <v>2.3023000000000002E-2</v>
      </c>
      <c r="AI277" s="39"/>
      <c r="AJ277" s="39"/>
      <c r="AK277" s="39"/>
      <c r="AL277" s="39">
        <f>AH277*AD276</f>
        <v>8.7411935722222223E-2</v>
      </c>
      <c r="AQ277" s="139"/>
      <c r="AR277" s="139"/>
      <c r="AS277" s="139"/>
      <c r="AT277" s="139"/>
      <c r="AU277" s="139"/>
    </row>
    <row r="278" spans="1:47" ht="15" customHeight="1" x14ac:dyDescent="0.4">
      <c r="B278" s="1947" t="s">
        <v>2393</v>
      </c>
      <c r="D278" s="7"/>
      <c r="E278" s="7"/>
      <c r="F278" s="7"/>
      <c r="G278" s="7"/>
      <c r="V278" s="38" t="s">
        <v>369</v>
      </c>
      <c r="W278" s="3" t="s">
        <v>372</v>
      </c>
      <c r="X278" s="38" t="s">
        <v>369</v>
      </c>
      <c r="Y278" s="41">
        <v>200170021</v>
      </c>
      <c r="Z278" s="41"/>
      <c r="AE278" s="3"/>
      <c r="AF278" s="38"/>
      <c r="AH278" s="39">
        <f>1.3*AG276</f>
        <v>2.3023000000000002E-2</v>
      </c>
      <c r="AI278" s="39"/>
      <c r="AJ278" s="39"/>
      <c r="AK278" s="39"/>
      <c r="AL278" s="39">
        <f>AH278*AD276</f>
        <v>8.7411935722222223E-2</v>
      </c>
      <c r="AQ278" s="139"/>
      <c r="AR278" s="139"/>
      <c r="AS278" s="139"/>
      <c r="AT278" s="139"/>
      <c r="AU278" s="139"/>
    </row>
    <row r="279" spans="1:47" ht="15" customHeight="1" x14ac:dyDescent="0.4">
      <c r="B279" s="36"/>
      <c r="D279" s="7"/>
      <c r="E279" s="7"/>
      <c r="F279" s="7"/>
      <c r="G279" s="7"/>
      <c r="V279" s="38" t="s">
        <v>369</v>
      </c>
      <c r="W279" s="3" t="s">
        <v>373</v>
      </c>
      <c r="X279" s="38" t="s">
        <v>369</v>
      </c>
      <c r="Y279" s="41" t="s">
        <v>507</v>
      </c>
      <c r="Z279" s="41"/>
      <c r="AE279" s="3"/>
      <c r="AF279" s="38"/>
      <c r="AH279" s="39">
        <f>1.3*AG276</f>
        <v>2.3023000000000002E-2</v>
      </c>
      <c r="AI279" s="39"/>
      <c r="AJ279" s="39"/>
      <c r="AK279" s="39"/>
      <c r="AL279" s="39">
        <f>AH279*AD276</f>
        <v>8.7411935722222223E-2</v>
      </c>
      <c r="AQ279" s="139"/>
      <c r="AR279" s="139"/>
      <c r="AS279" s="139"/>
      <c r="AT279" s="139"/>
      <c r="AU279" s="139"/>
    </row>
    <row r="280" spans="1:47" ht="15" customHeight="1" x14ac:dyDescent="0.4">
      <c r="B280" s="36"/>
      <c r="D280" s="7"/>
      <c r="E280" s="7"/>
      <c r="F280" s="7"/>
      <c r="G280" s="7"/>
      <c r="V280" s="279" t="s">
        <v>369</v>
      </c>
      <c r="W280" s="112" t="s">
        <v>1849</v>
      </c>
      <c r="X280" s="279" t="s">
        <v>369</v>
      </c>
      <c r="Y280" s="1900">
        <v>200170148</v>
      </c>
      <c r="Z280" s="41"/>
      <c r="AE280" s="3"/>
      <c r="AF280" s="38"/>
      <c r="AH280" s="39">
        <v>0</v>
      </c>
      <c r="AI280" s="39"/>
      <c r="AJ280" s="39"/>
      <c r="AK280" s="39"/>
      <c r="AL280" s="39">
        <f>AH280*AD276</f>
        <v>0</v>
      </c>
      <c r="AQ280" s="139"/>
      <c r="AR280" s="139"/>
      <c r="AS280" s="139"/>
      <c r="AT280" s="139"/>
      <c r="AU280" s="139"/>
    </row>
    <row r="281" spans="1:47" ht="15" customHeight="1" thickBot="1" x14ac:dyDescent="0.45">
      <c r="B281" s="943"/>
      <c r="C281" s="949"/>
      <c r="D281" s="924"/>
      <c r="E281" s="924"/>
      <c r="F281" s="924"/>
      <c r="G281" s="924"/>
      <c r="H281" s="948"/>
      <c r="I281" s="889"/>
      <c r="J281" s="889"/>
      <c r="K281" s="889"/>
      <c r="L281" s="889"/>
      <c r="M281" s="945"/>
      <c r="N281" s="945"/>
      <c r="O281" s="945"/>
      <c r="P281" s="945"/>
      <c r="Q281" s="945"/>
      <c r="R281" s="889"/>
      <c r="S281" s="945"/>
      <c r="T281" s="889"/>
      <c r="U281" s="948"/>
      <c r="V281" s="888" t="s">
        <v>369</v>
      </c>
      <c r="W281" s="889" t="s">
        <v>375</v>
      </c>
      <c r="X281" s="888" t="s">
        <v>369</v>
      </c>
      <c r="Y281" s="946">
        <v>200170133</v>
      </c>
      <c r="Z281" s="946"/>
      <c r="AA281" s="948"/>
      <c r="AB281" s="889"/>
      <c r="AC281" s="889"/>
      <c r="AD281" s="945"/>
      <c r="AE281" s="889"/>
      <c r="AF281" s="888"/>
      <c r="AG281" s="945"/>
      <c r="AH281" s="947">
        <v>0</v>
      </c>
      <c r="AI281" s="947"/>
      <c r="AJ281" s="947"/>
      <c r="AK281" s="947"/>
      <c r="AL281" s="947">
        <f>AH281*AD277</f>
        <v>0</v>
      </c>
      <c r="AM281" s="889"/>
      <c r="AN281" s="889"/>
      <c r="AO281" s="889"/>
      <c r="AP281" s="889"/>
      <c r="AQ281" s="1163"/>
      <c r="AR281" s="139"/>
      <c r="AS281" s="139"/>
      <c r="AT281" s="139"/>
      <c r="AU281" s="139"/>
    </row>
    <row r="282" spans="1:47" ht="15" customHeight="1" x14ac:dyDescent="0.2">
      <c r="A282" s="3" t="s">
        <v>1166</v>
      </c>
      <c r="B282" s="7" t="s">
        <v>1167</v>
      </c>
      <c r="D282" s="155"/>
      <c r="E282" s="155"/>
      <c r="F282" s="155"/>
      <c r="G282" s="7"/>
      <c r="I282" s="3" t="s">
        <v>392</v>
      </c>
      <c r="J282" s="3" t="s">
        <v>346</v>
      </c>
      <c r="K282" s="3">
        <v>3</v>
      </c>
      <c r="L282" s="3" t="s">
        <v>348</v>
      </c>
      <c r="M282" s="356">
        <f>-1.424+0.434</f>
        <v>-0.99</v>
      </c>
      <c r="P282" s="5" t="s">
        <v>348</v>
      </c>
      <c r="Q282" s="5" t="s">
        <v>2315</v>
      </c>
      <c r="R282" s="3" t="s">
        <v>352</v>
      </c>
      <c r="S282" s="5">
        <f>SLEQwidth/K282+M282-SLEQSORnd*2</f>
        <v>22.843333333333334</v>
      </c>
      <c r="T282" s="3" t="s">
        <v>366</v>
      </c>
      <c r="V282" s="4"/>
      <c r="W282" s="4"/>
      <c r="X282" s="4"/>
      <c r="AB282" s="3">
        <v>42</v>
      </c>
      <c r="AC282" s="3">
        <v>1</v>
      </c>
      <c r="AD282" s="5">
        <f>AC282*S282/12</f>
        <v>1.9036111111111111</v>
      </c>
      <c r="AE282" s="3" t="s">
        <v>367</v>
      </c>
      <c r="AF282" s="38">
        <v>4.3999999999999997E-2</v>
      </c>
      <c r="AG282" s="5">
        <f>AF282*AtolbperftEQ</f>
        <v>2.7829999999999997E-2</v>
      </c>
      <c r="AI282" s="39"/>
      <c r="AJ282" s="39"/>
      <c r="AK282" s="39"/>
      <c r="AQ282" s="139"/>
      <c r="AR282" s="139"/>
      <c r="AS282" s="139"/>
      <c r="AT282" s="139"/>
      <c r="AU282" s="139"/>
    </row>
    <row r="283" spans="1:47" ht="15" customHeight="1" x14ac:dyDescent="0.4">
      <c r="B283" s="36"/>
      <c r="C283" s="7"/>
      <c r="D283" s="7"/>
      <c r="E283" s="7"/>
      <c r="F283" s="7"/>
      <c r="G283" s="7"/>
      <c r="V283" s="38" t="s">
        <v>369</v>
      </c>
      <c r="W283" s="3" t="s">
        <v>370</v>
      </c>
      <c r="X283" s="38" t="s">
        <v>369</v>
      </c>
      <c r="Y283" s="41" t="s">
        <v>500</v>
      </c>
      <c r="Z283" s="41"/>
      <c r="AE283" s="3"/>
      <c r="AF283" s="38"/>
      <c r="AH283" s="39">
        <f>1.3*AG282</f>
        <v>3.6178999999999996E-2</v>
      </c>
      <c r="AI283" s="39"/>
      <c r="AJ283" s="39"/>
      <c r="AK283" s="39"/>
      <c r="AL283" s="39">
        <f>AH283*AD282</f>
        <v>6.8870746388888876E-2</v>
      </c>
      <c r="AQ283" s="139"/>
      <c r="AR283" s="139"/>
      <c r="AS283" s="139"/>
      <c r="AT283" s="139"/>
      <c r="AU283" s="139"/>
    </row>
    <row r="284" spans="1:47" ht="15" customHeight="1" x14ac:dyDescent="0.4">
      <c r="B284" s="36"/>
      <c r="D284" s="7"/>
      <c r="E284" s="7"/>
      <c r="F284" s="7"/>
      <c r="G284" s="7"/>
      <c r="V284" s="38" t="s">
        <v>369</v>
      </c>
      <c r="W284" s="3" t="s">
        <v>372</v>
      </c>
      <c r="X284" s="38" t="s">
        <v>369</v>
      </c>
      <c r="Y284" s="41">
        <v>200171021</v>
      </c>
      <c r="Z284" s="41"/>
      <c r="AE284" s="3"/>
      <c r="AF284" s="38"/>
      <c r="AH284" s="39">
        <f>1.3*AG282</f>
        <v>3.6178999999999996E-2</v>
      </c>
      <c r="AI284" s="39"/>
      <c r="AJ284" s="39"/>
      <c r="AK284" s="39"/>
      <c r="AL284" s="39">
        <f>AH284*AD282</f>
        <v>6.8870746388888876E-2</v>
      </c>
      <c r="AQ284" s="139"/>
      <c r="AR284" s="139"/>
      <c r="AS284" s="139"/>
      <c r="AT284" s="139"/>
      <c r="AU284" s="139"/>
    </row>
    <row r="285" spans="1:47" ht="15" customHeight="1" x14ac:dyDescent="0.4">
      <c r="B285" s="36"/>
      <c r="D285" s="7"/>
      <c r="E285" s="7"/>
      <c r="F285" s="7"/>
      <c r="G285" s="7"/>
      <c r="V285" s="38" t="s">
        <v>369</v>
      </c>
      <c r="W285" s="3" t="s">
        <v>373</v>
      </c>
      <c r="X285" s="38" t="s">
        <v>369</v>
      </c>
      <c r="Y285" s="41" t="s">
        <v>501</v>
      </c>
      <c r="Z285" s="41"/>
      <c r="AE285" s="3"/>
      <c r="AF285" s="38"/>
      <c r="AH285" s="39">
        <f>1.3*AG282</f>
        <v>3.6178999999999996E-2</v>
      </c>
      <c r="AI285" s="39"/>
      <c r="AJ285" s="39"/>
      <c r="AK285" s="39"/>
      <c r="AL285" s="39">
        <f>AH285*AD282</f>
        <v>6.8870746388888876E-2</v>
      </c>
      <c r="AQ285" s="139"/>
      <c r="AR285" s="139"/>
      <c r="AS285" s="139"/>
      <c r="AT285" s="139"/>
      <c r="AU285" s="139"/>
    </row>
    <row r="286" spans="1:47" ht="15" customHeight="1" x14ac:dyDescent="0.4">
      <c r="B286" s="36"/>
      <c r="D286" s="7"/>
      <c r="E286" s="7"/>
      <c r="F286" s="7"/>
      <c r="G286" s="7"/>
      <c r="V286" s="279" t="s">
        <v>369</v>
      </c>
      <c r="W286" s="112" t="s">
        <v>1849</v>
      </c>
      <c r="X286" s="279" t="s">
        <v>369</v>
      </c>
      <c r="Y286" s="1900">
        <v>200171148</v>
      </c>
      <c r="Z286" s="41"/>
      <c r="AE286" s="3"/>
      <c r="AF286" s="38"/>
      <c r="AH286" s="39">
        <v>0</v>
      </c>
      <c r="AI286" s="39"/>
      <c r="AJ286" s="39"/>
      <c r="AK286" s="39"/>
      <c r="AL286" s="39">
        <f>AH286*AD283</f>
        <v>0</v>
      </c>
      <c r="AQ286" s="139"/>
      <c r="AR286" s="139"/>
      <c r="AS286" s="139"/>
      <c r="AT286" s="139"/>
      <c r="AU286" s="139"/>
    </row>
    <row r="287" spans="1:47" ht="15" customHeight="1" thickBot="1" x14ac:dyDescent="0.45">
      <c r="B287" s="943"/>
      <c r="C287" s="949"/>
      <c r="D287" s="924"/>
      <c r="E287" s="924"/>
      <c r="F287" s="924"/>
      <c r="G287" s="924"/>
      <c r="H287" s="948"/>
      <c r="I287" s="889"/>
      <c r="J287" s="889"/>
      <c r="K287" s="889"/>
      <c r="L287" s="889"/>
      <c r="M287" s="945"/>
      <c r="N287" s="945"/>
      <c r="O287" s="945"/>
      <c r="P287" s="945"/>
      <c r="Q287" s="945"/>
      <c r="R287" s="889"/>
      <c r="S287" s="945"/>
      <c r="T287" s="889"/>
      <c r="U287" s="948"/>
      <c r="V287" s="888" t="s">
        <v>369</v>
      </c>
      <c r="W287" s="889" t="s">
        <v>375</v>
      </c>
      <c r="X287" s="888" t="s">
        <v>369</v>
      </c>
      <c r="Y287" s="946">
        <v>200171133</v>
      </c>
      <c r="Z287" s="946"/>
      <c r="AA287" s="948"/>
      <c r="AB287" s="889"/>
      <c r="AC287" s="889"/>
      <c r="AD287" s="945"/>
      <c r="AE287" s="889"/>
      <c r="AF287" s="888"/>
      <c r="AG287" s="945"/>
      <c r="AH287" s="1945">
        <v>0</v>
      </c>
      <c r="AI287" s="947"/>
      <c r="AJ287" s="947"/>
      <c r="AK287" s="947"/>
      <c r="AL287" s="947">
        <f>AH287*AD282</f>
        <v>0</v>
      </c>
      <c r="AM287" s="889"/>
      <c r="AN287" s="889"/>
      <c r="AO287" s="889"/>
      <c r="AP287" s="889"/>
      <c r="AQ287" s="1163"/>
      <c r="AR287" s="139"/>
      <c r="AS287" s="139"/>
      <c r="AT287" s="139"/>
      <c r="AU287" s="139"/>
    </row>
    <row r="288" spans="1:47" ht="15" customHeight="1" x14ac:dyDescent="0.2">
      <c r="B288" s="7" t="s">
        <v>1168</v>
      </c>
      <c r="D288" s="7"/>
      <c r="E288" s="7"/>
      <c r="F288" s="7"/>
      <c r="G288" s="7"/>
      <c r="I288" s="3" t="s">
        <v>392</v>
      </c>
      <c r="J288" s="3" t="s">
        <v>346</v>
      </c>
      <c r="K288" s="3">
        <v>3</v>
      </c>
      <c r="L288" s="3" t="s">
        <v>348</v>
      </c>
      <c r="M288" s="356">
        <f>-1.424+0.434</f>
        <v>-0.99</v>
      </c>
      <c r="P288" s="5" t="s">
        <v>348</v>
      </c>
      <c r="Q288" s="5" t="s">
        <v>2315</v>
      </c>
      <c r="R288" s="3" t="s">
        <v>352</v>
      </c>
      <c r="S288" s="5">
        <f>SLEQwidth/K288+M288-SLEQSORnd*2</f>
        <v>22.843333333333334</v>
      </c>
      <c r="T288" s="3" t="s">
        <v>366</v>
      </c>
      <c r="V288" s="38"/>
      <c r="X288" s="38"/>
      <c r="Y288" s="41"/>
      <c r="Z288" s="41"/>
      <c r="AB288" s="3">
        <v>42</v>
      </c>
      <c r="AC288" s="3">
        <v>1</v>
      </c>
      <c r="AD288" s="5">
        <f>AC288*S288/12</f>
        <v>1.9036111111111111</v>
      </c>
      <c r="AE288" s="3" t="s">
        <v>367</v>
      </c>
      <c r="AF288" s="38">
        <v>4.1000000000000002E-2</v>
      </c>
      <c r="AG288" s="5">
        <f>AF288*AtolbperftEQ</f>
        <v>2.5932500000000001E-2</v>
      </c>
      <c r="AH288" s="39"/>
      <c r="AI288" s="39"/>
      <c r="AJ288" s="39"/>
      <c r="AK288" s="39"/>
      <c r="AQ288" s="139"/>
      <c r="AR288" s="139"/>
      <c r="AS288" s="139"/>
      <c r="AT288" s="139"/>
      <c r="AU288" s="139"/>
    </row>
    <row r="289" spans="1:47" ht="15" customHeight="1" x14ac:dyDescent="0.4">
      <c r="B289" s="36"/>
      <c r="D289" s="7"/>
      <c r="E289" s="7"/>
      <c r="F289" s="7"/>
      <c r="G289" s="7"/>
      <c r="V289" s="38" t="s">
        <v>369</v>
      </c>
      <c r="W289" s="3" t="s">
        <v>370</v>
      </c>
      <c r="X289" s="38" t="s">
        <v>369</v>
      </c>
      <c r="Y289" s="41">
        <v>200190003</v>
      </c>
      <c r="Z289" s="41"/>
      <c r="AE289" s="3"/>
      <c r="AF289" s="38"/>
      <c r="AH289" s="39">
        <f>1.3*AG288</f>
        <v>3.3712249999999999E-2</v>
      </c>
      <c r="AI289" s="39"/>
      <c r="AJ289" s="39"/>
      <c r="AK289" s="39"/>
      <c r="AL289" s="39">
        <f>AH289*AD288</f>
        <v>6.4175013680555559E-2</v>
      </c>
      <c r="AQ289" s="139"/>
      <c r="AR289" s="139"/>
      <c r="AS289" s="139"/>
      <c r="AT289" s="139"/>
      <c r="AU289" s="139"/>
    </row>
    <row r="290" spans="1:47" ht="15" customHeight="1" x14ac:dyDescent="0.4">
      <c r="B290" s="36"/>
      <c r="D290" s="7"/>
      <c r="E290" s="7"/>
      <c r="F290" s="7"/>
      <c r="G290" s="7"/>
      <c r="V290" s="38" t="s">
        <v>369</v>
      </c>
      <c r="W290" s="3" t="s">
        <v>372</v>
      </c>
      <c r="X290" s="38" t="s">
        <v>369</v>
      </c>
      <c r="Y290" s="41">
        <v>200190021</v>
      </c>
      <c r="Z290" s="41"/>
      <c r="AE290" s="3"/>
      <c r="AF290" s="38"/>
      <c r="AH290" s="39">
        <f>1.3*AG288</f>
        <v>3.3712249999999999E-2</v>
      </c>
      <c r="AI290" s="39"/>
      <c r="AJ290" s="39"/>
      <c r="AK290" s="39"/>
      <c r="AL290" s="39">
        <f>AH290*AD288</f>
        <v>6.4175013680555559E-2</v>
      </c>
      <c r="AQ290" s="139"/>
      <c r="AR290" s="139"/>
      <c r="AS290" s="139"/>
      <c r="AT290" s="139"/>
      <c r="AU290" s="139"/>
    </row>
    <row r="291" spans="1:47" ht="15" customHeight="1" x14ac:dyDescent="0.4">
      <c r="B291" s="36"/>
      <c r="D291" s="7"/>
      <c r="E291" s="7"/>
      <c r="F291" s="7"/>
      <c r="G291" s="7"/>
      <c r="V291" s="38" t="s">
        <v>369</v>
      </c>
      <c r="W291" s="3" t="s">
        <v>373</v>
      </c>
      <c r="X291" s="38" t="s">
        <v>369</v>
      </c>
      <c r="Y291" s="41">
        <v>200190033</v>
      </c>
      <c r="Z291" s="41"/>
      <c r="AE291" s="3"/>
      <c r="AF291" s="38"/>
      <c r="AH291" s="39">
        <f>1.3*AG288</f>
        <v>3.3712249999999999E-2</v>
      </c>
      <c r="AI291" s="39"/>
      <c r="AJ291" s="39"/>
      <c r="AK291" s="39"/>
      <c r="AL291" s="39">
        <f>AH291*AD288</f>
        <v>6.4175013680555559E-2</v>
      </c>
      <c r="AQ291" s="139"/>
      <c r="AR291" s="139"/>
      <c r="AS291" s="139"/>
      <c r="AT291" s="139"/>
      <c r="AU291" s="139"/>
    </row>
    <row r="292" spans="1:47" ht="15" customHeight="1" x14ac:dyDescent="0.4">
      <c r="B292" s="36"/>
      <c r="D292" s="7"/>
      <c r="E292" s="7"/>
      <c r="F292" s="7"/>
      <c r="G292" s="7"/>
      <c r="V292" s="279" t="s">
        <v>369</v>
      </c>
      <c r="W292" s="112" t="s">
        <v>1849</v>
      </c>
      <c r="X292" s="279" t="s">
        <v>369</v>
      </c>
      <c r="Y292" s="1900">
        <v>200190148</v>
      </c>
      <c r="Z292" s="41"/>
      <c r="AE292" s="3"/>
      <c r="AF292" s="38"/>
      <c r="AH292" s="39">
        <v>0</v>
      </c>
      <c r="AI292" s="39"/>
      <c r="AJ292" s="39"/>
      <c r="AK292" s="39"/>
      <c r="AL292" s="39">
        <f>AH292*AD289</f>
        <v>0</v>
      </c>
      <c r="AQ292" s="139"/>
      <c r="AR292" s="139"/>
      <c r="AS292" s="139"/>
      <c r="AT292" s="139"/>
      <c r="AU292" s="139"/>
    </row>
    <row r="293" spans="1:47" ht="15" customHeight="1" thickBot="1" x14ac:dyDescent="0.45">
      <c r="B293" s="943"/>
      <c r="C293" s="949"/>
      <c r="D293" s="924"/>
      <c r="E293" s="924"/>
      <c r="F293" s="924"/>
      <c r="G293" s="924"/>
      <c r="H293" s="948"/>
      <c r="I293" s="889"/>
      <c r="J293" s="889"/>
      <c r="K293" s="889"/>
      <c r="L293" s="889"/>
      <c r="M293" s="945"/>
      <c r="N293" s="945"/>
      <c r="O293" s="945"/>
      <c r="P293" s="945"/>
      <c r="Q293" s="945"/>
      <c r="R293" s="889"/>
      <c r="S293" s="945"/>
      <c r="T293" s="889"/>
      <c r="U293" s="948"/>
      <c r="V293" s="888" t="s">
        <v>369</v>
      </c>
      <c r="W293" s="889" t="s">
        <v>375</v>
      </c>
      <c r="X293" s="888" t="s">
        <v>369</v>
      </c>
      <c r="Y293" s="946">
        <v>200190133</v>
      </c>
      <c r="Z293" s="946"/>
      <c r="AA293" s="948"/>
      <c r="AB293" s="889"/>
      <c r="AC293" s="889"/>
      <c r="AD293" s="945"/>
      <c r="AE293" s="889"/>
      <c r="AF293" s="888"/>
      <c r="AG293" s="945"/>
      <c r="AH293" s="1945">
        <v>0</v>
      </c>
      <c r="AI293" s="947"/>
      <c r="AJ293" s="947"/>
      <c r="AK293" s="947"/>
      <c r="AL293" s="947">
        <f>AH293*AD288</f>
        <v>0</v>
      </c>
      <c r="AM293" s="889"/>
      <c r="AN293" s="889"/>
      <c r="AO293" s="889"/>
      <c r="AP293" s="889"/>
      <c r="AQ293" s="1163"/>
      <c r="AR293" s="139"/>
      <c r="AS293" s="139"/>
      <c r="AT293" s="139"/>
      <c r="AU293" s="139"/>
    </row>
    <row r="294" spans="1:47" ht="15" customHeight="1" x14ac:dyDescent="0.2">
      <c r="A294" s="3" t="s">
        <v>1169</v>
      </c>
      <c r="B294" s="173" t="s">
        <v>1170</v>
      </c>
      <c r="C294" s="114"/>
      <c r="D294" s="182"/>
      <c r="E294" s="182"/>
      <c r="F294" s="182"/>
      <c r="G294" s="173"/>
      <c r="H294" s="193"/>
      <c r="I294" s="116" t="s">
        <v>392</v>
      </c>
      <c r="J294" s="116" t="s">
        <v>346</v>
      </c>
      <c r="K294" s="116">
        <v>3</v>
      </c>
      <c r="L294" s="116" t="s">
        <v>348</v>
      </c>
      <c r="M294" s="357">
        <f>-1.487+0.434</f>
        <v>-1.0530000000000002</v>
      </c>
      <c r="N294" s="177"/>
      <c r="O294" s="177"/>
      <c r="P294" s="177" t="s">
        <v>348</v>
      </c>
      <c r="Q294" s="5" t="s">
        <v>2315</v>
      </c>
      <c r="R294" s="116" t="s">
        <v>352</v>
      </c>
      <c r="S294" s="177">
        <f>SLEQwidth/K294+M294-SLEQSORnd*2</f>
        <v>22.780333333333331</v>
      </c>
      <c r="T294" s="116" t="s">
        <v>366</v>
      </c>
      <c r="U294" s="193"/>
      <c r="V294" s="138"/>
      <c r="W294" s="138"/>
      <c r="X294" s="138"/>
      <c r="Y294" s="116"/>
      <c r="Z294" s="116"/>
      <c r="AA294" s="193"/>
      <c r="AB294" s="116">
        <v>40</v>
      </c>
      <c r="AC294" s="116">
        <v>1</v>
      </c>
      <c r="AD294" s="177">
        <f>AC294*S294/12</f>
        <v>1.8983611111111109</v>
      </c>
      <c r="AE294" s="116" t="s">
        <v>367</v>
      </c>
      <c r="AF294" s="179">
        <v>4.3999999999999997E-2</v>
      </c>
      <c r="AG294" s="177">
        <f>AF294*AtolbperftEQ</f>
        <v>2.7829999999999997E-2</v>
      </c>
      <c r="AI294" s="39"/>
      <c r="AJ294" s="39"/>
      <c r="AK294" s="39"/>
      <c r="AQ294" s="139"/>
      <c r="AR294" s="139"/>
      <c r="AS294" s="139"/>
      <c r="AT294" s="139"/>
      <c r="AU294" s="139"/>
    </row>
    <row r="295" spans="1:47" ht="15" customHeight="1" x14ac:dyDescent="0.4">
      <c r="B295" s="8"/>
      <c r="C295" s="36"/>
      <c r="D295" s="7"/>
      <c r="E295" s="7"/>
      <c r="F295" s="7"/>
      <c r="G295" s="7"/>
      <c r="V295" s="38" t="s">
        <v>369</v>
      </c>
      <c r="W295" s="3" t="s">
        <v>370</v>
      </c>
      <c r="X295" s="38" t="s">
        <v>369</v>
      </c>
      <c r="Y295" s="41" t="s">
        <v>500</v>
      </c>
      <c r="Z295" s="41"/>
      <c r="AE295" s="3"/>
      <c r="AF295" s="38"/>
      <c r="AH295" s="39">
        <f>1.3*AG294</f>
        <v>3.6178999999999996E-2</v>
      </c>
      <c r="AI295" s="39"/>
      <c r="AJ295" s="39"/>
      <c r="AK295" s="39"/>
      <c r="AL295" s="39">
        <f>AH295*AD294</f>
        <v>6.8680806638888869E-2</v>
      </c>
      <c r="AQ295" s="139"/>
      <c r="AR295" s="139"/>
      <c r="AS295" s="139"/>
      <c r="AT295" s="139"/>
      <c r="AU295" s="139"/>
    </row>
    <row r="296" spans="1:47" ht="15" customHeight="1" x14ac:dyDescent="0.4">
      <c r="B296" s="8"/>
      <c r="C296" s="36"/>
      <c r="D296" s="7"/>
      <c r="E296" s="7"/>
      <c r="F296" s="7"/>
      <c r="G296" s="7"/>
      <c r="V296" s="38" t="s">
        <v>369</v>
      </c>
      <c r="W296" s="3" t="s">
        <v>372</v>
      </c>
      <c r="X296" s="38" t="s">
        <v>369</v>
      </c>
      <c r="Y296" s="41">
        <v>200171021</v>
      </c>
      <c r="Z296" s="41"/>
      <c r="AE296" s="3"/>
      <c r="AF296" s="38"/>
      <c r="AH296" s="39">
        <f>1.3*AG294</f>
        <v>3.6178999999999996E-2</v>
      </c>
      <c r="AI296" s="39"/>
      <c r="AJ296" s="39"/>
      <c r="AK296" s="39"/>
      <c r="AL296" s="39">
        <f>AH296*AD294</f>
        <v>6.8680806638888869E-2</v>
      </c>
      <c r="AQ296" s="139"/>
      <c r="AR296" s="139"/>
      <c r="AS296" s="139"/>
      <c r="AT296" s="139"/>
      <c r="AU296" s="139"/>
    </row>
    <row r="297" spans="1:47" ht="15" customHeight="1" x14ac:dyDescent="0.4">
      <c r="B297" s="8"/>
      <c r="C297" s="36"/>
      <c r="D297" s="7"/>
      <c r="E297" s="7"/>
      <c r="F297" s="7"/>
      <c r="G297" s="7"/>
      <c r="V297" s="38" t="s">
        <v>369</v>
      </c>
      <c r="W297" s="3" t="s">
        <v>373</v>
      </c>
      <c r="X297" s="38" t="s">
        <v>369</v>
      </c>
      <c r="Y297" s="41" t="s">
        <v>501</v>
      </c>
      <c r="Z297" s="41"/>
      <c r="AE297" s="3"/>
      <c r="AF297" s="38"/>
      <c r="AH297" s="39">
        <f>1.3*AG294</f>
        <v>3.6178999999999996E-2</v>
      </c>
      <c r="AL297" s="39">
        <f>AH297*AD294</f>
        <v>6.8680806638888869E-2</v>
      </c>
      <c r="AQ297" s="139"/>
      <c r="AR297" s="139"/>
      <c r="AS297" s="139"/>
      <c r="AT297" s="139"/>
      <c r="AU297" s="139"/>
    </row>
    <row r="298" spans="1:47" ht="15" customHeight="1" x14ac:dyDescent="0.4">
      <c r="B298" s="8"/>
      <c r="C298" s="36"/>
      <c r="D298" s="7"/>
      <c r="E298" s="7"/>
      <c r="F298" s="7"/>
      <c r="G298" s="7"/>
      <c r="V298" s="279" t="s">
        <v>369</v>
      </c>
      <c r="W298" s="112" t="s">
        <v>1849</v>
      </c>
      <c r="X298" s="279" t="s">
        <v>369</v>
      </c>
      <c r="Y298" s="1900">
        <v>200171148</v>
      </c>
      <c r="Z298" s="41"/>
      <c r="AE298" s="3"/>
      <c r="AF298" s="38"/>
      <c r="AH298" s="39">
        <v>0</v>
      </c>
      <c r="AL298" s="39">
        <f>AH298*AD295</f>
        <v>0</v>
      </c>
      <c r="AQ298" s="139"/>
      <c r="AR298" s="139"/>
      <c r="AS298" s="139"/>
      <c r="AT298" s="139"/>
      <c r="AU298" s="139"/>
    </row>
    <row r="299" spans="1:47" ht="15" customHeight="1" thickBot="1" x14ac:dyDescent="0.45">
      <c r="B299" s="949"/>
      <c r="C299" s="943"/>
      <c r="D299" s="924"/>
      <c r="E299" s="924"/>
      <c r="F299" s="924"/>
      <c r="G299" s="924"/>
      <c r="H299" s="948"/>
      <c r="I299" s="889"/>
      <c r="J299" s="889"/>
      <c r="K299" s="889"/>
      <c r="L299" s="889"/>
      <c r="M299" s="945"/>
      <c r="N299" s="945"/>
      <c r="O299" s="945"/>
      <c r="P299" s="945"/>
      <c r="Q299" s="945"/>
      <c r="R299" s="889"/>
      <c r="S299" s="945"/>
      <c r="T299" s="889"/>
      <c r="U299" s="948"/>
      <c r="V299" s="888" t="s">
        <v>369</v>
      </c>
      <c r="W299" s="889" t="s">
        <v>375</v>
      </c>
      <c r="X299" s="888" t="s">
        <v>369</v>
      </c>
      <c r="Y299" s="946">
        <v>200171133</v>
      </c>
      <c r="Z299" s="946"/>
      <c r="AA299" s="948"/>
      <c r="AB299" s="889"/>
      <c r="AC299" s="889"/>
      <c r="AD299" s="945"/>
      <c r="AE299" s="889"/>
      <c r="AF299" s="888"/>
      <c r="AG299" s="945"/>
      <c r="AH299" s="1945">
        <v>0</v>
      </c>
      <c r="AI299" s="937"/>
      <c r="AJ299" s="937"/>
      <c r="AK299" s="937"/>
      <c r="AL299" s="947">
        <f>AH299*AD294</f>
        <v>0</v>
      </c>
      <c r="AM299" s="889"/>
      <c r="AN299" s="889"/>
      <c r="AO299" s="889"/>
      <c r="AP299" s="889"/>
      <c r="AQ299" s="1163"/>
      <c r="AR299" s="139"/>
      <c r="AS299" s="139"/>
      <c r="AT299" s="139"/>
      <c r="AU299" s="139"/>
    </row>
    <row r="300" spans="1:47" ht="15" customHeight="1" x14ac:dyDescent="0.2">
      <c r="B300" s="7" t="s">
        <v>1171</v>
      </c>
      <c r="C300" s="36"/>
      <c r="D300" s="7"/>
      <c r="E300" s="7"/>
      <c r="F300" s="7"/>
      <c r="G300" s="7"/>
      <c r="I300" s="3" t="s">
        <v>392</v>
      </c>
      <c r="J300" s="3" t="s">
        <v>346</v>
      </c>
      <c r="K300" s="3">
        <v>3</v>
      </c>
      <c r="L300" s="3" t="s">
        <v>348</v>
      </c>
      <c r="M300" s="356">
        <f>-1.487+0.434</f>
        <v>-1.0530000000000002</v>
      </c>
      <c r="P300" s="5" t="s">
        <v>348</v>
      </c>
      <c r="Q300" s="5" t="s">
        <v>2315</v>
      </c>
      <c r="R300" s="3" t="s">
        <v>352</v>
      </c>
      <c r="S300" s="5">
        <f>SLEQwidth/K300+M300-SLEQSORnd*2</f>
        <v>22.780333333333331</v>
      </c>
      <c r="T300" s="3" t="s">
        <v>366</v>
      </c>
      <c r="V300" s="38"/>
      <c r="X300" s="38"/>
      <c r="Y300" s="41"/>
      <c r="Z300" s="41"/>
      <c r="AB300" s="3">
        <v>40</v>
      </c>
      <c r="AC300" s="3">
        <v>1</v>
      </c>
      <c r="AD300" s="5">
        <f>AC300*S300/12</f>
        <v>1.8983611111111109</v>
      </c>
      <c r="AE300" s="3" t="s">
        <v>367</v>
      </c>
      <c r="AF300" s="38">
        <v>4.1000000000000002E-2</v>
      </c>
      <c r="AG300" s="5">
        <f>AF300*AtolbperftEQ</f>
        <v>2.5932500000000001E-2</v>
      </c>
      <c r="AH300" s="39"/>
      <c r="AQ300" s="139"/>
      <c r="AR300" s="139"/>
      <c r="AS300" s="139"/>
      <c r="AT300" s="139"/>
      <c r="AU300" s="139"/>
    </row>
    <row r="301" spans="1:47" ht="15" customHeight="1" x14ac:dyDescent="0.4">
      <c r="B301" s="8"/>
      <c r="C301" s="36"/>
      <c r="D301" s="7"/>
      <c r="E301" s="7"/>
      <c r="F301" s="7"/>
      <c r="G301" s="7"/>
      <c r="V301" s="38" t="s">
        <v>369</v>
      </c>
      <c r="W301" s="3" t="s">
        <v>370</v>
      </c>
      <c r="X301" s="38" t="s">
        <v>369</v>
      </c>
      <c r="Y301" s="41">
        <v>200190003</v>
      </c>
      <c r="Z301" s="41"/>
      <c r="AE301" s="3"/>
      <c r="AF301" s="38"/>
      <c r="AH301" s="39">
        <f>1.3*AG300</f>
        <v>3.3712249999999999E-2</v>
      </c>
      <c r="AI301" s="39"/>
      <c r="AJ301" s="39"/>
      <c r="AK301" s="39"/>
      <c r="AL301" s="39">
        <f>AH301*AD300</f>
        <v>6.3998024368055545E-2</v>
      </c>
      <c r="AQ301" s="139"/>
      <c r="AR301" s="139"/>
      <c r="AS301" s="139"/>
      <c r="AT301" s="139"/>
      <c r="AU301" s="139"/>
    </row>
    <row r="302" spans="1:47" ht="15" customHeight="1" x14ac:dyDescent="0.4">
      <c r="B302" s="8"/>
      <c r="C302" s="36"/>
      <c r="D302" s="7"/>
      <c r="E302" s="7"/>
      <c r="F302" s="7"/>
      <c r="G302" s="7"/>
      <c r="V302" s="38" t="s">
        <v>369</v>
      </c>
      <c r="W302" s="3" t="s">
        <v>372</v>
      </c>
      <c r="X302" s="38" t="s">
        <v>369</v>
      </c>
      <c r="Y302" s="41">
        <v>200190021</v>
      </c>
      <c r="Z302" s="41"/>
      <c r="AE302" s="3"/>
      <c r="AF302" s="38"/>
      <c r="AH302" s="39">
        <f>1.3*AG300</f>
        <v>3.3712249999999999E-2</v>
      </c>
      <c r="AI302" s="39"/>
      <c r="AJ302" s="39"/>
      <c r="AK302" s="39"/>
      <c r="AL302" s="39">
        <f>AH302*AD300</f>
        <v>6.3998024368055545E-2</v>
      </c>
      <c r="AQ302" s="139"/>
      <c r="AR302" s="139"/>
      <c r="AS302" s="139"/>
      <c r="AT302" s="139"/>
      <c r="AU302" s="139"/>
    </row>
    <row r="303" spans="1:47" ht="15" customHeight="1" x14ac:dyDescent="0.4">
      <c r="B303" s="8"/>
      <c r="C303" s="36"/>
      <c r="D303" s="7"/>
      <c r="E303" s="7"/>
      <c r="F303" s="7"/>
      <c r="G303" s="7"/>
      <c r="V303" s="38" t="s">
        <v>369</v>
      </c>
      <c r="W303" s="3" t="s">
        <v>373</v>
      </c>
      <c r="X303" s="38" t="s">
        <v>369</v>
      </c>
      <c r="Y303" s="41">
        <v>200190033</v>
      </c>
      <c r="Z303" s="41"/>
      <c r="AE303" s="3"/>
      <c r="AF303" s="38"/>
      <c r="AH303" s="39">
        <f>1.3*AG300</f>
        <v>3.3712249999999999E-2</v>
      </c>
      <c r="AI303" s="39"/>
      <c r="AJ303" s="39"/>
      <c r="AK303" s="39"/>
      <c r="AL303" s="39">
        <f>AH303*AD300</f>
        <v>6.3998024368055545E-2</v>
      </c>
      <c r="AQ303" s="139"/>
      <c r="AR303" s="139"/>
      <c r="AS303" s="139"/>
      <c r="AT303" s="139"/>
      <c r="AU303" s="139"/>
    </row>
    <row r="304" spans="1:47" ht="15" customHeight="1" x14ac:dyDescent="0.4">
      <c r="B304" s="8"/>
      <c r="C304" s="36"/>
      <c r="D304" s="7"/>
      <c r="E304" s="7"/>
      <c r="F304" s="7"/>
      <c r="G304" s="7"/>
      <c r="V304" s="279" t="s">
        <v>369</v>
      </c>
      <c r="W304" s="112" t="s">
        <v>1849</v>
      </c>
      <c r="X304" s="279" t="s">
        <v>369</v>
      </c>
      <c r="Y304" s="1900">
        <v>200190148</v>
      </c>
      <c r="Z304" s="41"/>
      <c r="AE304" s="3"/>
      <c r="AF304" s="38"/>
      <c r="AH304" s="39">
        <v>0</v>
      </c>
      <c r="AI304" s="39"/>
      <c r="AJ304" s="39"/>
      <c r="AK304" s="39"/>
      <c r="AL304" s="39">
        <f>AH304*AD300</f>
        <v>0</v>
      </c>
      <c r="AQ304" s="139"/>
      <c r="AR304" s="139"/>
      <c r="AS304" s="139"/>
      <c r="AT304" s="139"/>
      <c r="AU304" s="139"/>
    </row>
    <row r="305" spans="1:47" ht="15" customHeight="1" thickBot="1" x14ac:dyDescent="0.45">
      <c r="B305" s="943"/>
      <c r="C305" s="949"/>
      <c r="D305" s="924"/>
      <c r="E305" s="924"/>
      <c r="F305" s="924"/>
      <c r="G305" s="924"/>
      <c r="H305" s="948"/>
      <c r="I305" s="889"/>
      <c r="J305" s="889"/>
      <c r="K305" s="889"/>
      <c r="L305" s="889"/>
      <c r="M305" s="945"/>
      <c r="N305" s="945"/>
      <c r="O305" s="945"/>
      <c r="P305" s="945"/>
      <c r="Q305" s="945"/>
      <c r="R305" s="889"/>
      <c r="S305" s="945"/>
      <c r="T305" s="889"/>
      <c r="U305" s="948"/>
      <c r="V305" s="888" t="s">
        <v>369</v>
      </c>
      <c r="W305" s="889" t="s">
        <v>375</v>
      </c>
      <c r="X305" s="888" t="s">
        <v>369</v>
      </c>
      <c r="Y305" s="946">
        <v>200190133</v>
      </c>
      <c r="Z305" s="946"/>
      <c r="AA305" s="948"/>
      <c r="AB305" s="889"/>
      <c r="AC305" s="889"/>
      <c r="AD305" s="945"/>
      <c r="AE305" s="889"/>
      <c r="AF305" s="888"/>
      <c r="AG305" s="945"/>
      <c r="AH305" s="1945">
        <v>0</v>
      </c>
      <c r="AI305" s="947"/>
      <c r="AJ305" s="947"/>
      <c r="AK305" s="947"/>
      <c r="AL305" s="947">
        <f>AH305*AD300</f>
        <v>0</v>
      </c>
      <c r="AM305" s="889"/>
      <c r="AN305" s="889"/>
      <c r="AO305" s="889"/>
      <c r="AP305" s="889"/>
      <c r="AQ305" s="1163"/>
      <c r="AR305" s="139"/>
      <c r="AS305" s="139"/>
      <c r="AT305" s="139"/>
      <c r="AU305" s="139"/>
    </row>
    <row r="306" spans="1:47" ht="15" customHeight="1" x14ac:dyDescent="0.4">
      <c r="A306" s="3" t="s">
        <v>496</v>
      </c>
      <c r="B306" s="173" t="s">
        <v>1162</v>
      </c>
      <c r="C306" s="114"/>
      <c r="D306" s="182"/>
      <c r="E306" s="182"/>
      <c r="F306" s="182"/>
      <c r="G306" s="173"/>
      <c r="H306" s="193"/>
      <c r="I306" s="116" t="s">
        <v>365</v>
      </c>
      <c r="J306" s="116"/>
      <c r="K306" s="116"/>
      <c r="L306" s="116" t="s">
        <v>348</v>
      </c>
      <c r="M306" s="177">
        <v>-3.8130000000000002</v>
      </c>
      <c r="N306" s="177"/>
      <c r="O306" s="177"/>
      <c r="P306" s="177"/>
      <c r="Q306" s="177"/>
      <c r="R306" s="116" t="s">
        <v>352</v>
      </c>
      <c r="S306" s="177">
        <f>SLEQheight+M306</f>
        <v>43.686999999999998</v>
      </c>
      <c r="T306" s="116" t="s">
        <v>366</v>
      </c>
      <c r="U306" s="193"/>
      <c r="V306" s="138"/>
      <c r="W306" s="138"/>
      <c r="X306" s="138"/>
      <c r="Y306" s="116"/>
      <c r="Z306" s="116"/>
      <c r="AA306" s="193"/>
      <c r="AB306" s="116">
        <v>42</v>
      </c>
      <c r="AC306" s="116">
        <v>2</v>
      </c>
      <c r="AD306" s="177">
        <f>AC306*S306/12</f>
        <v>7.2811666666666666</v>
      </c>
      <c r="AE306" s="116" t="s">
        <v>367</v>
      </c>
      <c r="AF306" s="179">
        <v>2.8000000000000001E-2</v>
      </c>
      <c r="AG306" s="177">
        <f>AF306*AtolbperftEQ</f>
        <v>1.771E-2</v>
      </c>
      <c r="AH306" s="185"/>
      <c r="AI306" s="39"/>
      <c r="AJ306" s="39"/>
      <c r="AK306" s="39"/>
      <c r="AL306" s="180"/>
      <c r="AQ306" s="139"/>
      <c r="AR306" s="139"/>
      <c r="AS306" s="139"/>
      <c r="AT306" s="139"/>
      <c r="AU306" s="139"/>
    </row>
    <row r="307" spans="1:47" ht="15" customHeight="1" x14ac:dyDescent="0.4">
      <c r="B307" s="7"/>
      <c r="C307" s="7"/>
      <c r="D307" s="7"/>
      <c r="E307" s="7"/>
      <c r="F307" s="7"/>
      <c r="G307" s="7"/>
      <c r="V307" s="38" t="s">
        <v>369</v>
      </c>
      <c r="W307" s="3" t="s">
        <v>370</v>
      </c>
      <c r="X307" s="38" t="s">
        <v>369</v>
      </c>
      <c r="Y307" s="41">
        <v>200170003</v>
      </c>
      <c r="Z307" s="41"/>
      <c r="AE307" s="3"/>
      <c r="AF307" s="38"/>
      <c r="AH307" s="39">
        <f>1.3*AG306</f>
        <v>2.3023000000000002E-2</v>
      </c>
      <c r="AI307" s="39"/>
      <c r="AJ307" s="39"/>
      <c r="AK307" s="39"/>
      <c r="AL307" s="39">
        <f>AH307*AD306</f>
        <v>0.16763430016666667</v>
      </c>
      <c r="AQ307" s="139"/>
      <c r="AR307" s="139"/>
      <c r="AS307" s="139"/>
      <c r="AT307" s="139"/>
      <c r="AU307" s="139"/>
    </row>
    <row r="308" spans="1:47" ht="15" customHeight="1" x14ac:dyDescent="0.4">
      <c r="B308" s="1947" t="s">
        <v>2393</v>
      </c>
      <c r="D308" s="7"/>
      <c r="E308" s="7"/>
      <c r="F308" s="7"/>
      <c r="G308" s="7"/>
      <c r="V308" s="38" t="s">
        <v>369</v>
      </c>
      <c r="W308" s="3" t="s">
        <v>372</v>
      </c>
      <c r="X308" s="38" t="s">
        <v>369</v>
      </c>
      <c r="Y308" s="41">
        <v>200170021</v>
      </c>
      <c r="Z308" s="41"/>
      <c r="AE308" s="3"/>
      <c r="AF308" s="38"/>
      <c r="AH308" s="39">
        <f>1.3*AG306</f>
        <v>2.3023000000000002E-2</v>
      </c>
      <c r="AI308" s="39"/>
      <c r="AJ308" s="39"/>
      <c r="AK308" s="39"/>
      <c r="AL308" s="39">
        <f>AH308*AD306</f>
        <v>0.16763430016666667</v>
      </c>
      <c r="AQ308" s="139"/>
      <c r="AR308" s="139"/>
      <c r="AS308" s="139"/>
      <c r="AT308" s="139"/>
      <c r="AU308" s="139"/>
    </row>
    <row r="309" spans="1:47" ht="15" customHeight="1" x14ac:dyDescent="0.4">
      <c r="B309" s="7"/>
      <c r="D309" s="7"/>
      <c r="E309" s="7"/>
      <c r="F309" s="7"/>
      <c r="G309" s="7"/>
      <c r="V309" s="38" t="s">
        <v>369</v>
      </c>
      <c r="W309" s="3" t="s">
        <v>373</v>
      </c>
      <c r="X309" s="38" t="s">
        <v>369</v>
      </c>
      <c r="Y309" s="41">
        <v>200170033</v>
      </c>
      <c r="Z309" s="41"/>
      <c r="AE309" s="3"/>
      <c r="AF309" s="38"/>
      <c r="AH309" s="39">
        <f>1.3*AG306</f>
        <v>2.3023000000000002E-2</v>
      </c>
      <c r="AI309" s="39"/>
      <c r="AJ309" s="39"/>
      <c r="AK309" s="39"/>
      <c r="AL309" s="39">
        <f>AH309*AD306</f>
        <v>0.16763430016666667</v>
      </c>
      <c r="AQ309" s="139"/>
      <c r="AR309" s="139"/>
      <c r="AS309" s="139"/>
      <c r="AT309" s="139"/>
      <c r="AU309" s="139"/>
    </row>
    <row r="310" spans="1:47" ht="15" customHeight="1" x14ac:dyDescent="0.4">
      <c r="B310" s="7"/>
      <c r="D310" s="7"/>
      <c r="E310" s="7"/>
      <c r="F310" s="7"/>
      <c r="G310" s="7"/>
      <c r="V310" s="279" t="s">
        <v>369</v>
      </c>
      <c r="W310" s="112" t="s">
        <v>1849</v>
      </c>
      <c r="X310" s="279" t="s">
        <v>369</v>
      </c>
      <c r="Y310" s="1900">
        <v>200170148</v>
      </c>
      <c r="Z310" s="41"/>
      <c r="AE310" s="3"/>
      <c r="AF310" s="38"/>
      <c r="AH310" s="39">
        <v>0</v>
      </c>
      <c r="AI310" s="39"/>
      <c r="AJ310" s="39"/>
      <c r="AK310" s="39"/>
      <c r="AL310" s="39">
        <f>AH310*AD306</f>
        <v>0</v>
      </c>
      <c r="AQ310" s="139"/>
      <c r="AR310" s="139"/>
      <c r="AS310" s="139"/>
      <c r="AT310" s="139"/>
      <c r="AU310" s="139"/>
    </row>
    <row r="311" spans="1:47" ht="15" customHeight="1" thickBot="1" x14ac:dyDescent="0.45">
      <c r="B311" s="924"/>
      <c r="C311" s="949"/>
      <c r="D311" s="924"/>
      <c r="E311" s="924"/>
      <c r="F311" s="924"/>
      <c r="G311" s="924"/>
      <c r="H311" s="948"/>
      <c r="I311" s="889"/>
      <c r="J311" s="889"/>
      <c r="K311" s="889"/>
      <c r="L311" s="889"/>
      <c r="M311" s="945"/>
      <c r="N311" s="945"/>
      <c r="O311" s="945"/>
      <c r="P311" s="945"/>
      <c r="Q311" s="945"/>
      <c r="R311" s="889"/>
      <c r="S311" s="945"/>
      <c r="T311" s="889"/>
      <c r="U311" s="948"/>
      <c r="V311" s="888" t="s">
        <v>369</v>
      </c>
      <c r="W311" s="889" t="s">
        <v>375</v>
      </c>
      <c r="X311" s="888" t="s">
        <v>369</v>
      </c>
      <c r="Y311" s="946">
        <v>200170133</v>
      </c>
      <c r="Z311" s="946"/>
      <c r="AA311" s="948"/>
      <c r="AB311" s="889"/>
      <c r="AC311" s="889"/>
      <c r="AD311" s="945"/>
      <c r="AE311" s="889"/>
      <c r="AF311" s="888"/>
      <c r="AG311" s="945"/>
      <c r="AH311" s="1945">
        <v>0</v>
      </c>
      <c r="AI311" s="947"/>
      <c r="AJ311" s="947"/>
      <c r="AK311" s="947"/>
      <c r="AL311" s="947">
        <f>AH311*AD306</f>
        <v>0</v>
      </c>
      <c r="AM311" s="889"/>
      <c r="AN311" s="889"/>
      <c r="AO311" s="889"/>
      <c r="AP311" s="889"/>
      <c r="AQ311" s="1163"/>
      <c r="AR311" s="139"/>
      <c r="AS311" s="139"/>
      <c r="AT311" s="139"/>
      <c r="AU311" s="139"/>
    </row>
    <row r="312" spans="1:47" ht="15" customHeight="1" x14ac:dyDescent="0.4">
      <c r="A312" s="3" t="s">
        <v>498</v>
      </c>
      <c r="B312" s="7" t="s">
        <v>1163</v>
      </c>
      <c r="D312" s="155"/>
      <c r="E312" s="155"/>
      <c r="F312" s="155"/>
      <c r="G312" s="7"/>
      <c r="I312" s="3" t="s">
        <v>365</v>
      </c>
      <c r="L312" s="3" t="s">
        <v>348</v>
      </c>
      <c r="M312" s="5">
        <v>-3.75</v>
      </c>
      <c r="R312" s="3" t="s">
        <v>352</v>
      </c>
      <c r="S312" s="5">
        <f>SLEQheight+M312</f>
        <v>43.75</v>
      </c>
      <c r="T312" s="3" t="s">
        <v>366</v>
      </c>
      <c r="V312" s="4"/>
      <c r="W312" s="4"/>
      <c r="X312" s="4"/>
      <c r="AB312" s="3">
        <v>40</v>
      </c>
      <c r="AC312" s="3">
        <v>2</v>
      </c>
      <c r="AD312" s="5">
        <f>AC312*S312/12</f>
        <v>7.291666666666667</v>
      </c>
      <c r="AE312" s="3" t="s">
        <v>367</v>
      </c>
      <c r="AF312" s="38">
        <v>4.3999999999999997E-2</v>
      </c>
      <c r="AG312" s="5">
        <f>AF312*AtolbperftEQ</f>
        <v>2.7829999999999997E-2</v>
      </c>
      <c r="AI312" s="39"/>
      <c r="AJ312" s="39"/>
      <c r="AK312" s="39"/>
      <c r="AQ312" s="139"/>
      <c r="AR312" s="139"/>
      <c r="AS312" s="139"/>
      <c r="AT312" s="139"/>
      <c r="AU312" s="139"/>
    </row>
    <row r="313" spans="1:47" ht="15" customHeight="1" x14ac:dyDescent="0.4">
      <c r="B313" s="7"/>
      <c r="D313" s="7"/>
      <c r="E313" s="7"/>
      <c r="F313" s="7"/>
      <c r="G313" s="7"/>
      <c r="V313" s="38" t="s">
        <v>369</v>
      </c>
      <c r="W313" s="3" t="s">
        <v>370</v>
      </c>
      <c r="X313" s="38" t="s">
        <v>369</v>
      </c>
      <c r="Y313" s="41" t="s">
        <v>500</v>
      </c>
      <c r="Z313" s="41"/>
      <c r="AE313" s="3"/>
      <c r="AF313" s="38"/>
      <c r="AH313" s="39">
        <f>1.3*AG312</f>
        <v>3.6178999999999996E-2</v>
      </c>
      <c r="AI313" s="39"/>
      <c r="AJ313" s="39"/>
      <c r="AK313" s="39"/>
      <c r="AL313" s="39">
        <f>AH313*AD312</f>
        <v>0.26380520833333332</v>
      </c>
      <c r="AQ313" s="139"/>
      <c r="AR313" s="139"/>
      <c r="AS313" s="139"/>
      <c r="AT313" s="139"/>
      <c r="AU313" s="139"/>
    </row>
    <row r="314" spans="1:47" ht="15" customHeight="1" x14ac:dyDescent="0.4">
      <c r="B314" s="7"/>
      <c r="D314" s="7"/>
      <c r="E314" s="7"/>
      <c r="F314" s="7"/>
      <c r="G314" s="7"/>
      <c r="V314" s="38" t="s">
        <v>369</v>
      </c>
      <c r="W314" s="3" t="s">
        <v>372</v>
      </c>
      <c r="X314" s="38" t="s">
        <v>369</v>
      </c>
      <c r="Y314" s="41">
        <v>200171021</v>
      </c>
      <c r="Z314" s="41"/>
      <c r="AE314" s="3"/>
      <c r="AF314" s="38"/>
      <c r="AH314" s="39">
        <f>1.3*AG312</f>
        <v>3.6178999999999996E-2</v>
      </c>
      <c r="AI314" s="39"/>
      <c r="AJ314" s="39"/>
      <c r="AK314" s="39"/>
      <c r="AL314" s="39">
        <f>AH314*AD312</f>
        <v>0.26380520833333332</v>
      </c>
      <c r="AQ314" s="139"/>
      <c r="AR314" s="139"/>
      <c r="AS314" s="139"/>
      <c r="AT314" s="139"/>
      <c r="AU314" s="139"/>
    </row>
    <row r="315" spans="1:47" ht="15" customHeight="1" x14ac:dyDescent="0.4">
      <c r="B315" s="7"/>
      <c r="D315" s="7"/>
      <c r="E315" s="7"/>
      <c r="F315" s="7"/>
      <c r="G315" s="7"/>
      <c r="V315" s="38" t="s">
        <v>369</v>
      </c>
      <c r="W315" s="3" t="s">
        <v>373</v>
      </c>
      <c r="X315" s="38" t="s">
        <v>369</v>
      </c>
      <c r="Y315" s="41" t="s">
        <v>501</v>
      </c>
      <c r="Z315" s="41"/>
      <c r="AE315" s="3"/>
      <c r="AF315" s="38"/>
      <c r="AH315" s="39">
        <f>1.3*AG312</f>
        <v>3.6178999999999996E-2</v>
      </c>
      <c r="AI315" s="39"/>
      <c r="AJ315" s="39"/>
      <c r="AK315" s="39"/>
      <c r="AL315" s="39">
        <f>AH315*AD312</f>
        <v>0.26380520833333332</v>
      </c>
      <c r="AQ315" s="139"/>
      <c r="AR315" s="139"/>
      <c r="AS315" s="139"/>
      <c r="AT315" s="139"/>
      <c r="AU315" s="139"/>
    </row>
    <row r="316" spans="1:47" ht="15" customHeight="1" x14ac:dyDescent="0.4">
      <c r="B316" s="7"/>
      <c r="D316" s="7"/>
      <c r="E316" s="7"/>
      <c r="F316" s="7"/>
      <c r="G316" s="7"/>
      <c r="V316" s="279" t="s">
        <v>369</v>
      </c>
      <c r="W316" s="112" t="s">
        <v>1849</v>
      </c>
      <c r="X316" s="279" t="s">
        <v>369</v>
      </c>
      <c r="Y316" s="1900">
        <v>200171148</v>
      </c>
      <c r="Z316" s="41"/>
      <c r="AE316" s="3"/>
      <c r="AF316" s="38"/>
      <c r="AH316" s="39">
        <v>0</v>
      </c>
      <c r="AI316" s="39"/>
      <c r="AJ316" s="39"/>
      <c r="AK316" s="39"/>
      <c r="AL316" s="39">
        <f>AH316*AD313</f>
        <v>0</v>
      </c>
      <c r="AQ316" s="139"/>
      <c r="AR316" s="139"/>
      <c r="AS316" s="139"/>
      <c r="AT316" s="139"/>
      <c r="AU316" s="139"/>
    </row>
    <row r="317" spans="1:47" ht="15" customHeight="1" thickBot="1" x14ac:dyDescent="0.45">
      <c r="B317" s="924"/>
      <c r="C317" s="949"/>
      <c r="D317" s="924"/>
      <c r="E317" s="924"/>
      <c r="F317" s="924"/>
      <c r="G317" s="924"/>
      <c r="H317" s="948"/>
      <c r="I317" s="889"/>
      <c r="J317" s="889"/>
      <c r="K317" s="889"/>
      <c r="L317" s="889"/>
      <c r="M317" s="945"/>
      <c r="N317" s="945"/>
      <c r="O317" s="945"/>
      <c r="P317" s="945"/>
      <c r="Q317" s="945"/>
      <c r="R317" s="889"/>
      <c r="S317" s="945"/>
      <c r="T317" s="889"/>
      <c r="U317" s="948"/>
      <c r="V317" s="888" t="s">
        <v>369</v>
      </c>
      <c r="W317" s="889" t="s">
        <v>375</v>
      </c>
      <c r="X317" s="888" t="s">
        <v>369</v>
      </c>
      <c r="Y317" s="946">
        <v>200171133</v>
      </c>
      <c r="Z317" s="946"/>
      <c r="AA317" s="948"/>
      <c r="AB317" s="889"/>
      <c r="AC317" s="889"/>
      <c r="AD317" s="945"/>
      <c r="AE317" s="889"/>
      <c r="AF317" s="888"/>
      <c r="AG317" s="945"/>
      <c r="AH317" s="1945">
        <v>0</v>
      </c>
      <c r="AI317" s="947"/>
      <c r="AJ317" s="947"/>
      <c r="AK317" s="947"/>
      <c r="AL317" s="947">
        <f>AH317*AD312</f>
        <v>0</v>
      </c>
      <c r="AM317" s="889"/>
      <c r="AN317" s="889"/>
      <c r="AO317" s="889"/>
      <c r="AP317" s="889"/>
      <c r="AQ317" s="1163"/>
      <c r="AR317" s="139"/>
      <c r="AS317" s="139"/>
      <c r="AT317" s="139"/>
      <c r="AU317" s="139"/>
    </row>
    <row r="318" spans="1:47" ht="15" customHeight="1" x14ac:dyDescent="0.4">
      <c r="B318" s="7" t="s">
        <v>1164</v>
      </c>
      <c r="D318" s="7"/>
      <c r="E318" s="7"/>
      <c r="F318" s="7"/>
      <c r="G318" s="7"/>
      <c r="I318" s="3" t="s">
        <v>365</v>
      </c>
      <c r="L318" s="3" t="s">
        <v>348</v>
      </c>
      <c r="M318" s="5">
        <v>-3.75</v>
      </c>
      <c r="R318" s="3" t="s">
        <v>352</v>
      </c>
      <c r="S318" s="5">
        <f>SLEQheight+M318</f>
        <v>43.75</v>
      </c>
      <c r="T318" s="3" t="s">
        <v>366</v>
      </c>
      <c r="V318" s="38"/>
      <c r="X318" s="38"/>
      <c r="Y318" s="41"/>
      <c r="Z318" s="41"/>
      <c r="AB318" s="3">
        <v>40</v>
      </c>
      <c r="AC318" s="3">
        <v>2</v>
      </c>
      <c r="AD318" s="5">
        <f>AC318*S318/12</f>
        <v>7.291666666666667</v>
      </c>
      <c r="AE318" s="3" t="s">
        <v>367</v>
      </c>
      <c r="AF318" s="38">
        <v>4.1000000000000002E-2</v>
      </c>
      <c r="AG318" s="5">
        <f>AF318*AtolbperftEQ</f>
        <v>2.5932500000000001E-2</v>
      </c>
      <c r="AH318" s="39"/>
      <c r="AI318" s="39"/>
      <c r="AJ318" s="39"/>
      <c r="AK318" s="39"/>
      <c r="AQ318" s="139"/>
      <c r="AR318" s="139"/>
      <c r="AS318" s="139"/>
      <c r="AT318" s="139"/>
      <c r="AU318" s="139"/>
    </row>
    <row r="319" spans="1:47" ht="15" customHeight="1" x14ac:dyDescent="0.4">
      <c r="B319" s="7"/>
      <c r="D319" s="7"/>
      <c r="E319" s="7"/>
      <c r="F319" s="7"/>
      <c r="G319" s="7"/>
      <c r="V319" s="38" t="s">
        <v>369</v>
      </c>
      <c r="W319" s="3" t="s">
        <v>370</v>
      </c>
      <c r="X319" s="38" t="s">
        <v>369</v>
      </c>
      <c r="Y319" s="41">
        <v>200190003</v>
      </c>
      <c r="Z319" s="41"/>
      <c r="AE319" s="3"/>
      <c r="AF319" s="38"/>
      <c r="AH319" s="39">
        <f>1.3*AG318</f>
        <v>3.3712249999999999E-2</v>
      </c>
      <c r="AI319" s="39"/>
      <c r="AJ319" s="39"/>
      <c r="AK319" s="39"/>
      <c r="AL319" s="39">
        <f>AH319*AD318</f>
        <v>0.24581848958333333</v>
      </c>
      <c r="AQ319" s="139"/>
      <c r="AR319" s="139"/>
      <c r="AS319" s="139"/>
      <c r="AT319" s="139"/>
      <c r="AU319" s="139"/>
    </row>
    <row r="320" spans="1:47" ht="15" customHeight="1" x14ac:dyDescent="0.4">
      <c r="B320" s="7"/>
      <c r="D320" s="7"/>
      <c r="E320" s="7"/>
      <c r="F320" s="7"/>
      <c r="G320" s="7"/>
      <c r="V320" s="38" t="s">
        <v>369</v>
      </c>
      <c r="W320" s="3" t="s">
        <v>372</v>
      </c>
      <c r="X320" s="38" t="s">
        <v>369</v>
      </c>
      <c r="Y320" s="41">
        <v>200190021</v>
      </c>
      <c r="Z320" s="41"/>
      <c r="AE320" s="3"/>
      <c r="AF320" s="38"/>
      <c r="AH320" s="39">
        <f>1.3*AG318</f>
        <v>3.3712249999999999E-2</v>
      </c>
      <c r="AI320" s="39"/>
      <c r="AJ320" s="39"/>
      <c r="AK320" s="39"/>
      <c r="AL320" s="39">
        <f>AH320*AD318</f>
        <v>0.24581848958333333</v>
      </c>
      <c r="AQ320" s="139"/>
      <c r="AR320" s="139"/>
      <c r="AS320" s="139"/>
      <c r="AT320" s="139"/>
      <c r="AU320" s="139"/>
    </row>
    <row r="321" spans="2:54" ht="15" customHeight="1" x14ac:dyDescent="0.4">
      <c r="B321" s="7"/>
      <c r="D321" s="7"/>
      <c r="E321" s="7"/>
      <c r="F321" s="7"/>
      <c r="G321" s="7"/>
      <c r="V321" s="38" t="s">
        <v>369</v>
      </c>
      <c r="W321" s="3" t="s">
        <v>373</v>
      </c>
      <c r="X321" s="38" t="s">
        <v>369</v>
      </c>
      <c r="Y321" s="41">
        <v>200190033</v>
      </c>
      <c r="Z321" s="41"/>
      <c r="AE321" s="3"/>
      <c r="AF321" s="38"/>
      <c r="AH321" s="39">
        <f>1.3*AG318</f>
        <v>3.3712249999999999E-2</v>
      </c>
      <c r="AI321" s="39"/>
      <c r="AJ321" s="39"/>
      <c r="AK321" s="39"/>
      <c r="AL321" s="39">
        <f>AH321*AD318</f>
        <v>0.24581848958333333</v>
      </c>
      <c r="AQ321" s="139"/>
      <c r="AR321" s="139"/>
      <c r="AS321" s="139"/>
      <c r="AT321" s="139"/>
      <c r="AU321" s="139"/>
    </row>
    <row r="322" spans="2:54" ht="15" customHeight="1" x14ac:dyDescent="0.4">
      <c r="B322" s="7"/>
      <c r="D322" s="7"/>
      <c r="E322" s="7"/>
      <c r="F322" s="7"/>
      <c r="G322" s="7"/>
      <c r="V322" s="279" t="s">
        <v>369</v>
      </c>
      <c r="W322" s="112" t="s">
        <v>1849</v>
      </c>
      <c r="X322" s="279" t="s">
        <v>369</v>
      </c>
      <c r="Y322" s="1900">
        <v>200190148</v>
      </c>
      <c r="Z322" s="41"/>
      <c r="AE322" s="3"/>
      <c r="AF322" s="38"/>
      <c r="AH322" s="39">
        <v>0</v>
      </c>
      <c r="AI322" s="39"/>
      <c r="AJ322" s="39"/>
      <c r="AK322" s="39"/>
      <c r="AL322" s="39">
        <f>AH322*AD319</f>
        <v>0</v>
      </c>
      <c r="AQ322" s="139"/>
      <c r="AR322" s="139"/>
      <c r="AS322" s="139"/>
      <c r="AT322" s="139"/>
      <c r="AU322" s="139"/>
    </row>
    <row r="323" spans="2:54" ht="15" customHeight="1" thickBot="1" x14ac:dyDescent="0.45">
      <c r="B323" s="943"/>
      <c r="C323" s="949"/>
      <c r="D323" s="924"/>
      <c r="E323" s="924"/>
      <c r="F323" s="924"/>
      <c r="G323" s="924"/>
      <c r="H323" s="948"/>
      <c r="I323" s="889"/>
      <c r="J323" s="889"/>
      <c r="K323" s="889"/>
      <c r="L323" s="889"/>
      <c r="M323" s="945"/>
      <c r="N323" s="945"/>
      <c r="O323" s="945"/>
      <c r="P323" s="945"/>
      <c r="Q323" s="945"/>
      <c r="R323" s="889"/>
      <c r="S323" s="945"/>
      <c r="T323" s="889"/>
      <c r="U323" s="948"/>
      <c r="V323" s="888" t="s">
        <v>369</v>
      </c>
      <c r="W323" s="889" t="s">
        <v>375</v>
      </c>
      <c r="X323" s="888" t="s">
        <v>369</v>
      </c>
      <c r="Y323" s="946">
        <v>200190133</v>
      </c>
      <c r="Z323" s="946"/>
      <c r="AA323" s="948"/>
      <c r="AB323" s="889"/>
      <c r="AC323" s="889"/>
      <c r="AD323" s="945"/>
      <c r="AE323" s="889"/>
      <c r="AF323" s="888"/>
      <c r="AG323" s="945"/>
      <c r="AH323" s="1945">
        <v>0</v>
      </c>
      <c r="AI323" s="947"/>
      <c r="AJ323" s="947"/>
      <c r="AK323" s="947"/>
      <c r="AL323" s="947">
        <f>AH323*AD318</f>
        <v>0</v>
      </c>
      <c r="AM323" s="889"/>
      <c r="AN323" s="889"/>
      <c r="AO323" s="889"/>
      <c r="AP323" s="889"/>
      <c r="AQ323" s="1163"/>
      <c r="AR323" s="139"/>
      <c r="AS323" s="139"/>
      <c r="AT323" s="139"/>
      <c r="AU323" s="139"/>
    </row>
    <row r="324" spans="2:54" ht="15" customHeight="1" x14ac:dyDescent="0.4">
      <c r="B324" s="173" t="s">
        <v>511</v>
      </c>
      <c r="C324" s="116"/>
      <c r="D324" s="116"/>
      <c r="E324" s="173"/>
      <c r="F324" s="173"/>
      <c r="G324" s="173"/>
      <c r="H324" s="175"/>
      <c r="I324" s="116"/>
      <c r="J324" s="116"/>
      <c r="K324" s="116"/>
      <c r="L324" s="116"/>
      <c r="M324" s="177"/>
      <c r="N324" s="177"/>
      <c r="O324" s="177"/>
      <c r="P324" s="177"/>
      <c r="Q324" s="177"/>
      <c r="R324" s="116"/>
      <c r="S324" s="177">
        <v>1</v>
      </c>
      <c r="T324" s="116" t="s">
        <v>385</v>
      </c>
      <c r="U324" s="175"/>
      <c r="V324" s="173"/>
      <c r="W324" s="173"/>
      <c r="X324" s="173"/>
      <c r="Y324" s="116"/>
      <c r="Z324" s="116"/>
      <c r="AA324" s="175"/>
      <c r="AB324" s="116">
        <v>42</v>
      </c>
      <c r="AC324" s="116">
        <v>8</v>
      </c>
      <c r="AD324" s="177">
        <f>AC324*S324</f>
        <v>8</v>
      </c>
      <c r="AE324" s="116" t="s">
        <v>385</v>
      </c>
      <c r="AF324" s="179"/>
      <c r="AG324" s="177"/>
      <c r="AH324" s="185"/>
      <c r="AI324" s="39"/>
      <c r="AJ324" s="39"/>
      <c r="AK324" s="39"/>
      <c r="AL324" s="180"/>
      <c r="AQ324" s="139"/>
      <c r="AR324" s="139"/>
      <c r="AS324" s="139"/>
      <c r="AT324" s="139"/>
      <c r="AU324" s="139"/>
    </row>
    <row r="325" spans="2:54" ht="15" customHeight="1" x14ac:dyDescent="0.4">
      <c r="B325" s="36"/>
      <c r="C325" s="443"/>
      <c r="D325" s="155"/>
      <c r="E325" s="7"/>
      <c r="F325" s="7"/>
      <c r="G325" s="7"/>
      <c r="H325" s="20"/>
      <c r="P325" s="24"/>
      <c r="Q325" s="24"/>
      <c r="U325" s="20"/>
      <c r="V325" s="38" t="s">
        <v>369</v>
      </c>
      <c r="W325" s="3" t="s">
        <v>370</v>
      </c>
      <c r="X325" s="38" t="s">
        <v>369</v>
      </c>
      <c r="Y325" s="41">
        <v>200249003</v>
      </c>
      <c r="Z325" s="41"/>
      <c r="AA325" s="20"/>
      <c r="AE325" s="3"/>
      <c r="AF325" s="38"/>
      <c r="AH325" s="39">
        <v>2.1000000000000001E-2</v>
      </c>
      <c r="AI325" s="39"/>
      <c r="AJ325" s="39"/>
      <c r="AK325" s="39"/>
      <c r="AL325" s="39">
        <f>AH325*AD324</f>
        <v>0.16800000000000001</v>
      </c>
      <c r="AQ325" s="139"/>
      <c r="AR325" s="139"/>
      <c r="AS325" s="139"/>
      <c r="AT325" s="139"/>
      <c r="AU325" s="139"/>
    </row>
    <row r="326" spans="2:54" ht="15" customHeight="1" x14ac:dyDescent="0.4">
      <c r="B326" s="36"/>
      <c r="C326" s="36"/>
      <c r="D326" s="155"/>
      <c r="E326" s="155"/>
      <c r="F326" s="155"/>
      <c r="G326" s="7"/>
      <c r="H326" s="20"/>
      <c r="P326" s="24"/>
      <c r="Q326" s="24"/>
      <c r="U326" s="20"/>
      <c r="V326" s="38" t="s">
        <v>369</v>
      </c>
      <c r="W326" s="3" t="s">
        <v>372</v>
      </c>
      <c r="X326" s="38" t="s">
        <v>369</v>
      </c>
      <c r="Y326" s="41">
        <v>200249021</v>
      </c>
      <c r="Z326" s="41"/>
      <c r="AA326" s="20"/>
      <c r="AE326" s="3"/>
      <c r="AF326" s="3"/>
      <c r="AH326" s="39">
        <v>2.1000000000000001E-2</v>
      </c>
      <c r="AI326" s="39"/>
      <c r="AJ326" s="39"/>
      <c r="AK326" s="39"/>
      <c r="AL326" s="39">
        <f>AH326*AD324</f>
        <v>0.16800000000000001</v>
      </c>
      <c r="AQ326" s="139"/>
      <c r="AR326" s="139"/>
      <c r="AS326" s="139"/>
      <c r="AT326" s="139"/>
      <c r="AU326" s="139"/>
    </row>
    <row r="327" spans="2:54" ht="15.75" customHeight="1" x14ac:dyDescent="0.4">
      <c r="B327" s="36"/>
      <c r="C327" s="36"/>
      <c r="D327" s="155"/>
      <c r="E327" s="155"/>
      <c r="F327" s="155"/>
      <c r="G327" s="7"/>
      <c r="H327" s="20"/>
      <c r="P327" s="24"/>
      <c r="Q327" s="24"/>
      <c r="U327" s="20"/>
      <c r="V327" s="38" t="s">
        <v>369</v>
      </c>
      <c r="W327" s="3" t="s">
        <v>373</v>
      </c>
      <c r="X327" s="38" t="s">
        <v>369</v>
      </c>
      <c r="Y327" s="41">
        <v>200249033</v>
      </c>
      <c r="Z327" s="41"/>
      <c r="AA327" s="20"/>
      <c r="AE327" s="3"/>
      <c r="AF327" s="3"/>
      <c r="AH327" s="39">
        <v>2.1000000000000001E-2</v>
      </c>
      <c r="AL327" s="39">
        <f>AH327*AD324</f>
        <v>0.16800000000000001</v>
      </c>
      <c r="AQ327" s="139"/>
      <c r="AR327" s="139"/>
      <c r="AS327" s="139"/>
      <c r="AT327" s="139"/>
      <c r="AU327" s="139"/>
    </row>
    <row r="328" spans="2:54" ht="15.75" customHeight="1" x14ac:dyDescent="0.4">
      <c r="B328" s="36"/>
      <c r="C328" s="36"/>
      <c r="D328" s="155"/>
      <c r="E328" s="155"/>
      <c r="F328" s="155"/>
      <c r="G328" s="7"/>
      <c r="H328" s="20"/>
      <c r="P328" s="24"/>
      <c r="Q328" s="24"/>
      <c r="U328" s="20"/>
      <c r="V328" s="38" t="s">
        <v>369</v>
      </c>
      <c r="W328" s="3" t="s">
        <v>375</v>
      </c>
      <c r="X328" s="38" t="s">
        <v>369</v>
      </c>
      <c r="Y328" s="41">
        <v>200249133</v>
      </c>
      <c r="Z328" s="41"/>
      <c r="AA328" s="20"/>
      <c r="AE328" s="3"/>
      <c r="AF328" s="3"/>
      <c r="AH328" s="1036">
        <v>0</v>
      </c>
      <c r="AL328" s="39">
        <f>AH328*AD325</f>
        <v>0</v>
      </c>
      <c r="AQ328" s="139"/>
      <c r="AR328" s="139"/>
      <c r="AS328" s="139"/>
      <c r="AT328" s="139"/>
      <c r="AU328" s="139"/>
    </row>
    <row r="329" spans="2:54" ht="15.75" customHeight="1" x14ac:dyDescent="0.4">
      <c r="B329" s="36"/>
      <c r="C329" s="36"/>
      <c r="D329" s="155"/>
      <c r="E329" s="155"/>
      <c r="F329" s="155"/>
      <c r="G329" s="7"/>
      <c r="H329" s="20"/>
      <c r="P329" s="24"/>
      <c r="Q329" s="24"/>
      <c r="U329" s="20"/>
      <c r="V329" s="38" t="s">
        <v>369</v>
      </c>
      <c r="W329" s="3" t="s">
        <v>374</v>
      </c>
      <c r="X329" s="38" t="s">
        <v>369</v>
      </c>
      <c r="Y329" s="41">
        <v>200249090</v>
      </c>
      <c r="Z329" s="41"/>
      <c r="AA329" s="20"/>
      <c r="AE329" s="3"/>
      <c r="AF329" s="3"/>
      <c r="AH329" s="39"/>
      <c r="AQ329" s="139"/>
      <c r="AR329" s="139"/>
      <c r="AS329" s="139"/>
      <c r="AT329" s="139"/>
      <c r="AU329" s="139"/>
    </row>
    <row r="330" spans="2:54" ht="15.75" customHeight="1" thickBot="1" x14ac:dyDescent="0.45">
      <c r="B330" s="943"/>
      <c r="C330" s="943"/>
      <c r="D330" s="925"/>
      <c r="E330" s="925"/>
      <c r="F330" s="925"/>
      <c r="G330" s="924"/>
      <c r="H330" s="887"/>
      <c r="I330" s="889"/>
      <c r="J330" s="889"/>
      <c r="K330" s="889"/>
      <c r="L330" s="889"/>
      <c r="M330" s="945"/>
      <c r="N330" s="945"/>
      <c r="O330" s="945"/>
      <c r="P330" s="1020"/>
      <c r="Q330" s="1020"/>
      <c r="R330" s="889"/>
      <c r="S330" s="945"/>
      <c r="T330" s="889"/>
      <c r="U330" s="887"/>
      <c r="V330" s="1876" t="s">
        <v>369</v>
      </c>
      <c r="W330" s="1877" t="s">
        <v>1849</v>
      </c>
      <c r="X330" s="1876" t="s">
        <v>369</v>
      </c>
      <c r="Y330" s="1902">
        <v>200249148</v>
      </c>
      <c r="Z330" s="946"/>
      <c r="AA330" s="887"/>
      <c r="AB330" s="889"/>
      <c r="AC330" s="889"/>
      <c r="AD330" s="945"/>
      <c r="AE330" s="889"/>
      <c r="AF330" s="889"/>
      <c r="AG330" s="945"/>
      <c r="AH330" s="947">
        <v>0</v>
      </c>
      <c r="AI330" s="937"/>
      <c r="AJ330" s="937"/>
      <c r="AK330" s="937"/>
      <c r="AL330" s="947">
        <f t="shared" ref="AL330" si="17">AH330*AD327</f>
        <v>0</v>
      </c>
      <c r="AM330" s="889"/>
      <c r="AN330" s="889"/>
      <c r="AO330" s="889"/>
      <c r="AP330" s="889"/>
      <c r="AQ330" s="1163"/>
      <c r="AR330" s="139"/>
      <c r="AS330" s="139"/>
      <c r="AT330" s="139"/>
      <c r="AU330" s="139"/>
    </row>
    <row r="331" spans="2:54" ht="15" customHeight="1" x14ac:dyDescent="0.4">
      <c r="B331" s="7" t="s">
        <v>2194</v>
      </c>
      <c r="C331" s="3"/>
      <c r="D331" s="3"/>
      <c r="E331" s="7"/>
      <c r="F331" s="7"/>
      <c r="G331" s="7"/>
      <c r="I331" s="8" t="s">
        <v>392</v>
      </c>
      <c r="J331" s="3" t="s">
        <v>346</v>
      </c>
      <c r="K331" s="3">
        <v>3</v>
      </c>
      <c r="L331" s="3" t="s">
        <v>348</v>
      </c>
      <c r="M331" s="5">
        <v>-3.3130000000000002</v>
      </c>
      <c r="P331" s="930" t="s">
        <v>348</v>
      </c>
      <c r="Q331" s="5" t="s">
        <v>2315</v>
      </c>
      <c r="S331" s="5">
        <f>(SLEQwidth/K331+M331+SLEQSORnd)</f>
        <v>20.520333333333333</v>
      </c>
      <c r="T331" s="3" t="s">
        <v>367</v>
      </c>
      <c r="V331" s="7"/>
      <c r="W331" s="7"/>
      <c r="X331" s="7"/>
      <c r="AB331" s="3">
        <v>45</v>
      </c>
      <c r="AC331" s="3">
        <v>4</v>
      </c>
      <c r="AD331" s="5">
        <f>S331*AC331</f>
        <v>82.081333333333333</v>
      </c>
      <c r="AE331" s="3" t="s">
        <v>367</v>
      </c>
      <c r="AF331" s="38">
        <v>6.6000000000000003E-2</v>
      </c>
      <c r="AG331" s="5">
        <f>AF331*AtolbperftEQ</f>
        <v>4.1744999999999997E-2</v>
      </c>
      <c r="AX331" s="139"/>
      <c r="AY331" s="139"/>
      <c r="AZ331" s="139"/>
      <c r="BA331" s="139"/>
      <c r="BB331" s="139"/>
    </row>
    <row r="332" spans="2:54" ht="15" customHeight="1" x14ac:dyDescent="0.4">
      <c r="B332" s="1490" t="s">
        <v>2086</v>
      </c>
      <c r="C332" s="443"/>
      <c r="D332" s="155"/>
      <c r="E332" s="7"/>
      <c r="F332" s="7"/>
      <c r="G332" s="7"/>
      <c r="P332" s="24"/>
      <c r="Q332" s="24"/>
      <c r="V332" s="38" t="s">
        <v>369</v>
      </c>
      <c r="W332" s="3" t="s">
        <v>370</v>
      </c>
      <c r="X332" s="38" t="s">
        <v>369</v>
      </c>
      <c r="Y332" s="41">
        <v>207956003</v>
      </c>
      <c r="Z332" s="41"/>
      <c r="AE332" s="3"/>
      <c r="AF332" s="38"/>
      <c r="AH332" s="51">
        <v>1.6299999999999999E-2</v>
      </c>
      <c r="AI332" s="39"/>
      <c r="AJ332" s="39"/>
      <c r="AK332" s="39"/>
      <c r="AL332" s="39">
        <f>AD$326*AH332+SUM(AI332:AK332)</f>
        <v>0</v>
      </c>
      <c r="AX332" s="139"/>
      <c r="AY332" s="139"/>
      <c r="AZ332" s="139"/>
      <c r="BA332" s="139"/>
      <c r="BB332" s="139"/>
    </row>
    <row r="333" spans="2:54" ht="15" customHeight="1" x14ac:dyDescent="0.4">
      <c r="B333" s="36"/>
      <c r="C333" s="36"/>
      <c r="D333" s="155"/>
      <c r="E333" s="155"/>
      <c r="F333" s="155"/>
      <c r="G333" s="7"/>
      <c r="P333" s="24"/>
      <c r="Q333" s="24"/>
      <c r="V333" s="38" t="s">
        <v>369</v>
      </c>
      <c r="W333" s="3" t="s">
        <v>372</v>
      </c>
      <c r="X333" s="38" t="s">
        <v>369</v>
      </c>
      <c r="Y333" s="41">
        <v>207956021</v>
      </c>
      <c r="Z333" s="41"/>
      <c r="AE333" s="3"/>
      <c r="AF333" s="3"/>
      <c r="AH333" s="51">
        <v>1.83E-2</v>
      </c>
      <c r="AI333" s="39"/>
      <c r="AJ333" s="39"/>
      <c r="AK333" s="39"/>
      <c r="AL333" s="39">
        <f t="shared" ref="AL333:AL334" si="18">AD$326*AH333+SUM(AI333:AK333)</f>
        <v>0</v>
      </c>
      <c r="AX333" s="139"/>
      <c r="AY333" s="139"/>
      <c r="AZ333" s="139"/>
      <c r="BA333" s="139"/>
      <c r="BB333" s="139"/>
    </row>
    <row r="334" spans="2:54" ht="15.75" customHeight="1" thickBot="1" x14ac:dyDescent="0.45">
      <c r="B334" s="943"/>
      <c r="C334" s="943"/>
      <c r="D334" s="925"/>
      <c r="E334" s="925"/>
      <c r="F334" s="925"/>
      <c r="G334" s="924"/>
      <c r="H334" s="948"/>
      <c r="I334" s="889"/>
      <c r="J334" s="889"/>
      <c r="K334" s="889"/>
      <c r="L334" s="889"/>
      <c r="M334" s="945"/>
      <c r="N334" s="945"/>
      <c r="O334" s="945"/>
      <c r="P334" s="1020"/>
      <c r="Q334" s="1020"/>
      <c r="R334" s="889"/>
      <c r="S334" s="945"/>
      <c r="T334" s="889"/>
      <c r="U334" s="948"/>
      <c r="V334" s="888" t="s">
        <v>369</v>
      </c>
      <c r="W334" s="889" t="s">
        <v>373</v>
      </c>
      <c r="X334" s="888" t="s">
        <v>369</v>
      </c>
      <c r="Y334" s="946">
        <v>207956033</v>
      </c>
      <c r="Z334" s="946"/>
      <c r="AA334" s="948"/>
      <c r="AB334" s="889"/>
      <c r="AC334" s="889"/>
      <c r="AD334" s="945"/>
      <c r="AE334" s="889"/>
      <c r="AF334" s="889"/>
      <c r="AG334" s="945"/>
      <c r="AH334" s="937">
        <v>1.9900000000000001E-2</v>
      </c>
      <c r="AI334" s="947"/>
      <c r="AJ334" s="947"/>
      <c r="AK334" s="947"/>
      <c r="AL334" s="947">
        <f t="shared" si="18"/>
        <v>0</v>
      </c>
      <c r="AM334" s="889"/>
      <c r="AN334" s="889"/>
      <c r="AO334" s="889"/>
      <c r="AP334" s="889"/>
      <c r="AQ334" s="889"/>
      <c r="AX334" s="139"/>
      <c r="AY334" s="139"/>
      <c r="AZ334" s="139"/>
      <c r="BA334" s="139"/>
      <c r="BB334" s="139"/>
    </row>
    <row r="335" spans="2:54" ht="15" customHeight="1" x14ac:dyDescent="0.4">
      <c r="B335" s="7" t="s">
        <v>513</v>
      </c>
      <c r="C335" s="3"/>
      <c r="D335" s="3"/>
      <c r="E335" s="7"/>
      <c r="F335" s="7"/>
      <c r="G335" s="7"/>
      <c r="H335" s="20"/>
      <c r="S335" s="5">
        <v>1</v>
      </c>
      <c r="T335" s="3" t="s">
        <v>385</v>
      </c>
      <c r="U335" s="20"/>
      <c r="V335" s="7"/>
      <c r="W335" s="7"/>
      <c r="X335" s="7"/>
      <c r="AA335" s="20"/>
      <c r="AB335" s="3">
        <v>42</v>
      </c>
      <c r="AC335" s="3">
        <v>4</v>
      </c>
      <c r="AD335" s="5">
        <f>AC335*S335</f>
        <v>4</v>
      </c>
      <c r="AE335" s="3" t="s">
        <v>385</v>
      </c>
      <c r="AF335" s="38"/>
      <c r="AQ335" s="139"/>
      <c r="AR335" s="139"/>
      <c r="AS335" s="139"/>
      <c r="AT335" s="139"/>
      <c r="AU335" s="139"/>
    </row>
    <row r="336" spans="2:54" ht="15.75" customHeight="1" x14ac:dyDescent="0.4">
      <c r="B336" s="36"/>
      <c r="C336" s="443"/>
      <c r="D336" s="155"/>
      <c r="E336" s="7"/>
      <c r="F336" s="7"/>
      <c r="G336" s="7"/>
      <c r="H336" s="20"/>
      <c r="P336" s="24"/>
      <c r="Q336" s="24"/>
      <c r="U336" s="20"/>
      <c r="V336" s="38" t="s">
        <v>369</v>
      </c>
      <c r="W336" s="3" t="s">
        <v>386</v>
      </c>
      <c r="X336" s="38" t="s">
        <v>369</v>
      </c>
      <c r="Y336" s="41">
        <v>200182008</v>
      </c>
      <c r="Z336" s="41"/>
      <c r="AA336" s="20"/>
      <c r="AE336" s="3"/>
      <c r="AF336" s="38"/>
      <c r="AH336" s="39">
        <v>1.44E-2</v>
      </c>
      <c r="AI336" s="39"/>
      <c r="AJ336" s="39"/>
      <c r="AK336" s="39"/>
      <c r="AL336" s="39">
        <f>AH336*AD335</f>
        <v>5.7599999999999998E-2</v>
      </c>
      <c r="AQ336" s="139"/>
      <c r="AR336" s="139"/>
      <c r="AS336" s="139"/>
      <c r="AT336" s="139"/>
      <c r="AU336" s="139"/>
    </row>
    <row r="337" spans="1:47" ht="15.75" customHeight="1" x14ac:dyDescent="0.4">
      <c r="B337" s="36"/>
      <c r="C337" s="443"/>
      <c r="D337" s="155"/>
      <c r="E337" s="7"/>
      <c r="F337" s="7"/>
      <c r="G337" s="7"/>
      <c r="H337" s="20"/>
      <c r="P337" s="24"/>
      <c r="Q337" s="24"/>
      <c r="U337" s="20"/>
      <c r="V337" s="38"/>
      <c r="X337" s="38"/>
      <c r="Y337" s="41"/>
      <c r="Z337" s="41"/>
      <c r="AA337" s="20"/>
      <c r="AE337" s="3"/>
      <c r="AF337" s="38"/>
      <c r="AH337" s="39"/>
      <c r="AI337" s="39"/>
      <c r="AJ337" s="39"/>
      <c r="AK337" s="39"/>
      <c r="AQ337" s="139"/>
      <c r="AR337" s="139"/>
      <c r="AS337" s="139"/>
      <c r="AT337" s="139"/>
      <c r="AU337" s="139"/>
    </row>
    <row r="338" spans="1:47" ht="15.75" customHeight="1" thickBot="1" x14ac:dyDescent="0.45">
      <c r="B338" s="36"/>
      <c r="C338" s="443"/>
      <c r="D338" s="155"/>
      <c r="E338" s="7"/>
      <c r="F338" s="7"/>
      <c r="G338" s="7"/>
      <c r="H338" s="20"/>
      <c r="P338" s="24"/>
      <c r="Q338" s="24"/>
      <c r="U338" s="20"/>
      <c r="V338" s="38"/>
      <c r="X338" s="38"/>
      <c r="Y338" s="41"/>
      <c r="Z338" s="41"/>
      <c r="AA338" s="20"/>
      <c r="AE338" s="3"/>
      <c r="AF338" s="38"/>
      <c r="AH338" s="39"/>
      <c r="AI338" s="39"/>
      <c r="AJ338" s="39"/>
      <c r="AK338" s="39"/>
      <c r="AQ338" s="139"/>
      <c r="AR338" s="139"/>
      <c r="AS338" s="139"/>
      <c r="AT338" s="139"/>
      <c r="AU338" s="139"/>
    </row>
    <row r="339" spans="1:47" ht="15" customHeight="1" thickBot="1" x14ac:dyDescent="0.45">
      <c r="B339" s="652" t="s">
        <v>1082</v>
      </c>
      <c r="C339" s="653"/>
      <c r="D339" s="653"/>
      <c r="E339" s="653"/>
      <c r="F339" s="653"/>
      <c r="G339" s="653"/>
      <c r="H339" s="654"/>
      <c r="I339" s="654"/>
      <c r="J339" s="654"/>
      <c r="K339" s="654"/>
      <c r="L339" s="654"/>
      <c r="M339" s="655"/>
      <c r="N339" s="655"/>
      <c r="O339" s="655"/>
      <c r="P339" s="655"/>
      <c r="Q339" s="655"/>
      <c r="R339" s="654"/>
      <c r="S339" s="655"/>
      <c r="T339" s="654"/>
      <c r="U339" s="654"/>
      <c r="V339" s="653"/>
      <c r="W339" s="653"/>
      <c r="X339" s="653"/>
      <c r="Y339" s="656"/>
      <c r="Z339" s="656"/>
      <c r="AA339" s="654"/>
      <c r="AB339" s="656"/>
      <c r="AC339" s="654"/>
      <c r="AD339" s="655"/>
      <c r="AE339" s="654"/>
      <c r="AF339" s="654"/>
      <c r="AG339" s="654"/>
      <c r="AH339" s="658"/>
      <c r="AI339" s="658"/>
      <c r="AJ339" s="658"/>
      <c r="AK339" s="658"/>
      <c r="AL339" s="658"/>
      <c r="AM339" s="658"/>
      <c r="AN339" s="658"/>
      <c r="AO339" s="658"/>
      <c r="AP339" s="658"/>
      <c r="AQ339" s="658"/>
      <c r="AR339" s="139"/>
      <c r="AS339" s="139"/>
      <c r="AT339" s="139"/>
      <c r="AU339" s="139"/>
    </row>
    <row r="340" spans="1:47" ht="15" customHeight="1" x14ac:dyDescent="0.4">
      <c r="A340" s="3" t="s">
        <v>1237</v>
      </c>
      <c r="B340" s="173" t="s">
        <v>1347</v>
      </c>
      <c r="C340" s="182"/>
      <c r="D340" s="138"/>
      <c r="E340" s="182"/>
      <c r="F340" s="430" t="s">
        <v>418</v>
      </c>
      <c r="G340" s="431">
        <v>3</v>
      </c>
      <c r="H340" s="175"/>
      <c r="I340" s="432" t="str">
        <f xml:space="preserve"> "Length = INT ( ( UH - " &amp;FIXED(G343,2)&amp;") / "&amp;FIXED(G340,2)&amp;" ) *"&amp;FIXED(G340,2)</f>
        <v>Length = INT ( ( UH - 5.50) / 3.00 ) *3.00</v>
      </c>
      <c r="J340" s="116"/>
      <c r="K340" s="116"/>
      <c r="L340" s="116"/>
      <c r="M340" s="177"/>
      <c r="N340" s="177"/>
      <c r="O340" s="177"/>
      <c r="P340" s="177"/>
      <c r="Q340" s="24" t="s">
        <v>522</v>
      </c>
      <c r="S340" s="24" t="s">
        <v>523</v>
      </c>
      <c r="U340" s="175"/>
      <c r="V340" s="179"/>
      <c r="W340" s="116"/>
      <c r="X340" s="500"/>
      <c r="Y340" s="500"/>
      <c r="Z340" s="500"/>
      <c r="AA340" s="20"/>
      <c r="AD340" s="3"/>
      <c r="AE340" s="3"/>
      <c r="AF340" s="3"/>
      <c r="AG340" s="3"/>
      <c r="AH340" s="3"/>
      <c r="AI340" s="39"/>
      <c r="AJ340" s="39"/>
      <c r="AK340" s="39"/>
      <c r="AL340" s="457">
        <v>0</v>
      </c>
      <c r="AQ340" s="139"/>
      <c r="AR340" s="139"/>
      <c r="AS340" s="139"/>
      <c r="AT340" s="139"/>
      <c r="AU340" s="139"/>
    </row>
    <row r="341" spans="1:47" ht="15" customHeight="1" x14ac:dyDescent="0.4">
      <c r="B341" s="7" t="s">
        <v>1242</v>
      </c>
      <c r="C341" s="155"/>
      <c r="E341" s="155"/>
      <c r="F341" s="434"/>
      <c r="G341" s="435"/>
      <c r="H341" s="20"/>
      <c r="I341" s="436"/>
      <c r="Q341" s="24" t="str">
        <f>LOOKUP(S341,S344:S362,Q344:Q362)</f>
        <v>J</v>
      </c>
      <c r="R341" s="500" t="s">
        <v>352</v>
      </c>
      <c r="S341" s="22">
        <f>LOOKUP(INT((SLEQheight-G343)/G340)*G340,S344:S362)</f>
        <v>42</v>
      </c>
      <c r="T341" s="500" t="s">
        <v>366</v>
      </c>
      <c r="U341" s="20"/>
      <c r="V341" s="38"/>
      <c r="X341" s="24"/>
      <c r="Y341" s="56">
        <v>230193011</v>
      </c>
      <c r="Z341" s="56"/>
      <c r="AA341" s="20"/>
      <c r="AB341" s="3">
        <v>45</v>
      </c>
      <c r="AC341" s="3">
        <v>2</v>
      </c>
      <c r="AD341" s="5">
        <f>LOOKUP(S341,S344:S362,AD344:AD362)</f>
        <v>7</v>
      </c>
      <c r="AE341" s="3" t="s">
        <v>367</v>
      </c>
      <c r="AF341" s="38"/>
      <c r="AG341" s="38"/>
      <c r="AH341" s="51">
        <f>'Single Hung'!AI465</f>
        <v>0.3</v>
      </c>
      <c r="AI341" s="39"/>
      <c r="AJ341" s="39"/>
      <c r="AK341" s="39"/>
      <c r="AL341" s="39">
        <f>AH341*AD341*AC341</f>
        <v>4.2</v>
      </c>
      <c r="AQ341" s="139"/>
      <c r="AR341" s="139"/>
      <c r="AS341" s="139"/>
      <c r="AT341" s="139"/>
      <c r="AU341" s="139"/>
    </row>
    <row r="342" spans="1:47" ht="15" customHeight="1" x14ac:dyDescent="0.4">
      <c r="B342" s="7"/>
      <c r="C342" s="155"/>
      <c r="E342" s="155"/>
      <c r="F342" s="434"/>
      <c r="G342" s="435"/>
      <c r="H342" s="20"/>
      <c r="I342" s="436"/>
      <c r="V342" s="500"/>
      <c r="W342" s="500"/>
      <c r="AQ342" s="139"/>
      <c r="AR342" s="139"/>
      <c r="AS342" s="139"/>
      <c r="AT342" s="139"/>
      <c r="AU342" s="139"/>
    </row>
    <row r="343" spans="1:47" ht="15" customHeight="1" x14ac:dyDescent="0.4">
      <c r="B343" s="7"/>
      <c r="C343" s="155"/>
      <c r="D343" s="155"/>
      <c r="E343" s="155"/>
      <c r="F343" s="434" t="s">
        <v>419</v>
      </c>
      <c r="G343" s="435">
        <v>5.5</v>
      </c>
      <c r="H343" s="20"/>
      <c r="Q343" s="24" t="s">
        <v>522</v>
      </c>
      <c r="U343" s="20"/>
      <c r="V343" s="38"/>
      <c r="X343" s="38"/>
      <c r="AA343" s="20"/>
      <c r="AE343" s="3"/>
      <c r="AF343" s="38"/>
      <c r="AG343" s="38"/>
      <c r="AH343" s="39"/>
      <c r="AI343" s="39"/>
      <c r="AJ343" s="39"/>
      <c r="AK343" s="39"/>
      <c r="AQ343" s="139"/>
      <c r="AR343" s="139"/>
      <c r="AS343" s="139"/>
      <c r="AT343" s="139"/>
      <c r="AU343" s="139"/>
    </row>
    <row r="344" spans="1:47" ht="15" customHeight="1" x14ac:dyDescent="0.4">
      <c r="B344" s="7"/>
      <c r="C344" s="155"/>
      <c r="D344" s="155"/>
      <c r="E344" s="155"/>
      <c r="F344" s="434"/>
      <c r="G344" s="435"/>
      <c r="H344" s="20"/>
      <c r="Q344" s="439" t="s">
        <v>529</v>
      </c>
      <c r="R344" s="3" t="s">
        <v>352</v>
      </c>
      <c r="S344" s="765">
        <v>0</v>
      </c>
      <c r="T344" s="3" t="s">
        <v>366</v>
      </c>
      <c r="U344" s="20"/>
      <c r="V344" s="38"/>
      <c r="X344" s="38"/>
      <c r="AA344" s="20"/>
      <c r="AB344" s="3">
        <v>45</v>
      </c>
      <c r="AD344" s="5">
        <v>0</v>
      </c>
      <c r="AE344" s="3" t="s">
        <v>367</v>
      </c>
      <c r="AF344" s="38"/>
      <c r="AG344" s="38"/>
      <c r="AH344" s="39"/>
      <c r="AI344" s="39"/>
      <c r="AJ344" s="39"/>
      <c r="AK344" s="39"/>
      <c r="AQ344" s="139"/>
      <c r="AR344" s="139"/>
      <c r="AS344" s="139"/>
      <c r="AT344" s="139"/>
      <c r="AU344" s="139"/>
    </row>
    <row r="345" spans="1:47" ht="15" customHeight="1" x14ac:dyDescent="0.4">
      <c r="B345" s="7"/>
      <c r="C345" s="155"/>
      <c r="D345" s="155"/>
      <c r="E345" s="155"/>
      <c r="F345" s="434" t="s">
        <v>878</v>
      </c>
      <c r="G345" s="435">
        <v>15</v>
      </c>
      <c r="H345" s="20"/>
      <c r="Q345" s="439" t="s">
        <v>70</v>
      </c>
      <c r="R345" s="440" t="s">
        <v>352</v>
      </c>
      <c r="S345" s="1623">
        <f>G345</f>
        <v>15</v>
      </c>
      <c r="T345" s="3" t="s">
        <v>366</v>
      </c>
      <c r="U345" s="20"/>
      <c r="V345" s="38"/>
      <c r="X345" s="38"/>
      <c r="Y345" s="441"/>
      <c r="Z345" s="441"/>
      <c r="AA345" s="20"/>
      <c r="AB345" s="3">
        <v>45</v>
      </c>
      <c r="AC345" s="3">
        <v>2</v>
      </c>
      <c r="AD345" s="5">
        <f t="shared" ref="AD345:AD362" si="19">AC345*S345/12</f>
        <v>2.5</v>
      </c>
      <c r="AE345" s="3" t="s">
        <v>367</v>
      </c>
      <c r="AF345" s="38"/>
      <c r="AG345" s="38"/>
      <c r="AI345" s="39"/>
      <c r="AJ345" s="39"/>
      <c r="AK345" s="39"/>
      <c r="AQ345" s="139"/>
      <c r="AR345" s="139"/>
      <c r="AS345" s="139"/>
      <c r="AT345" s="139"/>
      <c r="AU345" s="139"/>
    </row>
    <row r="346" spans="1:47" ht="15" customHeight="1" x14ac:dyDescent="0.4">
      <c r="B346" s="7"/>
      <c r="C346" s="155"/>
      <c r="D346" s="155"/>
      <c r="E346" s="155"/>
      <c r="F346" s="434" t="s">
        <v>866</v>
      </c>
      <c r="G346" s="435">
        <v>0</v>
      </c>
      <c r="H346" s="20"/>
      <c r="Q346" s="439" t="s">
        <v>81</v>
      </c>
      <c r="R346" s="440" t="s">
        <v>352</v>
      </c>
      <c r="S346" s="1623">
        <f t="shared" ref="S346:S362" si="20">S345+$G$340</f>
        <v>18</v>
      </c>
      <c r="T346" s="3" t="s">
        <v>366</v>
      </c>
      <c r="U346" s="20"/>
      <c r="V346" s="38"/>
      <c r="X346" s="38"/>
      <c r="Y346" s="441"/>
      <c r="Z346" s="441"/>
      <c r="AA346" s="20"/>
      <c r="AB346" s="3">
        <v>45</v>
      </c>
      <c r="AC346" s="3">
        <v>2</v>
      </c>
      <c r="AD346" s="5">
        <f t="shared" si="19"/>
        <v>3</v>
      </c>
      <c r="AE346" s="3" t="s">
        <v>367</v>
      </c>
      <c r="AF346" s="38"/>
      <c r="AG346" s="38"/>
      <c r="AH346" s="39"/>
      <c r="AQ346" s="139"/>
      <c r="AR346" s="139"/>
      <c r="AS346" s="139"/>
      <c r="AT346" s="139"/>
      <c r="AU346" s="139"/>
    </row>
    <row r="347" spans="1:47" ht="15" customHeight="1" x14ac:dyDescent="0.4">
      <c r="B347" s="7"/>
      <c r="C347" s="155"/>
      <c r="D347" s="155"/>
      <c r="E347" s="155"/>
      <c r="H347" s="20"/>
      <c r="I347" s="442" t="s">
        <v>1348</v>
      </c>
      <c r="Q347" s="439" t="s">
        <v>531</v>
      </c>
      <c r="R347" s="440" t="s">
        <v>352</v>
      </c>
      <c r="S347" s="1623">
        <f t="shared" si="20"/>
        <v>21</v>
      </c>
      <c r="T347" s="3" t="s">
        <v>366</v>
      </c>
      <c r="U347" s="20"/>
      <c r="V347" s="38"/>
      <c r="X347" s="38"/>
      <c r="Y347" s="441"/>
      <c r="Z347" s="441"/>
      <c r="AA347" s="20"/>
      <c r="AB347" s="3">
        <v>45</v>
      </c>
      <c r="AC347" s="3">
        <v>2</v>
      </c>
      <c r="AD347" s="5">
        <f t="shared" si="19"/>
        <v>3.5</v>
      </c>
      <c r="AE347" s="3" t="s">
        <v>367</v>
      </c>
      <c r="AF347" s="38"/>
      <c r="AG347" s="38"/>
      <c r="AH347" s="39"/>
      <c r="AI347" s="39"/>
      <c r="AJ347" s="39"/>
      <c r="AK347" s="39"/>
      <c r="AQ347" s="139"/>
      <c r="AR347" s="139"/>
      <c r="AS347" s="139"/>
      <c r="AT347" s="139"/>
      <c r="AU347" s="139"/>
    </row>
    <row r="348" spans="1:47" ht="15" customHeight="1" x14ac:dyDescent="0.4">
      <c r="B348" s="7"/>
      <c r="C348" s="155"/>
      <c r="D348" s="155"/>
      <c r="E348" s="155"/>
      <c r="F348" s="155"/>
      <c r="G348" s="7"/>
      <c r="H348" s="20"/>
      <c r="I348" s="443" t="s">
        <v>532</v>
      </c>
      <c r="Q348" s="439" t="s">
        <v>94</v>
      </c>
      <c r="R348" s="440" t="s">
        <v>352</v>
      </c>
      <c r="S348" s="1623">
        <f t="shared" si="20"/>
        <v>24</v>
      </c>
      <c r="T348" s="3" t="s">
        <v>366</v>
      </c>
      <c r="U348" s="20"/>
      <c r="V348" s="38"/>
      <c r="X348" s="38"/>
      <c r="Y348" s="441"/>
      <c r="Z348" s="441"/>
      <c r="AA348" s="20"/>
      <c r="AB348" s="3">
        <v>45</v>
      </c>
      <c r="AC348" s="3">
        <v>2</v>
      </c>
      <c r="AD348" s="5">
        <f t="shared" si="19"/>
        <v>4</v>
      </c>
      <c r="AE348" s="3" t="s">
        <v>367</v>
      </c>
      <c r="AF348" s="38"/>
      <c r="AG348" s="38"/>
      <c r="AH348" s="39"/>
      <c r="AI348" s="39"/>
      <c r="AJ348" s="39"/>
      <c r="AK348" s="39"/>
      <c r="AQ348" s="139"/>
      <c r="AR348" s="139"/>
      <c r="AS348" s="139"/>
      <c r="AT348" s="139"/>
      <c r="AU348" s="139"/>
    </row>
    <row r="349" spans="1:47" ht="15" customHeight="1" x14ac:dyDescent="0.4">
      <c r="B349" s="7"/>
      <c r="C349" s="155"/>
      <c r="D349" s="155"/>
      <c r="E349" s="155"/>
      <c r="F349" s="155"/>
      <c r="G349" s="7"/>
      <c r="H349" s="20"/>
      <c r="Q349" s="439" t="s">
        <v>112</v>
      </c>
      <c r="R349" s="440" t="s">
        <v>352</v>
      </c>
      <c r="S349" s="1623">
        <f t="shared" si="20"/>
        <v>27</v>
      </c>
      <c r="T349" s="3" t="s">
        <v>366</v>
      </c>
      <c r="U349" s="20"/>
      <c r="V349" s="38"/>
      <c r="X349" s="38"/>
      <c r="Y349" s="441"/>
      <c r="Z349" s="441"/>
      <c r="AA349" s="20"/>
      <c r="AB349" s="3">
        <v>45</v>
      </c>
      <c r="AC349" s="3">
        <v>2</v>
      </c>
      <c r="AD349" s="5">
        <f t="shared" si="19"/>
        <v>4.5</v>
      </c>
      <c r="AE349" s="3" t="s">
        <v>367</v>
      </c>
      <c r="AF349" s="38"/>
      <c r="AG349" s="38"/>
      <c r="AH349" s="39"/>
      <c r="AI349" s="39"/>
      <c r="AJ349" s="39"/>
      <c r="AK349" s="39"/>
      <c r="AQ349" s="139"/>
      <c r="AR349" s="139"/>
      <c r="AS349" s="139"/>
      <c r="AT349" s="139"/>
      <c r="AU349" s="139"/>
    </row>
    <row r="350" spans="1:47" ht="15" customHeight="1" x14ac:dyDescent="0.4">
      <c r="B350" s="7"/>
      <c r="C350" s="155"/>
      <c r="D350" s="155"/>
      <c r="E350" s="155"/>
      <c r="F350" s="155"/>
      <c r="G350" s="7"/>
      <c r="H350" s="20"/>
      <c r="Q350" s="439" t="s">
        <v>128</v>
      </c>
      <c r="R350" s="440" t="s">
        <v>352</v>
      </c>
      <c r="S350" s="1623">
        <f t="shared" si="20"/>
        <v>30</v>
      </c>
      <c r="T350" s="3" t="s">
        <v>366</v>
      </c>
      <c r="U350" s="20"/>
      <c r="V350" s="38"/>
      <c r="X350" s="38"/>
      <c r="Y350" s="441"/>
      <c r="Z350" s="441"/>
      <c r="AA350" s="20"/>
      <c r="AB350" s="3">
        <v>45</v>
      </c>
      <c r="AC350" s="3">
        <v>2</v>
      </c>
      <c r="AD350" s="5">
        <f t="shared" si="19"/>
        <v>5</v>
      </c>
      <c r="AE350" s="3" t="s">
        <v>367</v>
      </c>
      <c r="AF350" s="38"/>
      <c r="AG350" s="38"/>
      <c r="AH350" s="39"/>
      <c r="AQ350" s="139"/>
      <c r="AR350" s="139"/>
      <c r="AS350" s="139"/>
      <c r="AT350" s="139"/>
      <c r="AU350" s="139"/>
    </row>
    <row r="351" spans="1:47" ht="15" customHeight="1" x14ac:dyDescent="0.4">
      <c r="B351" s="7"/>
      <c r="C351" s="155"/>
      <c r="D351" s="155"/>
      <c r="E351" s="155"/>
      <c r="F351" s="155"/>
      <c r="G351" s="7"/>
      <c r="H351" s="20"/>
      <c r="Q351" s="439" t="s">
        <v>155</v>
      </c>
      <c r="R351" s="440" t="s">
        <v>352</v>
      </c>
      <c r="S351" s="1623">
        <f t="shared" si="20"/>
        <v>33</v>
      </c>
      <c r="T351" s="3" t="s">
        <v>366</v>
      </c>
      <c r="U351" s="20"/>
      <c r="V351" s="38"/>
      <c r="X351" s="38"/>
      <c r="Y351" s="441"/>
      <c r="Z351" s="441"/>
      <c r="AA351" s="20"/>
      <c r="AB351" s="3">
        <v>45</v>
      </c>
      <c r="AC351" s="3">
        <v>2</v>
      </c>
      <c r="AD351" s="5">
        <f t="shared" si="19"/>
        <v>5.5</v>
      </c>
      <c r="AE351" s="3" t="s">
        <v>367</v>
      </c>
      <c r="AF351" s="38"/>
      <c r="AG351" s="38"/>
      <c r="AH351" s="39"/>
      <c r="AI351" s="39"/>
      <c r="AJ351" s="39"/>
      <c r="AK351" s="39"/>
      <c r="AQ351" s="139"/>
      <c r="AR351" s="139"/>
      <c r="AS351" s="139"/>
      <c r="AT351" s="139"/>
      <c r="AU351" s="139"/>
    </row>
    <row r="352" spans="1:47" ht="15" customHeight="1" x14ac:dyDescent="0.4">
      <c r="B352" s="7"/>
      <c r="C352" s="155"/>
      <c r="D352" s="155"/>
      <c r="E352" s="155"/>
      <c r="F352" s="155"/>
      <c r="G352" s="7"/>
      <c r="H352" s="20"/>
      <c r="Q352" s="439" t="s">
        <v>163</v>
      </c>
      <c r="R352" s="440" t="s">
        <v>352</v>
      </c>
      <c r="S352" s="1623">
        <f t="shared" si="20"/>
        <v>36</v>
      </c>
      <c r="T352" s="3" t="s">
        <v>366</v>
      </c>
      <c r="U352" s="20"/>
      <c r="V352" s="38"/>
      <c r="X352" s="38"/>
      <c r="Y352" s="441"/>
      <c r="Z352" s="441"/>
      <c r="AA352" s="20"/>
      <c r="AB352" s="3">
        <v>45</v>
      </c>
      <c r="AC352" s="3">
        <v>2</v>
      </c>
      <c r="AD352" s="5">
        <f t="shared" si="19"/>
        <v>6</v>
      </c>
      <c r="AE352" s="3" t="s">
        <v>367</v>
      </c>
      <c r="AF352" s="38"/>
      <c r="AG352" s="38"/>
      <c r="AH352" s="39"/>
      <c r="AI352" s="39"/>
      <c r="AJ352" s="39"/>
      <c r="AK352" s="39"/>
      <c r="AQ352" s="139"/>
      <c r="AR352" s="139"/>
      <c r="AS352" s="139"/>
      <c r="AT352" s="139"/>
      <c r="AU352" s="139"/>
    </row>
    <row r="353" spans="1:47" ht="15" customHeight="1" x14ac:dyDescent="0.4">
      <c r="B353" s="7"/>
      <c r="C353" s="155"/>
      <c r="D353" s="155"/>
      <c r="E353" s="155"/>
      <c r="F353" s="155"/>
      <c r="G353" s="7"/>
      <c r="H353" s="20"/>
      <c r="Q353" s="439" t="s">
        <v>175</v>
      </c>
      <c r="R353" s="440" t="s">
        <v>352</v>
      </c>
      <c r="S353" s="1623">
        <f t="shared" si="20"/>
        <v>39</v>
      </c>
      <c r="T353" s="3" t="s">
        <v>366</v>
      </c>
      <c r="U353" s="20"/>
      <c r="V353" s="38"/>
      <c r="X353" s="38"/>
      <c r="Y353" s="441"/>
      <c r="Z353" s="441"/>
      <c r="AA353" s="20"/>
      <c r="AB353" s="3">
        <v>45</v>
      </c>
      <c r="AC353" s="3">
        <v>2</v>
      </c>
      <c r="AD353" s="5">
        <f t="shared" si="19"/>
        <v>6.5</v>
      </c>
      <c r="AE353" s="3" t="s">
        <v>367</v>
      </c>
      <c r="AF353" s="38"/>
      <c r="AG353" s="38"/>
      <c r="AH353" s="39"/>
      <c r="AI353" s="39"/>
      <c r="AJ353" s="39"/>
      <c r="AK353" s="39"/>
      <c r="AQ353" s="139"/>
      <c r="AR353" s="139"/>
      <c r="AS353" s="139"/>
      <c r="AT353" s="139"/>
      <c r="AU353" s="139"/>
    </row>
    <row r="354" spans="1:47" ht="15" customHeight="1" x14ac:dyDescent="0.4">
      <c r="B354" s="7"/>
      <c r="C354" s="155"/>
      <c r="D354" s="155"/>
      <c r="E354" s="155"/>
      <c r="F354" s="155"/>
      <c r="G354" s="7"/>
      <c r="H354" s="20"/>
      <c r="Q354" s="439" t="s">
        <v>533</v>
      </c>
      <c r="R354" s="440" t="s">
        <v>352</v>
      </c>
      <c r="S354" s="1623">
        <f t="shared" si="20"/>
        <v>42</v>
      </c>
      <c r="T354" s="3" t="s">
        <v>366</v>
      </c>
      <c r="U354" s="20"/>
      <c r="V354" s="38"/>
      <c r="X354" s="38"/>
      <c r="Y354" s="441"/>
      <c r="Z354" s="441"/>
      <c r="AA354" s="20"/>
      <c r="AB354" s="3">
        <v>45</v>
      </c>
      <c r="AC354" s="3">
        <v>2</v>
      </c>
      <c r="AD354" s="5">
        <f t="shared" si="19"/>
        <v>7</v>
      </c>
      <c r="AE354" s="3" t="s">
        <v>367</v>
      </c>
      <c r="AF354" s="38"/>
      <c r="AG354" s="38"/>
      <c r="AH354" s="39"/>
      <c r="AQ354" s="139"/>
      <c r="AR354" s="139"/>
      <c r="AS354" s="139"/>
      <c r="AT354" s="139"/>
      <c r="AU354" s="139"/>
    </row>
    <row r="355" spans="1:47" ht="15" customHeight="1" x14ac:dyDescent="0.4">
      <c r="B355" s="7"/>
      <c r="C355" s="155"/>
      <c r="D355" s="155"/>
      <c r="E355" s="155"/>
      <c r="F355" s="155"/>
      <c r="G355" s="7"/>
      <c r="H355" s="20"/>
      <c r="Q355" s="439" t="s">
        <v>534</v>
      </c>
      <c r="R355" s="440" t="s">
        <v>352</v>
      </c>
      <c r="S355" s="1623">
        <f t="shared" si="20"/>
        <v>45</v>
      </c>
      <c r="T355" s="3" t="s">
        <v>366</v>
      </c>
      <c r="U355" s="20"/>
      <c r="V355" s="38"/>
      <c r="X355" s="38"/>
      <c r="Y355" s="441"/>
      <c r="Z355" s="441"/>
      <c r="AA355" s="20"/>
      <c r="AB355" s="3">
        <v>45</v>
      </c>
      <c r="AC355" s="3">
        <v>2</v>
      </c>
      <c r="AD355" s="5">
        <f t="shared" si="19"/>
        <v>7.5</v>
      </c>
      <c r="AE355" s="3" t="s">
        <v>367</v>
      </c>
      <c r="AF355" s="38"/>
      <c r="AG355" s="38"/>
      <c r="AH355" s="39"/>
      <c r="AI355" s="39"/>
      <c r="AJ355" s="39"/>
      <c r="AK355" s="39"/>
      <c r="AQ355" s="139"/>
      <c r="AR355" s="139"/>
      <c r="AS355" s="139"/>
      <c r="AT355" s="139"/>
      <c r="AU355" s="139"/>
    </row>
    <row r="356" spans="1:47" ht="15" customHeight="1" x14ac:dyDescent="0.4">
      <c r="B356" s="7"/>
      <c r="C356" s="155"/>
      <c r="D356" s="155"/>
      <c r="E356" s="155"/>
      <c r="F356" s="155"/>
      <c r="G356" s="7"/>
      <c r="H356" s="20"/>
      <c r="Q356" s="439" t="s">
        <v>535</v>
      </c>
      <c r="R356" s="440" t="s">
        <v>352</v>
      </c>
      <c r="S356" s="1623">
        <f t="shared" si="20"/>
        <v>48</v>
      </c>
      <c r="T356" s="3" t="s">
        <v>366</v>
      </c>
      <c r="U356" s="20"/>
      <c r="V356" s="38"/>
      <c r="X356" s="38"/>
      <c r="Y356" s="441"/>
      <c r="Z356" s="441"/>
      <c r="AA356" s="20"/>
      <c r="AB356" s="3">
        <v>45</v>
      </c>
      <c r="AC356" s="3">
        <v>2</v>
      </c>
      <c r="AD356" s="5">
        <f t="shared" si="19"/>
        <v>8</v>
      </c>
      <c r="AE356" s="3" t="s">
        <v>367</v>
      </c>
      <c r="AF356" s="38"/>
      <c r="AG356" s="38"/>
      <c r="AH356" s="39"/>
      <c r="AI356" s="39"/>
      <c r="AJ356" s="39"/>
      <c r="AK356" s="39"/>
      <c r="AQ356" s="139"/>
      <c r="AR356" s="139"/>
      <c r="AS356" s="139"/>
      <c r="AT356" s="139"/>
      <c r="AU356" s="139"/>
    </row>
    <row r="357" spans="1:47" ht="15" customHeight="1" x14ac:dyDescent="0.4">
      <c r="B357" s="7"/>
      <c r="C357" s="155"/>
      <c r="D357" s="155"/>
      <c r="E357" s="155"/>
      <c r="F357" s="155"/>
      <c r="G357" s="7"/>
      <c r="H357" s="20"/>
      <c r="Q357" s="439" t="s">
        <v>536</v>
      </c>
      <c r="R357" s="440" t="s">
        <v>352</v>
      </c>
      <c r="S357" s="1623">
        <f t="shared" si="20"/>
        <v>51</v>
      </c>
      <c r="T357" s="3" t="s">
        <v>366</v>
      </c>
      <c r="U357" s="20"/>
      <c r="V357" s="38"/>
      <c r="X357" s="38"/>
      <c r="Y357" s="441"/>
      <c r="Z357" s="441"/>
      <c r="AA357" s="20"/>
      <c r="AB357" s="3">
        <v>45</v>
      </c>
      <c r="AC357" s="3">
        <v>2</v>
      </c>
      <c r="AD357" s="5">
        <f t="shared" si="19"/>
        <v>8.5</v>
      </c>
      <c r="AE357" s="3" t="s">
        <v>367</v>
      </c>
      <c r="AF357" s="38"/>
      <c r="AG357" s="38"/>
      <c r="AH357" s="39"/>
      <c r="AI357" s="39"/>
      <c r="AJ357" s="39"/>
      <c r="AK357" s="39"/>
      <c r="AQ357" s="139"/>
      <c r="AR357" s="139"/>
      <c r="AS357" s="139"/>
      <c r="AT357" s="139"/>
      <c r="AU357" s="139"/>
    </row>
    <row r="358" spans="1:47" ht="15" customHeight="1" x14ac:dyDescent="0.4">
      <c r="B358" s="7"/>
      <c r="C358" s="155"/>
      <c r="D358" s="155"/>
      <c r="E358" s="155"/>
      <c r="F358" s="155"/>
      <c r="G358" s="7"/>
      <c r="H358" s="20"/>
      <c r="Q358" s="439" t="s">
        <v>537</v>
      </c>
      <c r="R358" s="440" t="s">
        <v>352</v>
      </c>
      <c r="S358" s="1623">
        <f t="shared" si="20"/>
        <v>54</v>
      </c>
      <c r="T358" s="3" t="s">
        <v>366</v>
      </c>
      <c r="U358" s="20"/>
      <c r="V358" s="38"/>
      <c r="X358" s="38"/>
      <c r="Y358" s="441"/>
      <c r="Z358" s="441"/>
      <c r="AA358" s="20"/>
      <c r="AB358" s="3">
        <v>45</v>
      </c>
      <c r="AC358" s="3">
        <v>2</v>
      </c>
      <c r="AD358" s="5">
        <f t="shared" si="19"/>
        <v>9</v>
      </c>
      <c r="AE358" s="3" t="s">
        <v>367</v>
      </c>
      <c r="AF358" s="38"/>
      <c r="AG358" s="38"/>
      <c r="AH358" s="39"/>
      <c r="AI358" s="9"/>
      <c r="AJ358" s="9"/>
      <c r="AK358" s="9"/>
      <c r="AQ358" s="139"/>
      <c r="AR358" s="139"/>
      <c r="AS358" s="139"/>
      <c r="AT358" s="139"/>
      <c r="AU358" s="139"/>
    </row>
    <row r="359" spans="1:47" ht="15" customHeight="1" x14ac:dyDescent="0.4">
      <c r="B359" s="7"/>
      <c r="C359" s="155"/>
      <c r="D359" s="155"/>
      <c r="E359" s="155"/>
      <c r="F359" s="155"/>
      <c r="G359" s="7"/>
      <c r="H359" s="20"/>
      <c r="Q359" s="439" t="s">
        <v>371</v>
      </c>
      <c r="R359" s="440" t="s">
        <v>352</v>
      </c>
      <c r="S359" s="1623">
        <f t="shared" si="20"/>
        <v>57</v>
      </c>
      <c r="T359" s="3" t="s">
        <v>366</v>
      </c>
      <c r="U359" s="20"/>
      <c r="V359" s="38"/>
      <c r="X359" s="38"/>
      <c r="Y359" s="441"/>
      <c r="Z359" s="441"/>
      <c r="AA359" s="20"/>
      <c r="AB359" s="3">
        <v>45</v>
      </c>
      <c r="AC359" s="3">
        <v>2</v>
      </c>
      <c r="AD359" s="5">
        <f t="shared" si="19"/>
        <v>9.5</v>
      </c>
      <c r="AE359" s="3" t="s">
        <v>367</v>
      </c>
      <c r="AF359" s="38"/>
      <c r="AG359" s="38"/>
      <c r="AH359" s="39"/>
      <c r="AI359" s="3"/>
      <c r="AJ359" s="3"/>
      <c r="AK359" s="3"/>
      <c r="AQ359" s="139"/>
      <c r="AR359" s="139"/>
      <c r="AS359" s="139"/>
      <c r="AT359" s="139"/>
      <c r="AU359" s="139"/>
    </row>
    <row r="360" spans="1:47" ht="15" customHeight="1" x14ac:dyDescent="0.4">
      <c r="B360" s="7"/>
      <c r="D360" s="155"/>
      <c r="E360" s="155"/>
      <c r="F360" s="155"/>
      <c r="G360" s="7"/>
      <c r="H360" s="20"/>
      <c r="Q360" s="439" t="s">
        <v>538</v>
      </c>
      <c r="R360" s="440" t="s">
        <v>352</v>
      </c>
      <c r="S360" s="1623">
        <f t="shared" si="20"/>
        <v>60</v>
      </c>
      <c r="T360" s="3" t="s">
        <v>366</v>
      </c>
      <c r="U360" s="20"/>
      <c r="V360" s="38"/>
      <c r="X360" s="38"/>
      <c r="Y360" s="441"/>
      <c r="Z360" s="441"/>
      <c r="AA360" s="20"/>
      <c r="AB360" s="3">
        <v>45</v>
      </c>
      <c r="AC360" s="3">
        <v>2</v>
      </c>
      <c r="AD360" s="5">
        <f t="shared" si="19"/>
        <v>10</v>
      </c>
      <c r="AE360" s="3" t="s">
        <v>367</v>
      </c>
      <c r="AF360" s="38"/>
      <c r="AG360" s="38"/>
      <c r="AH360" s="39"/>
      <c r="AI360" s="39"/>
      <c r="AJ360" s="39"/>
      <c r="AK360" s="39"/>
      <c r="AQ360" s="139"/>
      <c r="AR360" s="139"/>
      <c r="AS360" s="139"/>
      <c r="AT360" s="139"/>
      <c r="AU360" s="139"/>
    </row>
    <row r="361" spans="1:47" ht="15" customHeight="1" x14ac:dyDescent="0.4">
      <c r="B361" s="7"/>
      <c r="C361" s="155"/>
      <c r="D361" s="155"/>
      <c r="E361" s="155"/>
      <c r="F361" s="155"/>
      <c r="G361" s="7"/>
      <c r="H361" s="20"/>
      <c r="Q361" s="439" t="s">
        <v>539</v>
      </c>
      <c r="R361" s="440" t="s">
        <v>352</v>
      </c>
      <c r="S361" s="1623">
        <f t="shared" si="20"/>
        <v>63</v>
      </c>
      <c r="T361" s="3" t="s">
        <v>366</v>
      </c>
      <c r="U361" s="20"/>
      <c r="V361" s="38"/>
      <c r="X361" s="38"/>
      <c r="Y361" s="441"/>
      <c r="Z361" s="441"/>
      <c r="AA361" s="20"/>
      <c r="AB361" s="3">
        <v>45</v>
      </c>
      <c r="AC361" s="3">
        <v>2</v>
      </c>
      <c r="AD361" s="5">
        <f t="shared" si="19"/>
        <v>10.5</v>
      </c>
      <c r="AE361" s="3" t="s">
        <v>367</v>
      </c>
      <c r="AF361" s="38"/>
      <c r="AG361" s="38"/>
      <c r="AH361" s="39"/>
      <c r="AQ361" s="139"/>
      <c r="AR361" s="139"/>
      <c r="AS361" s="139"/>
      <c r="AT361" s="139"/>
      <c r="AU361" s="139"/>
    </row>
    <row r="362" spans="1:47" ht="15" customHeight="1" thickBot="1" x14ac:dyDescent="0.45">
      <c r="B362" s="924"/>
      <c r="C362" s="925"/>
      <c r="D362" s="925"/>
      <c r="E362" s="925"/>
      <c r="F362" s="925"/>
      <c r="G362" s="924"/>
      <c r="H362" s="887"/>
      <c r="I362" s="889"/>
      <c r="J362" s="889"/>
      <c r="K362" s="889"/>
      <c r="L362" s="889"/>
      <c r="M362" s="945"/>
      <c r="N362" s="945"/>
      <c r="O362" s="945"/>
      <c r="P362" s="945"/>
      <c r="Q362" s="1192" t="s">
        <v>540</v>
      </c>
      <c r="R362" s="1005" t="s">
        <v>352</v>
      </c>
      <c r="S362" s="1624">
        <f t="shared" si="20"/>
        <v>66</v>
      </c>
      <c r="T362" s="889" t="s">
        <v>366</v>
      </c>
      <c r="U362" s="887"/>
      <c r="V362" s="888"/>
      <c r="W362" s="889"/>
      <c r="X362" s="888"/>
      <c r="Y362" s="1006"/>
      <c r="Z362" s="1006"/>
      <c r="AA362" s="887"/>
      <c r="AB362" s="889">
        <v>45</v>
      </c>
      <c r="AC362" s="889">
        <v>2</v>
      </c>
      <c r="AD362" s="945">
        <f t="shared" si="19"/>
        <v>11</v>
      </c>
      <c r="AE362" s="889" t="s">
        <v>367</v>
      </c>
      <c r="AF362" s="888"/>
      <c r="AG362" s="888"/>
      <c r="AH362" s="947"/>
      <c r="AI362" s="937"/>
      <c r="AJ362" s="937"/>
      <c r="AK362" s="937"/>
      <c r="AL362" s="947"/>
      <c r="AM362" s="947"/>
      <c r="AN362" s="947"/>
      <c r="AO362" s="947"/>
      <c r="AP362" s="947"/>
      <c r="AQ362" s="947"/>
      <c r="AR362" s="139"/>
      <c r="AS362" s="139"/>
      <c r="AT362" s="139"/>
      <c r="AU362" s="139"/>
    </row>
    <row r="363" spans="1:47" ht="15" customHeight="1" x14ac:dyDescent="0.4">
      <c r="A363" s="3" t="s">
        <v>541</v>
      </c>
      <c r="B363" s="642" t="s">
        <v>542</v>
      </c>
      <c r="C363" s="642"/>
      <c r="D363" s="642"/>
      <c r="E363" s="642"/>
      <c r="F363" s="642"/>
      <c r="G363" s="642"/>
      <c r="H363" s="643"/>
      <c r="I363" s="643"/>
      <c r="J363" s="643"/>
      <c r="K363" s="643"/>
      <c r="L363" s="643"/>
      <c r="M363" s="644"/>
      <c r="N363" s="644"/>
      <c r="O363" s="644"/>
      <c r="P363" s="644"/>
      <c r="Q363" s="644"/>
      <c r="R363" s="643"/>
      <c r="S363" s="644"/>
      <c r="T363" s="643"/>
      <c r="U363" s="643"/>
      <c r="V363" s="642"/>
      <c r="W363" s="642"/>
      <c r="X363" s="642"/>
      <c r="Y363" s="645"/>
      <c r="Z363" s="645"/>
      <c r="AA363" s="643"/>
      <c r="AB363" s="645"/>
      <c r="AC363" s="643"/>
      <c r="AD363" s="644"/>
      <c r="AE363" s="643"/>
      <c r="AF363" s="643"/>
      <c r="AG363" s="643"/>
      <c r="AH363" s="647"/>
      <c r="AI363" s="647"/>
      <c r="AJ363" s="647"/>
      <c r="AK363" s="647"/>
      <c r="AL363" s="647"/>
      <c r="AM363" s="647"/>
      <c r="AN363" s="647"/>
      <c r="AO363" s="647"/>
      <c r="AP363" s="647"/>
      <c r="AQ363" s="647"/>
      <c r="AR363" s="139"/>
      <c r="AS363" s="139"/>
      <c r="AT363" s="139"/>
      <c r="AU363" s="139"/>
    </row>
    <row r="364" spans="1:47" ht="15" customHeight="1" x14ac:dyDescent="0.4">
      <c r="B364" s="8" t="s">
        <v>1245</v>
      </c>
      <c r="G364" s="3"/>
      <c r="I364" s="3" t="s">
        <v>392</v>
      </c>
      <c r="L364" s="5" t="s">
        <v>348</v>
      </c>
      <c r="M364" s="5">
        <v>-2</v>
      </c>
      <c r="Q364" s="3"/>
      <c r="R364" s="5" t="s">
        <v>352</v>
      </c>
      <c r="S364" s="5">
        <f>SLEQwidth+M364</f>
        <v>69.5</v>
      </c>
      <c r="T364" s="3" t="s">
        <v>366</v>
      </c>
      <c r="V364" s="4"/>
      <c r="W364" s="4"/>
      <c r="X364" s="56"/>
      <c r="Y364" s="3">
        <v>640016000</v>
      </c>
      <c r="AB364" s="3">
        <v>45</v>
      </c>
      <c r="AC364" s="56">
        <v>1</v>
      </c>
      <c r="AD364" s="376">
        <f>AC364*S364/12</f>
        <v>5.791666666666667</v>
      </c>
      <c r="AE364" s="3" t="s">
        <v>367</v>
      </c>
      <c r="AF364" s="38"/>
      <c r="AG364" s="38"/>
      <c r="AH364" s="477">
        <v>0</v>
      </c>
      <c r="AI364" s="39"/>
      <c r="AJ364" s="39"/>
      <c r="AK364" s="39"/>
      <c r="AL364" s="39">
        <f>AH364*AD364</f>
        <v>0</v>
      </c>
      <c r="AQ364" s="139"/>
      <c r="AR364" s="139"/>
      <c r="AS364" s="139"/>
      <c r="AT364" s="139"/>
      <c r="AU364" s="139"/>
    </row>
    <row r="365" spans="1:47" ht="15" customHeight="1" x14ac:dyDescent="0.4">
      <c r="B365" s="3"/>
      <c r="G365" s="3"/>
      <c r="L365" s="5"/>
      <c r="Q365" s="3"/>
      <c r="R365" s="5"/>
      <c r="V365" s="4"/>
      <c r="W365" s="4"/>
      <c r="X365" s="56"/>
      <c r="AC365" s="56"/>
      <c r="AD365" s="376"/>
      <c r="AE365" s="3"/>
      <c r="AF365" s="38"/>
      <c r="AG365" s="38"/>
      <c r="AH365" s="477"/>
      <c r="AI365" s="39"/>
      <c r="AJ365" s="39"/>
      <c r="AK365" s="39"/>
      <c r="AQ365" s="139"/>
      <c r="AR365" s="139"/>
      <c r="AS365" s="139"/>
      <c r="AT365" s="139"/>
      <c r="AU365" s="139"/>
    </row>
    <row r="366" spans="1:47" ht="15" customHeight="1" x14ac:dyDescent="0.4">
      <c r="B366" s="8" t="s">
        <v>1349</v>
      </c>
      <c r="G366" s="3"/>
      <c r="I366" s="3" t="s">
        <v>365</v>
      </c>
      <c r="L366" s="5" t="s">
        <v>348</v>
      </c>
      <c r="M366" s="5">
        <v>-2</v>
      </c>
      <c r="Q366" s="3"/>
      <c r="R366" s="5" t="s">
        <v>352</v>
      </c>
      <c r="S366" s="5">
        <f>SLEQheight+M366</f>
        <v>45.5</v>
      </c>
      <c r="T366" s="3" t="s">
        <v>366</v>
      </c>
      <c r="V366" s="4"/>
      <c r="W366" s="4"/>
      <c r="X366" s="56"/>
      <c r="Y366" s="3">
        <v>640016000</v>
      </c>
      <c r="AB366" s="3">
        <v>45</v>
      </c>
      <c r="AC366" s="56">
        <v>2</v>
      </c>
      <c r="AD366" s="376">
        <f>AC366*S366/12</f>
        <v>7.583333333333333</v>
      </c>
      <c r="AE366" s="3" t="s">
        <v>367</v>
      </c>
      <c r="AF366" s="38"/>
      <c r="AG366" s="38"/>
      <c r="AH366" s="477">
        <v>0</v>
      </c>
      <c r="AI366" s="39"/>
      <c r="AJ366" s="39"/>
      <c r="AK366" s="39"/>
      <c r="AL366" s="39">
        <f>AH366*AD366</f>
        <v>0</v>
      </c>
      <c r="AQ366" s="139"/>
      <c r="AR366" s="139"/>
      <c r="AS366" s="139"/>
      <c r="AT366" s="139"/>
      <c r="AU366" s="139"/>
    </row>
    <row r="367" spans="1:47" ht="15" customHeight="1" thickBot="1" x14ac:dyDescent="0.45">
      <c r="B367" s="889"/>
      <c r="C367" s="949"/>
      <c r="D367" s="968"/>
      <c r="E367" s="968"/>
      <c r="F367" s="968"/>
      <c r="G367" s="889"/>
      <c r="H367" s="948"/>
      <c r="I367" s="889"/>
      <c r="J367" s="889"/>
      <c r="K367" s="889"/>
      <c r="L367" s="945"/>
      <c r="M367" s="945"/>
      <c r="N367" s="945"/>
      <c r="O367" s="945"/>
      <c r="P367" s="945"/>
      <c r="Q367" s="889"/>
      <c r="R367" s="945"/>
      <c r="S367" s="945"/>
      <c r="T367" s="889"/>
      <c r="U367" s="948"/>
      <c r="V367" s="968"/>
      <c r="W367" s="968"/>
      <c r="X367" s="1156"/>
      <c r="Y367" s="889"/>
      <c r="Z367" s="889"/>
      <c r="AA367" s="948"/>
      <c r="AB367" s="889"/>
      <c r="AC367" s="1156"/>
      <c r="AD367" s="970"/>
      <c r="AE367" s="889"/>
      <c r="AF367" s="888"/>
      <c r="AG367" s="888"/>
      <c r="AH367" s="1157"/>
      <c r="AI367" s="947"/>
      <c r="AJ367" s="947"/>
      <c r="AK367" s="947"/>
      <c r="AL367" s="947"/>
      <c r="AM367" s="889"/>
      <c r="AN367" s="889"/>
      <c r="AO367" s="889"/>
      <c r="AP367" s="889"/>
      <c r="AQ367" s="1163"/>
      <c r="AR367" s="139"/>
      <c r="AS367" s="139"/>
      <c r="AT367" s="139"/>
      <c r="AU367" s="139"/>
    </row>
    <row r="368" spans="1:47" ht="15" customHeight="1" x14ac:dyDescent="0.4">
      <c r="B368" s="8" t="s">
        <v>1246</v>
      </c>
      <c r="G368" s="3"/>
      <c r="I368" s="3" t="s">
        <v>392</v>
      </c>
      <c r="L368" s="5" t="s">
        <v>348</v>
      </c>
      <c r="M368" s="5">
        <v>-2</v>
      </c>
      <c r="Q368" s="3"/>
      <c r="R368" s="5" t="s">
        <v>352</v>
      </c>
      <c r="S368" s="5">
        <f>SLEQwidth+M368</f>
        <v>69.5</v>
      </c>
      <c r="T368" s="3" t="s">
        <v>366</v>
      </c>
      <c r="V368" s="4"/>
      <c r="W368" s="4"/>
      <c r="X368" s="56"/>
      <c r="Y368" s="3">
        <v>640017000</v>
      </c>
      <c r="AB368" s="3">
        <v>45</v>
      </c>
      <c r="AC368" s="56">
        <v>1</v>
      </c>
      <c r="AD368" s="376">
        <f>AC368*S368/12</f>
        <v>5.791666666666667</v>
      </c>
      <c r="AE368" s="3" t="s">
        <v>367</v>
      </c>
      <c r="AF368" s="38"/>
      <c r="AG368" s="38"/>
      <c r="AH368" s="477">
        <v>0</v>
      </c>
      <c r="AI368" s="39"/>
      <c r="AJ368" s="39"/>
      <c r="AK368" s="39"/>
      <c r="AL368" s="39">
        <f>AH368*AD368</f>
        <v>0</v>
      </c>
      <c r="AQ368" s="139"/>
      <c r="AR368" s="139"/>
      <c r="AS368" s="139"/>
      <c r="AT368" s="139"/>
      <c r="AU368" s="139"/>
    </row>
    <row r="369" spans="1:50" ht="15" customHeight="1" x14ac:dyDescent="0.4">
      <c r="G369" s="3"/>
      <c r="L369" s="5"/>
      <c r="Q369" s="3"/>
      <c r="R369" s="5"/>
      <c r="V369" s="4"/>
      <c r="W369" s="4"/>
      <c r="X369" s="56"/>
      <c r="AC369" s="56"/>
      <c r="AD369" s="376"/>
      <c r="AE369" s="3"/>
      <c r="AF369" s="38"/>
      <c r="AG369" s="38"/>
      <c r="AH369" s="477"/>
      <c r="AI369" s="39"/>
      <c r="AJ369" s="39"/>
      <c r="AK369" s="39"/>
      <c r="AQ369" s="139"/>
      <c r="AR369" s="139"/>
      <c r="AS369" s="139"/>
      <c r="AT369" s="139"/>
      <c r="AU369" s="139"/>
    </row>
    <row r="370" spans="1:50" ht="15" customHeight="1" x14ac:dyDescent="0.4">
      <c r="B370" s="8" t="s">
        <v>1350</v>
      </c>
      <c r="G370" s="3"/>
      <c r="I370" s="3" t="s">
        <v>365</v>
      </c>
      <c r="L370" s="5" t="s">
        <v>348</v>
      </c>
      <c r="M370" s="5">
        <v>-2</v>
      </c>
      <c r="Q370" s="3"/>
      <c r="R370" s="5" t="s">
        <v>352</v>
      </c>
      <c r="S370" s="5">
        <f>SLEQheight+M370</f>
        <v>45.5</v>
      </c>
      <c r="T370" s="3" t="s">
        <v>366</v>
      </c>
      <c r="V370" s="4"/>
      <c r="W370" s="4"/>
      <c r="X370" s="56"/>
      <c r="Y370" s="3">
        <v>640017000</v>
      </c>
      <c r="AB370" s="3">
        <v>45</v>
      </c>
      <c r="AC370" s="56">
        <v>2</v>
      </c>
      <c r="AD370" s="376">
        <f>AC370*S370/12</f>
        <v>7.583333333333333</v>
      </c>
      <c r="AE370" s="3" t="s">
        <v>367</v>
      </c>
      <c r="AF370" s="38"/>
      <c r="AG370" s="38"/>
      <c r="AH370" s="477">
        <v>0</v>
      </c>
      <c r="AI370" s="39"/>
      <c r="AJ370" s="39"/>
      <c r="AK370" s="39"/>
      <c r="AL370" s="39">
        <f>AH370*AD370</f>
        <v>0</v>
      </c>
      <c r="AQ370" s="139"/>
      <c r="AR370" s="139"/>
      <c r="AS370" s="139"/>
      <c r="AT370" s="139"/>
      <c r="AU370" s="139"/>
    </row>
    <row r="371" spans="1:50" ht="15" customHeight="1" thickBot="1" x14ac:dyDescent="0.45">
      <c r="B371" s="968"/>
      <c r="C371" s="949"/>
      <c r="D371" s="968"/>
      <c r="E371" s="968"/>
      <c r="F371" s="968"/>
      <c r="G371" s="889"/>
      <c r="H371" s="948"/>
      <c r="I371" s="889"/>
      <c r="J371" s="889"/>
      <c r="K371" s="889"/>
      <c r="L371" s="945"/>
      <c r="M371" s="945"/>
      <c r="N371" s="945"/>
      <c r="O371" s="945"/>
      <c r="P371" s="945"/>
      <c r="Q371" s="889"/>
      <c r="R371" s="945"/>
      <c r="S371" s="945"/>
      <c r="T371" s="889"/>
      <c r="U371" s="948"/>
      <c r="V371" s="968"/>
      <c r="W371" s="968"/>
      <c r="X371" s="1156"/>
      <c r="Y371" s="889"/>
      <c r="Z371" s="889"/>
      <c r="AA371" s="948"/>
      <c r="AB371" s="889"/>
      <c r="AC371" s="1156"/>
      <c r="AD371" s="970"/>
      <c r="AE371" s="889"/>
      <c r="AF371" s="888"/>
      <c r="AG371" s="888"/>
      <c r="AH371" s="1157"/>
      <c r="AI371" s="947"/>
      <c r="AJ371" s="947"/>
      <c r="AK371" s="947"/>
      <c r="AL371" s="947"/>
      <c r="AM371" s="889"/>
      <c r="AN371" s="889"/>
      <c r="AO371" s="889"/>
      <c r="AP371" s="889"/>
      <c r="AQ371" s="1163"/>
      <c r="AR371" s="139"/>
      <c r="AS371" s="139"/>
      <c r="AT371" s="139"/>
      <c r="AU371" s="139"/>
    </row>
    <row r="372" spans="1:50" ht="15" customHeight="1" x14ac:dyDescent="0.4">
      <c r="B372" s="4" t="s">
        <v>1247</v>
      </c>
      <c r="G372" s="3"/>
      <c r="I372" s="3" t="s">
        <v>365</v>
      </c>
      <c r="L372" s="5" t="s">
        <v>348</v>
      </c>
      <c r="M372" s="5">
        <v>-4</v>
      </c>
      <c r="Q372" s="3"/>
      <c r="R372" s="5" t="s">
        <v>352</v>
      </c>
      <c r="S372" s="5">
        <f>SLEQheight+M372</f>
        <v>43.5</v>
      </c>
      <c r="T372" s="3" t="s">
        <v>366</v>
      </c>
      <c r="V372" s="4"/>
      <c r="W372" s="4"/>
      <c r="X372" s="56"/>
      <c r="Y372" s="3">
        <v>640024000</v>
      </c>
      <c r="AB372" s="3">
        <v>45</v>
      </c>
      <c r="AC372" s="56">
        <v>2</v>
      </c>
      <c r="AD372" s="376">
        <f>AC372*S372/12</f>
        <v>7.25</v>
      </c>
      <c r="AE372" s="3" t="s">
        <v>367</v>
      </c>
      <c r="AF372" s="38"/>
      <c r="AG372" s="38"/>
      <c r="AH372" s="477">
        <v>0.1118</v>
      </c>
      <c r="AI372" s="39"/>
      <c r="AJ372" s="39"/>
      <c r="AK372" s="39"/>
      <c r="AL372" s="39">
        <f>AH372*AD372</f>
        <v>0.81054999999999999</v>
      </c>
      <c r="AQ372" s="139"/>
      <c r="AR372" s="139"/>
      <c r="AS372" s="139"/>
      <c r="AT372" s="139"/>
      <c r="AU372" s="139"/>
    </row>
    <row r="373" spans="1:50" ht="15" customHeight="1" x14ac:dyDescent="0.4">
      <c r="C373" s="4"/>
      <c r="G373" s="3"/>
      <c r="L373" s="5"/>
      <c r="Q373" s="3"/>
      <c r="R373" s="5"/>
      <c r="V373" s="4"/>
      <c r="W373" s="4"/>
      <c r="X373" s="56"/>
      <c r="AC373" s="56"/>
      <c r="AD373" s="376"/>
      <c r="AE373" s="3"/>
      <c r="AF373" s="38"/>
      <c r="AG373" s="38"/>
      <c r="AH373" s="477"/>
      <c r="AI373" s="39"/>
      <c r="AJ373" s="39"/>
      <c r="AK373" s="39"/>
      <c r="AQ373" s="139"/>
      <c r="AR373" s="139"/>
      <c r="AS373" s="139"/>
      <c r="AT373" s="139"/>
      <c r="AU373" s="139"/>
    </row>
    <row r="374" spans="1:50" ht="15" customHeight="1" x14ac:dyDescent="0.4">
      <c r="C374" s="4"/>
      <c r="G374" s="3"/>
      <c r="L374" s="5"/>
      <c r="Q374" s="3"/>
      <c r="R374" s="5"/>
      <c r="V374" s="4"/>
      <c r="W374" s="4"/>
      <c r="X374" s="56"/>
      <c r="AC374" s="56"/>
      <c r="AD374" s="376"/>
      <c r="AE374" s="3"/>
      <c r="AF374" s="38"/>
      <c r="AG374" s="38"/>
      <c r="AH374" s="477"/>
      <c r="AI374" s="39"/>
      <c r="AJ374" s="39"/>
      <c r="AK374" s="39"/>
      <c r="AQ374" s="139"/>
      <c r="AR374" s="139"/>
      <c r="AS374" s="139"/>
      <c r="AT374" s="139"/>
      <c r="AU374" s="139"/>
    </row>
    <row r="375" spans="1:50" ht="15" customHeight="1" thickBot="1" x14ac:dyDescent="0.45">
      <c r="B375" s="1194" t="s">
        <v>549</v>
      </c>
      <c r="C375" s="1195"/>
      <c r="D375" s="1195"/>
      <c r="E375" s="1195"/>
      <c r="F375" s="1195"/>
      <c r="G375" s="1195"/>
      <c r="H375" s="1196"/>
      <c r="I375" s="1196"/>
      <c r="J375" s="1196"/>
      <c r="K375" s="1196"/>
      <c r="L375" s="1196"/>
      <c r="M375" s="1197"/>
      <c r="N375" s="1197"/>
      <c r="O375" s="1197"/>
      <c r="P375" s="1197"/>
      <c r="Q375" s="1197"/>
      <c r="R375" s="1196"/>
      <c r="S375" s="1197"/>
      <c r="T375" s="1196"/>
      <c r="U375" s="1196"/>
      <c r="V375" s="1195"/>
      <c r="W375" s="1195"/>
      <c r="X375" s="1195"/>
      <c r="Y375" s="1198"/>
      <c r="Z375" s="1198"/>
      <c r="AA375" s="1196"/>
      <c r="AB375" s="1198"/>
      <c r="AC375" s="1196"/>
      <c r="AD375" s="1197"/>
      <c r="AE375" s="1196"/>
      <c r="AF375" s="1196"/>
      <c r="AG375" s="1196"/>
      <c r="AH375" s="904"/>
      <c r="AI375" s="904"/>
      <c r="AJ375" s="904"/>
      <c r="AK375" s="904"/>
      <c r="AL375" s="904"/>
      <c r="AM375" s="904"/>
      <c r="AN375" s="904"/>
      <c r="AO375" s="904"/>
      <c r="AP375" s="904"/>
      <c r="AQ375" s="904"/>
      <c r="AR375" s="139"/>
      <c r="AS375" s="139"/>
      <c r="AT375" s="139"/>
      <c r="AU375" s="139"/>
    </row>
    <row r="376" spans="1:50" ht="15" customHeight="1" x14ac:dyDescent="0.4">
      <c r="B376" s="181" t="s">
        <v>1248</v>
      </c>
      <c r="C376" s="181"/>
      <c r="D376" s="964"/>
      <c r="E376" s="182"/>
      <c r="F376" s="182"/>
      <c r="G376" s="173"/>
      <c r="H376" s="175"/>
      <c r="I376" s="116"/>
      <c r="J376" s="116"/>
      <c r="K376" s="116"/>
      <c r="L376" s="116"/>
      <c r="M376" s="177"/>
      <c r="N376" s="177"/>
      <c r="O376" s="177"/>
      <c r="P376" s="177"/>
      <c r="Q376" s="177"/>
      <c r="R376" s="177" t="s">
        <v>352</v>
      </c>
      <c r="S376" s="198">
        <v>2</v>
      </c>
      <c r="T376" s="116" t="s">
        <v>385</v>
      </c>
      <c r="U376" s="175"/>
      <c r="V376" s="179"/>
      <c r="W376" s="116"/>
      <c r="X376" s="179"/>
      <c r="Y376" s="184"/>
      <c r="Z376" s="184"/>
      <c r="AA376" s="175"/>
      <c r="AB376" s="116">
        <v>45</v>
      </c>
      <c r="AC376" s="116">
        <v>4</v>
      </c>
      <c r="AD376" s="177">
        <v>4</v>
      </c>
      <c r="AE376" s="116" t="s">
        <v>385</v>
      </c>
      <c r="AF376" s="179" t="s">
        <v>8</v>
      </c>
      <c r="AG376" s="179" t="s">
        <v>8</v>
      </c>
      <c r="AH376" s="185"/>
      <c r="AI376" s="180"/>
      <c r="AJ376" s="180"/>
      <c r="AK376" s="180"/>
      <c r="AL376" s="180"/>
      <c r="AM376" s="116"/>
      <c r="AN376" s="116"/>
      <c r="AO376" s="116"/>
      <c r="AP376" s="116"/>
      <c r="AQ376" s="116"/>
      <c r="AT376" s="140"/>
      <c r="AU376" s="140"/>
      <c r="AV376" s="139"/>
      <c r="AW376" s="139"/>
      <c r="AX376" s="139"/>
    </row>
    <row r="377" spans="1:50" ht="15" customHeight="1" x14ac:dyDescent="0.4">
      <c r="B377" s="36"/>
      <c r="C377" s="36"/>
      <c r="D377" s="447"/>
      <c r="E377" s="155"/>
      <c r="F377" s="155"/>
      <c r="G377" s="7"/>
      <c r="H377" s="20"/>
      <c r="T377" s="42"/>
      <c r="U377" s="20"/>
      <c r="V377" s="38"/>
      <c r="X377" s="38"/>
      <c r="Y377" s="41"/>
      <c r="Z377" s="41"/>
      <c r="AA377" s="20"/>
      <c r="AE377" s="3"/>
      <c r="AF377" s="38"/>
      <c r="AG377" s="38"/>
      <c r="AI377" s="39"/>
      <c r="AJ377" s="39"/>
      <c r="AK377" s="39"/>
      <c r="AT377" s="140"/>
      <c r="AU377" s="140"/>
      <c r="AV377" s="139"/>
      <c r="AW377" s="139"/>
      <c r="AX377" s="139"/>
    </row>
    <row r="378" spans="1:50" ht="15" customHeight="1" x14ac:dyDescent="0.4">
      <c r="B378" s="36"/>
      <c r="C378" s="36"/>
      <c r="D378" s="447"/>
      <c r="E378" s="155"/>
      <c r="F378" s="155"/>
      <c r="G378" s="7"/>
      <c r="H378" s="20"/>
      <c r="T378" s="42" t="s">
        <v>552</v>
      </c>
      <c r="U378" s="20"/>
      <c r="V378" s="38" t="s">
        <v>369</v>
      </c>
      <c r="W378" s="3" t="s">
        <v>405</v>
      </c>
      <c r="X378" s="38" t="s">
        <v>369</v>
      </c>
      <c r="Y378" s="41">
        <v>600141010</v>
      </c>
      <c r="Z378" s="41"/>
      <c r="AA378" s="20"/>
      <c r="AE378" s="3"/>
      <c r="AF378" s="38"/>
      <c r="AG378" s="38"/>
      <c r="AH378" s="51">
        <f>'Single Hung'!AI495</f>
        <v>0.01</v>
      </c>
      <c r="AI378" s="39"/>
      <c r="AJ378" s="39"/>
      <c r="AK378" s="39"/>
      <c r="AL378" s="39">
        <f>AD$376*AH378+SUM(AI378:AK378)</f>
        <v>0.04</v>
      </c>
      <c r="AT378" s="140"/>
      <c r="AU378" s="140"/>
      <c r="AV378" s="139"/>
      <c r="AW378" s="139"/>
      <c r="AX378" s="139"/>
    </row>
    <row r="379" spans="1:50" ht="15" customHeight="1" thickBot="1" x14ac:dyDescent="0.45">
      <c r="B379" s="943"/>
      <c r="C379" s="943"/>
      <c r="D379" s="944"/>
      <c r="E379" s="925"/>
      <c r="F379" s="925"/>
      <c r="G379" s="924"/>
      <c r="H379" s="887"/>
      <c r="I379" s="889"/>
      <c r="J379" s="889"/>
      <c r="K379" s="889"/>
      <c r="L379" s="889"/>
      <c r="M379" s="945"/>
      <c r="N379" s="945"/>
      <c r="O379" s="945"/>
      <c r="P379" s="945"/>
      <c r="Q379" s="945"/>
      <c r="R379" s="889"/>
      <c r="S379" s="945"/>
      <c r="T379" s="1154" t="s">
        <v>553</v>
      </c>
      <c r="U379" s="20"/>
      <c r="V379" s="888" t="s">
        <v>369</v>
      </c>
      <c r="W379" s="889" t="s">
        <v>375</v>
      </c>
      <c r="X379" s="888" t="s">
        <v>369</v>
      </c>
      <c r="Y379" s="946">
        <v>600141012</v>
      </c>
      <c r="Z379" s="946"/>
      <c r="AA379" s="887"/>
      <c r="AB379" s="889"/>
      <c r="AC379" s="889"/>
      <c r="AD379" s="945"/>
      <c r="AE379" s="889"/>
      <c r="AF379" s="888"/>
      <c r="AG379" s="888"/>
      <c r="AH379" s="937">
        <f>'Single Hung'!AI496</f>
        <v>0.01</v>
      </c>
      <c r="AI379" s="947"/>
      <c r="AJ379" s="947"/>
      <c r="AK379" s="947"/>
      <c r="AL379" s="947">
        <f>AD$376*AH379+SUM(AI379:AK379)</f>
        <v>0.04</v>
      </c>
      <c r="AM379" s="889"/>
      <c r="AN379" s="889"/>
      <c r="AO379" s="889"/>
      <c r="AP379" s="889"/>
      <c r="AQ379" s="889"/>
      <c r="AT379" s="140"/>
      <c r="AU379" s="140"/>
      <c r="AV379" s="139"/>
      <c r="AW379" s="139"/>
      <c r="AX379" s="139"/>
    </row>
    <row r="380" spans="1:50" ht="15" customHeight="1" x14ac:dyDescent="0.4">
      <c r="A380" s="3" t="s">
        <v>473</v>
      </c>
      <c r="B380" s="173" t="s">
        <v>554</v>
      </c>
      <c r="C380" s="173"/>
      <c r="D380" s="173"/>
      <c r="E380" s="173"/>
      <c r="F380" s="173"/>
      <c r="G380" s="173"/>
      <c r="H380" s="193"/>
      <c r="I380" s="448" t="s">
        <v>461</v>
      </c>
      <c r="J380" s="116"/>
      <c r="K380" s="116" t="s">
        <v>365</v>
      </c>
      <c r="L380" s="116" t="s">
        <v>465</v>
      </c>
      <c r="M380" s="178">
        <v>25</v>
      </c>
      <c r="N380" s="177"/>
      <c r="O380" s="177"/>
      <c r="P380" s="177"/>
      <c r="Q380" s="177"/>
      <c r="R380" s="177" t="s">
        <v>352</v>
      </c>
      <c r="S380" s="198">
        <v>1</v>
      </c>
      <c r="T380" s="116" t="s">
        <v>385</v>
      </c>
      <c r="U380" s="193"/>
      <c r="V380" s="138"/>
      <c r="W380" s="138"/>
      <c r="X380" s="138"/>
      <c r="Y380" s="116"/>
      <c r="Z380" s="116"/>
      <c r="AA380" s="193"/>
      <c r="AB380" s="3">
        <v>42</v>
      </c>
      <c r="AC380" s="56">
        <f>IF(SLEQheight&lt;M380,2,4)</f>
        <v>4</v>
      </c>
      <c r="AD380" s="56">
        <f>AC380</f>
        <v>4</v>
      </c>
      <c r="AE380" s="3" t="s">
        <v>385</v>
      </c>
      <c r="AF380" s="3"/>
      <c r="AH380" s="39"/>
      <c r="AL380" s="39">
        <f>AH380*AD380</f>
        <v>0</v>
      </c>
      <c r="AQ380" s="139"/>
      <c r="AR380" s="139"/>
      <c r="AS380" s="139"/>
      <c r="AT380" s="139"/>
      <c r="AU380" s="139"/>
    </row>
    <row r="381" spans="1:50" ht="15" customHeight="1" x14ac:dyDescent="0.4">
      <c r="B381" s="7"/>
      <c r="C381" s="7"/>
      <c r="D381" s="7"/>
      <c r="E381" s="7"/>
      <c r="F381" s="7"/>
      <c r="G381" s="7"/>
      <c r="I381" s="36" t="s">
        <v>464</v>
      </c>
      <c r="J381" s="38"/>
      <c r="K381" s="3" t="s">
        <v>365</v>
      </c>
      <c r="L381" s="3" t="s">
        <v>463</v>
      </c>
      <c r="M381" s="5">
        <f>M380</f>
        <v>25</v>
      </c>
      <c r="R381" s="3" t="s">
        <v>352</v>
      </c>
      <c r="S381" s="56">
        <v>2</v>
      </c>
      <c r="V381" s="38" t="s">
        <v>369</v>
      </c>
      <c r="W381" s="3" t="s">
        <v>370</v>
      </c>
      <c r="X381" s="38" t="s">
        <v>369</v>
      </c>
      <c r="Y381" s="41" t="s">
        <v>555</v>
      </c>
      <c r="Z381" s="41"/>
      <c r="AC381" s="56"/>
      <c r="AD381" s="56"/>
      <c r="AE381" s="3"/>
      <c r="AF381" s="3"/>
      <c r="AH381" s="51">
        <v>0.09</v>
      </c>
      <c r="AQ381" s="139"/>
      <c r="AR381" s="139"/>
      <c r="AS381" s="139"/>
      <c r="AT381" s="139"/>
      <c r="AU381" s="139"/>
    </row>
    <row r="382" spans="1:50" ht="15" customHeight="1" x14ac:dyDescent="0.4">
      <c r="B382" s="7"/>
      <c r="C382" s="7"/>
      <c r="D382" s="7"/>
      <c r="E382" s="7"/>
      <c r="F382" s="7"/>
      <c r="G382" s="7"/>
      <c r="S382" s="5" t="s">
        <v>1351</v>
      </c>
      <c r="V382" s="38" t="s">
        <v>369</v>
      </c>
      <c r="W382" s="3" t="s">
        <v>372</v>
      </c>
      <c r="X382" s="38" t="s">
        <v>369</v>
      </c>
      <c r="Y382" s="41">
        <v>420130021</v>
      </c>
      <c r="Z382" s="41"/>
      <c r="AC382" s="56"/>
      <c r="AD382" s="56"/>
      <c r="AE382" s="3"/>
      <c r="AF382" s="3"/>
      <c r="AH382" s="51">
        <f>AH381</f>
        <v>0.09</v>
      </c>
      <c r="AI382" s="39"/>
      <c r="AJ382" s="39"/>
      <c r="AK382" s="39"/>
      <c r="AQ382" s="139"/>
      <c r="AR382" s="139"/>
      <c r="AS382" s="139"/>
      <c r="AT382" s="139"/>
      <c r="AU382" s="139"/>
    </row>
    <row r="383" spans="1:50" ht="15" customHeight="1" x14ac:dyDescent="0.4">
      <c r="B383" s="7"/>
      <c r="C383" s="7"/>
      <c r="D383" s="7"/>
      <c r="E383" s="7"/>
      <c r="F383" s="7"/>
      <c r="G383" s="7"/>
      <c r="V383" s="38" t="s">
        <v>369</v>
      </c>
      <c r="W383" s="3" t="s">
        <v>373</v>
      </c>
      <c r="X383" s="38" t="s">
        <v>369</v>
      </c>
      <c r="Y383" s="41" t="s">
        <v>556</v>
      </c>
      <c r="Z383" s="41"/>
      <c r="AC383" s="56"/>
      <c r="AD383" s="56"/>
      <c r="AE383" s="3"/>
      <c r="AF383" s="3"/>
      <c r="AH383" s="51">
        <f>AH382</f>
        <v>0.09</v>
      </c>
      <c r="AI383" s="39"/>
      <c r="AJ383" s="39"/>
      <c r="AK383" s="39"/>
      <c r="AQ383" s="139"/>
      <c r="AR383" s="139"/>
      <c r="AS383" s="139"/>
      <c r="AT383" s="139"/>
      <c r="AU383" s="139"/>
    </row>
    <row r="384" spans="1:50" ht="15" customHeight="1" thickBot="1" x14ac:dyDescent="0.45">
      <c r="B384" s="924"/>
      <c r="C384" s="924"/>
      <c r="D384" s="924"/>
      <c r="E384" s="924"/>
      <c r="F384" s="924"/>
      <c r="G384" s="924"/>
      <c r="H384" s="948"/>
      <c r="I384" s="889"/>
      <c r="J384" s="889"/>
      <c r="K384" s="889"/>
      <c r="L384" s="889"/>
      <c r="M384" s="945"/>
      <c r="N384" s="945"/>
      <c r="O384" s="945"/>
      <c r="P384" s="945"/>
      <c r="Q384" s="945"/>
      <c r="R384" s="889"/>
      <c r="S384" s="945"/>
      <c r="T384" s="889"/>
      <c r="U384" s="948"/>
      <c r="V384" s="888" t="s">
        <v>369</v>
      </c>
      <c r="W384" s="889" t="s">
        <v>375</v>
      </c>
      <c r="X384" s="888" t="s">
        <v>369</v>
      </c>
      <c r="Y384" s="946">
        <v>420130133</v>
      </c>
      <c r="Z384" s="946"/>
      <c r="AA384" s="948"/>
      <c r="AB384" s="889"/>
      <c r="AC384" s="1156"/>
      <c r="AD384" s="1156"/>
      <c r="AE384" s="889"/>
      <c r="AF384" s="889"/>
      <c r="AG384" s="945"/>
      <c r="AH384" s="937"/>
      <c r="AI384" s="947"/>
      <c r="AJ384" s="947"/>
      <c r="AK384" s="947"/>
      <c r="AL384" s="947"/>
      <c r="AM384" s="889"/>
      <c r="AN384" s="889"/>
      <c r="AO384" s="889"/>
      <c r="AP384" s="889"/>
      <c r="AQ384" s="1163"/>
      <c r="AR384" s="139"/>
      <c r="AS384" s="139"/>
      <c r="AT384" s="139"/>
      <c r="AU384" s="139"/>
    </row>
    <row r="385" spans="2:54" ht="15" customHeight="1" x14ac:dyDescent="0.4">
      <c r="B385" s="7" t="s">
        <v>1249</v>
      </c>
      <c r="C385" s="7"/>
      <c r="D385" s="7"/>
      <c r="E385" s="7"/>
      <c r="F385" s="7"/>
      <c r="G385" s="7"/>
      <c r="I385" s="500" t="s">
        <v>461</v>
      </c>
      <c r="K385" s="3" t="s">
        <v>365</v>
      </c>
      <c r="L385" s="3" t="s">
        <v>465</v>
      </c>
      <c r="M385" s="24">
        <v>25</v>
      </c>
      <c r="R385" s="5" t="s">
        <v>352</v>
      </c>
      <c r="S385" s="56">
        <v>1</v>
      </c>
      <c r="T385" s="3" t="s">
        <v>385</v>
      </c>
      <c r="V385" s="4"/>
      <c r="W385" s="4"/>
      <c r="X385" s="4"/>
      <c r="AB385" s="3">
        <v>45</v>
      </c>
      <c r="AC385" s="56">
        <f>IF(SLEQheight&lt;M385,2,4)</f>
        <v>4</v>
      </c>
      <c r="AD385" s="56">
        <f>AC385</f>
        <v>4</v>
      </c>
      <c r="AE385" s="3" t="s">
        <v>385</v>
      </c>
      <c r="AF385" s="38" t="s">
        <v>8</v>
      </c>
      <c r="AG385" s="38" t="s">
        <v>8</v>
      </c>
      <c r="AH385" s="39"/>
      <c r="AI385" s="39"/>
      <c r="AJ385" s="39"/>
      <c r="AK385" s="39"/>
      <c r="AQ385" s="139"/>
      <c r="AR385" s="139"/>
      <c r="AS385" s="139"/>
      <c r="AT385" s="139"/>
      <c r="AU385" s="139"/>
    </row>
    <row r="386" spans="2:54" ht="15" customHeight="1" x14ac:dyDescent="0.4">
      <c r="B386" s="7"/>
      <c r="C386" s="7"/>
      <c r="D386" s="7"/>
      <c r="E386" s="7"/>
      <c r="F386" s="7"/>
      <c r="G386" s="7"/>
      <c r="I386" s="36" t="s">
        <v>464</v>
      </c>
      <c r="J386" s="38"/>
      <c r="K386" s="3" t="s">
        <v>365</v>
      </c>
      <c r="L386" s="3" t="s">
        <v>463</v>
      </c>
      <c r="M386" s="5">
        <f>M385</f>
        <v>25</v>
      </c>
      <c r="R386" s="3" t="s">
        <v>352</v>
      </c>
      <c r="S386" s="56">
        <v>2</v>
      </c>
      <c r="V386" s="38" t="s">
        <v>369</v>
      </c>
      <c r="W386" s="3" t="s">
        <v>370</v>
      </c>
      <c r="X386" s="38" t="s">
        <v>369</v>
      </c>
      <c r="Y386" s="41">
        <v>420147003</v>
      </c>
      <c r="Z386" s="41"/>
      <c r="AF386" s="3"/>
      <c r="AH386" s="51">
        <v>0.39</v>
      </c>
      <c r="AI386" s="39"/>
      <c r="AJ386" s="39"/>
      <c r="AK386" s="39"/>
      <c r="AL386" s="39">
        <f>AH386*AD385</f>
        <v>1.56</v>
      </c>
      <c r="AQ386" s="139"/>
      <c r="AR386" s="139"/>
      <c r="AS386" s="139"/>
      <c r="AT386" s="139"/>
      <c r="AU386" s="139"/>
    </row>
    <row r="387" spans="2:54" ht="15" customHeight="1" x14ac:dyDescent="0.4">
      <c r="B387" s="7"/>
      <c r="C387" s="7"/>
      <c r="D387" s="7"/>
      <c r="E387" s="7"/>
      <c r="F387" s="7"/>
      <c r="G387" s="7"/>
      <c r="S387" s="5" t="s">
        <v>1351</v>
      </c>
      <c r="V387" s="38" t="s">
        <v>369</v>
      </c>
      <c r="W387" s="3" t="s">
        <v>372</v>
      </c>
      <c r="X387" s="38" t="s">
        <v>369</v>
      </c>
      <c r="Y387" s="41">
        <v>420147021</v>
      </c>
      <c r="Z387" s="41"/>
      <c r="AC387" s="56"/>
      <c r="AD387" s="56"/>
      <c r="AE387" s="3"/>
      <c r="AF387" s="3"/>
      <c r="AH387" s="51">
        <v>0.39</v>
      </c>
      <c r="AI387" s="39"/>
      <c r="AJ387" s="39"/>
      <c r="AK387" s="39"/>
      <c r="AL387" s="39">
        <f>AH387*AD385</f>
        <v>1.56</v>
      </c>
      <c r="AQ387" s="139"/>
      <c r="AR387" s="139"/>
      <c r="AS387" s="139"/>
      <c r="AT387" s="139"/>
      <c r="AU387" s="139"/>
    </row>
    <row r="388" spans="2:54" ht="15" customHeight="1" x14ac:dyDescent="0.4">
      <c r="B388" s="7"/>
      <c r="C388" s="7"/>
      <c r="D388" s="7"/>
      <c r="E388" s="7"/>
      <c r="F388" s="7"/>
      <c r="G388" s="7"/>
      <c r="V388" s="38" t="s">
        <v>369</v>
      </c>
      <c r="W388" s="3" t="s">
        <v>373</v>
      </c>
      <c r="X388" s="38" t="s">
        <v>369</v>
      </c>
      <c r="Y388" s="41">
        <v>420147033</v>
      </c>
      <c r="Z388" s="41"/>
      <c r="AC388" s="56"/>
      <c r="AD388" s="56"/>
      <c r="AE388" s="3"/>
      <c r="AF388" s="3"/>
      <c r="AH388" s="51">
        <v>0.39</v>
      </c>
      <c r="AI388" s="39"/>
      <c r="AJ388" s="39"/>
      <c r="AK388" s="39"/>
      <c r="AL388" s="39">
        <f>AH388*AD385</f>
        <v>1.56</v>
      </c>
      <c r="AQ388" s="139"/>
      <c r="AR388" s="139"/>
      <c r="AS388" s="139"/>
      <c r="AT388" s="139"/>
      <c r="AU388" s="139"/>
    </row>
    <row r="389" spans="2:54" ht="15" customHeight="1" thickBot="1" x14ac:dyDescent="0.45">
      <c r="B389" s="924"/>
      <c r="C389" s="924"/>
      <c r="D389" s="924"/>
      <c r="E389" s="924"/>
      <c r="F389" s="924"/>
      <c r="G389" s="924"/>
      <c r="H389" s="948"/>
      <c r="I389" s="889"/>
      <c r="J389" s="889"/>
      <c r="K389" s="889"/>
      <c r="L389" s="889"/>
      <c r="M389" s="945"/>
      <c r="N389" s="945"/>
      <c r="O389" s="945"/>
      <c r="P389" s="945"/>
      <c r="Q389" s="945"/>
      <c r="R389" s="889"/>
      <c r="S389" s="945"/>
      <c r="T389" s="889"/>
      <c r="U389" s="948"/>
      <c r="V389" s="888" t="s">
        <v>369</v>
      </c>
      <c r="W389" s="889" t="s">
        <v>375</v>
      </c>
      <c r="X389" s="888" t="s">
        <v>369</v>
      </c>
      <c r="Y389" s="946">
        <v>420147133</v>
      </c>
      <c r="Z389" s="946"/>
      <c r="AA389" s="948"/>
      <c r="AB389" s="889"/>
      <c r="AC389" s="1156"/>
      <c r="AD389" s="1156"/>
      <c r="AE389" s="889"/>
      <c r="AF389" s="889"/>
      <c r="AG389" s="945"/>
      <c r="AH389" s="937"/>
      <c r="AI389" s="947"/>
      <c r="AJ389" s="947"/>
      <c r="AK389" s="947"/>
      <c r="AL389" s="947"/>
      <c r="AM389" s="889"/>
      <c r="AN389" s="889"/>
      <c r="AO389" s="889"/>
      <c r="AP389" s="889"/>
      <c r="AQ389" s="1163"/>
      <c r="AR389" s="139"/>
      <c r="AS389" s="139"/>
      <c r="AT389" s="139"/>
      <c r="AU389" s="139"/>
    </row>
    <row r="390" spans="2:54" ht="15" customHeight="1" x14ac:dyDescent="0.4">
      <c r="B390" s="173" t="s">
        <v>1250</v>
      </c>
      <c r="C390" s="173"/>
      <c r="D390" s="116"/>
      <c r="E390" s="173"/>
      <c r="F390" s="173"/>
      <c r="G390" s="173"/>
      <c r="H390" s="193"/>
      <c r="I390" s="114"/>
      <c r="J390" s="116"/>
      <c r="K390" s="116"/>
      <c r="L390" s="116"/>
      <c r="M390" s="177"/>
      <c r="N390" s="177"/>
      <c r="O390" s="177"/>
      <c r="P390" s="177"/>
      <c r="Q390" s="177"/>
      <c r="R390" s="116"/>
      <c r="S390" s="198">
        <v>2</v>
      </c>
      <c r="T390" s="116" t="s">
        <v>385</v>
      </c>
      <c r="U390" s="193"/>
      <c r="V390" s="179"/>
      <c r="W390" s="116"/>
      <c r="X390" s="179"/>
      <c r="Y390" s="116"/>
      <c r="Z390" s="116"/>
      <c r="AA390" s="193"/>
      <c r="AB390" s="116">
        <v>42</v>
      </c>
      <c r="AC390" s="198">
        <f>AC380</f>
        <v>4</v>
      </c>
      <c r="AD390" s="116">
        <f>AC390*S390</f>
        <v>8</v>
      </c>
      <c r="AE390" s="116" t="s">
        <v>385</v>
      </c>
      <c r="AF390" s="179" t="s">
        <v>8</v>
      </c>
      <c r="AG390" s="179"/>
      <c r="AH390" s="180"/>
      <c r="AI390" s="180"/>
      <c r="AJ390" s="180"/>
      <c r="AK390" s="180"/>
      <c r="AL390" s="180">
        <f>AH390*AD390</f>
        <v>0</v>
      </c>
      <c r="AM390" s="116"/>
      <c r="AN390" s="116"/>
      <c r="AO390" s="116"/>
      <c r="AP390" s="116"/>
      <c r="AQ390" s="1898"/>
      <c r="AR390" s="139"/>
      <c r="AS390" s="139"/>
      <c r="AT390" s="139"/>
      <c r="AU390" s="139"/>
    </row>
    <row r="391" spans="2:54" ht="15" customHeight="1" x14ac:dyDescent="0.4">
      <c r="B391" s="7"/>
      <c r="C391" s="7"/>
      <c r="D391" s="7"/>
      <c r="E391" s="7"/>
      <c r="F391" s="7"/>
      <c r="G391" s="7"/>
      <c r="I391" s="8"/>
      <c r="R391" s="461"/>
      <c r="S391" s="56" t="s">
        <v>1352</v>
      </c>
      <c r="V391" s="38" t="s">
        <v>369</v>
      </c>
      <c r="W391" s="3" t="s">
        <v>370</v>
      </c>
      <c r="X391" s="38" t="s">
        <v>369</v>
      </c>
      <c r="Y391" s="41" t="s">
        <v>560</v>
      </c>
      <c r="Z391" s="41"/>
      <c r="AC391" s="56"/>
      <c r="AD391" s="3"/>
      <c r="AE391" s="3"/>
      <c r="AF391" s="38"/>
      <c r="AG391" s="38"/>
      <c r="AH391" s="51">
        <v>5.4999999999999997E-3</v>
      </c>
      <c r="AI391" s="39"/>
      <c r="AJ391" s="39"/>
      <c r="AK391" s="39"/>
      <c r="AQ391" s="139"/>
      <c r="AR391" s="139"/>
      <c r="AS391" s="139"/>
      <c r="AT391" s="139"/>
      <c r="AU391" s="139"/>
    </row>
    <row r="392" spans="2:54" ht="15" customHeight="1" x14ac:dyDescent="0.4">
      <c r="B392" s="7"/>
      <c r="C392" s="7"/>
      <c r="D392" s="3"/>
      <c r="E392" s="7"/>
      <c r="F392" s="7"/>
      <c r="G392" s="7"/>
      <c r="I392" s="8"/>
      <c r="S392" s="56"/>
      <c r="V392" s="38" t="s">
        <v>369</v>
      </c>
      <c r="W392" s="3" t="s">
        <v>372</v>
      </c>
      <c r="X392" s="38" t="s">
        <v>369</v>
      </c>
      <c r="Y392" s="41">
        <v>440030021</v>
      </c>
      <c r="Z392" s="41"/>
      <c r="AC392" s="56"/>
      <c r="AD392" s="3"/>
      <c r="AE392" s="3"/>
      <c r="AF392" s="38"/>
      <c r="AG392" s="38"/>
      <c r="AH392" s="51">
        <v>5.4999999999999997E-3</v>
      </c>
      <c r="AI392" s="39"/>
      <c r="AJ392" s="39"/>
      <c r="AK392" s="39"/>
      <c r="AQ392" s="139"/>
      <c r="AR392" s="139"/>
      <c r="AS392" s="139"/>
      <c r="AT392" s="139"/>
      <c r="AU392" s="139"/>
    </row>
    <row r="393" spans="2:54" ht="15" customHeight="1" thickBot="1" x14ac:dyDescent="0.45">
      <c r="B393" s="924"/>
      <c r="C393" s="924"/>
      <c r="D393" s="889"/>
      <c r="E393" s="924"/>
      <c r="F393" s="924"/>
      <c r="G393" s="924"/>
      <c r="H393" s="948"/>
      <c r="I393" s="949"/>
      <c r="J393" s="889"/>
      <c r="K393" s="889"/>
      <c r="L393" s="889"/>
      <c r="M393" s="945"/>
      <c r="N393" s="945"/>
      <c r="O393" s="945"/>
      <c r="P393" s="945"/>
      <c r="Q393" s="945"/>
      <c r="R393" s="889"/>
      <c r="S393" s="1156"/>
      <c r="T393" s="889"/>
      <c r="U393" s="948"/>
      <c r="V393" s="888" t="s">
        <v>369</v>
      </c>
      <c r="W393" s="889" t="s">
        <v>375</v>
      </c>
      <c r="X393" s="888" t="s">
        <v>369</v>
      </c>
      <c r="Y393" s="946">
        <v>440030133</v>
      </c>
      <c r="Z393" s="946"/>
      <c r="AA393" s="948"/>
      <c r="AB393" s="889"/>
      <c r="AC393" s="1156"/>
      <c r="AD393" s="889"/>
      <c r="AE393" s="889"/>
      <c r="AF393" s="888"/>
      <c r="AG393" s="888"/>
      <c r="AH393" s="937"/>
      <c r="AI393" s="947"/>
      <c r="AJ393" s="947"/>
      <c r="AK393" s="947"/>
      <c r="AL393" s="947"/>
      <c r="AM393" s="889"/>
      <c r="AN393" s="889"/>
      <c r="AO393" s="889"/>
      <c r="AP393" s="889"/>
      <c r="AQ393" s="1163"/>
      <c r="AR393" s="139"/>
      <c r="AS393" s="139"/>
      <c r="AT393" s="139"/>
      <c r="AU393" s="139"/>
    </row>
    <row r="394" spans="2:54" ht="15" customHeight="1" x14ac:dyDescent="0.4">
      <c r="B394" s="7" t="s">
        <v>2170</v>
      </c>
      <c r="C394" s="7"/>
      <c r="D394" s="3"/>
      <c r="E394" s="7"/>
      <c r="F394" s="7"/>
      <c r="G394" s="7"/>
      <c r="I394" s="8"/>
      <c r="S394" s="56"/>
      <c r="V394" s="38"/>
      <c r="X394" s="38"/>
      <c r="Y394" s="1443"/>
      <c r="Z394" s="1443"/>
      <c r="AC394" s="56"/>
      <c r="AD394" s="3"/>
      <c r="AE394" s="3"/>
      <c r="AF394" s="38"/>
      <c r="AG394" s="38"/>
      <c r="AI394" s="39"/>
      <c r="AJ394" s="39"/>
      <c r="AK394" s="39"/>
      <c r="AR394" s="139"/>
      <c r="AS394" s="139"/>
      <c r="AT394" s="139"/>
      <c r="AU394" s="139"/>
      <c r="AV394" s="139"/>
    </row>
    <row r="395" spans="2:54" ht="15" customHeight="1" x14ac:dyDescent="0.4">
      <c r="B395" s="3"/>
      <c r="C395" s="7" t="s">
        <v>2090</v>
      </c>
      <c r="D395" s="3"/>
      <c r="E395" s="7"/>
      <c r="F395" s="7"/>
      <c r="G395" s="7"/>
      <c r="I395" s="8"/>
      <c r="S395" s="56"/>
      <c r="V395" s="38" t="s">
        <v>369</v>
      </c>
      <c r="W395" s="3" t="s">
        <v>370</v>
      </c>
      <c r="X395" s="38" t="s">
        <v>369</v>
      </c>
      <c r="Y395" s="1443" t="s">
        <v>2370</v>
      </c>
      <c r="Z395" s="1443"/>
      <c r="AC395" s="56"/>
      <c r="AD395" s="3"/>
      <c r="AE395" s="3"/>
      <c r="AF395" s="38"/>
      <c r="AG395" s="38"/>
      <c r="AI395" s="39"/>
      <c r="AJ395" s="39"/>
      <c r="AK395" s="39"/>
      <c r="AR395" s="139"/>
      <c r="AS395" s="139"/>
      <c r="AT395" s="139"/>
      <c r="AU395" s="139"/>
      <c r="AV395" s="139"/>
    </row>
    <row r="396" spans="2:54" ht="15" customHeight="1" x14ac:dyDescent="0.4">
      <c r="B396" s="7"/>
      <c r="C396" s="7" t="s">
        <v>2171</v>
      </c>
      <c r="D396" s="3"/>
      <c r="E396" s="7"/>
      <c r="F396" s="7"/>
      <c r="G396" s="7"/>
      <c r="I396" s="8"/>
      <c r="S396" s="56"/>
      <c r="V396" s="38" t="s">
        <v>369</v>
      </c>
      <c r="W396" s="3" t="s">
        <v>372</v>
      </c>
      <c r="X396" s="38" t="s">
        <v>369</v>
      </c>
      <c r="Y396" s="1443">
        <v>420717021</v>
      </c>
      <c r="Z396" s="1443"/>
      <c r="AC396" s="56"/>
      <c r="AD396" s="3"/>
      <c r="AE396" s="3"/>
      <c r="AF396" s="38"/>
      <c r="AG396" s="38"/>
      <c r="AI396" s="39"/>
      <c r="AJ396" s="39"/>
      <c r="AK396" s="39"/>
      <c r="AR396" s="139"/>
      <c r="AS396" s="139"/>
      <c r="AT396" s="139"/>
      <c r="AU396" s="139"/>
      <c r="AV396" s="139"/>
    </row>
    <row r="397" spans="2:54" ht="15" customHeight="1" x14ac:dyDescent="0.4">
      <c r="B397" s="7"/>
      <c r="C397" s="7"/>
      <c r="D397" s="3"/>
      <c r="E397" s="7"/>
      <c r="F397" s="7"/>
      <c r="G397" s="7"/>
      <c r="I397" s="8"/>
      <c r="S397" s="56"/>
      <c r="V397" s="38" t="s">
        <v>369</v>
      </c>
      <c r="W397" s="3" t="s">
        <v>373</v>
      </c>
      <c r="X397" s="38" t="s">
        <v>369</v>
      </c>
      <c r="Y397" s="1443" t="s">
        <v>2371</v>
      </c>
      <c r="Z397" s="1443"/>
      <c r="AC397" s="56"/>
      <c r="AD397" s="3"/>
      <c r="AE397" s="3"/>
      <c r="AF397" s="38"/>
      <c r="AG397" s="38"/>
      <c r="AI397" s="39"/>
      <c r="AJ397" s="39"/>
      <c r="AK397" s="39"/>
      <c r="AR397" s="139"/>
      <c r="AS397" s="139"/>
      <c r="AT397" s="139"/>
      <c r="AU397" s="139"/>
      <c r="AV397" s="139"/>
    </row>
    <row r="398" spans="2:54" ht="15" customHeight="1" thickBot="1" x14ac:dyDescent="0.45">
      <c r="B398" s="924"/>
      <c r="C398" s="924"/>
      <c r="D398" s="889"/>
      <c r="E398" s="924"/>
      <c r="F398" s="924"/>
      <c r="G398" s="924"/>
      <c r="H398" s="948"/>
      <c r="I398" s="949"/>
      <c r="J398" s="889"/>
      <c r="K398" s="889"/>
      <c r="L398" s="889"/>
      <c r="M398" s="945"/>
      <c r="N398" s="945"/>
      <c r="O398" s="945"/>
      <c r="P398" s="945"/>
      <c r="Q398" s="945"/>
      <c r="R398" s="889"/>
      <c r="S398" s="1156"/>
      <c r="T398" s="889"/>
      <c r="U398" s="948"/>
      <c r="V398" s="888" t="s">
        <v>369</v>
      </c>
      <c r="W398" s="889" t="s">
        <v>375</v>
      </c>
      <c r="X398" s="888" t="s">
        <v>369</v>
      </c>
      <c r="Y398" s="1444">
        <v>420717133</v>
      </c>
      <c r="Z398" s="1444"/>
      <c r="AA398" s="948"/>
      <c r="AB398" s="889"/>
      <c r="AC398" s="1156"/>
      <c r="AD398" s="889"/>
      <c r="AE398" s="889"/>
      <c r="AF398" s="888"/>
      <c r="AG398" s="888"/>
      <c r="AH398" s="937"/>
      <c r="AI398" s="947"/>
      <c r="AJ398" s="947"/>
      <c r="AK398" s="947"/>
      <c r="AL398" s="947"/>
      <c r="AM398" s="889"/>
      <c r="AN398" s="889"/>
      <c r="AO398" s="889"/>
      <c r="AP398" s="889"/>
      <c r="AQ398" s="889"/>
      <c r="AR398" s="139"/>
      <c r="AS398" s="139"/>
      <c r="AT398" s="139"/>
      <c r="AU398" s="139"/>
      <c r="AV398" s="139"/>
    </row>
    <row r="399" spans="2:54" ht="15" customHeight="1" x14ac:dyDescent="0.4">
      <c r="B399" s="7" t="s">
        <v>2170</v>
      </c>
      <c r="C399" s="7"/>
      <c r="D399" s="3"/>
      <c r="E399" s="7"/>
      <c r="F399" s="7"/>
      <c r="G399" s="7"/>
      <c r="I399" s="8"/>
      <c r="S399" s="56">
        <v>2</v>
      </c>
      <c r="T399" s="3" t="s">
        <v>385</v>
      </c>
      <c r="Y399" s="1443"/>
      <c r="Z399" s="1443"/>
      <c r="AC399" s="56"/>
      <c r="AD399" s="3"/>
      <c r="AE399" s="3"/>
      <c r="AF399" s="38"/>
      <c r="AG399" s="38"/>
      <c r="AH399" s="1485"/>
      <c r="AI399" s="39"/>
      <c r="AJ399" s="39"/>
      <c r="AK399" s="39"/>
      <c r="AR399" s="139"/>
      <c r="AX399" s="139"/>
      <c r="AY399" s="139"/>
      <c r="AZ399" s="139"/>
      <c r="BA399" s="139"/>
      <c r="BB399" s="139"/>
    </row>
    <row r="400" spans="2:54" ht="15" customHeight="1" x14ac:dyDescent="0.4">
      <c r="B400" s="7"/>
      <c r="C400" s="7" t="s">
        <v>2090</v>
      </c>
      <c r="D400" s="3"/>
      <c r="E400" s="7"/>
      <c r="F400" s="7"/>
      <c r="G400" s="7"/>
      <c r="I400" s="8"/>
      <c r="S400" s="3"/>
      <c r="V400" s="38" t="s">
        <v>369</v>
      </c>
      <c r="W400" s="3" t="s">
        <v>370</v>
      </c>
      <c r="X400" s="38" t="s">
        <v>369</v>
      </c>
      <c r="Y400" s="1443" t="s">
        <v>2017</v>
      </c>
      <c r="Z400" s="1443"/>
      <c r="AB400" s="3">
        <v>45</v>
      </c>
      <c r="AC400" s="56">
        <v>1</v>
      </c>
      <c r="AD400" s="3">
        <v>1</v>
      </c>
      <c r="AE400" s="3" t="s">
        <v>385</v>
      </c>
      <c r="AF400" s="38"/>
      <c r="AG400" s="38"/>
      <c r="AH400" s="1485">
        <v>0.70199999999999996</v>
      </c>
      <c r="AI400" s="39"/>
      <c r="AJ400" s="39"/>
      <c r="AK400" s="39"/>
      <c r="AL400" s="39">
        <v>0.70199999999999996</v>
      </c>
      <c r="AR400" s="139"/>
      <c r="AX400" s="139"/>
      <c r="AY400" s="139"/>
      <c r="AZ400" s="139"/>
      <c r="BA400" s="139"/>
      <c r="BB400" s="139"/>
    </row>
    <row r="401" spans="2:54" ht="15" customHeight="1" x14ac:dyDescent="0.4">
      <c r="B401" s="7"/>
      <c r="C401" s="7" t="s">
        <v>2171</v>
      </c>
      <c r="D401" s="3"/>
      <c r="E401" s="7"/>
      <c r="F401" s="7"/>
      <c r="G401" s="7"/>
      <c r="I401" s="8"/>
      <c r="S401" s="56"/>
      <c r="V401" s="38" t="s">
        <v>369</v>
      </c>
      <c r="W401" s="3" t="s">
        <v>1959</v>
      </c>
      <c r="X401" s="38" t="s">
        <v>369</v>
      </c>
      <c r="Y401" s="1443" t="s">
        <v>2015</v>
      </c>
      <c r="Z401" s="1443"/>
      <c r="AC401" s="56"/>
      <c r="AD401" s="3"/>
      <c r="AE401" s="3"/>
      <c r="AF401" s="38"/>
      <c r="AG401" s="38"/>
      <c r="AH401" s="1485">
        <v>0.70199999999999996</v>
      </c>
      <c r="AI401" s="39"/>
      <c r="AJ401" s="39"/>
      <c r="AK401" s="39"/>
      <c r="AL401" s="39">
        <v>0.70199999999999996</v>
      </c>
      <c r="AR401" s="139"/>
      <c r="AX401" s="139"/>
      <c r="AY401" s="139"/>
      <c r="AZ401" s="139"/>
      <c r="BA401" s="139"/>
      <c r="BB401" s="139"/>
    </row>
    <row r="402" spans="2:54" ht="15" customHeight="1" thickBot="1" x14ac:dyDescent="0.45">
      <c r="B402" s="7"/>
      <c r="C402" s="924"/>
      <c r="D402" s="889"/>
      <c r="E402" s="924"/>
      <c r="F402" s="924"/>
      <c r="G402" s="924"/>
      <c r="H402" s="948"/>
      <c r="I402" s="949"/>
      <c r="J402" s="889"/>
      <c r="K402" s="889"/>
      <c r="L402" s="889"/>
      <c r="M402" s="945"/>
      <c r="N402" s="945"/>
      <c r="O402" s="945"/>
      <c r="P402" s="945"/>
      <c r="Q402" s="945"/>
      <c r="R402" s="889"/>
      <c r="S402" s="1156"/>
      <c r="T402" s="889"/>
      <c r="U402" s="948"/>
      <c r="V402" s="888" t="s">
        <v>369</v>
      </c>
      <c r="W402" s="889" t="s">
        <v>373</v>
      </c>
      <c r="X402" s="888" t="s">
        <v>369</v>
      </c>
      <c r="Y402" s="1444" t="s">
        <v>2016</v>
      </c>
      <c r="Z402" s="1444"/>
      <c r="AA402" s="948"/>
      <c r="AB402" s="889"/>
      <c r="AC402" s="1156"/>
      <c r="AD402" s="889"/>
      <c r="AE402" s="889"/>
      <c r="AF402" s="888"/>
      <c r="AG402" s="888"/>
      <c r="AH402" s="1486">
        <v>0.70199999999999996</v>
      </c>
      <c r="AI402" s="947"/>
      <c r="AJ402" s="947"/>
      <c r="AK402" s="947"/>
      <c r="AL402" s="947">
        <v>0.70199999999999996</v>
      </c>
      <c r="AM402" s="889"/>
      <c r="AN402" s="889"/>
      <c r="AO402" s="889"/>
      <c r="AP402" s="889"/>
      <c r="AQ402" s="889"/>
      <c r="AR402" s="139"/>
      <c r="AX402" s="139"/>
      <c r="AY402" s="139"/>
      <c r="AZ402" s="139"/>
      <c r="BA402" s="139"/>
      <c r="BB402" s="139"/>
    </row>
    <row r="403" spans="2:54" ht="15" customHeight="1" x14ac:dyDescent="0.4">
      <c r="B403" s="7"/>
      <c r="C403" s="509" t="s">
        <v>2169</v>
      </c>
      <c r="D403" s="3"/>
      <c r="E403" s="182"/>
      <c r="F403" s="182"/>
      <c r="G403" s="173"/>
      <c r="H403" s="175"/>
      <c r="I403" s="448"/>
      <c r="J403" s="448"/>
      <c r="K403" s="448"/>
      <c r="L403" s="448"/>
      <c r="M403" s="178"/>
      <c r="N403" s="178"/>
      <c r="O403" s="178"/>
      <c r="P403" s="178"/>
      <c r="Q403" s="178"/>
      <c r="R403" s="116" t="s">
        <v>352</v>
      </c>
      <c r="S403" s="198">
        <v>2</v>
      </c>
      <c r="T403" s="116" t="s">
        <v>385</v>
      </c>
      <c r="U403" s="175"/>
      <c r="V403" s="179"/>
      <c r="W403" s="116"/>
      <c r="X403" s="179"/>
      <c r="Y403" s="184"/>
      <c r="Z403" s="184"/>
      <c r="AA403" s="175"/>
      <c r="AB403" s="3">
        <v>42</v>
      </c>
      <c r="AC403" s="3">
        <v>2</v>
      </c>
      <c r="AD403" s="56">
        <f>AC403*S403</f>
        <v>4</v>
      </c>
      <c r="AE403" s="3" t="s">
        <v>385</v>
      </c>
      <c r="AF403" s="38" t="s">
        <v>8</v>
      </c>
      <c r="AG403" s="38" t="s">
        <v>8</v>
      </c>
      <c r="AH403" s="180"/>
      <c r="AI403" s="180"/>
      <c r="AJ403" s="180"/>
      <c r="AK403" s="180"/>
      <c r="AL403" s="180"/>
      <c r="AQ403" s="139"/>
      <c r="AR403" s="139"/>
      <c r="AS403" s="139"/>
      <c r="AT403" s="139"/>
      <c r="AU403" s="139"/>
    </row>
    <row r="404" spans="2:54" ht="15" customHeight="1" x14ac:dyDescent="0.4">
      <c r="B404" s="675"/>
      <c r="C404" s="3"/>
      <c r="D404" s="155"/>
      <c r="E404" s="155"/>
      <c r="F404" s="155"/>
      <c r="G404" s="7"/>
      <c r="H404" s="20"/>
      <c r="I404" s="500"/>
      <c r="J404" s="500"/>
      <c r="K404" s="500"/>
      <c r="L404" s="500"/>
      <c r="M404" s="24"/>
      <c r="N404" s="24"/>
      <c r="O404" s="24"/>
      <c r="P404" s="24"/>
      <c r="Q404" s="24"/>
      <c r="S404" s="56"/>
      <c r="U404" s="20"/>
      <c r="V404" s="38" t="s">
        <v>369</v>
      </c>
      <c r="W404" s="3" t="s">
        <v>370</v>
      </c>
      <c r="X404" s="38" t="s">
        <v>369</v>
      </c>
      <c r="Y404" s="1443">
        <v>420034006</v>
      </c>
      <c r="Z404" s="41"/>
      <c r="AF404" s="3"/>
      <c r="AG404" s="3"/>
      <c r="AH404" s="51">
        <v>0.18010000000000001</v>
      </c>
      <c r="AI404" s="39"/>
      <c r="AJ404" s="39"/>
      <c r="AK404" s="39"/>
      <c r="AL404" s="39">
        <f>AH404*AD403</f>
        <v>0.72040000000000004</v>
      </c>
      <c r="AQ404" s="139"/>
      <c r="AR404" s="139"/>
      <c r="AS404" s="139"/>
      <c r="AT404" s="139"/>
      <c r="AU404" s="139"/>
    </row>
    <row r="405" spans="2:54" ht="15" customHeight="1" x14ac:dyDescent="0.4">
      <c r="B405" s="155"/>
      <c r="C405" s="155"/>
      <c r="D405" s="155"/>
      <c r="E405" s="155"/>
      <c r="F405" s="155"/>
      <c r="G405" s="7"/>
      <c r="H405" s="20"/>
      <c r="I405" s="500"/>
      <c r="J405" s="500"/>
      <c r="K405" s="500"/>
      <c r="L405" s="500"/>
      <c r="M405" s="24"/>
      <c r="N405" s="24"/>
      <c r="O405" s="24"/>
      <c r="P405" s="24"/>
      <c r="Q405" s="24"/>
      <c r="S405" s="56"/>
      <c r="U405" s="20"/>
      <c r="V405" s="38" t="s">
        <v>369</v>
      </c>
      <c r="W405" s="3" t="s">
        <v>372</v>
      </c>
      <c r="X405" s="38" t="s">
        <v>369</v>
      </c>
      <c r="Y405" s="1443">
        <v>420034021</v>
      </c>
      <c r="Z405" s="41"/>
      <c r="AC405" s="56"/>
      <c r="AD405" s="56"/>
      <c r="AE405" s="3"/>
      <c r="AF405" s="3"/>
      <c r="AG405" s="3"/>
      <c r="AH405" s="51">
        <v>0.17319999999999999</v>
      </c>
      <c r="AI405" s="39"/>
      <c r="AJ405" s="39"/>
      <c r="AK405" s="39"/>
      <c r="AL405" s="39">
        <f>AH405*AD403</f>
        <v>0.69279999999999997</v>
      </c>
      <c r="AQ405" s="139"/>
      <c r="AR405" s="139"/>
      <c r="AS405" s="139"/>
      <c r="AT405" s="139"/>
      <c r="AU405" s="139"/>
    </row>
    <row r="406" spans="2:54" ht="15" customHeight="1" thickBot="1" x14ac:dyDescent="0.45">
      <c r="B406" s="925"/>
      <c r="C406" s="925"/>
      <c r="D406" s="925"/>
      <c r="E406" s="925"/>
      <c r="F406" s="925"/>
      <c r="G406" s="924"/>
      <c r="H406" s="887"/>
      <c r="I406" s="1494"/>
      <c r="J406" s="1494"/>
      <c r="K406" s="1494"/>
      <c r="L406" s="1494"/>
      <c r="M406" s="1020"/>
      <c r="N406" s="1020"/>
      <c r="O406" s="1020"/>
      <c r="P406" s="1020"/>
      <c r="Q406" s="1020"/>
      <c r="R406" s="889"/>
      <c r="S406" s="1156"/>
      <c r="T406" s="889"/>
      <c r="U406" s="887"/>
      <c r="V406" s="888" t="s">
        <v>369</v>
      </c>
      <c r="W406" s="889" t="s">
        <v>373</v>
      </c>
      <c r="X406" s="888" t="s">
        <v>369</v>
      </c>
      <c r="Y406" s="1444">
        <v>420034034</v>
      </c>
      <c r="Z406" s="946"/>
      <c r="AA406" s="948"/>
      <c r="AB406" s="889"/>
      <c r="AC406" s="1156"/>
      <c r="AD406" s="1156"/>
      <c r="AE406" s="889"/>
      <c r="AF406" s="889"/>
      <c r="AG406" s="889"/>
      <c r="AH406" s="1570">
        <v>0.89090000000000003</v>
      </c>
      <c r="AI406" s="947"/>
      <c r="AJ406" s="947"/>
      <c r="AK406" s="947"/>
      <c r="AL406" s="947">
        <f>AH406*AD403</f>
        <v>3.5636000000000001</v>
      </c>
      <c r="AM406" s="889"/>
      <c r="AN406" s="889"/>
      <c r="AO406" s="889"/>
      <c r="AP406" s="889"/>
      <c r="AQ406" s="139"/>
      <c r="AR406" s="139"/>
      <c r="AS406" s="139"/>
      <c r="AT406" s="139"/>
      <c r="AU406" s="139"/>
    </row>
    <row r="407" spans="2:54" ht="15" customHeight="1" thickTop="1" x14ac:dyDescent="0.4">
      <c r="B407" s="1374" t="s">
        <v>1863</v>
      </c>
      <c r="C407" s="1375"/>
      <c r="D407" s="1376"/>
      <c r="E407" s="1376"/>
      <c r="F407" s="1376"/>
      <c r="G407" s="1377"/>
      <c r="H407" s="1378"/>
      <c r="I407" s="1379"/>
      <c r="J407" s="1379"/>
      <c r="K407" s="1379"/>
      <c r="L407" s="1379"/>
      <c r="M407" s="1380"/>
      <c r="N407" s="1380"/>
      <c r="O407" s="1380"/>
      <c r="P407" s="1380"/>
      <c r="Q407" s="1380"/>
      <c r="R407" s="1381"/>
      <c r="S407" s="1382">
        <v>1</v>
      </c>
      <c r="T407" s="1381" t="s">
        <v>385</v>
      </c>
      <c r="U407" s="1378"/>
      <c r="V407" s="1383"/>
      <c r="W407" s="1381"/>
      <c r="X407" s="1383"/>
      <c r="Y407" s="1384"/>
      <c r="Z407" s="1384"/>
      <c r="AA407" s="1378"/>
      <c r="AB407" s="1381">
        <v>45</v>
      </c>
      <c r="AC407" s="1381">
        <v>1</v>
      </c>
      <c r="AD407" s="1382">
        <f>S407*AC407</f>
        <v>1</v>
      </c>
      <c r="AE407" s="1381" t="s">
        <v>385</v>
      </c>
      <c r="AF407" s="1383" t="s">
        <v>8</v>
      </c>
      <c r="AG407" s="1383" t="s">
        <v>8</v>
      </c>
      <c r="AH407" s="1385"/>
      <c r="AI407" s="1386"/>
      <c r="AJ407" s="1386"/>
      <c r="AK407" s="1386"/>
      <c r="AL407" s="1386"/>
      <c r="AM407" s="1381"/>
      <c r="AN407" s="1381"/>
      <c r="AO407" s="1381"/>
      <c r="AP407" s="1381"/>
      <c r="AQ407" s="1381"/>
      <c r="AR407" s="139"/>
      <c r="AX407" s="139"/>
      <c r="AY407" s="139"/>
      <c r="AZ407" s="139"/>
      <c r="BA407" s="139"/>
      <c r="BB407" s="139"/>
    </row>
    <row r="408" spans="2:54" ht="15" customHeight="1" x14ac:dyDescent="0.4">
      <c r="B408" s="155"/>
      <c r="C408" s="155"/>
      <c r="D408" s="155"/>
      <c r="E408" s="155"/>
      <c r="F408" s="155"/>
      <c r="G408" s="7"/>
      <c r="H408" s="20"/>
      <c r="I408" s="500"/>
      <c r="J408" s="500"/>
      <c r="K408" s="500"/>
      <c r="L408" s="500"/>
      <c r="M408" s="24"/>
      <c r="N408" s="24"/>
      <c r="O408" s="24"/>
      <c r="P408" s="24"/>
      <c r="Q408" s="24"/>
      <c r="S408" s="56"/>
      <c r="U408" s="20"/>
      <c r="V408" s="38" t="s">
        <v>369</v>
      </c>
      <c r="W408" s="3" t="s">
        <v>370</v>
      </c>
      <c r="X408" s="38" t="s">
        <v>369</v>
      </c>
      <c r="Y408" s="41">
        <v>420045003</v>
      </c>
      <c r="Z408" s="41"/>
      <c r="AA408" s="20"/>
      <c r="AF408" s="3"/>
      <c r="AG408" s="3"/>
      <c r="AH408" s="51">
        <v>0.11788999999999999</v>
      </c>
      <c r="AI408" s="39"/>
      <c r="AJ408" s="39"/>
      <c r="AK408" s="39"/>
      <c r="AL408" s="39">
        <f>AD$408*AH408+SUM(AI408:AK408)</f>
        <v>0</v>
      </c>
      <c r="AR408" s="139"/>
      <c r="AX408" s="139"/>
      <c r="AY408" s="139"/>
      <c r="AZ408" s="139"/>
      <c r="BA408" s="139"/>
      <c r="BB408" s="139"/>
    </row>
    <row r="409" spans="2:54" ht="15" customHeight="1" x14ac:dyDescent="0.4">
      <c r="B409" s="155"/>
      <c r="C409" s="155"/>
      <c r="D409" s="155"/>
      <c r="E409" s="155"/>
      <c r="F409" s="155"/>
      <c r="G409" s="7"/>
      <c r="H409" s="20"/>
      <c r="I409" s="500"/>
      <c r="J409" s="500"/>
      <c r="K409" s="500"/>
      <c r="L409" s="500"/>
      <c r="M409" s="24"/>
      <c r="N409" s="24"/>
      <c r="O409" s="24"/>
      <c r="P409" s="24"/>
      <c r="Q409" s="24"/>
      <c r="S409" s="56"/>
      <c r="U409" s="20"/>
      <c r="V409" s="38" t="s">
        <v>369</v>
      </c>
      <c r="W409" s="3" t="s">
        <v>372</v>
      </c>
      <c r="X409" s="38" t="s">
        <v>369</v>
      </c>
      <c r="Y409" s="41">
        <v>420045021</v>
      </c>
      <c r="Z409" s="41"/>
      <c r="AA409" s="20"/>
      <c r="AC409" s="56"/>
      <c r="AD409" s="56"/>
      <c r="AE409" s="3"/>
      <c r="AF409" s="3"/>
      <c r="AG409" s="3"/>
      <c r="AH409" s="51">
        <v>0.11788999999999999</v>
      </c>
      <c r="AI409" s="39"/>
      <c r="AJ409" s="39"/>
      <c r="AK409" s="39"/>
      <c r="AL409" s="39">
        <f>AD$408*AH409+SUM(AI409:AK409)</f>
        <v>0</v>
      </c>
      <c r="AR409" s="139"/>
      <c r="AX409" s="139"/>
      <c r="AY409" s="139"/>
      <c r="AZ409" s="139"/>
      <c r="BA409" s="139"/>
      <c r="BB409" s="139"/>
    </row>
    <row r="410" spans="2:54" ht="15" customHeight="1" x14ac:dyDescent="0.4">
      <c r="B410" s="155"/>
      <c r="C410" s="155"/>
      <c r="D410" s="155"/>
      <c r="E410" s="155"/>
      <c r="F410" s="155"/>
      <c r="G410" s="7"/>
      <c r="H410" s="20"/>
      <c r="I410" s="500"/>
      <c r="J410" s="500"/>
      <c r="K410" s="500"/>
      <c r="L410" s="500"/>
      <c r="M410" s="24"/>
      <c r="N410" s="24"/>
      <c r="O410" s="24"/>
      <c r="P410" s="24"/>
      <c r="Q410" s="24"/>
      <c r="S410" s="56"/>
      <c r="U410" s="20"/>
      <c r="V410" s="38" t="s">
        <v>369</v>
      </c>
      <c r="W410" s="3" t="s">
        <v>373</v>
      </c>
      <c r="X410" s="38" t="s">
        <v>369</v>
      </c>
      <c r="Y410" s="41">
        <v>420034033</v>
      </c>
      <c r="Z410" s="41"/>
      <c r="AA410" s="20"/>
      <c r="AC410" s="56"/>
      <c r="AD410" s="56"/>
      <c r="AE410" s="3"/>
      <c r="AF410" s="3"/>
      <c r="AG410" s="3"/>
      <c r="AH410" s="51">
        <v>0.11788999999999999</v>
      </c>
      <c r="AI410" s="39"/>
      <c r="AJ410" s="39"/>
      <c r="AK410" s="39"/>
      <c r="AL410" s="39">
        <f>AD$408*AH410+SUM(AI410:AK410)</f>
        <v>0</v>
      </c>
      <c r="AR410" s="139"/>
      <c r="AX410" s="139"/>
      <c r="AY410" s="139"/>
      <c r="AZ410" s="139"/>
      <c r="BA410" s="139"/>
      <c r="BB410" s="139"/>
    </row>
    <row r="411" spans="2:54" ht="15" customHeight="1" thickBot="1" x14ac:dyDescent="0.45">
      <c r="B411" s="925"/>
      <c r="C411" s="925"/>
      <c r="D411" s="925"/>
      <c r="E411" s="925"/>
      <c r="F411" s="925"/>
      <c r="G411" s="924"/>
      <c r="H411" s="887"/>
      <c r="I411" s="1494"/>
      <c r="J411" s="1494"/>
      <c r="K411" s="1494"/>
      <c r="L411" s="1494"/>
      <c r="M411" s="1020"/>
      <c r="N411" s="1020"/>
      <c r="O411" s="1020"/>
      <c r="P411" s="1020"/>
      <c r="Q411" s="1020"/>
      <c r="R411" s="889"/>
      <c r="S411" s="1156"/>
      <c r="T411" s="889"/>
      <c r="U411" s="887"/>
      <c r="V411" s="888" t="s">
        <v>369</v>
      </c>
      <c r="W411" s="889" t="s">
        <v>375</v>
      </c>
      <c r="X411" s="888" t="s">
        <v>369</v>
      </c>
      <c r="Y411" s="946">
        <v>420034133</v>
      </c>
      <c r="Z411" s="946"/>
      <c r="AA411" s="887"/>
      <c r="AB411" s="889"/>
      <c r="AC411" s="1156"/>
      <c r="AD411" s="1156"/>
      <c r="AE411" s="889"/>
      <c r="AF411" s="889"/>
      <c r="AG411" s="889"/>
      <c r="AH411" s="937"/>
      <c r="AI411" s="947"/>
      <c r="AJ411" s="947"/>
      <c r="AK411" s="947"/>
      <c r="AL411" s="947"/>
      <c r="AM411" s="889"/>
      <c r="AN411" s="889"/>
      <c r="AO411" s="889"/>
      <c r="AP411" s="889"/>
      <c r="AQ411" s="889"/>
      <c r="AR411" s="139"/>
      <c r="AX411" s="139"/>
      <c r="AY411" s="139"/>
      <c r="AZ411" s="139"/>
      <c r="BA411" s="139"/>
      <c r="BB411" s="139"/>
    </row>
    <row r="412" spans="2:54" ht="57.75" customHeight="1" thickBot="1" x14ac:dyDescent="0.45">
      <c r="B412" s="1158" t="s">
        <v>561</v>
      </c>
      <c r="C412" s="135"/>
      <c r="D412" s="135"/>
      <c r="E412" s="135"/>
      <c r="F412" s="135"/>
      <c r="G412" s="135"/>
      <c r="H412" s="491"/>
      <c r="I412" s="556"/>
      <c r="J412" s="136"/>
      <c r="K412" s="136"/>
      <c r="L412" s="136"/>
      <c r="M412" s="506"/>
      <c r="N412" s="506"/>
      <c r="O412" s="506"/>
      <c r="P412" s="506"/>
      <c r="Q412" s="506"/>
      <c r="R412" s="136"/>
      <c r="S412" s="507">
        <v>1</v>
      </c>
      <c r="T412" s="136" t="s">
        <v>385</v>
      </c>
      <c r="U412" s="491"/>
      <c r="V412" s="557"/>
      <c r="W412" s="136"/>
      <c r="X412" s="557"/>
      <c r="Y412" s="829">
        <v>430063010</v>
      </c>
      <c r="Z412" s="829"/>
      <c r="AA412" s="491"/>
      <c r="AB412" s="136">
        <v>45</v>
      </c>
      <c r="AC412" s="136">
        <v>2</v>
      </c>
      <c r="AD412" s="507">
        <f>AC412</f>
        <v>2</v>
      </c>
      <c r="AE412" s="136" t="s">
        <v>385</v>
      </c>
      <c r="AF412" s="557"/>
      <c r="AG412" s="557"/>
      <c r="AH412" s="1159">
        <f>'Single Hung'!AI532</f>
        <v>8.9700000000000002E-2</v>
      </c>
      <c r="AI412" s="1160"/>
      <c r="AJ412" s="1160"/>
      <c r="AK412" s="1160"/>
      <c r="AL412" s="137">
        <f>AD$412*AH412+SUM(AI412:AK412)</f>
        <v>0.1794</v>
      </c>
      <c r="AM412" s="136"/>
      <c r="AN412" s="136"/>
      <c r="AO412" s="136"/>
      <c r="AP412" s="136"/>
      <c r="AQ412" s="136"/>
      <c r="AR412" s="139"/>
      <c r="AS412" s="139"/>
      <c r="AT412" s="139"/>
      <c r="AU412" s="139"/>
    </row>
    <row r="413" spans="2:54" ht="64.5" customHeight="1" thickBot="1" x14ac:dyDescent="0.45">
      <c r="B413" s="1158" t="s">
        <v>563</v>
      </c>
      <c r="C413" s="135"/>
      <c r="D413" s="135"/>
      <c r="E413" s="135"/>
      <c r="F413" s="135"/>
      <c r="G413" s="135"/>
      <c r="H413" s="491"/>
      <c r="I413" s="556"/>
      <c r="J413" s="136"/>
      <c r="K413" s="136"/>
      <c r="L413" s="136"/>
      <c r="M413" s="506"/>
      <c r="N413" s="506"/>
      <c r="O413" s="506"/>
      <c r="P413" s="506"/>
      <c r="Q413" s="506"/>
      <c r="R413" s="136"/>
      <c r="S413" s="507">
        <v>1</v>
      </c>
      <c r="T413" s="136" t="s">
        <v>385</v>
      </c>
      <c r="U413" s="491"/>
      <c r="V413" s="1161"/>
      <c r="W413" s="1161"/>
      <c r="X413" s="1161"/>
      <c r="Y413" s="136">
        <v>430064010</v>
      </c>
      <c r="Z413" s="136"/>
      <c r="AA413" s="491"/>
      <c r="AB413" s="136">
        <v>45</v>
      </c>
      <c r="AC413" s="136">
        <v>2</v>
      </c>
      <c r="AD413" s="507">
        <f>AC413</f>
        <v>2</v>
      </c>
      <c r="AE413" s="136" t="s">
        <v>385</v>
      </c>
      <c r="AF413" s="557"/>
      <c r="AG413" s="557"/>
      <c r="AH413" s="1159">
        <f>'Single Hung'!AI533</f>
        <v>8.9700000000000002E-2</v>
      </c>
      <c r="AI413" s="1160"/>
      <c r="AJ413" s="1160"/>
      <c r="AK413" s="1160"/>
      <c r="AL413" s="137">
        <f>AD$413*AH413+SUM(AI413:AK413)</f>
        <v>0.1794</v>
      </c>
      <c r="AM413" s="136"/>
      <c r="AN413" s="136"/>
      <c r="AO413" s="136"/>
      <c r="AP413" s="136"/>
      <c r="AQ413" s="136"/>
      <c r="AR413" s="139"/>
      <c r="AS413" s="139"/>
      <c r="AT413" s="139"/>
      <c r="AU413" s="139"/>
    </row>
    <row r="414" spans="2:54" ht="15" customHeight="1" x14ac:dyDescent="0.4">
      <c r="B414" s="494" t="s">
        <v>564</v>
      </c>
      <c r="C414" s="7"/>
      <c r="D414" s="7"/>
      <c r="E414" s="7"/>
      <c r="F414" s="7"/>
      <c r="G414" s="7"/>
      <c r="I414" s="8"/>
      <c r="S414" s="56">
        <v>1</v>
      </c>
      <c r="T414" s="3" t="s">
        <v>385</v>
      </c>
      <c r="U414" s="20"/>
      <c r="V414" s="38"/>
      <c r="X414" s="38"/>
      <c r="Y414" s="41"/>
      <c r="Z414" s="41"/>
      <c r="AB414" s="3">
        <v>45</v>
      </c>
      <c r="AC414" s="3">
        <v>4</v>
      </c>
      <c r="AD414" s="56">
        <f>S414*AC414</f>
        <v>4</v>
      </c>
      <c r="AE414" s="3" t="s">
        <v>385</v>
      </c>
      <c r="AF414" s="38"/>
      <c r="AG414" s="38"/>
      <c r="AH414" s="3"/>
      <c r="AI414" s="477"/>
      <c r="AJ414" s="477"/>
      <c r="AK414" s="477"/>
      <c r="AL414" s="3"/>
      <c r="AR414" s="139"/>
      <c r="AT414" s="139"/>
      <c r="AU414" s="139"/>
      <c r="AV414" s="139"/>
      <c r="AW414" s="139"/>
      <c r="AX414" s="139"/>
    </row>
    <row r="415" spans="2:54" ht="15" customHeight="1" x14ac:dyDescent="0.4">
      <c r="B415" s="494"/>
      <c r="C415" s="7"/>
      <c r="D415" s="7"/>
      <c r="E415" s="7"/>
      <c r="F415" s="7"/>
      <c r="G415" s="7"/>
      <c r="I415" s="8"/>
      <c r="T415" s="42" t="s">
        <v>565</v>
      </c>
      <c r="U415" s="20"/>
      <c r="V415" s="38" t="s">
        <v>369</v>
      </c>
      <c r="W415" s="3" t="s">
        <v>370</v>
      </c>
      <c r="X415" s="38" t="s">
        <v>369</v>
      </c>
      <c r="Y415" s="41">
        <v>600146003</v>
      </c>
      <c r="Z415" s="41"/>
      <c r="AD415" s="56"/>
      <c r="AE415" s="3"/>
      <c r="AF415" s="38"/>
      <c r="AG415" s="38"/>
      <c r="AH415" s="492">
        <f>'Single Hung'!AI535</f>
        <v>1.7100000000000001E-2</v>
      </c>
      <c r="AI415" s="477"/>
      <c r="AJ415" s="477"/>
      <c r="AK415" s="477"/>
      <c r="AL415" s="39">
        <f>AD$414*AH415+SUM(AI415:AK415)</f>
        <v>6.8400000000000002E-2</v>
      </c>
      <c r="AR415" s="139"/>
      <c r="AT415" s="139"/>
      <c r="AU415" s="139"/>
      <c r="AV415" s="139"/>
      <c r="AW415" s="139"/>
      <c r="AX415" s="139"/>
    </row>
    <row r="416" spans="2:54" ht="15" customHeight="1" x14ac:dyDescent="0.4">
      <c r="B416" s="494"/>
      <c r="C416" s="7"/>
      <c r="D416" s="7"/>
      <c r="E416" s="7"/>
      <c r="F416" s="7"/>
      <c r="G416" s="7"/>
      <c r="I416" s="8"/>
      <c r="T416" s="42" t="s">
        <v>566</v>
      </c>
      <c r="U416" s="20"/>
      <c r="V416" s="38" t="s">
        <v>369</v>
      </c>
      <c r="W416" s="3" t="s">
        <v>372</v>
      </c>
      <c r="X416" s="38" t="s">
        <v>369</v>
      </c>
      <c r="Y416" s="41">
        <v>600146021</v>
      </c>
      <c r="Z416" s="41"/>
      <c r="AD416" s="56"/>
      <c r="AE416" s="3"/>
      <c r="AF416" s="38"/>
      <c r="AG416" s="38"/>
      <c r="AH416" s="492">
        <f>'Single Hung'!AI536</f>
        <v>1.5100000000000001E-2</v>
      </c>
      <c r="AI416" s="477"/>
      <c r="AJ416" s="477"/>
      <c r="AK416" s="477"/>
      <c r="AL416" s="39">
        <f t="shared" ref="AL416:AL417" si="21">AD$414*AH416+SUM(AI416:AK416)</f>
        <v>6.0400000000000002E-2</v>
      </c>
      <c r="AR416" s="139"/>
      <c r="AT416" s="139"/>
      <c r="AU416" s="139"/>
      <c r="AV416" s="139"/>
      <c r="AW416" s="139"/>
      <c r="AX416" s="139"/>
    </row>
    <row r="417" spans="1:50" ht="15" customHeight="1" x14ac:dyDescent="0.4">
      <c r="B417" s="494"/>
      <c r="C417" s="7"/>
      <c r="D417" s="7"/>
      <c r="E417" s="7"/>
      <c r="F417" s="7"/>
      <c r="G417" s="7"/>
      <c r="I417" s="8"/>
      <c r="T417" s="42" t="s">
        <v>567</v>
      </c>
      <c r="U417" s="20"/>
      <c r="V417" s="38" t="s">
        <v>369</v>
      </c>
      <c r="W417" s="3" t="s">
        <v>373</v>
      </c>
      <c r="X417" s="38" t="s">
        <v>369</v>
      </c>
      <c r="Y417" s="41">
        <v>600146033</v>
      </c>
      <c r="Z417" s="41"/>
      <c r="AD417" s="56"/>
      <c r="AE417" s="3"/>
      <c r="AF417" s="38"/>
      <c r="AG417" s="38"/>
      <c r="AH417" s="492">
        <f>'Single Hung'!AI537</f>
        <v>1.5100000000000001E-2</v>
      </c>
      <c r="AI417" s="477"/>
      <c r="AJ417" s="477"/>
      <c r="AK417" s="477"/>
      <c r="AL417" s="39">
        <f t="shared" si="21"/>
        <v>6.0400000000000002E-2</v>
      </c>
      <c r="AR417" s="139"/>
      <c r="AT417" s="139"/>
      <c r="AU417" s="139"/>
      <c r="AV417" s="139"/>
      <c r="AW417" s="139"/>
      <c r="AX417" s="139"/>
    </row>
    <row r="418" spans="1:50" ht="15" customHeight="1" thickBot="1" x14ac:dyDescent="0.45">
      <c r="B418" s="1193"/>
      <c r="C418" s="924"/>
      <c r="D418" s="924"/>
      <c r="E418" s="924"/>
      <c r="F418" s="924"/>
      <c r="G418" s="924"/>
      <c r="H418" s="948"/>
      <c r="I418" s="949"/>
      <c r="J418" s="889"/>
      <c r="K418" s="889"/>
      <c r="L418" s="889"/>
      <c r="M418" s="945"/>
      <c r="N418" s="945"/>
      <c r="O418" s="945"/>
      <c r="P418" s="945"/>
      <c r="Q418" s="945"/>
      <c r="R418" s="889"/>
      <c r="S418" s="945"/>
      <c r="T418" s="1154"/>
      <c r="U418" s="887"/>
      <c r="V418" s="888" t="s">
        <v>369</v>
      </c>
      <c r="W418" s="889" t="s">
        <v>375</v>
      </c>
      <c r="X418" s="888" t="s">
        <v>369</v>
      </c>
      <c r="Y418" s="946">
        <v>600146133</v>
      </c>
      <c r="Z418" s="946"/>
      <c r="AA418" s="948"/>
      <c r="AB418" s="889"/>
      <c r="AC418" s="889"/>
      <c r="AD418" s="1156"/>
      <c r="AE418" s="889"/>
      <c r="AF418" s="888"/>
      <c r="AG418" s="888"/>
      <c r="AH418" s="942"/>
      <c r="AI418" s="1157"/>
      <c r="AJ418" s="1157"/>
      <c r="AK418" s="1157"/>
      <c r="AL418" s="947"/>
      <c r="AM418" s="889"/>
      <c r="AN418" s="889"/>
      <c r="AO418" s="889"/>
      <c r="AP418" s="889"/>
      <c r="AQ418" s="889"/>
      <c r="AR418" s="139"/>
      <c r="AT418" s="139"/>
      <c r="AU418" s="139"/>
      <c r="AV418" s="139"/>
      <c r="AW418" s="139"/>
      <c r="AX418" s="139"/>
    </row>
    <row r="419" spans="1:50" ht="56.25" customHeight="1" thickBot="1" x14ac:dyDescent="0.45">
      <c r="B419" s="1162" t="s">
        <v>1251</v>
      </c>
      <c r="C419" s="136"/>
      <c r="D419" s="136"/>
      <c r="E419" s="135"/>
      <c r="F419" s="136"/>
      <c r="G419" s="135"/>
      <c r="H419" s="491"/>
      <c r="I419" s="556"/>
      <c r="J419" s="136"/>
      <c r="K419" s="136"/>
      <c r="L419" s="136"/>
      <c r="M419" s="506"/>
      <c r="N419" s="506"/>
      <c r="O419" s="506"/>
      <c r="P419" s="506"/>
      <c r="Q419" s="506"/>
      <c r="R419" s="136"/>
      <c r="S419" s="507">
        <v>1</v>
      </c>
      <c r="T419" s="136" t="s">
        <v>385</v>
      </c>
      <c r="U419" s="491"/>
      <c r="V419" s="557" t="s">
        <v>1252</v>
      </c>
      <c r="W419" s="136" t="s">
        <v>1252</v>
      </c>
      <c r="X419" s="557" t="s">
        <v>1252</v>
      </c>
      <c r="Y419" s="136">
        <v>440151000</v>
      </c>
      <c r="Z419" s="136"/>
      <c r="AA419" s="491"/>
      <c r="AB419" s="136">
        <v>45</v>
      </c>
      <c r="AC419" s="136">
        <v>4</v>
      </c>
      <c r="AD419" s="507">
        <f>S419*AC419</f>
        <v>4</v>
      </c>
      <c r="AE419" s="136" t="s">
        <v>385</v>
      </c>
      <c r="AF419" s="557"/>
      <c r="AG419" s="557"/>
      <c r="AH419" s="1159">
        <f>'Single Hung'!AI539</f>
        <v>2.8899999999999999E-2</v>
      </c>
      <c r="AI419" s="137"/>
      <c r="AJ419" s="137"/>
      <c r="AK419" s="137"/>
      <c r="AL419" s="137">
        <f>AD$419*AH419+SUM(AI419:AK419)</f>
        <v>0.11559999999999999</v>
      </c>
      <c r="AM419" s="136"/>
      <c r="AN419" s="136"/>
      <c r="AO419" s="136"/>
      <c r="AP419" s="136"/>
      <c r="AQ419" s="136"/>
      <c r="AR419" s="139"/>
      <c r="AT419" s="139"/>
      <c r="AU419" s="139"/>
      <c r="AV419" s="139"/>
      <c r="AW419" s="139"/>
      <c r="AX419" s="139"/>
    </row>
    <row r="420" spans="1:50" ht="15" customHeight="1" x14ac:dyDescent="0.4">
      <c r="B420" s="36" t="s">
        <v>1253</v>
      </c>
      <c r="C420" s="7"/>
      <c r="D420" s="7"/>
      <c r="E420" s="7"/>
      <c r="F420" s="7"/>
      <c r="G420" s="7"/>
      <c r="I420" s="8"/>
      <c r="S420" s="56">
        <v>2</v>
      </c>
      <c r="T420" s="3" t="s">
        <v>385</v>
      </c>
      <c r="V420" s="38"/>
      <c r="X420" s="38"/>
      <c r="Y420" s="41"/>
      <c r="Z420" s="41"/>
      <c r="AB420" s="3">
        <v>45</v>
      </c>
      <c r="AC420" s="3">
        <v>2</v>
      </c>
      <c r="AD420" s="56">
        <f>S420*AC420</f>
        <v>4</v>
      </c>
      <c r="AE420" s="3" t="s">
        <v>385</v>
      </c>
      <c r="AF420" s="38"/>
      <c r="AG420" s="38"/>
      <c r="AI420" s="39"/>
      <c r="AJ420" s="39"/>
      <c r="AK420" s="39"/>
      <c r="AR420" s="139"/>
      <c r="AT420" s="139"/>
      <c r="AU420" s="139"/>
      <c r="AV420" s="139"/>
      <c r="AW420" s="139"/>
      <c r="AX420" s="139"/>
    </row>
    <row r="421" spans="1:50" ht="15" customHeight="1" x14ac:dyDescent="0.4">
      <c r="B421" s="36"/>
      <c r="C421" s="7"/>
      <c r="D421" s="7"/>
      <c r="E421" s="7"/>
      <c r="F421" s="7"/>
      <c r="G421" s="7"/>
      <c r="I421" s="4" t="s">
        <v>1353</v>
      </c>
      <c r="S421" s="56"/>
      <c r="V421" s="38" t="s">
        <v>369</v>
      </c>
      <c r="W421" s="3" t="s">
        <v>370</v>
      </c>
      <c r="X421" s="38" t="s">
        <v>369</v>
      </c>
      <c r="Y421" s="41">
        <v>420027003</v>
      </c>
      <c r="Z421" s="41"/>
      <c r="AD421" s="56"/>
      <c r="AE421" s="3"/>
      <c r="AF421" s="38"/>
      <c r="AG421" s="38"/>
      <c r="AH421" s="492">
        <v>1E-3</v>
      </c>
      <c r="AI421" s="477"/>
      <c r="AJ421" s="477"/>
      <c r="AK421" s="477"/>
      <c r="AL421" s="39">
        <f>AD420*AH421+SUM(AI421:AK421)</f>
        <v>4.0000000000000001E-3</v>
      </c>
      <c r="AR421" s="139"/>
      <c r="AT421" s="139"/>
      <c r="AU421" s="139"/>
      <c r="AV421" s="139"/>
      <c r="AW421" s="139"/>
      <c r="AX421" s="139"/>
    </row>
    <row r="422" spans="1:50" ht="15" customHeight="1" x14ac:dyDescent="0.4">
      <c r="B422" s="36"/>
      <c r="C422" s="7"/>
      <c r="D422" s="7"/>
      <c r="E422" s="7"/>
      <c r="F422" s="7"/>
      <c r="G422" s="7"/>
      <c r="I422" s="4" t="s">
        <v>1354</v>
      </c>
      <c r="S422" s="56"/>
      <c r="V422" s="38" t="s">
        <v>369</v>
      </c>
      <c r="W422" s="3" t="s">
        <v>372</v>
      </c>
      <c r="X422" s="38" t="s">
        <v>369</v>
      </c>
      <c r="Y422" s="41">
        <v>420027021</v>
      </c>
      <c r="Z422" s="41"/>
      <c r="AD422" s="56"/>
      <c r="AE422" s="3"/>
      <c r="AF422" s="38"/>
      <c r="AG422" s="38"/>
      <c r="AH422" s="492">
        <v>1E-3</v>
      </c>
      <c r="AI422" s="477"/>
      <c r="AJ422" s="477"/>
      <c r="AK422" s="477"/>
      <c r="AL422" s="39">
        <f>AD420*AH422+SUM(AI422:AK422)</f>
        <v>4.0000000000000001E-3</v>
      </c>
      <c r="AR422" s="139"/>
      <c r="AT422" s="139"/>
      <c r="AU422" s="139"/>
      <c r="AV422" s="139"/>
      <c r="AW422" s="139"/>
      <c r="AX422" s="139"/>
    </row>
    <row r="423" spans="1:50" ht="15" customHeight="1" x14ac:dyDescent="0.4">
      <c r="B423" s="36"/>
      <c r="C423" s="7"/>
      <c r="D423" s="7"/>
      <c r="E423" s="7"/>
      <c r="F423" s="7"/>
      <c r="G423" s="7"/>
      <c r="I423" s="4" t="s">
        <v>1354</v>
      </c>
      <c r="S423" s="56"/>
      <c r="V423" s="38" t="s">
        <v>369</v>
      </c>
      <c r="W423" s="3" t="s">
        <v>373</v>
      </c>
      <c r="X423" s="38" t="s">
        <v>369</v>
      </c>
      <c r="Y423" s="41">
        <v>420027033</v>
      </c>
      <c r="Z423" s="41"/>
      <c r="AD423" s="56"/>
      <c r="AE423" s="3"/>
      <c r="AF423" s="38"/>
      <c r="AG423" s="38"/>
      <c r="AH423" s="492">
        <v>1E-3</v>
      </c>
      <c r="AI423" s="39"/>
      <c r="AJ423" s="39"/>
      <c r="AK423" s="39"/>
      <c r="AL423" s="39">
        <f>AD420*AH423+SUM(AI423:AK423)</f>
        <v>4.0000000000000001E-3</v>
      </c>
      <c r="AR423" s="139"/>
      <c r="AT423" s="139"/>
      <c r="AU423" s="139"/>
      <c r="AV423" s="139"/>
      <c r="AW423" s="139"/>
      <c r="AX423" s="139"/>
    </row>
    <row r="424" spans="1:50" ht="15" customHeight="1" x14ac:dyDescent="0.4">
      <c r="B424" s="36"/>
      <c r="C424" s="7"/>
      <c r="D424" s="7"/>
      <c r="E424" s="7"/>
      <c r="F424" s="7"/>
      <c r="G424" s="7"/>
      <c r="I424" s="8"/>
      <c r="S424" s="56"/>
      <c r="V424" s="38" t="s">
        <v>369</v>
      </c>
      <c r="W424" s="3" t="s">
        <v>374</v>
      </c>
      <c r="X424" s="38" t="s">
        <v>369</v>
      </c>
      <c r="Y424" s="41">
        <v>420027090</v>
      </c>
      <c r="Z424" s="41"/>
      <c r="AD424" s="56"/>
      <c r="AE424" s="3"/>
      <c r="AF424" s="38"/>
      <c r="AG424" s="38"/>
      <c r="AH424" s="51">
        <v>1E-3</v>
      </c>
      <c r="AI424" s="39"/>
      <c r="AJ424" s="39"/>
      <c r="AK424" s="39"/>
      <c r="AL424" s="39">
        <f>AD420*AH424+SUM(AI424:AK424)</f>
        <v>4.0000000000000001E-3</v>
      </c>
      <c r="AR424" s="139"/>
      <c r="AT424" s="139"/>
      <c r="AU424" s="139"/>
      <c r="AV424" s="139"/>
      <c r="AW424" s="139"/>
      <c r="AX424" s="139"/>
    </row>
    <row r="425" spans="1:50" ht="15" customHeight="1" x14ac:dyDescent="0.4">
      <c r="B425" s="36"/>
      <c r="C425" s="7"/>
      <c r="D425" s="7"/>
      <c r="E425" s="7"/>
      <c r="F425" s="7"/>
      <c r="G425" s="7"/>
      <c r="I425" s="8"/>
      <c r="S425" s="56"/>
      <c r="V425" s="38" t="s">
        <v>369</v>
      </c>
      <c r="W425" s="3" t="s">
        <v>375</v>
      </c>
      <c r="X425" s="38" t="s">
        <v>369</v>
      </c>
      <c r="Y425" s="41">
        <v>420027133</v>
      </c>
      <c r="Z425" s="41"/>
      <c r="AD425" s="56"/>
      <c r="AE425" s="3"/>
      <c r="AF425" s="38"/>
      <c r="AG425" s="38"/>
      <c r="AI425" s="39"/>
      <c r="AJ425" s="39"/>
      <c r="AK425" s="39"/>
      <c r="AR425" s="139"/>
      <c r="AT425" s="139"/>
      <c r="AU425" s="139"/>
      <c r="AV425" s="139"/>
      <c r="AW425" s="139"/>
      <c r="AX425" s="139"/>
    </row>
    <row r="426" spans="1:50" ht="15" customHeight="1" thickBot="1" x14ac:dyDescent="0.45">
      <c r="B426" s="943"/>
      <c r="C426" s="924"/>
      <c r="D426" s="924"/>
      <c r="E426" s="924"/>
      <c r="F426" s="924"/>
      <c r="G426" s="924"/>
      <c r="H426" s="948"/>
      <c r="I426" s="949"/>
      <c r="J426" s="889"/>
      <c r="K426" s="889"/>
      <c r="L426" s="889"/>
      <c r="M426" s="945"/>
      <c r="N426" s="945"/>
      <c r="O426" s="945"/>
      <c r="P426" s="945"/>
      <c r="Q426" s="945"/>
      <c r="R426" s="889"/>
      <c r="S426" s="1156"/>
      <c r="T426" s="889"/>
      <c r="U426" s="948"/>
      <c r="V426" s="888" t="s">
        <v>369</v>
      </c>
      <c r="W426" s="889" t="s">
        <v>1849</v>
      </c>
      <c r="X426" s="888" t="s">
        <v>369</v>
      </c>
      <c r="Y426" s="946">
        <v>420027148</v>
      </c>
      <c r="Z426" s="946"/>
      <c r="AA426" s="948"/>
      <c r="AB426" s="889"/>
      <c r="AC426" s="889"/>
      <c r="AD426" s="1156"/>
      <c r="AE426" s="889"/>
      <c r="AF426" s="888"/>
      <c r="AG426" s="888"/>
      <c r="AH426" s="937">
        <v>0</v>
      </c>
      <c r="AI426" s="947"/>
      <c r="AJ426" s="947"/>
      <c r="AK426" s="947"/>
      <c r="AL426" s="947">
        <f>AD421*AH426+SUM(AI426:AK426)</f>
        <v>0</v>
      </c>
      <c r="AM426" s="889"/>
      <c r="AN426" s="889"/>
      <c r="AO426" s="889"/>
      <c r="AP426" s="889"/>
      <c r="AQ426" s="889"/>
      <c r="AT426" s="139"/>
      <c r="AU426" s="139"/>
      <c r="AV426" s="139"/>
      <c r="AW426" s="139"/>
      <c r="AX426" s="139"/>
    </row>
    <row r="427" spans="1:50" ht="15" customHeight="1" x14ac:dyDescent="0.4">
      <c r="B427" s="641" t="s">
        <v>1355</v>
      </c>
      <c r="C427" s="642"/>
      <c r="D427" s="642"/>
      <c r="E427" s="642"/>
      <c r="F427" s="642"/>
      <c r="G427" s="642"/>
      <c r="H427" s="643"/>
      <c r="I427" s="643"/>
      <c r="J427" s="643"/>
      <c r="K427" s="643"/>
      <c r="L427" s="643"/>
      <c r="M427" s="644"/>
      <c r="N427" s="644"/>
      <c r="O427" s="644"/>
      <c r="P427" s="644"/>
      <c r="Q427" s="644"/>
      <c r="R427" s="643"/>
      <c r="S427" s="644"/>
      <c r="T427" s="643"/>
      <c r="U427" s="643"/>
      <c r="V427" s="642"/>
      <c r="W427" s="642"/>
      <c r="X427" s="642"/>
      <c r="Y427" s="645"/>
      <c r="Z427" s="645"/>
      <c r="AA427" s="643"/>
      <c r="AB427" s="645"/>
      <c r="AC427" s="643"/>
      <c r="AD427" s="644"/>
      <c r="AE427" s="643"/>
      <c r="AF427" s="643"/>
      <c r="AG427" s="643"/>
      <c r="AH427" s="647"/>
      <c r="AI427" s="647"/>
      <c r="AJ427" s="647"/>
      <c r="AK427" s="647"/>
      <c r="AL427" s="647"/>
      <c r="AM427" s="647"/>
      <c r="AN427" s="647"/>
      <c r="AO427" s="647"/>
      <c r="AP427" s="647"/>
      <c r="AQ427" s="647"/>
      <c r="AR427" s="139"/>
      <c r="AS427" s="139"/>
      <c r="AT427" s="139"/>
    </row>
    <row r="428" spans="1:50" ht="15" customHeight="1" x14ac:dyDescent="0.4">
      <c r="A428" s="3" t="s">
        <v>809</v>
      </c>
      <c r="B428" s="4" t="s">
        <v>2059</v>
      </c>
      <c r="D428" s="8"/>
      <c r="E428" s="8"/>
      <c r="F428" s="8"/>
      <c r="G428" s="3"/>
      <c r="H428" s="370"/>
      <c r="I428" s="47" t="s">
        <v>1184</v>
      </c>
      <c r="L428" s="5"/>
      <c r="Q428" s="3"/>
      <c r="R428" s="5"/>
      <c r="S428" s="5">
        <f>((SLEQFGW*2)+(SLEQFGH*2))/12/1565</f>
        <v>7.0088746893858722E-3</v>
      </c>
      <c r="T428" s="3" t="s">
        <v>815</v>
      </c>
      <c r="V428" s="38" t="s">
        <v>8</v>
      </c>
      <c r="W428" s="3" t="s">
        <v>422</v>
      </c>
      <c r="X428" s="38" t="s">
        <v>8</v>
      </c>
      <c r="Y428" s="1443">
        <v>610023014</v>
      </c>
      <c r="Z428" s="56">
        <v>39844</v>
      </c>
      <c r="AB428" s="3">
        <v>45</v>
      </c>
      <c r="AC428" s="5"/>
      <c r="AD428" s="5">
        <f>S428</f>
        <v>7.0088746893858722E-3</v>
      </c>
      <c r="AE428" s="3" t="s">
        <v>815</v>
      </c>
      <c r="AF428" s="38" t="s">
        <v>8</v>
      </c>
      <c r="AG428" s="38" t="s">
        <v>8</v>
      </c>
      <c r="AH428" s="492">
        <v>27.652000000000001</v>
      </c>
      <c r="AI428" s="477"/>
      <c r="AJ428" s="477"/>
      <c r="AK428" s="477"/>
      <c r="AL428" s="51">
        <f>AD428*AH428+SUM(AI428:AK428)</f>
        <v>0.19380940291089815</v>
      </c>
      <c r="AQ428" s="139"/>
      <c r="AR428" s="139"/>
      <c r="AS428" s="139"/>
      <c r="AT428" s="139"/>
    </row>
    <row r="429" spans="1:50" ht="15" customHeight="1" x14ac:dyDescent="0.4">
      <c r="B429" s="573" t="s">
        <v>1255</v>
      </c>
      <c r="C429" s="694"/>
      <c r="D429" s="694"/>
      <c r="E429" s="694"/>
      <c r="F429" s="694"/>
      <c r="G429" s="577"/>
      <c r="H429" s="695"/>
      <c r="I429" s="577"/>
      <c r="J429" s="577"/>
      <c r="K429" s="577"/>
      <c r="L429" s="575"/>
      <c r="M429" s="575"/>
      <c r="N429" s="575"/>
      <c r="O429" s="575"/>
      <c r="P429" s="575"/>
      <c r="Q429" s="577"/>
      <c r="R429" s="575"/>
      <c r="S429" s="575">
        <v>1</v>
      </c>
      <c r="T429" s="577" t="s">
        <v>811</v>
      </c>
      <c r="U429" s="574"/>
      <c r="V429" s="573"/>
      <c r="W429" s="573"/>
      <c r="X429" s="576"/>
      <c r="Y429" s="1460">
        <v>610023014001</v>
      </c>
      <c r="Z429" s="577">
        <v>30359</v>
      </c>
      <c r="AA429" s="574"/>
      <c r="AB429" s="577">
        <v>45</v>
      </c>
      <c r="AC429" s="575"/>
      <c r="AD429" s="577">
        <v>1</v>
      </c>
      <c r="AE429" s="577" t="s">
        <v>811</v>
      </c>
      <c r="AF429" s="579" t="s">
        <v>8</v>
      </c>
      <c r="AG429" s="579" t="s">
        <v>8</v>
      </c>
      <c r="AH429" s="673">
        <v>2.5499999999999998</v>
      </c>
      <c r="AI429" s="580"/>
      <c r="AJ429" s="580"/>
      <c r="AK429" s="580"/>
      <c r="AL429" s="626">
        <f>AD429*AH429+SUM(AI429:AK429)</f>
        <v>2.5499999999999998</v>
      </c>
      <c r="AQ429" s="139"/>
      <c r="AR429" s="139"/>
      <c r="AS429" s="139"/>
      <c r="AT429" s="139"/>
    </row>
    <row r="430" spans="1:50" ht="15" customHeight="1" x14ac:dyDescent="0.4">
      <c r="B430" s="4" t="s">
        <v>813</v>
      </c>
      <c r="D430" s="36"/>
      <c r="E430" s="36"/>
      <c r="F430" s="36"/>
      <c r="G430" s="500"/>
      <c r="H430" s="370"/>
      <c r="I430" s="47" t="s">
        <v>1356</v>
      </c>
      <c r="L430" s="5"/>
      <c r="Q430" s="3"/>
      <c r="R430" s="5"/>
      <c r="S430" s="5">
        <f>((SLEQFGW*2)+(SLEQFGH*2))/12/695*2</f>
        <v>3.1565147881694643E-2</v>
      </c>
      <c r="T430" s="3" t="s">
        <v>815</v>
      </c>
      <c r="V430" s="38" t="s">
        <v>8</v>
      </c>
      <c r="W430" s="3" t="s">
        <v>422</v>
      </c>
      <c r="X430" s="38" t="s">
        <v>8</v>
      </c>
      <c r="Y430" s="1443">
        <v>610027000</v>
      </c>
      <c r="Z430" s="56">
        <v>251924</v>
      </c>
      <c r="AB430" s="3">
        <v>45</v>
      </c>
      <c r="AC430" s="5"/>
      <c r="AD430" s="5">
        <f>S430</f>
        <v>3.1565147881694643E-2</v>
      </c>
      <c r="AE430" s="3" t="s">
        <v>815</v>
      </c>
      <c r="AF430" s="38" t="s">
        <v>8</v>
      </c>
      <c r="AG430" s="38" t="s">
        <v>8</v>
      </c>
      <c r="AH430" s="492">
        <v>68.27</v>
      </c>
      <c r="AI430" s="477"/>
      <c r="AJ430" s="477"/>
      <c r="AK430" s="477"/>
      <c r="AL430" s="51">
        <f>AD430*AH430+SUM(AI430:AK430)</f>
        <v>2.1549526458832933</v>
      </c>
      <c r="AQ430" s="139"/>
      <c r="AR430" s="139"/>
      <c r="AS430" s="139"/>
      <c r="AT430" s="139"/>
    </row>
    <row r="431" spans="1:50" ht="15" customHeight="1" x14ac:dyDescent="0.4">
      <c r="B431" s="4" t="s">
        <v>2172</v>
      </c>
      <c r="D431" s="36"/>
      <c r="E431" s="36"/>
      <c r="F431" s="36"/>
      <c r="G431" s="500"/>
      <c r="H431" s="370"/>
      <c r="I431" s="47"/>
      <c r="L431" s="5"/>
      <c r="Q431" s="3"/>
      <c r="R431" s="5"/>
      <c r="V431" s="38"/>
      <c r="X431" s="38"/>
      <c r="Y431" s="1445">
        <v>610027000002</v>
      </c>
      <c r="Z431" s="56">
        <v>251931</v>
      </c>
      <c r="AC431" s="5"/>
      <c r="AE431" s="3"/>
      <c r="AF431" s="38"/>
      <c r="AG431" s="38"/>
      <c r="AH431" s="492"/>
      <c r="AI431" s="477"/>
      <c r="AJ431" s="477"/>
      <c r="AK431" s="477"/>
      <c r="AL431" s="51"/>
      <c r="AQ431" s="139"/>
      <c r="AR431" s="139"/>
      <c r="AS431" s="139"/>
      <c r="AT431" s="139"/>
    </row>
    <row r="432" spans="1:50" ht="15" customHeight="1" x14ac:dyDescent="0.4">
      <c r="B432" s="4" t="s">
        <v>816</v>
      </c>
      <c r="D432" s="36"/>
      <c r="E432" s="36"/>
      <c r="F432" s="36"/>
      <c r="G432" s="500"/>
      <c r="H432" s="370"/>
      <c r="I432" s="47" t="s">
        <v>1356</v>
      </c>
      <c r="L432" s="5"/>
      <c r="Q432" s="3"/>
      <c r="R432" s="5"/>
      <c r="S432" s="5">
        <f>((SLEQFGW*2)+(SLEQFGH*2))/12/695*2</f>
        <v>3.1565147881694643E-2</v>
      </c>
      <c r="T432" s="3" t="s">
        <v>815</v>
      </c>
      <c r="V432" s="38" t="s">
        <v>8</v>
      </c>
      <c r="W432" s="3" t="s">
        <v>817</v>
      </c>
      <c r="X432" s="38" t="s">
        <v>8</v>
      </c>
      <c r="Y432" s="1445">
        <v>610007010002</v>
      </c>
      <c r="Z432" s="56"/>
      <c r="AB432" s="3">
        <v>45</v>
      </c>
      <c r="AC432" s="5"/>
      <c r="AD432" s="5">
        <f t="shared" ref="AD432:AD433" si="22">S432</f>
        <v>3.1565147881694643E-2</v>
      </c>
      <c r="AE432" s="3" t="s">
        <v>815</v>
      </c>
      <c r="AF432" s="38" t="s">
        <v>8</v>
      </c>
      <c r="AG432" s="38" t="s">
        <v>8</v>
      </c>
      <c r="AH432" s="699">
        <v>0</v>
      </c>
      <c r="AI432" s="477"/>
      <c r="AJ432" s="477"/>
      <c r="AK432" s="477"/>
      <c r="AL432" s="51"/>
      <c r="AQ432" s="139"/>
      <c r="AR432" s="139"/>
      <c r="AS432" s="139"/>
      <c r="AT432" s="139"/>
    </row>
    <row r="433" spans="1:47" ht="15" customHeight="1" x14ac:dyDescent="0.4">
      <c r="B433" s="573" t="s">
        <v>818</v>
      </c>
      <c r="C433" s="694"/>
      <c r="D433" s="622"/>
      <c r="E433" s="622"/>
      <c r="F433" s="622"/>
      <c r="G433" s="223"/>
      <c r="H433" s="695"/>
      <c r="I433" s="577"/>
      <c r="J433" s="577"/>
      <c r="K433" s="577"/>
      <c r="L433" s="575"/>
      <c r="M433" s="575"/>
      <c r="N433" s="575"/>
      <c r="O433" s="575"/>
      <c r="P433" s="575"/>
      <c r="Q433" s="577"/>
      <c r="R433" s="575"/>
      <c r="S433" s="575" t="s">
        <v>1258</v>
      </c>
      <c r="T433" s="577" t="s">
        <v>811</v>
      </c>
      <c r="U433" s="574"/>
      <c r="V433" s="579" t="s">
        <v>8</v>
      </c>
      <c r="W433" s="577" t="s">
        <v>817</v>
      </c>
      <c r="X433" s="579" t="s">
        <v>8</v>
      </c>
      <c r="Y433" s="1460">
        <v>610007010001</v>
      </c>
      <c r="Z433" s="576"/>
      <c r="AA433" s="574"/>
      <c r="AB433" s="577">
        <v>45</v>
      </c>
      <c r="AC433" s="575"/>
      <c r="AD433" s="575" t="str">
        <f t="shared" si="22"/>
        <v>?</v>
      </c>
      <c r="AE433" s="577" t="s">
        <v>811</v>
      </c>
      <c r="AF433" s="579" t="s">
        <v>8</v>
      </c>
      <c r="AG433" s="579" t="s">
        <v>8</v>
      </c>
      <c r="AH433" s="673">
        <v>5.47</v>
      </c>
      <c r="AI433" s="580"/>
      <c r="AJ433" s="580"/>
      <c r="AK433" s="580"/>
      <c r="AL433" s="626"/>
      <c r="AQ433" s="139"/>
      <c r="AR433" s="139"/>
      <c r="AS433" s="139"/>
      <c r="AT433" s="139"/>
    </row>
    <row r="434" spans="1:47" ht="15" customHeight="1" x14ac:dyDescent="0.4">
      <c r="B434" s="4" t="s">
        <v>819</v>
      </c>
      <c r="D434" s="8"/>
      <c r="E434" s="8"/>
      <c r="F434" s="8"/>
      <c r="G434" s="3"/>
      <c r="H434" s="370"/>
      <c r="J434" s="495"/>
      <c r="L434" s="5"/>
      <c r="Q434" s="3"/>
      <c r="R434" s="5"/>
      <c r="S434" s="56">
        <v>1</v>
      </c>
      <c r="T434" s="3" t="s">
        <v>385</v>
      </c>
      <c r="V434" s="38" t="s">
        <v>8</v>
      </c>
      <c r="W434" s="3" t="s">
        <v>821</v>
      </c>
      <c r="X434" s="38" t="s">
        <v>8</v>
      </c>
      <c r="Y434" s="3">
        <v>620001000</v>
      </c>
      <c r="AA434" s="14">
        <v>45</v>
      </c>
      <c r="AB434" s="3">
        <v>45</v>
      </c>
      <c r="AC434" s="5"/>
      <c r="AD434" s="56">
        <v>3</v>
      </c>
      <c r="AE434" s="3" t="s">
        <v>385</v>
      </c>
      <c r="AF434" s="38" t="s">
        <v>8</v>
      </c>
      <c r="AG434" s="38" t="s">
        <v>8</v>
      </c>
      <c r="AH434" s="492">
        <v>8.9999999999999993E-3</v>
      </c>
      <c r="AI434" s="477"/>
      <c r="AJ434" s="477"/>
      <c r="AK434" s="477"/>
      <c r="AL434" s="51">
        <f>AD434*AH434+SUM(AI434:AK434)</f>
        <v>2.6999999999999996E-2</v>
      </c>
      <c r="AQ434" s="139"/>
      <c r="AR434" s="139"/>
      <c r="AS434" s="139"/>
      <c r="AT434" s="139"/>
    </row>
    <row r="435" spans="1:47" ht="15" customHeight="1" x14ac:dyDescent="0.4">
      <c r="B435" s="4" t="s">
        <v>822</v>
      </c>
      <c r="D435" s="8"/>
      <c r="E435" s="3"/>
      <c r="F435" s="8"/>
      <c r="G435" s="3"/>
      <c r="H435" s="370"/>
      <c r="L435" s="5"/>
      <c r="Q435" s="3"/>
      <c r="R435" s="5"/>
      <c r="S435" s="56">
        <v>1</v>
      </c>
      <c r="T435" s="3" t="s">
        <v>385</v>
      </c>
      <c r="V435" s="38" t="s">
        <v>8</v>
      </c>
      <c r="W435" s="3" t="s">
        <v>817</v>
      </c>
      <c r="X435" s="38" t="s">
        <v>8</v>
      </c>
      <c r="Y435" s="3">
        <v>620007000</v>
      </c>
      <c r="AB435" s="3">
        <v>45</v>
      </c>
      <c r="AC435" s="5"/>
      <c r="AD435" s="56">
        <v>0</v>
      </c>
      <c r="AE435" s="3" t="s">
        <v>385</v>
      </c>
      <c r="AF435" s="38" t="s">
        <v>8</v>
      </c>
      <c r="AG435" s="38" t="s">
        <v>8</v>
      </c>
      <c r="AH435" s="492">
        <v>1.18E-2</v>
      </c>
      <c r="AI435" s="477"/>
      <c r="AJ435" s="477"/>
      <c r="AK435" s="477"/>
      <c r="AL435" s="51">
        <f t="shared" ref="AL435:AL437" si="23">AD435*AH435+SUM(AI435:AK435)</f>
        <v>0</v>
      </c>
      <c r="AQ435" s="139"/>
      <c r="AR435" s="139"/>
      <c r="AS435" s="139"/>
      <c r="AT435" s="139"/>
    </row>
    <row r="436" spans="1:47" ht="15" customHeight="1" x14ac:dyDescent="0.4">
      <c r="B436" s="4" t="s">
        <v>823</v>
      </c>
      <c r="D436" s="8"/>
      <c r="E436" s="8"/>
      <c r="F436" s="8"/>
      <c r="G436" s="3"/>
      <c r="H436" s="370"/>
      <c r="L436" s="5"/>
      <c r="Q436" s="3"/>
      <c r="R436" s="5"/>
      <c r="S436" s="56">
        <v>1</v>
      </c>
      <c r="T436" s="3" t="s">
        <v>385</v>
      </c>
      <c r="V436" s="38" t="s">
        <v>8</v>
      </c>
      <c r="W436" s="3" t="s">
        <v>824</v>
      </c>
      <c r="X436" s="38" t="s">
        <v>8</v>
      </c>
      <c r="Y436" s="3">
        <v>620002000</v>
      </c>
      <c r="AA436" s="14">
        <v>45</v>
      </c>
      <c r="AB436" s="3">
        <v>45</v>
      </c>
      <c r="AC436" s="5"/>
      <c r="AD436" s="56">
        <v>0</v>
      </c>
      <c r="AE436" s="3" t="s">
        <v>385</v>
      </c>
      <c r="AF436" s="38" t="s">
        <v>8</v>
      </c>
      <c r="AG436" s="38" t="s">
        <v>8</v>
      </c>
      <c r="AH436" s="492">
        <v>1.3899999999999999E-2</v>
      </c>
      <c r="AI436" s="477"/>
      <c r="AJ436" s="477"/>
      <c r="AK436" s="477"/>
      <c r="AL436" s="51">
        <f t="shared" si="23"/>
        <v>0</v>
      </c>
      <c r="AQ436" s="139"/>
      <c r="AR436" s="139"/>
      <c r="AS436" s="139"/>
      <c r="AT436" s="139"/>
    </row>
    <row r="437" spans="1:47" ht="15" customHeight="1" x14ac:dyDescent="0.4">
      <c r="B437" s="4" t="s">
        <v>825</v>
      </c>
      <c r="D437" s="8"/>
      <c r="E437" s="8"/>
      <c r="F437" s="8"/>
      <c r="G437" s="3"/>
      <c r="H437" s="370"/>
      <c r="L437" s="5"/>
      <c r="Q437" s="3"/>
      <c r="R437" s="5"/>
      <c r="S437" s="56">
        <v>1</v>
      </c>
      <c r="T437" s="3" t="s">
        <v>385</v>
      </c>
      <c r="V437" s="38" t="s">
        <v>8</v>
      </c>
      <c r="W437" s="3" t="s">
        <v>821</v>
      </c>
      <c r="X437" s="38" t="s">
        <v>8</v>
      </c>
      <c r="Y437" s="3">
        <v>620003000</v>
      </c>
      <c r="AA437" s="14">
        <v>45</v>
      </c>
      <c r="AB437" s="3">
        <v>45</v>
      </c>
      <c r="AC437" s="5"/>
      <c r="AD437" s="56">
        <v>6</v>
      </c>
      <c r="AE437" s="3" t="s">
        <v>385</v>
      </c>
      <c r="AF437" s="38" t="s">
        <v>8</v>
      </c>
      <c r="AG437" s="38" t="s">
        <v>8</v>
      </c>
      <c r="AH437" s="492">
        <v>1.2200000000000001E-2</v>
      </c>
      <c r="AI437" s="477"/>
      <c r="AJ437" s="477"/>
      <c r="AK437" s="477"/>
      <c r="AL437" s="51">
        <f t="shared" si="23"/>
        <v>7.3200000000000001E-2</v>
      </c>
      <c r="AQ437" s="139"/>
      <c r="AR437" s="139"/>
      <c r="AS437" s="139"/>
      <c r="AT437" s="139"/>
    </row>
    <row r="438" spans="1:47" ht="15" customHeight="1" x14ac:dyDescent="0.4">
      <c r="B438" s="4" t="s">
        <v>827</v>
      </c>
      <c r="D438" s="8"/>
      <c r="E438" s="3"/>
      <c r="F438" s="8"/>
      <c r="G438" s="3"/>
      <c r="H438" s="370"/>
      <c r="L438" s="5"/>
      <c r="Q438" s="3"/>
      <c r="R438" s="5"/>
      <c r="S438" s="56">
        <v>1</v>
      </c>
      <c r="T438" s="3" t="s">
        <v>385</v>
      </c>
      <c r="V438" s="38" t="s">
        <v>8</v>
      </c>
      <c r="W438" s="3" t="s">
        <v>817</v>
      </c>
      <c r="X438" s="38" t="s">
        <v>8</v>
      </c>
      <c r="Y438" s="3">
        <v>620008000</v>
      </c>
      <c r="AB438" s="3">
        <v>45</v>
      </c>
      <c r="AC438" s="5"/>
      <c r="AD438" s="56">
        <v>0</v>
      </c>
      <c r="AE438" s="3" t="s">
        <v>385</v>
      </c>
      <c r="AF438" s="38" t="s">
        <v>8</v>
      </c>
      <c r="AG438" s="38" t="s">
        <v>8</v>
      </c>
      <c r="AH438" s="492">
        <v>1.5299999999999999E-2</v>
      </c>
      <c r="AI438" s="477"/>
      <c r="AJ438" s="477"/>
      <c r="AK438" s="477"/>
      <c r="AL438" s="51">
        <f>AD438*AH438+SUM(AI438:AK438)</f>
        <v>0</v>
      </c>
      <c r="AQ438" s="139"/>
      <c r="AR438" s="139"/>
      <c r="AS438" s="139"/>
      <c r="AT438" s="139"/>
    </row>
    <row r="439" spans="1:47" ht="15" customHeight="1" thickBot="1" x14ac:dyDescent="0.45">
      <c r="B439" s="968" t="s">
        <v>828</v>
      </c>
      <c r="C439" s="949"/>
      <c r="D439" s="949"/>
      <c r="E439" s="949"/>
      <c r="F439" s="949"/>
      <c r="G439" s="889"/>
      <c r="H439" s="1206"/>
      <c r="I439" s="889"/>
      <c r="J439" s="889"/>
      <c r="K439" s="889"/>
      <c r="L439" s="945"/>
      <c r="M439" s="945"/>
      <c r="N439" s="945"/>
      <c r="O439" s="945"/>
      <c r="P439" s="945"/>
      <c r="Q439" s="889"/>
      <c r="R439" s="945"/>
      <c r="S439" s="1156">
        <v>1</v>
      </c>
      <c r="T439" s="889" t="s">
        <v>385</v>
      </c>
      <c r="U439" s="948"/>
      <c r="V439" s="888" t="s">
        <v>8</v>
      </c>
      <c r="W439" s="889" t="s">
        <v>824</v>
      </c>
      <c r="X439" s="888" t="s">
        <v>8</v>
      </c>
      <c r="Y439" s="889">
        <v>620004000</v>
      </c>
      <c r="Z439" s="889"/>
      <c r="AA439" s="948">
        <v>45</v>
      </c>
      <c r="AB439" s="889">
        <v>45</v>
      </c>
      <c r="AC439" s="945"/>
      <c r="AD439" s="1156">
        <v>4</v>
      </c>
      <c r="AE439" s="889" t="s">
        <v>385</v>
      </c>
      <c r="AF439" s="888" t="s">
        <v>8</v>
      </c>
      <c r="AG439" s="888" t="s">
        <v>8</v>
      </c>
      <c r="AH439" s="942">
        <v>1.84E-2</v>
      </c>
      <c r="AI439" s="1157"/>
      <c r="AJ439" s="1157"/>
      <c r="AK439" s="1157"/>
      <c r="AL439" s="937">
        <f t="shared" ref="AL439" si="24">AH439*AD439</f>
        <v>7.3599999999999999E-2</v>
      </c>
      <c r="AQ439" s="139"/>
      <c r="AR439" s="139"/>
      <c r="AS439" s="139"/>
      <c r="AT439" s="139"/>
    </row>
    <row r="440" spans="1:47" ht="27" customHeight="1" thickTop="1" thickBot="1" x14ac:dyDescent="0.45">
      <c r="B440" s="793" t="str">
        <f>"Sash: "&amp;FIXED(SLEQSW,3)&amp;" x "&amp;FIXED(SLEQSH,3)</f>
        <v>Sash: 22.375 x 44.625</v>
      </c>
      <c r="C440" s="794"/>
      <c r="D440" s="795"/>
      <c r="E440" s="795"/>
      <c r="F440" s="795"/>
      <c r="G440" s="795"/>
      <c r="H440" s="796"/>
      <c r="I440" s="796"/>
      <c r="J440" s="796"/>
      <c r="K440" s="796"/>
      <c r="L440" s="796"/>
      <c r="M440" s="797"/>
      <c r="N440" s="797"/>
      <c r="O440" s="797"/>
      <c r="P440" s="797"/>
      <c r="Q440" s="797"/>
      <c r="R440" s="796"/>
      <c r="S440" s="797"/>
      <c r="T440" s="796"/>
      <c r="U440" s="796"/>
      <c r="V440" s="798"/>
      <c r="W440" s="796"/>
      <c r="X440" s="798"/>
      <c r="Y440" s="796"/>
      <c r="Z440" s="796"/>
      <c r="AA440" s="796"/>
      <c r="AB440" s="796"/>
      <c r="AC440" s="796"/>
      <c r="AD440" s="797"/>
      <c r="AE440" s="796"/>
      <c r="AF440" s="796"/>
      <c r="AG440" s="796"/>
      <c r="AH440" s="799"/>
      <c r="AI440" s="799"/>
      <c r="AJ440" s="799"/>
      <c r="AK440" s="799"/>
      <c r="AL440" s="858" t="e">
        <f>SUBTOTAL(109,AL441:AL591)</f>
        <v>#REF!</v>
      </c>
      <c r="AM440" s="799"/>
      <c r="AN440" s="799"/>
      <c r="AO440" s="799"/>
      <c r="AP440" s="799"/>
      <c r="AQ440" s="799"/>
      <c r="AR440" s="139"/>
      <c r="AS440" s="139"/>
      <c r="AT440" s="139"/>
      <c r="AU440" s="139"/>
    </row>
    <row r="441" spans="1:47" ht="15" customHeight="1" thickTop="1" x14ac:dyDescent="0.4">
      <c r="A441" s="3" t="s">
        <v>830</v>
      </c>
      <c r="B441" s="7" t="s">
        <v>830</v>
      </c>
      <c r="C441" s="7"/>
      <c r="D441" s="4" t="s">
        <v>831</v>
      </c>
      <c r="E441" s="7"/>
      <c r="F441" s="7"/>
      <c r="G441" s="7"/>
      <c r="I441" s="3" t="s">
        <v>392</v>
      </c>
      <c r="J441" s="3" t="s">
        <v>346</v>
      </c>
      <c r="K441" s="3">
        <v>3</v>
      </c>
      <c r="L441" s="3" t="s">
        <v>348</v>
      </c>
      <c r="M441" s="5">
        <v>-1.4583333000000001</v>
      </c>
      <c r="P441" s="3" t="s">
        <v>348</v>
      </c>
      <c r="Q441" s="5" t="s">
        <v>2315</v>
      </c>
      <c r="R441" s="3" t="s">
        <v>352</v>
      </c>
      <c r="S441" s="5">
        <f>SLEQwidth/K441+M441+SLEQSORnd</f>
        <v>22.375000033333333</v>
      </c>
      <c r="T441" s="3" t="s">
        <v>366</v>
      </c>
      <c r="V441" s="38"/>
      <c r="X441" s="38"/>
      <c r="AH441" s="477"/>
      <c r="AI441" s="477"/>
      <c r="AJ441" s="477"/>
      <c r="AK441" s="477"/>
      <c r="AL441" s="477"/>
      <c r="AQ441" s="139"/>
      <c r="AR441" s="139"/>
      <c r="AS441" s="139"/>
      <c r="AT441" s="139"/>
      <c r="AU441" s="139"/>
    </row>
    <row r="442" spans="1:47" ht="15" customHeight="1" thickBot="1" x14ac:dyDescent="0.45">
      <c r="A442" s="3" t="s">
        <v>832</v>
      </c>
      <c r="B442" s="7" t="s">
        <v>832</v>
      </c>
      <c r="C442" s="7"/>
      <c r="D442" s="4" t="s">
        <v>831</v>
      </c>
      <c r="E442" s="7"/>
      <c r="F442" s="7"/>
      <c r="G442" s="7"/>
      <c r="I442" s="3" t="s">
        <v>365</v>
      </c>
      <c r="L442" s="3" t="s">
        <v>348</v>
      </c>
      <c r="M442" s="5">
        <v>-2.875</v>
      </c>
      <c r="P442" s="3"/>
      <c r="R442" s="3" t="s">
        <v>352</v>
      </c>
      <c r="S442" s="5">
        <f>SLEQheight+M442</f>
        <v>44.625</v>
      </c>
      <c r="T442" s="3" t="s">
        <v>366</v>
      </c>
      <c r="V442" s="38"/>
      <c r="X442" s="38"/>
      <c r="AH442" s="477"/>
      <c r="AI442" s="477"/>
      <c r="AJ442" s="477"/>
      <c r="AK442" s="477"/>
      <c r="AL442" s="477"/>
      <c r="AQ442" s="139"/>
      <c r="AR442" s="139"/>
      <c r="AS442" s="139"/>
      <c r="AT442" s="139"/>
      <c r="AU442" s="139"/>
    </row>
    <row r="443" spans="1:47" ht="15" customHeight="1" thickBot="1" x14ac:dyDescent="0.45">
      <c r="B443" s="653" t="s">
        <v>449</v>
      </c>
      <c r="C443" s="653"/>
      <c r="D443" s="653"/>
      <c r="E443" s="653"/>
      <c r="F443" s="653"/>
      <c r="G443" s="653"/>
      <c r="H443" s="654"/>
      <c r="I443" s="654"/>
      <c r="J443" s="654"/>
      <c r="K443" s="654"/>
      <c r="L443" s="654"/>
      <c r="M443" s="655"/>
      <c r="N443" s="655"/>
      <c r="O443" s="655"/>
      <c r="P443" s="655"/>
      <c r="Q443" s="655"/>
      <c r="R443" s="654"/>
      <c r="S443" s="655"/>
      <c r="T443" s="654"/>
      <c r="U443" s="654"/>
      <c r="V443" s="653"/>
      <c r="W443" s="653"/>
      <c r="X443" s="653"/>
      <c r="Y443" s="656"/>
      <c r="Z443" s="656"/>
      <c r="AA443" s="654"/>
      <c r="AB443" s="656"/>
      <c r="AC443" s="654"/>
      <c r="AD443" s="655"/>
      <c r="AE443" s="654"/>
      <c r="AF443" s="654"/>
      <c r="AG443" s="654"/>
      <c r="AH443" s="658"/>
      <c r="AI443" s="658"/>
      <c r="AJ443" s="658"/>
      <c r="AK443" s="658"/>
      <c r="AL443" s="658"/>
      <c r="AM443" s="658"/>
      <c r="AN443" s="658"/>
      <c r="AO443" s="658"/>
      <c r="AP443" s="658"/>
      <c r="AQ443" s="658"/>
      <c r="AR443" s="139"/>
      <c r="AS443" s="139"/>
      <c r="AT443" s="139"/>
      <c r="AU443" s="139"/>
    </row>
    <row r="444" spans="1:47" ht="15" customHeight="1" x14ac:dyDescent="0.4">
      <c r="A444" s="3" t="s">
        <v>1260</v>
      </c>
      <c r="B444" s="181" t="s">
        <v>1357</v>
      </c>
      <c r="C444" s="173"/>
      <c r="D444" s="138" t="s">
        <v>848</v>
      </c>
      <c r="E444" s="173"/>
      <c r="F444" s="173"/>
      <c r="G444" s="173"/>
      <c r="H444" s="193"/>
      <c r="I444" s="116" t="s">
        <v>392</v>
      </c>
      <c r="J444" s="116" t="s">
        <v>346</v>
      </c>
      <c r="K444" s="116">
        <v>3</v>
      </c>
      <c r="L444" s="116" t="s">
        <v>348</v>
      </c>
      <c r="M444" s="177">
        <v>-1.458</v>
      </c>
      <c r="N444" s="177" t="s">
        <v>348</v>
      </c>
      <c r="O444" s="177">
        <v>0.25</v>
      </c>
      <c r="P444" s="116" t="s">
        <v>348</v>
      </c>
      <c r="Q444" s="5" t="s">
        <v>2315</v>
      </c>
      <c r="R444" s="116" t="s">
        <v>352</v>
      </c>
      <c r="S444" s="177">
        <f>SLEQwidth/K444+M444+O444+SLEQSORnd</f>
        <v>22.625333333333334</v>
      </c>
      <c r="T444" s="116" t="s">
        <v>366</v>
      </c>
      <c r="U444" s="193"/>
      <c r="V444" s="179"/>
      <c r="W444" s="116"/>
      <c r="X444" s="179"/>
      <c r="Y444" s="116"/>
      <c r="Z444" s="116"/>
      <c r="AA444" s="193"/>
      <c r="AB444" s="116">
        <v>42</v>
      </c>
      <c r="AC444" s="116">
        <v>4</v>
      </c>
      <c r="AD444" s="177">
        <f>AC444*S444/12</f>
        <v>7.5417777777777779</v>
      </c>
      <c r="AE444" s="116" t="s">
        <v>367</v>
      </c>
      <c r="AF444" s="179">
        <v>0.39600000000000002</v>
      </c>
      <c r="AG444" s="177">
        <f>AF444*AtolbperftEQ</f>
        <v>0.25046999999999997</v>
      </c>
      <c r="AH444" s="185"/>
      <c r="AI444" s="39"/>
      <c r="AJ444" s="39"/>
      <c r="AK444" s="39"/>
      <c r="AL444" s="180"/>
      <c r="AQ444" s="139"/>
      <c r="AR444" s="139"/>
      <c r="AS444" s="139"/>
      <c r="AT444" s="139"/>
      <c r="AU444" s="139"/>
    </row>
    <row r="445" spans="1:47" ht="15" customHeight="1" x14ac:dyDescent="0.4">
      <c r="B445" s="36"/>
      <c r="C445" s="155"/>
      <c r="D445" s="155"/>
      <c r="E445" s="155"/>
      <c r="F445" s="155"/>
      <c r="G445" s="155"/>
      <c r="V445" s="38" t="s">
        <v>369</v>
      </c>
      <c r="W445" s="3" t="s">
        <v>370</v>
      </c>
      <c r="X445" s="38" t="s">
        <v>369</v>
      </c>
      <c r="Y445" s="1443">
        <v>200184003</v>
      </c>
      <c r="Z445" s="41"/>
      <c r="AE445" s="3"/>
      <c r="AF445" s="38"/>
      <c r="AH445" s="39">
        <f>0.91*AG444</f>
        <v>0.22792769999999998</v>
      </c>
      <c r="AI445" s="39"/>
      <c r="AJ445" s="39"/>
      <c r="AK445" s="39"/>
      <c r="AL445" s="39">
        <f>AH445*AD444</f>
        <v>1.7189800627999998</v>
      </c>
      <c r="AQ445" s="139"/>
      <c r="AR445" s="139"/>
      <c r="AS445" s="139"/>
      <c r="AT445" s="139"/>
      <c r="AU445" s="139"/>
    </row>
    <row r="446" spans="1:47" ht="15" customHeight="1" x14ac:dyDescent="0.4">
      <c r="B446" s="36"/>
      <c r="C446" s="155"/>
      <c r="D446" s="155"/>
      <c r="E446" s="155"/>
      <c r="F446" s="155"/>
      <c r="G446" s="155"/>
      <c r="P446" s="3"/>
      <c r="V446" s="38" t="s">
        <v>369</v>
      </c>
      <c r="W446" s="3" t="s">
        <v>372</v>
      </c>
      <c r="X446" s="38" t="s">
        <v>369</v>
      </c>
      <c r="Y446" s="1443">
        <v>200184021</v>
      </c>
      <c r="Z446" s="41"/>
      <c r="AE446" s="3"/>
      <c r="AF446" s="3"/>
      <c r="AH446" s="39">
        <f>1*AG444</f>
        <v>0.25046999999999997</v>
      </c>
      <c r="AI446" s="9"/>
      <c r="AJ446" s="9"/>
      <c r="AK446" s="9"/>
      <c r="AL446" s="39">
        <f>AH446*AD444</f>
        <v>1.8889890799999998</v>
      </c>
      <c r="AQ446" s="139"/>
      <c r="AR446" s="139"/>
      <c r="AS446" s="139"/>
      <c r="AT446" s="139"/>
      <c r="AU446" s="139"/>
    </row>
    <row r="447" spans="1:47" ht="15" customHeight="1" x14ac:dyDescent="0.4">
      <c r="B447" s="36"/>
      <c r="C447" s="155"/>
      <c r="D447" s="155"/>
      <c r="E447" s="155"/>
      <c r="F447" s="155"/>
      <c r="G447" s="155"/>
      <c r="P447" s="3"/>
      <c r="V447" s="38" t="s">
        <v>369</v>
      </c>
      <c r="W447" s="3" t="s">
        <v>373</v>
      </c>
      <c r="X447" s="38" t="s">
        <v>369</v>
      </c>
      <c r="Y447" s="1443">
        <v>200184033</v>
      </c>
      <c r="Z447" s="41"/>
      <c r="AE447" s="3"/>
      <c r="AF447" s="3"/>
      <c r="AH447" s="39">
        <f>1*AG444</f>
        <v>0.25046999999999997</v>
      </c>
      <c r="AI447" s="39"/>
      <c r="AJ447" s="39"/>
      <c r="AK447" s="39"/>
      <c r="AL447" s="39">
        <f>AH447*AD444</f>
        <v>1.8889890799999998</v>
      </c>
      <c r="AQ447" s="139"/>
      <c r="AR447" s="139"/>
      <c r="AS447" s="139"/>
      <c r="AT447" s="139"/>
      <c r="AU447" s="139"/>
    </row>
    <row r="448" spans="1:47" ht="15" customHeight="1" x14ac:dyDescent="0.4">
      <c r="B448" s="36"/>
      <c r="C448" s="155"/>
      <c r="D448" s="155"/>
      <c r="E448" s="155"/>
      <c r="F448" s="155"/>
      <c r="G448" s="155"/>
      <c r="P448" s="3"/>
      <c r="V448" s="3" t="s">
        <v>2363</v>
      </c>
      <c r="W448" s="3" t="s">
        <v>370</v>
      </c>
      <c r="X448" s="38" t="s">
        <v>369</v>
      </c>
      <c r="Y448" s="1443">
        <v>200184127</v>
      </c>
      <c r="Z448" s="41"/>
      <c r="AE448" s="3"/>
      <c r="AF448" s="3"/>
      <c r="AH448" s="39"/>
      <c r="AI448" s="39"/>
      <c r="AJ448" s="39"/>
      <c r="AK448" s="39"/>
      <c r="AL448" s="39">
        <f t="shared" ref="AL448:AL452" si="25">AH448*AD445</f>
        <v>0</v>
      </c>
      <c r="AQ448" s="139"/>
      <c r="AR448" s="139"/>
      <c r="AS448" s="139"/>
      <c r="AT448" s="139"/>
      <c r="AU448" s="139"/>
    </row>
    <row r="449" spans="1:47" ht="15" customHeight="1" x14ac:dyDescent="0.4">
      <c r="B449" s="36"/>
      <c r="C449" s="155"/>
      <c r="D449" s="155"/>
      <c r="E449" s="155"/>
      <c r="F449" s="155"/>
      <c r="G449" s="155"/>
      <c r="P449" s="3"/>
      <c r="V449" s="112" t="s">
        <v>2366</v>
      </c>
      <c r="W449" s="112" t="s">
        <v>370</v>
      </c>
      <c r="X449" s="279" t="s">
        <v>369</v>
      </c>
      <c r="Y449" s="1871">
        <v>200184128</v>
      </c>
      <c r="Z449" s="41"/>
      <c r="AE449" s="3"/>
      <c r="AF449" s="3"/>
      <c r="AH449" s="39"/>
      <c r="AI449" s="39"/>
      <c r="AJ449" s="39"/>
      <c r="AK449" s="39"/>
      <c r="AL449" s="39">
        <f t="shared" si="25"/>
        <v>0</v>
      </c>
      <c r="AQ449" s="139"/>
      <c r="AR449" s="139"/>
      <c r="AS449" s="139"/>
      <c r="AT449" s="139"/>
      <c r="AU449" s="139"/>
    </row>
    <row r="450" spans="1:47" ht="15" customHeight="1" x14ac:dyDescent="0.4">
      <c r="B450" s="36"/>
      <c r="C450" s="155"/>
      <c r="D450" s="155"/>
      <c r="E450" s="155"/>
      <c r="F450" s="155"/>
      <c r="G450" s="155"/>
      <c r="P450" s="3"/>
      <c r="V450" s="3" t="s">
        <v>2364</v>
      </c>
      <c r="W450" s="3" t="s">
        <v>370</v>
      </c>
      <c r="X450" s="38" t="s">
        <v>369</v>
      </c>
      <c r="Y450" s="1443">
        <v>200184129</v>
      </c>
      <c r="Z450" s="41"/>
      <c r="AE450" s="3"/>
      <c r="AF450" s="3"/>
      <c r="AH450" s="1036">
        <v>0</v>
      </c>
      <c r="AI450" s="39"/>
      <c r="AJ450" s="39"/>
      <c r="AK450" s="39"/>
      <c r="AL450" s="39">
        <f t="shared" si="25"/>
        <v>0</v>
      </c>
      <c r="AQ450" s="139"/>
      <c r="AR450" s="139"/>
      <c r="AS450" s="139"/>
      <c r="AT450" s="139"/>
      <c r="AU450" s="139"/>
    </row>
    <row r="451" spans="1:47" ht="15" customHeight="1" x14ac:dyDescent="0.4">
      <c r="B451" s="36"/>
      <c r="C451" s="155"/>
      <c r="D451" s="155"/>
      <c r="E451" s="155"/>
      <c r="F451" s="155"/>
      <c r="G451" s="155"/>
      <c r="P451" s="3"/>
      <c r="V451" s="3" t="s">
        <v>2365</v>
      </c>
      <c r="W451" s="3" t="s">
        <v>370</v>
      </c>
      <c r="X451" s="38" t="s">
        <v>369</v>
      </c>
      <c r="Y451" s="1443">
        <v>200184180</v>
      </c>
      <c r="Z451" s="41"/>
      <c r="AE451" s="3"/>
      <c r="AF451" s="3"/>
      <c r="AH451" s="39"/>
      <c r="AI451" s="39"/>
      <c r="AJ451" s="39"/>
      <c r="AK451" s="39"/>
      <c r="AL451" s="39">
        <f t="shared" si="25"/>
        <v>0</v>
      </c>
      <c r="AQ451" s="139"/>
      <c r="AR451" s="139"/>
      <c r="AS451" s="139"/>
      <c r="AT451" s="139"/>
      <c r="AU451" s="139"/>
    </row>
    <row r="452" spans="1:47" ht="15" customHeight="1" x14ac:dyDescent="0.4">
      <c r="B452" s="36"/>
      <c r="C452" s="155"/>
      <c r="D452" s="155"/>
      <c r="E452" s="155"/>
      <c r="F452" s="155"/>
      <c r="G452" s="155"/>
      <c r="P452" s="3"/>
      <c r="V452" s="112" t="s">
        <v>2367</v>
      </c>
      <c r="W452" s="112" t="s">
        <v>370</v>
      </c>
      <c r="X452" s="279" t="s">
        <v>369</v>
      </c>
      <c r="Y452" s="1871">
        <v>200184152</v>
      </c>
      <c r="Z452" s="41"/>
      <c r="AE452" s="3"/>
      <c r="AF452" s="3"/>
      <c r="AH452" s="1036">
        <v>0</v>
      </c>
      <c r="AI452" s="39"/>
      <c r="AJ452" s="39"/>
      <c r="AK452" s="39"/>
      <c r="AL452" s="39">
        <f t="shared" si="25"/>
        <v>0</v>
      </c>
      <c r="AQ452" s="139"/>
      <c r="AR452" s="139"/>
      <c r="AS452" s="139"/>
      <c r="AT452" s="139"/>
      <c r="AU452" s="139"/>
    </row>
    <row r="453" spans="1:47" ht="15" customHeight="1" x14ac:dyDescent="0.4">
      <c r="B453" s="36"/>
      <c r="C453" s="623"/>
      <c r="D453" s="623"/>
      <c r="E453" s="623"/>
      <c r="F453" s="623"/>
      <c r="G453" s="623"/>
      <c r="H453" s="574"/>
      <c r="I453" s="577"/>
      <c r="J453" s="577"/>
      <c r="K453" s="577"/>
      <c r="L453" s="577"/>
      <c r="M453" s="575"/>
      <c r="N453" s="575"/>
      <c r="O453" s="575"/>
      <c r="P453" s="577"/>
      <c r="Q453" s="575"/>
      <c r="R453" s="577"/>
      <c r="S453" s="575"/>
      <c r="T453" s="577"/>
      <c r="U453" s="574"/>
      <c r="V453" s="577" t="s">
        <v>2365</v>
      </c>
      <c r="W453" s="577" t="s">
        <v>370</v>
      </c>
      <c r="X453" s="579" t="s">
        <v>2365</v>
      </c>
      <c r="Y453" s="1446">
        <v>200184181</v>
      </c>
      <c r="Z453" s="864"/>
      <c r="AA453" s="574"/>
      <c r="AB453" s="577"/>
      <c r="AC453" s="577"/>
      <c r="AD453" s="575"/>
      <c r="AE453" s="577"/>
      <c r="AF453" s="577"/>
      <c r="AG453" s="575"/>
      <c r="AH453" s="1371"/>
      <c r="AI453" s="581"/>
      <c r="AJ453" s="581"/>
      <c r="AK453" s="581"/>
      <c r="AL453" s="581"/>
      <c r="AM453" s="577"/>
      <c r="AN453" s="577"/>
      <c r="AO453" s="577"/>
      <c r="AP453" s="577"/>
      <c r="AQ453" s="1372"/>
      <c r="AR453" s="139"/>
      <c r="AS453" s="139"/>
      <c r="AT453" s="139"/>
      <c r="AU453" s="139"/>
    </row>
    <row r="454" spans="1:47" ht="15" customHeight="1" x14ac:dyDescent="0.4">
      <c r="B454" s="36"/>
      <c r="C454" s="447" t="s">
        <v>1220</v>
      </c>
      <c r="D454" s="155"/>
      <c r="E454" s="155"/>
      <c r="F454" s="155"/>
      <c r="G454" s="155"/>
      <c r="I454" s="3" t="s">
        <v>392</v>
      </c>
      <c r="J454" s="3" t="s">
        <v>346</v>
      </c>
      <c r="K454" s="3">
        <v>3</v>
      </c>
      <c r="L454" s="3" t="s">
        <v>348</v>
      </c>
      <c r="M454" s="5">
        <f>M444</f>
        <v>-1.458</v>
      </c>
      <c r="N454" s="5" t="s">
        <v>348</v>
      </c>
      <c r="O454" s="5">
        <v>0.25</v>
      </c>
      <c r="P454" s="3" t="s">
        <v>348</v>
      </c>
      <c r="Q454" s="5" t="s">
        <v>2315</v>
      </c>
      <c r="R454" s="3" t="s">
        <v>352</v>
      </c>
      <c r="S454" s="5">
        <f>SLEQwidth/K454+M454+O454+SLEQSORnd</f>
        <v>22.625333333333334</v>
      </c>
      <c r="T454" s="3" t="s">
        <v>366</v>
      </c>
      <c r="V454" s="38" t="s">
        <v>369</v>
      </c>
      <c r="W454" s="3" t="s">
        <v>405</v>
      </c>
      <c r="X454" s="38" t="s">
        <v>369</v>
      </c>
      <c r="Y454" s="1443">
        <v>600042010</v>
      </c>
      <c r="Z454" s="41"/>
      <c r="AB454" s="3">
        <v>45</v>
      </c>
      <c r="AC454" s="3">
        <v>2</v>
      </c>
      <c r="AD454" s="5">
        <f>S454*AC454/12</f>
        <v>3.770888888888889</v>
      </c>
      <c r="AE454" s="3" t="s">
        <v>367</v>
      </c>
      <c r="AF454" s="3"/>
      <c r="AG454" s="3"/>
      <c r="AH454" s="51">
        <f>'Single Hung'!AI782</f>
        <v>3.3500000000000002E-2</v>
      </c>
      <c r="AI454" s="39"/>
      <c r="AJ454" s="39"/>
      <c r="AK454" s="39"/>
      <c r="AL454" s="51">
        <f>AD$454*AH454+SUM(AI454:AK454)</f>
        <v>0.12632477777777779</v>
      </c>
      <c r="AR454" s="139"/>
      <c r="AS454" s="139"/>
      <c r="AT454" s="139"/>
      <c r="AU454" s="139"/>
    </row>
    <row r="455" spans="1:47" ht="15" customHeight="1" thickBot="1" x14ac:dyDescent="0.45">
      <c r="B455" s="943"/>
      <c r="C455" s="944" t="s">
        <v>1221</v>
      </c>
      <c r="D455" s="925"/>
      <c r="E455" s="925"/>
      <c r="F455" s="925"/>
      <c r="G455" s="925"/>
      <c r="H455" s="948"/>
      <c r="I455" s="889"/>
      <c r="J455" s="889"/>
      <c r="K455" s="889"/>
      <c r="L455" s="889"/>
      <c r="M455" s="945"/>
      <c r="N455" s="945"/>
      <c r="O455" s="945"/>
      <c r="P455" s="889"/>
      <c r="Q455" s="945"/>
      <c r="R455" s="889"/>
      <c r="S455" s="945"/>
      <c r="T455" s="889"/>
      <c r="U455" s="948"/>
      <c r="V455" s="888" t="s">
        <v>369</v>
      </c>
      <c r="W455" s="889" t="s">
        <v>405</v>
      </c>
      <c r="X455" s="888" t="s">
        <v>369</v>
      </c>
      <c r="Y455" s="1443">
        <v>600050010</v>
      </c>
      <c r="Z455" s="946"/>
      <c r="AA455" s="948"/>
      <c r="AB455" s="889"/>
      <c r="AC455" s="889"/>
      <c r="AD455" s="945"/>
      <c r="AE455" s="889"/>
      <c r="AF455" s="889"/>
      <c r="AG455" s="945"/>
      <c r="AH455" s="947"/>
      <c r="AI455" s="947"/>
      <c r="AJ455" s="947"/>
      <c r="AK455" s="947"/>
      <c r="AM455" s="889"/>
      <c r="AN455" s="889"/>
      <c r="AO455" s="889"/>
      <c r="AP455" s="889"/>
      <c r="AQ455" s="889"/>
      <c r="AR455" s="139"/>
      <c r="AS455" s="139"/>
      <c r="AT455" s="139"/>
      <c r="AU455" s="139"/>
    </row>
    <row r="456" spans="1:47" ht="15" customHeight="1" x14ac:dyDescent="0.4">
      <c r="A456" s="3" t="s">
        <v>1262</v>
      </c>
      <c r="B456" s="181" t="s">
        <v>1263</v>
      </c>
      <c r="C456" s="173"/>
      <c r="D456" s="138" t="s">
        <v>848</v>
      </c>
      <c r="E456" s="173"/>
      <c r="F456" s="173"/>
      <c r="G456" s="173"/>
      <c r="H456" s="193"/>
      <c r="I456" s="116" t="s">
        <v>365</v>
      </c>
      <c r="J456" s="116"/>
      <c r="K456" s="116"/>
      <c r="L456" s="116" t="s">
        <v>348</v>
      </c>
      <c r="M456" s="177">
        <v>-2.875</v>
      </c>
      <c r="N456" s="177" t="s">
        <v>348</v>
      </c>
      <c r="O456" s="177">
        <v>0.25</v>
      </c>
      <c r="P456" s="177"/>
      <c r="Q456" s="177"/>
      <c r="R456" s="381" t="s">
        <v>352</v>
      </c>
      <c r="S456" s="177">
        <f>SLEQheight+M456+O456</f>
        <v>44.875</v>
      </c>
      <c r="T456" s="381" t="s">
        <v>366</v>
      </c>
      <c r="U456" s="193"/>
      <c r="V456" s="179"/>
      <c r="W456" s="116"/>
      <c r="X456" s="179"/>
      <c r="Y456" s="116"/>
      <c r="Z456" s="116"/>
      <c r="AA456" s="193"/>
      <c r="AB456" s="116">
        <v>42</v>
      </c>
      <c r="AC456" s="116">
        <v>2</v>
      </c>
      <c r="AD456" s="177">
        <f>AC456*S456/12</f>
        <v>7.479166666666667</v>
      </c>
      <c r="AE456" s="116" t="s">
        <v>367</v>
      </c>
      <c r="AF456" s="179">
        <v>0.495</v>
      </c>
      <c r="AG456" s="177">
        <f>AF456*AtolbperftEQ</f>
        <v>0.31308749999999996</v>
      </c>
      <c r="AH456" s="185"/>
      <c r="AI456" s="39"/>
      <c r="AJ456" s="39"/>
      <c r="AK456" s="39"/>
      <c r="AL456" s="180"/>
      <c r="AQ456" s="139"/>
      <c r="AR456" s="139"/>
      <c r="AS456" s="139"/>
      <c r="AT456" s="139"/>
      <c r="AU456" s="139"/>
    </row>
    <row r="457" spans="1:47" ht="15" customHeight="1" x14ac:dyDescent="0.4">
      <c r="B457" s="36"/>
      <c r="C457" s="7"/>
      <c r="D457" s="7"/>
      <c r="E457" s="7"/>
      <c r="F457" s="7"/>
      <c r="G457" s="7"/>
      <c r="R457" s="376"/>
      <c r="T457" s="376"/>
      <c r="V457" s="38" t="s">
        <v>369</v>
      </c>
      <c r="W457" s="3" t="s">
        <v>370</v>
      </c>
      <c r="X457" s="38" t="s">
        <v>369</v>
      </c>
      <c r="Y457" s="1443">
        <v>200131003</v>
      </c>
      <c r="Z457" s="41"/>
      <c r="AE457" s="3"/>
      <c r="AF457" s="38"/>
      <c r="AH457" s="39">
        <f>0.91*AG456</f>
        <v>0.284909625</v>
      </c>
      <c r="AI457" s="39"/>
      <c r="AJ457" s="39"/>
      <c r="AK457" s="39"/>
      <c r="AL457" s="39">
        <f>AH457*AD456</f>
        <v>2.1308865703125002</v>
      </c>
      <c r="AQ457" s="139"/>
      <c r="AR457" s="139"/>
      <c r="AS457" s="139"/>
      <c r="AT457" s="139"/>
      <c r="AU457" s="139"/>
    </row>
    <row r="458" spans="1:47" ht="15" customHeight="1" x14ac:dyDescent="0.4">
      <c r="B458" s="36"/>
      <c r="C458" s="7"/>
      <c r="D458" s="7"/>
      <c r="E458" s="7"/>
      <c r="F458" s="7"/>
      <c r="G458" s="7"/>
      <c r="R458" s="376"/>
      <c r="T458" s="376"/>
      <c r="V458" s="38" t="s">
        <v>369</v>
      </c>
      <c r="W458" s="3" t="s">
        <v>372</v>
      </c>
      <c r="X458" s="38" t="s">
        <v>369</v>
      </c>
      <c r="Y458" s="1443">
        <v>200131021</v>
      </c>
      <c r="Z458" s="41"/>
      <c r="AE458" s="3"/>
      <c r="AF458" s="3"/>
      <c r="AH458" s="39">
        <f>1*AG456</f>
        <v>0.31308749999999996</v>
      </c>
      <c r="AI458" s="39"/>
      <c r="AJ458" s="39"/>
      <c r="AK458" s="39"/>
      <c r="AL458" s="39">
        <f>AH458*AD456</f>
        <v>2.3416335937499997</v>
      </c>
      <c r="AQ458" s="139"/>
      <c r="AR458" s="139"/>
      <c r="AS458" s="139"/>
      <c r="AT458" s="139"/>
      <c r="AU458" s="139"/>
    </row>
    <row r="459" spans="1:47" ht="15" customHeight="1" x14ac:dyDescent="0.4">
      <c r="B459" s="36"/>
      <c r="C459" s="3"/>
      <c r="D459" s="3"/>
      <c r="E459" s="3"/>
      <c r="F459" s="3"/>
      <c r="G459" s="7"/>
      <c r="R459" s="376"/>
      <c r="T459" s="376"/>
      <c r="V459" s="38" t="s">
        <v>369</v>
      </c>
      <c r="W459" s="3" t="s">
        <v>373</v>
      </c>
      <c r="X459" s="38" t="s">
        <v>369</v>
      </c>
      <c r="Y459" s="1443">
        <v>200131033</v>
      </c>
      <c r="Z459" s="41"/>
      <c r="AE459" s="3"/>
      <c r="AF459" s="3"/>
      <c r="AH459" s="39">
        <f>1*AG456</f>
        <v>0.31308749999999996</v>
      </c>
      <c r="AI459" s="39"/>
      <c r="AJ459" s="39"/>
      <c r="AK459" s="39"/>
      <c r="AL459" s="39">
        <f>AH459*AD456</f>
        <v>2.3416335937499997</v>
      </c>
      <c r="AQ459" s="139"/>
      <c r="AR459" s="139"/>
      <c r="AS459" s="139"/>
      <c r="AT459" s="139"/>
      <c r="AU459" s="139"/>
    </row>
    <row r="460" spans="1:47" ht="15" customHeight="1" x14ac:dyDescent="0.4">
      <c r="B460" s="36"/>
      <c r="C460" s="3"/>
      <c r="D460" s="3"/>
      <c r="E460" s="3"/>
      <c r="F460" s="3"/>
      <c r="G460" s="7"/>
      <c r="R460" s="376"/>
      <c r="T460" s="376"/>
      <c r="V460" s="3" t="s">
        <v>2363</v>
      </c>
      <c r="W460" s="3" t="s">
        <v>370</v>
      </c>
      <c r="X460" s="38" t="s">
        <v>369</v>
      </c>
      <c r="Y460" s="1443">
        <v>200131127</v>
      </c>
      <c r="Z460" s="41"/>
      <c r="AE460" s="3"/>
      <c r="AF460" s="3"/>
      <c r="AH460" s="39"/>
      <c r="AI460" s="39"/>
      <c r="AJ460" s="39"/>
      <c r="AK460" s="39"/>
      <c r="AQ460" s="139"/>
      <c r="AR460" s="139"/>
      <c r="AS460" s="139"/>
      <c r="AT460" s="139"/>
      <c r="AU460" s="139"/>
    </row>
    <row r="461" spans="1:47" ht="15" customHeight="1" x14ac:dyDescent="0.4">
      <c r="B461" s="36"/>
      <c r="C461" s="3"/>
      <c r="D461" s="3"/>
      <c r="E461" s="3"/>
      <c r="F461" s="3"/>
      <c r="G461" s="7"/>
      <c r="R461" s="376"/>
      <c r="T461" s="376"/>
      <c r="V461" s="112" t="s">
        <v>2366</v>
      </c>
      <c r="W461" s="112" t="s">
        <v>370</v>
      </c>
      <c r="X461" s="279" t="s">
        <v>369</v>
      </c>
      <c r="Y461" s="1871">
        <v>200131128</v>
      </c>
      <c r="Z461" s="41"/>
      <c r="AE461" s="3"/>
      <c r="AF461" s="3"/>
      <c r="AH461" s="39"/>
      <c r="AI461" s="39"/>
      <c r="AJ461" s="39"/>
      <c r="AK461" s="39"/>
      <c r="AQ461" s="139"/>
      <c r="AR461" s="139"/>
      <c r="AS461" s="139"/>
      <c r="AT461" s="139"/>
      <c r="AU461" s="139"/>
    </row>
    <row r="462" spans="1:47" ht="15" customHeight="1" x14ac:dyDescent="0.4">
      <c r="B462" s="36"/>
      <c r="C462" s="3"/>
      <c r="D462" s="3"/>
      <c r="E462" s="3"/>
      <c r="F462" s="3"/>
      <c r="G462" s="7"/>
      <c r="R462" s="376"/>
      <c r="T462" s="376"/>
      <c r="V462" s="3" t="s">
        <v>2364</v>
      </c>
      <c r="W462" s="3" t="s">
        <v>370</v>
      </c>
      <c r="X462" s="38" t="s">
        <v>369</v>
      </c>
      <c r="Y462" s="1443">
        <v>200131129</v>
      </c>
      <c r="Z462" s="41"/>
      <c r="AE462" s="3"/>
      <c r="AF462" s="3"/>
      <c r="AH462" s="1036">
        <v>0</v>
      </c>
      <c r="AI462" s="39"/>
      <c r="AJ462" s="39"/>
      <c r="AK462" s="39"/>
      <c r="AQ462" s="139"/>
      <c r="AR462" s="139"/>
      <c r="AS462" s="139"/>
      <c r="AT462" s="139"/>
      <c r="AU462" s="139"/>
    </row>
    <row r="463" spans="1:47" ht="15" customHeight="1" x14ac:dyDescent="0.4">
      <c r="B463" s="36"/>
      <c r="C463" s="3"/>
      <c r="D463" s="3"/>
      <c r="E463" s="3"/>
      <c r="F463" s="3"/>
      <c r="G463" s="7"/>
      <c r="R463" s="376"/>
      <c r="T463" s="376"/>
      <c r="V463" s="3" t="s">
        <v>2365</v>
      </c>
      <c r="W463" s="3" t="s">
        <v>370</v>
      </c>
      <c r="X463" s="38" t="s">
        <v>369</v>
      </c>
      <c r="Y463" s="1443">
        <v>200131180</v>
      </c>
      <c r="Z463" s="41"/>
      <c r="AE463" s="3"/>
      <c r="AF463" s="3"/>
      <c r="AH463" s="39"/>
      <c r="AI463" s="39"/>
      <c r="AJ463" s="39"/>
      <c r="AK463" s="39"/>
      <c r="AQ463" s="139"/>
      <c r="AR463" s="139"/>
      <c r="AS463" s="139"/>
      <c r="AT463" s="139"/>
      <c r="AU463" s="139"/>
    </row>
    <row r="464" spans="1:47" ht="15" customHeight="1" x14ac:dyDescent="0.4">
      <c r="B464" s="36"/>
      <c r="C464" s="3"/>
      <c r="D464" s="3"/>
      <c r="E464" s="3"/>
      <c r="F464" s="3"/>
      <c r="G464" s="7"/>
      <c r="R464" s="376"/>
      <c r="T464" s="376"/>
      <c r="V464" s="112" t="s">
        <v>2367</v>
      </c>
      <c r="W464" s="112" t="s">
        <v>370</v>
      </c>
      <c r="X464" s="279" t="s">
        <v>369</v>
      </c>
      <c r="Y464" s="1871">
        <v>200131152</v>
      </c>
      <c r="Z464" s="41"/>
      <c r="AE464" s="3"/>
      <c r="AF464" s="3"/>
      <c r="AH464" s="39">
        <v>0</v>
      </c>
      <c r="AI464" s="39"/>
      <c r="AJ464" s="39"/>
      <c r="AK464" s="39"/>
      <c r="AL464" s="39">
        <f t="shared" ref="AL464" si="26">AH464*AD461</f>
        <v>0</v>
      </c>
      <c r="AQ464" s="139"/>
      <c r="AR464" s="139"/>
      <c r="AS464" s="139"/>
      <c r="AT464" s="139"/>
      <c r="AU464" s="139"/>
    </row>
    <row r="465" spans="1:47" ht="15" customHeight="1" x14ac:dyDescent="0.4">
      <c r="B465" s="36"/>
      <c r="C465" s="577"/>
      <c r="D465" s="577"/>
      <c r="E465" s="577"/>
      <c r="F465" s="577"/>
      <c r="G465" s="221"/>
      <c r="H465" s="574"/>
      <c r="I465" s="577"/>
      <c r="J465" s="577"/>
      <c r="K465" s="577"/>
      <c r="L465" s="577"/>
      <c r="M465" s="575"/>
      <c r="N465" s="575"/>
      <c r="O465" s="575"/>
      <c r="P465" s="575"/>
      <c r="Q465" s="575"/>
      <c r="R465" s="578"/>
      <c r="S465" s="575"/>
      <c r="T465" s="578"/>
      <c r="U465" s="574"/>
      <c r="V465" s="577" t="s">
        <v>2365</v>
      </c>
      <c r="W465" s="577" t="s">
        <v>370</v>
      </c>
      <c r="X465" s="579" t="s">
        <v>2365</v>
      </c>
      <c r="Y465" s="1446">
        <v>200131181</v>
      </c>
      <c r="Z465" s="864"/>
      <c r="AA465" s="574"/>
      <c r="AB465" s="577"/>
      <c r="AC465" s="577"/>
      <c r="AD465" s="575"/>
      <c r="AE465" s="577"/>
      <c r="AF465" s="577"/>
      <c r="AG465" s="575"/>
      <c r="AH465" s="581"/>
      <c r="AI465" s="581"/>
      <c r="AJ465" s="581"/>
      <c r="AK465" s="581"/>
      <c r="AL465" s="581"/>
      <c r="AM465" s="577"/>
      <c r="AN465" s="577"/>
      <c r="AO465" s="577"/>
      <c r="AP465" s="577"/>
      <c r="AQ465" s="1372"/>
      <c r="AR465" s="139"/>
      <c r="AS465" s="139"/>
      <c r="AT465" s="139"/>
      <c r="AU465" s="139"/>
    </row>
    <row r="466" spans="1:47" ht="15" customHeight="1" thickBot="1" x14ac:dyDescent="0.45">
      <c r="B466" s="36"/>
      <c r="C466" s="447" t="s">
        <v>1358</v>
      </c>
      <c r="D466" s="3"/>
      <c r="E466" s="155"/>
      <c r="F466" s="155"/>
      <c r="G466" s="7"/>
      <c r="H466" s="20"/>
      <c r="I466" s="500"/>
      <c r="J466" s="500"/>
      <c r="K466" s="500"/>
      <c r="L466" s="500"/>
      <c r="M466" s="24"/>
      <c r="N466" s="24"/>
      <c r="O466" s="24"/>
      <c r="P466" s="24"/>
      <c r="Q466" s="24"/>
      <c r="R466" s="500"/>
      <c r="S466" s="24"/>
      <c r="T466" s="500"/>
      <c r="U466" s="20"/>
      <c r="V466" s="38" t="s">
        <v>369</v>
      </c>
      <c r="W466" s="3" t="s">
        <v>405</v>
      </c>
      <c r="X466" s="38" t="s">
        <v>369</v>
      </c>
      <c r="Y466" s="41">
        <v>600041010</v>
      </c>
      <c r="Z466" s="41"/>
      <c r="AA466" s="20"/>
      <c r="AE466" s="3"/>
      <c r="AF466" s="3"/>
      <c r="AG466" s="3"/>
      <c r="AH466" s="39"/>
      <c r="AI466" s="947"/>
      <c r="AJ466" s="947"/>
      <c r="AK466" s="947"/>
      <c r="AM466" s="889"/>
      <c r="AN466" s="889"/>
      <c r="AO466" s="889"/>
      <c r="AP466" s="889"/>
      <c r="AQ466" s="1639"/>
      <c r="AR466" s="140"/>
      <c r="AS466" s="139"/>
      <c r="AT466" s="139"/>
      <c r="AU466" s="139"/>
    </row>
    <row r="467" spans="1:47" ht="15" customHeight="1" x14ac:dyDescent="0.4">
      <c r="A467" s="3" t="s">
        <v>835</v>
      </c>
      <c r="B467" s="181" t="s">
        <v>1259</v>
      </c>
      <c r="C467" s="114"/>
      <c r="D467" s="138"/>
      <c r="E467" s="138"/>
      <c r="F467" s="138"/>
      <c r="G467" s="173"/>
      <c r="H467" s="193"/>
      <c r="I467" s="448" t="s">
        <v>461</v>
      </c>
      <c r="J467" s="116"/>
      <c r="K467" s="116" t="s">
        <v>365</v>
      </c>
      <c r="L467" s="116" t="s">
        <v>465</v>
      </c>
      <c r="M467" s="178">
        <v>25</v>
      </c>
      <c r="N467" s="177"/>
      <c r="O467" s="177"/>
      <c r="P467" s="177"/>
      <c r="Q467" s="177"/>
      <c r="R467" s="381"/>
      <c r="S467" s="177"/>
      <c r="T467" s="381"/>
      <c r="U467" s="193"/>
      <c r="V467" s="179"/>
      <c r="W467" s="116"/>
      <c r="X467" s="179"/>
      <c r="Y467" s="116"/>
      <c r="Z467" s="116"/>
      <c r="AA467" s="193"/>
      <c r="AB467" s="116"/>
      <c r="AC467" s="480"/>
      <c r="AD467" s="177"/>
      <c r="AE467" s="177"/>
      <c r="AF467" s="177"/>
      <c r="AG467" s="177"/>
      <c r="AH467" s="481"/>
      <c r="AI467" s="39"/>
      <c r="AJ467" s="39"/>
      <c r="AK467" s="39"/>
      <c r="AL467" s="481"/>
      <c r="AQ467" s="139"/>
      <c r="AR467" s="139"/>
      <c r="AS467" s="139"/>
      <c r="AT467" s="139"/>
      <c r="AU467" s="139"/>
    </row>
    <row r="468" spans="1:47" ht="15" customHeight="1" x14ac:dyDescent="0.4">
      <c r="B468" s="36"/>
      <c r="C468" s="3"/>
      <c r="D468" s="3"/>
      <c r="E468" s="3"/>
      <c r="F468" s="3"/>
      <c r="G468" s="7"/>
      <c r="H468" s="20"/>
      <c r="I468" s="3" t="s">
        <v>365</v>
      </c>
      <c r="J468" s="38" t="s">
        <v>346</v>
      </c>
      <c r="K468" s="3">
        <v>2</v>
      </c>
      <c r="L468" s="3" t="s">
        <v>348</v>
      </c>
      <c r="M468" s="5">
        <v>-2.3130000000000002</v>
      </c>
      <c r="P468" s="3"/>
      <c r="R468" s="3" t="s">
        <v>352</v>
      </c>
      <c r="S468" s="24">
        <f>SLEQheight/K468+M468</f>
        <v>21.437000000000001</v>
      </c>
      <c r="T468" s="3" t="s">
        <v>366</v>
      </c>
      <c r="U468" s="20"/>
      <c r="V468" s="3" t="str">
        <f>IF(SLEQwidth&lt;M467,"√","")</f>
        <v/>
      </c>
      <c r="W468" s="7"/>
      <c r="X468" s="7"/>
      <c r="AA468" s="20"/>
      <c r="AE468" s="3"/>
      <c r="AF468" s="38"/>
      <c r="AG468" s="3"/>
      <c r="AH468" s="39"/>
      <c r="AI468" s="39"/>
      <c r="AJ468" s="39"/>
      <c r="AK468" s="39"/>
      <c r="AQ468" s="139"/>
      <c r="AR468" s="139"/>
      <c r="AS468" s="139"/>
      <c r="AT468" s="139"/>
      <c r="AU468" s="139"/>
    </row>
    <row r="469" spans="1:47" ht="15" customHeight="1" x14ac:dyDescent="0.4">
      <c r="B469" s="36"/>
      <c r="C469" s="3"/>
      <c r="D469" s="3"/>
      <c r="E469" s="3"/>
      <c r="F469" s="3"/>
      <c r="G469" s="7"/>
      <c r="H469" s="20"/>
      <c r="I469" s="36" t="s">
        <v>464</v>
      </c>
      <c r="J469" s="38"/>
      <c r="K469" s="3" t="s">
        <v>365</v>
      </c>
      <c r="L469" s="3" t="s">
        <v>463</v>
      </c>
      <c r="M469" s="5">
        <f>M467</f>
        <v>25</v>
      </c>
      <c r="N469" s="5" t="s">
        <v>747</v>
      </c>
      <c r="O469" s="5">
        <v>38</v>
      </c>
      <c r="P469" s="3"/>
      <c r="U469" s="20"/>
      <c r="V469" s="7"/>
      <c r="W469" s="7"/>
      <c r="X469" s="7"/>
      <c r="AA469" s="20"/>
      <c r="AE469" s="3"/>
      <c r="AF469" s="38"/>
      <c r="AG469" s="3"/>
      <c r="AH469" s="39"/>
      <c r="AI469" s="39"/>
      <c r="AJ469" s="39"/>
      <c r="AK469" s="39"/>
      <c r="AQ469" s="139"/>
      <c r="AR469" s="139"/>
      <c r="AS469" s="139"/>
      <c r="AT469" s="139"/>
      <c r="AU469" s="139"/>
    </row>
    <row r="470" spans="1:47" ht="15" customHeight="1" x14ac:dyDescent="0.4">
      <c r="B470" s="36"/>
      <c r="C470" s="3"/>
      <c r="D470" s="3"/>
      <c r="E470" s="3"/>
      <c r="F470" s="3"/>
      <c r="G470" s="7"/>
      <c r="H470" s="20"/>
      <c r="J470" s="38"/>
      <c r="M470" s="5">
        <v>7.3129999999999997</v>
      </c>
      <c r="P470" s="3"/>
      <c r="R470" s="3" t="s">
        <v>352</v>
      </c>
      <c r="S470" s="24">
        <f>M470</f>
        <v>7.3129999999999997</v>
      </c>
      <c r="T470" s="3" t="s">
        <v>366</v>
      </c>
      <c r="U470" s="20"/>
      <c r="V470" s="3" t="str">
        <f>IF(AND(SLEQwidth&gt;=M469,SLEQwidth&lt;=O469),"√","")</f>
        <v/>
      </c>
      <c r="W470" s="7"/>
      <c r="X470" s="7"/>
      <c r="AA470" s="20"/>
      <c r="AE470" s="3"/>
      <c r="AF470" s="38"/>
      <c r="AG470" s="3"/>
      <c r="AH470" s="39"/>
      <c r="AI470" s="39"/>
      <c r="AJ470" s="39"/>
      <c r="AK470" s="39"/>
      <c r="AQ470" s="139"/>
      <c r="AR470" s="139"/>
      <c r="AS470" s="139"/>
      <c r="AT470" s="139"/>
      <c r="AU470" s="139"/>
    </row>
    <row r="471" spans="1:47" ht="15" customHeight="1" x14ac:dyDescent="0.4">
      <c r="B471" s="36"/>
      <c r="C471" s="3"/>
      <c r="D471" s="3"/>
      <c r="E471" s="3"/>
      <c r="F471" s="3"/>
      <c r="G471" s="7"/>
      <c r="I471" s="36" t="s">
        <v>464</v>
      </c>
      <c r="J471" s="38"/>
      <c r="K471" s="3" t="s">
        <v>365</v>
      </c>
      <c r="L471" s="3" t="s">
        <v>1234</v>
      </c>
      <c r="M471" s="5">
        <f>O469</f>
        <v>38</v>
      </c>
      <c r="R471" s="376"/>
      <c r="T471" s="376"/>
      <c r="V471" s="38"/>
      <c r="X471" s="38"/>
      <c r="AC471" s="42"/>
      <c r="AH471" s="477"/>
      <c r="AI471" s="39"/>
      <c r="AJ471" s="39"/>
      <c r="AK471" s="39"/>
      <c r="AL471" s="477"/>
      <c r="AQ471" s="139"/>
      <c r="AR471" s="139"/>
      <c r="AS471" s="139"/>
      <c r="AT471" s="139"/>
      <c r="AU471" s="139"/>
    </row>
    <row r="472" spans="1:47" ht="15" customHeight="1" x14ac:dyDescent="0.4">
      <c r="B472" s="36"/>
      <c r="C472" s="3"/>
      <c r="D472" s="3"/>
      <c r="E472" s="3"/>
      <c r="F472" s="3"/>
      <c r="G472" s="7"/>
      <c r="H472" s="20"/>
      <c r="J472" s="38"/>
      <c r="M472" s="5">
        <v>11.313000000000001</v>
      </c>
      <c r="P472" s="3"/>
      <c r="R472" s="3" t="s">
        <v>352</v>
      </c>
      <c r="S472" s="24">
        <f>M472</f>
        <v>11.313000000000001</v>
      </c>
      <c r="T472" s="3" t="s">
        <v>366</v>
      </c>
      <c r="U472" s="20"/>
      <c r="V472" s="3" t="str">
        <f>IF(SLEQwidth&gt;M471,"√","")</f>
        <v>√</v>
      </c>
      <c r="W472" s="7"/>
      <c r="X472" s="7"/>
      <c r="AA472" s="20"/>
      <c r="AE472" s="3"/>
      <c r="AF472" s="38"/>
      <c r="AG472" s="3"/>
      <c r="AH472" s="39"/>
      <c r="AI472" s="39"/>
      <c r="AJ472" s="39"/>
      <c r="AK472" s="39"/>
      <c r="AQ472" s="139"/>
      <c r="AR472" s="139"/>
      <c r="AS472" s="139"/>
      <c r="AT472" s="139"/>
      <c r="AU472" s="139"/>
    </row>
    <row r="473" spans="1:47" ht="15" customHeight="1" thickBot="1" x14ac:dyDescent="0.45">
      <c r="B473" s="943"/>
      <c r="C473" s="889"/>
      <c r="D473" s="889"/>
      <c r="E473" s="889"/>
      <c r="F473" s="889"/>
      <c r="G473" s="924"/>
      <c r="H473" s="948"/>
      <c r="I473" s="889"/>
      <c r="J473" s="889"/>
      <c r="K473" s="889"/>
      <c r="L473" s="889"/>
      <c r="M473" s="945"/>
      <c r="N473" s="945"/>
      <c r="O473" s="945"/>
      <c r="P473" s="945"/>
      <c r="Q473" s="945"/>
      <c r="R473" s="970"/>
      <c r="S473" s="945"/>
      <c r="T473" s="970"/>
      <c r="U473" s="948"/>
      <c r="V473" s="888"/>
      <c r="W473" s="889"/>
      <c r="X473" s="888"/>
      <c r="Y473" s="889"/>
      <c r="Z473" s="889"/>
      <c r="AA473" s="948"/>
      <c r="AB473" s="889"/>
      <c r="AC473" s="1154"/>
      <c r="AD473" s="945"/>
      <c r="AE473" s="945"/>
      <c r="AF473" s="945"/>
      <c r="AG473" s="945"/>
      <c r="AH473" s="1157"/>
      <c r="AI473" s="947"/>
      <c r="AJ473" s="947"/>
      <c r="AK473" s="947"/>
      <c r="AL473" s="1157"/>
      <c r="AM473" s="889"/>
      <c r="AN473" s="889"/>
      <c r="AO473" s="889"/>
      <c r="AP473" s="889"/>
      <c r="AQ473" s="1163"/>
      <c r="AR473" s="139"/>
      <c r="AS473" s="139"/>
      <c r="AT473" s="139"/>
      <c r="AU473" s="139"/>
    </row>
    <row r="474" spans="1:47" ht="15" customHeight="1" x14ac:dyDescent="0.4">
      <c r="A474" s="3" t="s">
        <v>1265</v>
      </c>
      <c r="B474" s="173" t="s">
        <v>1266</v>
      </c>
      <c r="C474" s="173"/>
      <c r="D474" s="173"/>
      <c r="E474" s="173"/>
      <c r="F474" s="173"/>
      <c r="G474" s="173"/>
      <c r="H474" s="193"/>
      <c r="I474" s="116" t="s">
        <v>365</v>
      </c>
      <c r="J474" s="116"/>
      <c r="K474" s="116"/>
      <c r="L474" s="116" t="s">
        <v>348</v>
      </c>
      <c r="M474" s="177">
        <v>-2.875</v>
      </c>
      <c r="N474" s="177"/>
      <c r="O474" s="177">
        <v>0.25</v>
      </c>
      <c r="P474" s="177"/>
      <c r="Q474" s="177"/>
      <c r="R474" s="116" t="s">
        <v>352</v>
      </c>
      <c r="S474" s="177">
        <f>SLEQheight+M474+O474</f>
        <v>44.875</v>
      </c>
      <c r="T474" s="116" t="s">
        <v>366</v>
      </c>
      <c r="U474" s="193"/>
      <c r="V474" s="179"/>
      <c r="W474" s="179"/>
      <c r="X474" s="179"/>
      <c r="Y474" s="116"/>
      <c r="Z474" s="116"/>
      <c r="AA474" s="193"/>
      <c r="AB474" s="116">
        <v>42</v>
      </c>
      <c r="AC474" s="116">
        <v>2</v>
      </c>
      <c r="AD474" s="177">
        <f>AC474*S474/12</f>
        <v>7.479166666666667</v>
      </c>
      <c r="AE474" s="116" t="s">
        <v>367</v>
      </c>
      <c r="AF474" s="179">
        <v>0.49</v>
      </c>
      <c r="AG474" s="177">
        <f>AF474*AtolbperftEQ</f>
        <v>0.30992499999999995</v>
      </c>
      <c r="AH474" s="185"/>
      <c r="AI474" s="39"/>
      <c r="AJ474" s="39"/>
      <c r="AK474" s="39"/>
      <c r="AL474" s="180"/>
      <c r="AQ474" s="139"/>
      <c r="AR474" s="139"/>
      <c r="AS474" s="139"/>
      <c r="AT474" s="139"/>
      <c r="AU474" s="139"/>
    </row>
    <row r="475" spans="1:47" ht="15" customHeight="1" x14ac:dyDescent="0.4">
      <c r="B475" s="8"/>
      <c r="C475" s="7"/>
      <c r="D475" s="7"/>
      <c r="E475" s="7"/>
      <c r="F475" s="7"/>
      <c r="G475" s="7"/>
      <c r="M475" s="350"/>
      <c r="N475" s="350"/>
      <c r="O475" s="350"/>
      <c r="V475" s="38" t="s">
        <v>369</v>
      </c>
      <c r="W475" s="3" t="s">
        <v>370</v>
      </c>
      <c r="X475" s="38" t="s">
        <v>369</v>
      </c>
      <c r="Y475" s="1443">
        <v>200184003</v>
      </c>
      <c r="Z475" s="41"/>
      <c r="AE475" s="3"/>
      <c r="AF475" s="38"/>
      <c r="AH475" s="39">
        <f>0.91*AG474</f>
        <v>0.28203174999999997</v>
      </c>
      <c r="AI475" s="39"/>
      <c r="AJ475" s="39"/>
      <c r="AK475" s="39"/>
      <c r="AL475" s="39">
        <f>AH475*AD474</f>
        <v>2.1093624635416663</v>
      </c>
      <c r="AQ475" s="139"/>
      <c r="AR475" s="139"/>
      <c r="AS475" s="139"/>
      <c r="AT475" s="139"/>
      <c r="AU475" s="139"/>
    </row>
    <row r="476" spans="1:47" ht="15" customHeight="1" x14ac:dyDescent="0.4">
      <c r="B476" s="8"/>
      <c r="C476" s="7"/>
      <c r="D476" s="7"/>
      <c r="E476" s="7"/>
      <c r="F476" s="7"/>
      <c r="G476" s="7"/>
      <c r="M476" s="350"/>
      <c r="N476" s="350"/>
      <c r="O476" s="350"/>
      <c r="V476" s="38" t="s">
        <v>369</v>
      </c>
      <c r="W476" s="3" t="s">
        <v>372</v>
      </c>
      <c r="X476" s="38" t="s">
        <v>369</v>
      </c>
      <c r="Y476" s="1443">
        <v>200184021</v>
      </c>
      <c r="Z476" s="41"/>
      <c r="AE476" s="3"/>
      <c r="AF476" s="3"/>
      <c r="AH476" s="39">
        <f>1*AG474</f>
        <v>0.30992499999999995</v>
      </c>
      <c r="AI476" s="9"/>
      <c r="AJ476" s="9"/>
      <c r="AK476" s="9"/>
      <c r="AL476" s="39">
        <f>AH476*AD474</f>
        <v>2.3179807291666665</v>
      </c>
      <c r="AQ476" s="139"/>
      <c r="AR476" s="139"/>
      <c r="AS476" s="139"/>
      <c r="AT476" s="139"/>
      <c r="AU476" s="139"/>
    </row>
    <row r="477" spans="1:47" ht="15" customHeight="1" x14ac:dyDescent="0.4">
      <c r="B477" s="8"/>
      <c r="C477" s="7"/>
      <c r="D477" s="7"/>
      <c r="E477" s="7"/>
      <c r="F477" s="7"/>
      <c r="G477" s="7"/>
      <c r="M477" s="350"/>
      <c r="N477" s="350"/>
      <c r="O477" s="350"/>
      <c r="V477" s="38" t="s">
        <v>369</v>
      </c>
      <c r="W477" s="3" t="s">
        <v>373</v>
      </c>
      <c r="X477" s="38" t="s">
        <v>369</v>
      </c>
      <c r="Y477" s="1443">
        <v>200184033</v>
      </c>
      <c r="Z477" s="41"/>
      <c r="AE477" s="3"/>
      <c r="AF477" s="3"/>
      <c r="AH477" s="39">
        <f>1*AG474</f>
        <v>0.30992499999999995</v>
      </c>
      <c r="AI477" s="9"/>
      <c r="AJ477" s="9"/>
      <c r="AK477" s="9"/>
      <c r="AL477" s="39">
        <f>AH477*AD474</f>
        <v>2.3179807291666665</v>
      </c>
      <c r="AQ477" s="139"/>
      <c r="AR477" s="139"/>
      <c r="AS477" s="139"/>
      <c r="AT477" s="139"/>
      <c r="AU477" s="139"/>
    </row>
    <row r="478" spans="1:47" ht="15" customHeight="1" x14ac:dyDescent="0.4">
      <c r="B478" s="8"/>
      <c r="C478" s="7"/>
      <c r="D478" s="7"/>
      <c r="E478" s="7"/>
      <c r="F478" s="7"/>
      <c r="G478" s="7"/>
      <c r="M478" s="350"/>
      <c r="N478" s="350"/>
      <c r="O478" s="350"/>
      <c r="V478" s="3" t="s">
        <v>2363</v>
      </c>
      <c r="W478" s="3" t="s">
        <v>370</v>
      </c>
      <c r="X478" s="38" t="s">
        <v>369</v>
      </c>
      <c r="Y478" s="1443">
        <v>200184127</v>
      </c>
      <c r="Z478" s="41"/>
      <c r="AE478" s="3"/>
      <c r="AF478" s="3"/>
      <c r="AH478" s="39"/>
      <c r="AI478" s="9"/>
      <c r="AJ478" s="9"/>
      <c r="AK478" s="9"/>
      <c r="AL478" s="39">
        <f t="shared" ref="AL478:AL482" si="27">AH478*AD475</f>
        <v>0</v>
      </c>
      <c r="AQ478" s="139"/>
      <c r="AR478" s="139"/>
      <c r="AS478" s="139"/>
      <c r="AT478" s="139"/>
      <c r="AU478" s="139"/>
    </row>
    <row r="479" spans="1:47" ht="15" customHeight="1" x14ac:dyDescent="0.4">
      <c r="B479" s="8"/>
      <c r="C479" s="7"/>
      <c r="D479" s="7"/>
      <c r="E479" s="7"/>
      <c r="F479" s="7"/>
      <c r="G479" s="7"/>
      <c r="M479" s="350"/>
      <c r="N479" s="350"/>
      <c r="O479" s="350"/>
      <c r="V479" s="112" t="s">
        <v>2366</v>
      </c>
      <c r="W479" s="112" t="s">
        <v>370</v>
      </c>
      <c r="X479" s="279" t="s">
        <v>369</v>
      </c>
      <c r="Y479" s="1871">
        <v>200184128</v>
      </c>
      <c r="Z479" s="41"/>
      <c r="AE479" s="3"/>
      <c r="AF479" s="3"/>
      <c r="AH479" s="39"/>
      <c r="AI479" s="9"/>
      <c r="AJ479" s="9"/>
      <c r="AK479" s="9"/>
      <c r="AL479" s="39">
        <f t="shared" si="27"/>
        <v>0</v>
      </c>
      <c r="AQ479" s="139"/>
      <c r="AR479" s="139"/>
      <c r="AS479" s="139"/>
      <c r="AT479" s="139"/>
      <c r="AU479" s="139"/>
    </row>
    <row r="480" spans="1:47" ht="15" customHeight="1" x14ac:dyDescent="0.4">
      <c r="B480" s="8"/>
      <c r="C480" s="7"/>
      <c r="D480" s="7"/>
      <c r="E480" s="7"/>
      <c r="F480" s="7"/>
      <c r="G480" s="7"/>
      <c r="M480" s="350"/>
      <c r="N480" s="350"/>
      <c r="O480" s="350"/>
      <c r="V480" s="3" t="s">
        <v>2364</v>
      </c>
      <c r="W480" s="3" t="s">
        <v>370</v>
      </c>
      <c r="X480" s="38" t="s">
        <v>369</v>
      </c>
      <c r="Y480" s="1443">
        <v>200184129</v>
      </c>
      <c r="Z480" s="41"/>
      <c r="AE480" s="3"/>
      <c r="AF480" s="3"/>
      <c r="AH480" s="1036">
        <v>0</v>
      </c>
      <c r="AI480" s="9"/>
      <c r="AJ480" s="9"/>
      <c r="AK480" s="9"/>
      <c r="AL480" s="39">
        <f t="shared" si="27"/>
        <v>0</v>
      </c>
      <c r="AQ480" s="139"/>
      <c r="AR480" s="139"/>
      <c r="AS480" s="139"/>
      <c r="AT480" s="139"/>
      <c r="AU480" s="139"/>
    </row>
    <row r="481" spans="1:47" ht="15" customHeight="1" x14ac:dyDescent="0.4">
      <c r="B481" s="8"/>
      <c r="C481" s="7"/>
      <c r="D481" s="7"/>
      <c r="E481" s="7"/>
      <c r="F481" s="7"/>
      <c r="G481" s="7"/>
      <c r="M481" s="350"/>
      <c r="N481" s="350"/>
      <c r="O481" s="350"/>
      <c r="V481" s="3" t="s">
        <v>2365</v>
      </c>
      <c r="W481" s="3" t="s">
        <v>370</v>
      </c>
      <c r="X481" s="38" t="s">
        <v>369</v>
      </c>
      <c r="Y481" s="1443">
        <v>200184180</v>
      </c>
      <c r="Z481" s="41"/>
      <c r="AE481" s="3"/>
      <c r="AF481" s="3"/>
      <c r="AH481" s="39"/>
      <c r="AI481" s="9"/>
      <c r="AJ481" s="9"/>
      <c r="AK481" s="9"/>
      <c r="AL481" s="39">
        <f t="shared" si="27"/>
        <v>0</v>
      </c>
      <c r="AQ481" s="139"/>
      <c r="AR481" s="139"/>
      <c r="AS481" s="139"/>
      <c r="AT481" s="139"/>
      <c r="AU481" s="139"/>
    </row>
    <row r="482" spans="1:47" ht="15" customHeight="1" x14ac:dyDescent="0.4">
      <c r="B482" s="8"/>
      <c r="C482" s="7"/>
      <c r="D482" s="7"/>
      <c r="E482" s="7"/>
      <c r="F482" s="7"/>
      <c r="G482" s="7"/>
      <c r="M482" s="350"/>
      <c r="N482" s="350"/>
      <c r="O482" s="350"/>
      <c r="V482" s="112" t="s">
        <v>2367</v>
      </c>
      <c r="W482" s="112" t="s">
        <v>370</v>
      </c>
      <c r="X482" s="279" t="s">
        <v>369</v>
      </c>
      <c r="Y482" s="1871">
        <v>200184152</v>
      </c>
      <c r="Z482" s="41"/>
      <c r="AE482" s="3"/>
      <c r="AF482" s="3"/>
      <c r="AH482" s="1036">
        <v>0</v>
      </c>
      <c r="AI482" s="9"/>
      <c r="AJ482" s="9"/>
      <c r="AK482" s="9"/>
      <c r="AL482" s="39">
        <f t="shared" si="27"/>
        <v>0</v>
      </c>
      <c r="AQ482" s="139"/>
      <c r="AR482" s="139"/>
      <c r="AS482" s="139"/>
      <c r="AT482" s="139"/>
      <c r="AU482" s="139"/>
    </row>
    <row r="483" spans="1:47" ht="15" customHeight="1" x14ac:dyDescent="0.4">
      <c r="B483" s="8"/>
      <c r="C483" s="221"/>
      <c r="D483" s="221"/>
      <c r="E483" s="221"/>
      <c r="F483" s="221"/>
      <c r="G483" s="221"/>
      <c r="H483" s="574"/>
      <c r="I483" s="577"/>
      <c r="J483" s="577"/>
      <c r="K483" s="577"/>
      <c r="L483" s="577"/>
      <c r="M483" s="808"/>
      <c r="N483" s="808"/>
      <c r="O483" s="808"/>
      <c r="P483" s="575"/>
      <c r="Q483" s="575"/>
      <c r="R483" s="577"/>
      <c r="S483" s="575"/>
      <c r="T483" s="577"/>
      <c r="U483" s="574"/>
      <c r="V483" s="577" t="s">
        <v>2365</v>
      </c>
      <c r="W483" s="577" t="s">
        <v>370</v>
      </c>
      <c r="X483" s="579" t="s">
        <v>2365</v>
      </c>
      <c r="Y483" s="1446">
        <v>200184181</v>
      </c>
      <c r="Z483" s="864"/>
      <c r="AA483" s="574"/>
      <c r="AB483" s="577"/>
      <c r="AC483" s="577"/>
      <c r="AD483" s="575"/>
      <c r="AE483" s="577"/>
      <c r="AF483" s="577"/>
      <c r="AG483" s="575"/>
      <c r="AH483" s="1371"/>
      <c r="AI483" s="1899"/>
      <c r="AJ483" s="1899"/>
      <c r="AK483" s="1899"/>
      <c r="AL483" s="581"/>
      <c r="AM483" s="577"/>
      <c r="AN483" s="577"/>
      <c r="AO483" s="577"/>
      <c r="AP483" s="577"/>
      <c r="AQ483" s="1372"/>
      <c r="AR483" s="139"/>
      <c r="AS483" s="139"/>
      <c r="AT483" s="139"/>
      <c r="AU483" s="139"/>
    </row>
    <row r="484" spans="1:47" ht="15" customHeight="1" x14ac:dyDescent="0.4">
      <c r="B484" s="36"/>
      <c r="C484" s="447" t="s">
        <v>1220</v>
      </c>
      <c r="D484" s="155"/>
      <c r="E484" s="155"/>
      <c r="F484" s="155"/>
      <c r="G484" s="155"/>
      <c r="P484" s="3"/>
      <c r="T484" s="3" t="s">
        <v>366</v>
      </c>
      <c r="V484" s="38" t="s">
        <v>369</v>
      </c>
      <c r="W484" s="3" t="s">
        <v>405</v>
      </c>
      <c r="X484" s="38" t="s">
        <v>369</v>
      </c>
      <c r="Y484" s="41">
        <v>600042010</v>
      </c>
      <c r="Z484" s="41"/>
      <c r="AB484" s="3">
        <v>45</v>
      </c>
      <c r="AC484" s="3">
        <v>2</v>
      </c>
      <c r="AD484" s="5">
        <f>S484*AC484/12</f>
        <v>0</v>
      </c>
      <c r="AE484" s="3" t="s">
        <v>367</v>
      </c>
      <c r="AF484" s="3"/>
      <c r="AG484" s="3"/>
      <c r="AH484" s="51">
        <f>'Single Hung'!AJ807</f>
        <v>0</v>
      </c>
      <c r="AI484" s="3"/>
      <c r="AJ484" s="9"/>
      <c r="AK484" s="9"/>
      <c r="AQ484" s="140"/>
      <c r="AR484" s="140"/>
      <c r="AS484" s="139"/>
      <c r="AT484" s="139"/>
      <c r="AU484" s="139"/>
    </row>
    <row r="485" spans="1:47" ht="15" customHeight="1" thickBot="1" x14ac:dyDescent="0.45">
      <c r="B485" s="943"/>
      <c r="C485" s="944" t="s">
        <v>1221</v>
      </c>
      <c r="D485" s="925"/>
      <c r="E485" s="925"/>
      <c r="F485" s="925"/>
      <c r="G485" s="925"/>
      <c r="H485" s="948"/>
      <c r="I485" s="889"/>
      <c r="J485" s="889"/>
      <c r="K485" s="889"/>
      <c r="L485" s="889"/>
      <c r="M485" s="945"/>
      <c r="N485" s="945"/>
      <c r="O485" s="945"/>
      <c r="P485" s="889"/>
      <c r="Q485" s="945"/>
      <c r="R485" s="889"/>
      <c r="S485" s="945"/>
      <c r="T485" s="889"/>
      <c r="U485" s="948"/>
      <c r="V485" s="888" t="s">
        <v>369</v>
      </c>
      <c r="W485" s="889" t="s">
        <v>405</v>
      </c>
      <c r="X485" s="888" t="s">
        <v>369</v>
      </c>
      <c r="Y485" s="946">
        <v>600050010</v>
      </c>
      <c r="Z485" s="946"/>
      <c r="AA485" s="948"/>
      <c r="AB485" s="889"/>
      <c r="AC485" s="889"/>
      <c r="AD485" s="945"/>
      <c r="AE485" s="889"/>
      <c r="AF485" s="889"/>
      <c r="AG485" s="945"/>
      <c r="AH485" s="947"/>
      <c r="AI485" s="889"/>
      <c r="AJ485" s="1213"/>
      <c r="AK485" s="1213"/>
      <c r="AL485" s="947"/>
      <c r="AM485" s="889"/>
      <c r="AN485" s="889"/>
      <c r="AO485" s="889"/>
      <c r="AP485" s="889"/>
      <c r="AQ485" s="1639"/>
      <c r="AR485" s="140"/>
      <c r="AS485" s="139"/>
      <c r="AT485" s="139"/>
      <c r="AU485" s="139"/>
    </row>
    <row r="486" spans="1:47" ht="15" customHeight="1" x14ac:dyDescent="0.4">
      <c r="A486" s="3" t="s">
        <v>503</v>
      </c>
      <c r="B486" s="7" t="s">
        <v>1267</v>
      </c>
      <c r="C486" s="4"/>
      <c r="G486" s="7"/>
      <c r="I486" s="3" t="s">
        <v>392</v>
      </c>
      <c r="J486" s="3" t="s">
        <v>346</v>
      </c>
      <c r="K486" s="3">
        <v>3</v>
      </c>
      <c r="L486" s="3" t="s">
        <v>348</v>
      </c>
      <c r="M486" s="5">
        <v>-3.74</v>
      </c>
      <c r="P486" s="5" t="s">
        <v>348</v>
      </c>
      <c r="Q486" s="5" t="s">
        <v>2315</v>
      </c>
      <c r="R486" s="3" t="s">
        <v>352</v>
      </c>
      <c r="S486" s="5">
        <f>SLEQwidth/K486+M486+SLEQSORnd</f>
        <v>20.093333333333334</v>
      </c>
      <c r="T486" s="3" t="s">
        <v>366</v>
      </c>
      <c r="V486" s="4"/>
      <c r="W486" s="4"/>
      <c r="X486" s="4"/>
      <c r="AB486" s="3">
        <v>42</v>
      </c>
      <c r="AC486" s="3">
        <v>4</v>
      </c>
      <c r="AD486" s="5">
        <f>AC486*S486/12</f>
        <v>6.6977777777777776</v>
      </c>
      <c r="AE486" s="3" t="s">
        <v>367</v>
      </c>
      <c r="AF486" s="38">
        <v>2.5999999999999999E-2</v>
      </c>
      <c r="AG486" s="5">
        <f>AF486*AtolbperftEQ</f>
        <v>1.6444999999999998E-2</v>
      </c>
      <c r="AI486" s="39"/>
      <c r="AJ486" s="39"/>
      <c r="AK486" s="39"/>
      <c r="AQ486" s="139"/>
      <c r="AR486" s="139"/>
      <c r="AS486" s="139"/>
      <c r="AT486" s="139"/>
      <c r="AU486" s="139"/>
    </row>
    <row r="487" spans="1:47" ht="15" customHeight="1" x14ac:dyDescent="0.4">
      <c r="B487" s="36"/>
      <c r="C487" s="7"/>
      <c r="D487" s="7"/>
      <c r="E487" s="7"/>
      <c r="F487" s="7"/>
      <c r="G487" s="7"/>
      <c r="V487" s="38" t="s">
        <v>369</v>
      </c>
      <c r="W487" s="3" t="s">
        <v>370</v>
      </c>
      <c r="X487" s="38" t="s">
        <v>369</v>
      </c>
      <c r="Y487" s="1443">
        <v>200170003</v>
      </c>
      <c r="Z487" s="41"/>
      <c r="AE487" s="3"/>
      <c r="AF487" s="38"/>
      <c r="AH487" s="39">
        <f>1.3*AG486</f>
        <v>2.1378499999999998E-2</v>
      </c>
      <c r="AI487" s="39"/>
      <c r="AJ487" s="39"/>
      <c r="AK487" s="39"/>
      <c r="AL487" s="39">
        <f>AH487*AD486</f>
        <v>0.14318844222222221</v>
      </c>
      <c r="AQ487" s="139"/>
      <c r="AR487" s="139"/>
      <c r="AS487" s="139"/>
      <c r="AT487" s="139"/>
      <c r="AU487" s="139"/>
    </row>
    <row r="488" spans="1:47" ht="15" customHeight="1" x14ac:dyDescent="0.4">
      <c r="B488" s="1947" t="s">
        <v>2393</v>
      </c>
      <c r="C488" s="7"/>
      <c r="D488" s="7"/>
      <c r="E488" s="7"/>
      <c r="F488" s="7"/>
      <c r="G488" s="7"/>
      <c r="V488" s="38" t="s">
        <v>369</v>
      </c>
      <c r="W488" s="3" t="s">
        <v>372</v>
      </c>
      <c r="X488" s="38" t="s">
        <v>369</v>
      </c>
      <c r="Y488" s="1443">
        <v>200170021</v>
      </c>
      <c r="Z488" s="41"/>
      <c r="AE488" s="3"/>
      <c r="AF488" s="38"/>
      <c r="AH488" s="39">
        <f>1.3*AG486</f>
        <v>2.1378499999999998E-2</v>
      </c>
      <c r="AI488" s="39"/>
      <c r="AJ488" s="39"/>
      <c r="AK488" s="39"/>
      <c r="AL488" s="39">
        <f>AH488*AD486</f>
        <v>0.14318844222222221</v>
      </c>
      <c r="AQ488" s="139"/>
      <c r="AR488" s="139"/>
      <c r="AS488" s="139"/>
      <c r="AT488" s="139"/>
      <c r="AU488" s="139"/>
    </row>
    <row r="489" spans="1:47" ht="15" customHeight="1" x14ac:dyDescent="0.4">
      <c r="B489" s="8"/>
      <c r="C489" s="7"/>
      <c r="D489" s="7"/>
      <c r="E489" s="7"/>
      <c r="F489" s="7"/>
      <c r="G489" s="7"/>
      <c r="M489" s="350"/>
      <c r="N489" s="350"/>
      <c r="O489" s="350"/>
      <c r="V489" s="38" t="s">
        <v>369</v>
      </c>
      <c r="W489" s="3" t="s">
        <v>373</v>
      </c>
      <c r="X489" s="38" t="s">
        <v>369</v>
      </c>
      <c r="Y489" s="1443">
        <v>200170033</v>
      </c>
      <c r="Z489" s="41"/>
      <c r="AE489" s="3"/>
      <c r="AF489" s="38"/>
      <c r="AH489" s="39">
        <f>1.3*AG486</f>
        <v>2.1378499999999998E-2</v>
      </c>
      <c r="AI489" s="39"/>
      <c r="AJ489" s="39"/>
      <c r="AK489" s="39"/>
      <c r="AL489" s="39">
        <f>AH489*AD486</f>
        <v>0.14318844222222221</v>
      </c>
      <c r="AQ489" s="139"/>
      <c r="AR489" s="139"/>
      <c r="AS489" s="139"/>
      <c r="AT489" s="139"/>
      <c r="AU489" s="139"/>
    </row>
    <row r="490" spans="1:47" ht="15" customHeight="1" x14ac:dyDescent="0.4">
      <c r="B490" s="8"/>
      <c r="C490" s="7"/>
      <c r="D490" s="7"/>
      <c r="E490" s="7"/>
      <c r="F490" s="7"/>
      <c r="G490" s="7"/>
      <c r="M490" s="350"/>
      <c r="N490" s="350"/>
      <c r="O490" s="350"/>
      <c r="V490" s="38" t="s">
        <v>369</v>
      </c>
      <c r="W490" s="3" t="s">
        <v>374</v>
      </c>
      <c r="X490" s="38" t="s">
        <v>369</v>
      </c>
      <c r="Y490" s="1443">
        <v>200170090</v>
      </c>
      <c r="Z490" s="41"/>
      <c r="AE490" s="3"/>
      <c r="AF490" s="38"/>
      <c r="AH490" s="1036">
        <f>1.3*AG487</f>
        <v>0</v>
      </c>
      <c r="AI490" s="39"/>
      <c r="AJ490" s="39"/>
      <c r="AK490" s="39"/>
      <c r="AL490" s="39">
        <f>AH490*AD487</f>
        <v>0</v>
      </c>
      <c r="AQ490" s="139"/>
      <c r="AR490" s="139"/>
      <c r="AS490" s="139"/>
      <c r="AT490" s="139"/>
      <c r="AU490" s="139"/>
    </row>
    <row r="491" spans="1:47" ht="15" customHeight="1" x14ac:dyDescent="0.4">
      <c r="B491" s="8"/>
      <c r="C491" s="7"/>
      <c r="D491" s="7"/>
      <c r="E491" s="7"/>
      <c r="F491" s="7"/>
      <c r="G491" s="7"/>
      <c r="M491" s="350"/>
      <c r="N491" s="350"/>
      <c r="O491" s="350"/>
      <c r="T491" s="842"/>
      <c r="V491" s="279" t="s">
        <v>369</v>
      </c>
      <c r="W491" s="112" t="s">
        <v>375</v>
      </c>
      <c r="X491" s="279" t="s">
        <v>369</v>
      </c>
      <c r="Y491" s="1871">
        <v>200170133</v>
      </c>
      <c r="Z491" s="41"/>
      <c r="AE491" s="3"/>
      <c r="AF491" s="38"/>
      <c r="AH491" s="39">
        <v>0</v>
      </c>
      <c r="AI491" s="39"/>
      <c r="AJ491" s="39"/>
      <c r="AK491" s="39"/>
      <c r="AQ491" s="139"/>
      <c r="AR491" s="139"/>
      <c r="AS491" s="139"/>
      <c r="AT491" s="139"/>
      <c r="AU491" s="139"/>
    </row>
    <row r="492" spans="1:47" ht="15" customHeight="1" thickBot="1" x14ac:dyDescent="0.45">
      <c r="B492" s="8"/>
      <c r="C492" s="7"/>
      <c r="D492" s="7"/>
      <c r="E492" s="7"/>
      <c r="F492" s="7"/>
      <c r="G492" s="7"/>
      <c r="M492" s="350"/>
      <c r="N492" s="350"/>
      <c r="O492" s="350"/>
      <c r="Q492" s="945"/>
      <c r="V492" s="1876" t="s">
        <v>369</v>
      </c>
      <c r="W492" s="1877" t="s">
        <v>1849</v>
      </c>
      <c r="X492" s="1876" t="s">
        <v>369</v>
      </c>
      <c r="Y492" s="1878">
        <v>200170148</v>
      </c>
      <c r="Z492" s="946"/>
      <c r="AA492" s="948"/>
      <c r="AB492" s="889"/>
      <c r="AC492" s="889"/>
      <c r="AD492" s="945"/>
      <c r="AE492" s="889"/>
      <c r="AF492" s="888"/>
      <c r="AG492" s="945"/>
      <c r="AH492" s="947">
        <v>0</v>
      </c>
      <c r="AI492" s="947"/>
      <c r="AJ492" s="947"/>
      <c r="AK492" s="947"/>
      <c r="AL492" s="39">
        <f t="shared" ref="AL492" si="28">AH492*AD489</f>
        <v>0</v>
      </c>
      <c r="AM492" s="889"/>
      <c r="AN492" s="889"/>
      <c r="AO492" s="889"/>
      <c r="AP492" s="889"/>
      <c r="AQ492" s="1163"/>
      <c r="AR492" s="139"/>
      <c r="AS492" s="139"/>
      <c r="AT492" s="139"/>
      <c r="AU492" s="139"/>
    </row>
    <row r="493" spans="1:47" ht="15" customHeight="1" x14ac:dyDescent="0.4">
      <c r="A493" s="3" t="s">
        <v>1166</v>
      </c>
      <c r="B493" s="173" t="s">
        <v>1268</v>
      </c>
      <c r="C493" s="138"/>
      <c r="D493" s="138"/>
      <c r="E493" s="138"/>
      <c r="F493" s="138"/>
      <c r="G493" s="173"/>
      <c r="H493" s="193"/>
      <c r="I493" s="116" t="s">
        <v>392</v>
      </c>
      <c r="J493" s="116" t="s">
        <v>346</v>
      </c>
      <c r="K493" s="116">
        <v>3</v>
      </c>
      <c r="L493" s="116" t="s">
        <v>348</v>
      </c>
      <c r="M493" s="177">
        <v>-3.677</v>
      </c>
      <c r="N493" s="177"/>
      <c r="O493" s="177"/>
      <c r="P493" s="177" t="s">
        <v>348</v>
      </c>
      <c r="Q493" s="5" t="s">
        <v>2315</v>
      </c>
      <c r="R493" s="116" t="s">
        <v>352</v>
      </c>
      <c r="S493" s="177">
        <f>SLEQwidth/K493+M493+SLEQSORnd</f>
        <v>20.156333333333333</v>
      </c>
      <c r="T493" s="116" t="s">
        <v>366</v>
      </c>
      <c r="U493" s="193"/>
      <c r="V493" s="4"/>
      <c r="W493" s="4"/>
      <c r="X493" s="4"/>
      <c r="AB493" s="3">
        <v>40</v>
      </c>
      <c r="AC493" s="3">
        <v>2</v>
      </c>
      <c r="AD493" s="5">
        <f>AC493*S493/12</f>
        <v>3.3593888888888888</v>
      </c>
      <c r="AE493" s="3" t="s">
        <v>367</v>
      </c>
      <c r="AF493" s="38">
        <v>2.5999999999999999E-2</v>
      </c>
      <c r="AG493" s="5">
        <f>AF493*AtolbperftEQ</f>
        <v>1.6444999999999998E-2</v>
      </c>
      <c r="AI493" s="39"/>
      <c r="AJ493" s="39"/>
      <c r="AK493" s="39"/>
      <c r="AL493" s="180"/>
      <c r="AQ493" s="139"/>
      <c r="AR493" s="139"/>
      <c r="AS493" s="139"/>
      <c r="AT493" s="139"/>
      <c r="AU493" s="139"/>
    </row>
    <row r="494" spans="1:47" ht="15" customHeight="1" x14ac:dyDescent="0.4">
      <c r="B494" s="36"/>
      <c r="C494" s="7"/>
      <c r="D494" s="7"/>
      <c r="E494" s="7"/>
      <c r="F494" s="7"/>
      <c r="G494" s="7"/>
      <c r="V494" s="38" t="s">
        <v>369</v>
      </c>
      <c r="W494" s="3" t="s">
        <v>370</v>
      </c>
      <c r="X494" s="38" t="s">
        <v>369</v>
      </c>
      <c r="Y494" s="1443">
        <v>200171003</v>
      </c>
      <c r="Z494" s="41"/>
      <c r="AE494" s="3"/>
      <c r="AF494" s="38"/>
      <c r="AH494" s="39">
        <f>1.3*AG493</f>
        <v>2.1378499999999998E-2</v>
      </c>
      <c r="AI494" s="39"/>
      <c r="AJ494" s="39"/>
      <c r="AK494" s="39"/>
      <c r="AL494" s="39">
        <f>AH494*AD493</f>
        <v>7.1818695361111101E-2</v>
      </c>
      <c r="AQ494" s="139"/>
      <c r="AR494" s="139"/>
      <c r="AS494" s="139"/>
      <c r="AT494" s="139"/>
      <c r="AU494" s="139"/>
    </row>
    <row r="495" spans="1:47" ht="15" customHeight="1" x14ac:dyDescent="0.4">
      <c r="B495" s="36"/>
      <c r="C495" s="7"/>
      <c r="D495" s="7"/>
      <c r="E495" s="7"/>
      <c r="F495" s="7"/>
      <c r="G495" s="7"/>
      <c r="V495" s="38" t="s">
        <v>369</v>
      </c>
      <c r="W495" s="3" t="s">
        <v>372</v>
      </c>
      <c r="X495" s="38" t="s">
        <v>369</v>
      </c>
      <c r="Y495" s="1443">
        <v>200171021</v>
      </c>
      <c r="Z495" s="41"/>
      <c r="AE495" s="3"/>
      <c r="AF495" s="38"/>
      <c r="AH495" s="39">
        <f>1.3*AG493</f>
        <v>2.1378499999999998E-2</v>
      </c>
      <c r="AI495" s="39"/>
      <c r="AJ495" s="39"/>
      <c r="AK495" s="39"/>
      <c r="AL495" s="39">
        <f>AH495*AD493</f>
        <v>7.1818695361111101E-2</v>
      </c>
      <c r="AQ495" s="139"/>
      <c r="AR495" s="139"/>
      <c r="AS495" s="139"/>
      <c r="AT495" s="139"/>
      <c r="AU495" s="139"/>
    </row>
    <row r="496" spans="1:47" ht="15" customHeight="1" x14ac:dyDescent="0.4">
      <c r="B496" s="8"/>
      <c r="C496" s="7"/>
      <c r="D496" s="7"/>
      <c r="E496" s="7"/>
      <c r="F496" s="7"/>
      <c r="G496" s="7"/>
      <c r="M496" s="350"/>
      <c r="N496" s="350"/>
      <c r="O496" s="350"/>
      <c r="V496" s="38" t="s">
        <v>369</v>
      </c>
      <c r="W496" s="3" t="s">
        <v>373</v>
      </c>
      <c r="X496" s="38" t="s">
        <v>369</v>
      </c>
      <c r="Y496" s="1443">
        <v>200171033</v>
      </c>
      <c r="Z496" s="41"/>
      <c r="AE496" s="3"/>
      <c r="AF496" s="38"/>
      <c r="AH496" s="39">
        <f>1.3*AG493</f>
        <v>2.1378499999999998E-2</v>
      </c>
      <c r="AI496" s="39"/>
      <c r="AJ496" s="39"/>
      <c r="AK496" s="39"/>
      <c r="AL496" s="39">
        <f>AH496*AD493</f>
        <v>7.1818695361111101E-2</v>
      </c>
      <c r="AQ496" s="139"/>
      <c r="AR496" s="139"/>
      <c r="AS496" s="139"/>
      <c r="AT496" s="139"/>
      <c r="AU496" s="139"/>
    </row>
    <row r="497" spans="1:47" ht="15" customHeight="1" x14ac:dyDescent="0.4">
      <c r="B497" s="8"/>
      <c r="C497" s="7"/>
      <c r="D497" s="7"/>
      <c r="E497" s="7"/>
      <c r="F497" s="7"/>
      <c r="G497" s="7"/>
      <c r="M497" s="350"/>
      <c r="N497" s="350"/>
      <c r="O497" s="350"/>
      <c r="V497" s="38" t="s">
        <v>369</v>
      </c>
      <c r="W497" s="3" t="s">
        <v>374</v>
      </c>
      <c r="X497" s="38" t="s">
        <v>369</v>
      </c>
      <c r="Y497" s="1443">
        <v>200171090</v>
      </c>
      <c r="Z497" s="41"/>
      <c r="AE497" s="3"/>
      <c r="AF497" s="38"/>
      <c r="AH497" s="1036">
        <f>1.3*AG494</f>
        <v>0</v>
      </c>
      <c r="AI497" s="39"/>
      <c r="AJ497" s="39"/>
      <c r="AK497" s="39"/>
      <c r="AL497" s="39">
        <f>AH497*AD494</f>
        <v>0</v>
      </c>
      <c r="AQ497" s="139"/>
      <c r="AR497" s="139"/>
      <c r="AS497" s="139"/>
      <c r="AT497" s="139"/>
      <c r="AU497" s="139"/>
    </row>
    <row r="498" spans="1:47" ht="15" customHeight="1" x14ac:dyDescent="0.4">
      <c r="B498" s="8"/>
      <c r="C498" s="7"/>
      <c r="D498" s="7"/>
      <c r="E498" s="7"/>
      <c r="F498" s="7"/>
      <c r="G498" s="7"/>
      <c r="M498" s="350"/>
      <c r="N498" s="350"/>
      <c r="O498" s="350"/>
      <c r="V498" s="38" t="s">
        <v>369</v>
      </c>
      <c r="W498" s="3" t="s">
        <v>375</v>
      </c>
      <c r="X498" s="38" t="s">
        <v>369</v>
      </c>
      <c r="Y498" s="1443">
        <v>200171133</v>
      </c>
      <c r="Z498" s="41"/>
      <c r="AE498" s="3"/>
      <c r="AF498" s="38"/>
      <c r="AH498" s="39">
        <v>0</v>
      </c>
      <c r="AI498" s="39"/>
      <c r="AJ498" s="39"/>
      <c r="AK498" s="39"/>
      <c r="AQ498" s="139"/>
      <c r="AR498" s="139"/>
      <c r="AS498" s="139"/>
      <c r="AT498" s="139"/>
      <c r="AU498" s="139"/>
    </row>
    <row r="499" spans="1:47" ht="15" customHeight="1" thickBot="1" x14ac:dyDescent="0.45">
      <c r="B499" s="8"/>
      <c r="C499" s="7"/>
      <c r="D499" s="7"/>
      <c r="E499" s="7"/>
      <c r="F499" s="7"/>
      <c r="G499" s="7"/>
      <c r="M499" s="350"/>
      <c r="N499" s="350"/>
      <c r="O499" s="350"/>
      <c r="Q499" s="945"/>
      <c r="U499" s="948"/>
      <c r="V499" s="1876" t="s">
        <v>369</v>
      </c>
      <c r="W499" s="1877" t="s">
        <v>1849</v>
      </c>
      <c r="X499" s="1876" t="s">
        <v>369</v>
      </c>
      <c r="Y499" s="1878">
        <v>200171148</v>
      </c>
      <c r="Z499" s="946"/>
      <c r="AA499" s="948"/>
      <c r="AB499" s="889"/>
      <c r="AC499" s="889"/>
      <c r="AD499" s="945"/>
      <c r="AE499" s="889"/>
      <c r="AF499" s="888"/>
      <c r="AG499" s="945"/>
      <c r="AH499" s="947">
        <v>0</v>
      </c>
      <c r="AI499" s="947"/>
      <c r="AJ499" s="947"/>
      <c r="AK499" s="947"/>
      <c r="AL499" s="947">
        <f t="shared" ref="AL499" si="29">AH499*AD496</f>
        <v>0</v>
      </c>
      <c r="AM499" s="889"/>
      <c r="AN499" s="889"/>
      <c r="AO499" s="889"/>
      <c r="AP499" s="889"/>
      <c r="AQ499" s="1163"/>
      <c r="AR499" s="139"/>
      <c r="AS499" s="139"/>
      <c r="AT499" s="139"/>
      <c r="AU499" s="139"/>
    </row>
    <row r="500" spans="1:47" ht="15" customHeight="1" x14ac:dyDescent="0.4">
      <c r="B500" s="173" t="s">
        <v>1269</v>
      </c>
      <c r="C500" s="138"/>
      <c r="D500" s="138"/>
      <c r="E500" s="138"/>
      <c r="F500" s="138"/>
      <c r="G500" s="173"/>
      <c r="H500" s="193"/>
      <c r="I500" s="116" t="s">
        <v>392</v>
      </c>
      <c r="J500" s="116" t="s">
        <v>346</v>
      </c>
      <c r="K500" s="116">
        <v>3</v>
      </c>
      <c r="L500" s="116" t="s">
        <v>348</v>
      </c>
      <c r="M500" s="177">
        <v>-3.677</v>
      </c>
      <c r="N500" s="177"/>
      <c r="O500" s="177"/>
      <c r="P500" s="177" t="s">
        <v>348</v>
      </c>
      <c r="Q500" s="5" t="s">
        <v>2315</v>
      </c>
      <c r="R500" s="116" t="s">
        <v>352</v>
      </c>
      <c r="S500" s="177">
        <f>SLEQwidth/K500+M500+SLEQSORnd</f>
        <v>20.156333333333333</v>
      </c>
      <c r="T500" s="116" t="s">
        <v>366</v>
      </c>
      <c r="V500" s="38"/>
      <c r="X500" s="38"/>
      <c r="Y500" s="41"/>
      <c r="Z500" s="41"/>
      <c r="AB500" s="3">
        <v>40</v>
      </c>
      <c r="AC500" s="3">
        <v>2</v>
      </c>
      <c r="AD500" s="5">
        <f>AC500*S500/12</f>
        <v>3.3593888888888888</v>
      </c>
      <c r="AE500" s="3" t="s">
        <v>367</v>
      </c>
      <c r="AF500" s="38">
        <v>2.5999999999999999E-2</v>
      </c>
      <c r="AG500" s="5">
        <f>AF500*AtolbperftEQ</f>
        <v>1.6444999999999998E-2</v>
      </c>
      <c r="AH500" s="39"/>
      <c r="AI500" s="39"/>
      <c r="AJ500" s="39"/>
      <c r="AK500" s="39"/>
      <c r="AQ500" s="139"/>
      <c r="AR500" s="139"/>
      <c r="AS500" s="139"/>
      <c r="AT500" s="139"/>
      <c r="AU500" s="139"/>
    </row>
    <row r="501" spans="1:47" ht="15" customHeight="1" x14ac:dyDescent="0.4">
      <c r="B501" s="8"/>
      <c r="C501" s="7"/>
      <c r="D501" s="7"/>
      <c r="E501" s="7"/>
      <c r="F501" s="7"/>
      <c r="G501" s="7"/>
      <c r="M501" s="350"/>
      <c r="N501" s="350"/>
      <c r="O501" s="350"/>
      <c r="V501" s="38" t="s">
        <v>369</v>
      </c>
      <c r="W501" s="3" t="s">
        <v>370</v>
      </c>
      <c r="X501" s="38" t="s">
        <v>369</v>
      </c>
      <c r="Y501" s="1443">
        <v>200190003</v>
      </c>
      <c r="Z501" s="41"/>
      <c r="AE501" s="3"/>
      <c r="AF501" s="38"/>
      <c r="AH501" s="39"/>
      <c r="AI501" s="39"/>
      <c r="AJ501" s="39"/>
      <c r="AK501" s="39"/>
      <c r="AQ501" s="139"/>
      <c r="AR501" s="139"/>
      <c r="AS501" s="139"/>
      <c r="AT501" s="139"/>
      <c r="AU501" s="139"/>
    </row>
    <row r="502" spans="1:47" ht="15" customHeight="1" x14ac:dyDescent="0.4">
      <c r="B502" s="8"/>
      <c r="C502" s="7"/>
      <c r="D502" s="7"/>
      <c r="E502" s="7"/>
      <c r="F502" s="7"/>
      <c r="G502" s="7"/>
      <c r="M502" s="350"/>
      <c r="N502" s="350"/>
      <c r="O502" s="350"/>
      <c r="V502" s="38" t="s">
        <v>369</v>
      </c>
      <c r="W502" s="3" t="s">
        <v>372</v>
      </c>
      <c r="X502" s="38" t="s">
        <v>369</v>
      </c>
      <c r="Y502" s="1443">
        <v>200190021</v>
      </c>
      <c r="Z502" s="41"/>
      <c r="AE502" s="3"/>
      <c r="AF502" s="38"/>
      <c r="AH502" s="39"/>
      <c r="AI502" s="39"/>
      <c r="AJ502" s="39"/>
      <c r="AK502" s="39"/>
      <c r="AQ502" s="139"/>
      <c r="AR502" s="139"/>
      <c r="AS502" s="139"/>
      <c r="AT502" s="139"/>
      <c r="AU502" s="139"/>
    </row>
    <row r="503" spans="1:47" ht="15" customHeight="1" x14ac:dyDescent="0.4">
      <c r="B503" s="8"/>
      <c r="C503" s="7"/>
      <c r="D503" s="7"/>
      <c r="E503" s="7"/>
      <c r="F503" s="7"/>
      <c r="G503" s="7"/>
      <c r="M503" s="350"/>
      <c r="N503" s="350"/>
      <c r="O503" s="350"/>
      <c r="V503" s="38" t="s">
        <v>369</v>
      </c>
      <c r="W503" s="3" t="s">
        <v>373</v>
      </c>
      <c r="X503" s="38" t="s">
        <v>369</v>
      </c>
      <c r="Y503" s="1443">
        <v>200190033</v>
      </c>
      <c r="Z503" s="41"/>
      <c r="AE503" s="3"/>
      <c r="AF503" s="38"/>
      <c r="AH503" s="39"/>
      <c r="AI503" s="39"/>
      <c r="AJ503" s="39"/>
      <c r="AK503" s="39"/>
      <c r="AQ503" s="139"/>
      <c r="AR503" s="139"/>
      <c r="AS503" s="139"/>
      <c r="AT503" s="139"/>
      <c r="AU503" s="139"/>
    </row>
    <row r="504" spans="1:47" ht="15" customHeight="1" x14ac:dyDescent="0.4">
      <c r="B504" s="8"/>
      <c r="C504" s="7"/>
      <c r="D504" s="7"/>
      <c r="E504" s="7"/>
      <c r="F504" s="7"/>
      <c r="G504" s="7"/>
      <c r="M504" s="350"/>
      <c r="N504" s="350"/>
      <c r="O504" s="350"/>
      <c r="V504" s="38" t="s">
        <v>369</v>
      </c>
      <c r="W504" s="3" t="s">
        <v>374</v>
      </c>
      <c r="X504" s="38" t="s">
        <v>369</v>
      </c>
      <c r="Y504" s="1443">
        <v>200190090</v>
      </c>
      <c r="Z504" s="41"/>
      <c r="AE504" s="3"/>
      <c r="AF504" s="38"/>
      <c r="AH504" s="1036">
        <v>0</v>
      </c>
      <c r="AI504" s="39"/>
      <c r="AJ504" s="39"/>
      <c r="AK504" s="39"/>
      <c r="AQ504" s="139"/>
      <c r="AR504" s="139"/>
      <c r="AS504" s="139"/>
      <c r="AT504" s="139"/>
      <c r="AU504" s="139"/>
    </row>
    <row r="505" spans="1:47" ht="15" customHeight="1" x14ac:dyDescent="0.4">
      <c r="B505" s="8"/>
      <c r="C505" s="7"/>
      <c r="D505" s="7"/>
      <c r="E505" s="7"/>
      <c r="F505" s="7"/>
      <c r="G505" s="7"/>
      <c r="M505" s="350"/>
      <c r="N505" s="350"/>
      <c r="O505" s="350"/>
      <c r="V505" s="38" t="s">
        <v>369</v>
      </c>
      <c r="W505" s="3" t="s">
        <v>375</v>
      </c>
      <c r="X505" s="38" t="s">
        <v>369</v>
      </c>
      <c r="Y505" s="1443">
        <v>200190133</v>
      </c>
      <c r="Z505" s="41"/>
      <c r="AE505" s="3"/>
      <c r="AF505" s="38"/>
      <c r="AH505" s="39"/>
      <c r="AI505" s="39"/>
      <c r="AJ505" s="39"/>
      <c r="AK505" s="39"/>
      <c r="AQ505" s="139"/>
      <c r="AR505" s="139"/>
      <c r="AS505" s="139"/>
      <c r="AT505" s="139"/>
      <c r="AU505" s="139"/>
    </row>
    <row r="506" spans="1:47" ht="15" customHeight="1" thickBot="1" x14ac:dyDescent="0.45">
      <c r="B506" s="8"/>
      <c r="C506" s="7"/>
      <c r="D506" s="7"/>
      <c r="E506" s="7"/>
      <c r="F506" s="7"/>
      <c r="G506" s="7"/>
      <c r="M506" s="350"/>
      <c r="N506" s="350"/>
      <c r="O506" s="350"/>
      <c r="Q506" s="945"/>
      <c r="V506" s="1876" t="s">
        <v>369</v>
      </c>
      <c r="W506" s="1877" t="s">
        <v>1849</v>
      </c>
      <c r="X506" s="1876" t="s">
        <v>369</v>
      </c>
      <c r="Y506" s="1878">
        <v>200190148</v>
      </c>
      <c r="Z506" s="946"/>
      <c r="AA506" s="948"/>
      <c r="AB506" s="889"/>
      <c r="AC506" s="889"/>
      <c r="AD506" s="945"/>
      <c r="AE506" s="889"/>
      <c r="AF506" s="888"/>
      <c r="AG506" s="945"/>
      <c r="AH506" s="947">
        <v>0</v>
      </c>
      <c r="AI506" s="947"/>
      <c r="AJ506" s="947"/>
      <c r="AK506" s="947"/>
      <c r="AL506" s="947"/>
      <c r="AM506" s="889"/>
      <c r="AN506" s="889"/>
      <c r="AO506" s="889"/>
      <c r="AP506" s="889"/>
      <c r="AQ506" s="1163"/>
      <c r="AR506" s="139"/>
      <c r="AS506" s="139"/>
      <c r="AT506" s="139"/>
      <c r="AU506" s="139"/>
    </row>
    <row r="507" spans="1:47" ht="15" customHeight="1" x14ac:dyDescent="0.4">
      <c r="A507" s="3" t="s">
        <v>1169</v>
      </c>
      <c r="B507" s="173" t="s">
        <v>1270</v>
      </c>
      <c r="C507" s="138"/>
      <c r="D507" s="138"/>
      <c r="E507" s="138"/>
      <c r="F507" s="138"/>
      <c r="G507" s="173"/>
      <c r="H507" s="193"/>
      <c r="I507" s="116" t="s">
        <v>392</v>
      </c>
      <c r="J507" s="116" t="s">
        <v>346</v>
      </c>
      <c r="K507" s="116">
        <v>3</v>
      </c>
      <c r="L507" s="116" t="s">
        <v>348</v>
      </c>
      <c r="M507" s="177">
        <v>-3.74</v>
      </c>
      <c r="N507" s="177"/>
      <c r="O507" s="177"/>
      <c r="P507" s="177" t="s">
        <v>348</v>
      </c>
      <c r="Q507" s="5" t="s">
        <v>2315</v>
      </c>
      <c r="R507" s="116" t="s">
        <v>352</v>
      </c>
      <c r="S507" s="177">
        <f>SLEQwidth/K507+M507+SLEQSORnd</f>
        <v>20.093333333333334</v>
      </c>
      <c r="T507" s="116" t="s">
        <v>366</v>
      </c>
      <c r="U507" s="193"/>
      <c r="V507" s="4"/>
      <c r="W507" s="4"/>
      <c r="X507" s="4"/>
      <c r="AB507" s="3">
        <v>40</v>
      </c>
      <c r="AC507" s="3">
        <v>2</v>
      </c>
      <c r="AD507" s="5">
        <f>AC507*S507/12</f>
        <v>3.3488888888888888</v>
      </c>
      <c r="AE507" s="3" t="s">
        <v>367</v>
      </c>
      <c r="AF507" s="38">
        <v>2.5999999999999999E-2</v>
      </c>
      <c r="AG507" s="5">
        <f>AF507*AtolbperftEQ</f>
        <v>1.6444999999999998E-2</v>
      </c>
      <c r="AI507" s="39"/>
      <c r="AJ507" s="39"/>
      <c r="AK507" s="39"/>
      <c r="AQ507" s="139"/>
      <c r="AR507" s="139"/>
      <c r="AS507" s="139"/>
      <c r="AT507" s="139"/>
      <c r="AU507" s="139"/>
    </row>
    <row r="508" spans="1:47" ht="15" customHeight="1" x14ac:dyDescent="0.4">
      <c r="B508" s="36"/>
      <c r="C508" s="7"/>
      <c r="D508" s="7"/>
      <c r="E508" s="7"/>
      <c r="F508" s="7"/>
      <c r="G508" s="7"/>
      <c r="V508" s="38" t="s">
        <v>369</v>
      </c>
      <c r="W508" s="3" t="s">
        <v>370</v>
      </c>
      <c r="X508" s="38" t="s">
        <v>369</v>
      </c>
      <c r="Y508" s="1443">
        <v>200171003</v>
      </c>
      <c r="Z508" s="41"/>
      <c r="AE508" s="3"/>
      <c r="AF508" s="38"/>
      <c r="AH508" s="39">
        <f>1.3*AG507</f>
        <v>2.1378499999999998E-2</v>
      </c>
      <c r="AI508" s="39"/>
      <c r="AJ508" s="39"/>
      <c r="AK508" s="39"/>
      <c r="AL508" s="39">
        <f>AH508*AD507</f>
        <v>7.1594221111111106E-2</v>
      </c>
      <c r="AQ508" s="139"/>
      <c r="AR508" s="139"/>
      <c r="AS508" s="139"/>
      <c r="AT508" s="139"/>
      <c r="AU508" s="139"/>
    </row>
    <row r="509" spans="1:47" ht="15" customHeight="1" x14ac:dyDescent="0.4">
      <c r="B509" s="36"/>
      <c r="C509" s="7"/>
      <c r="D509" s="7"/>
      <c r="E509" s="7"/>
      <c r="F509" s="7"/>
      <c r="G509" s="7"/>
      <c r="V509" s="38" t="s">
        <v>369</v>
      </c>
      <c r="W509" s="3" t="s">
        <v>372</v>
      </c>
      <c r="X509" s="38" t="s">
        <v>369</v>
      </c>
      <c r="Y509" s="1443">
        <v>200171021</v>
      </c>
      <c r="Z509" s="41"/>
      <c r="AE509" s="3"/>
      <c r="AF509" s="38"/>
      <c r="AH509" s="39">
        <f>1.3*AG507</f>
        <v>2.1378499999999998E-2</v>
      </c>
      <c r="AI509" s="39"/>
      <c r="AJ509" s="39"/>
      <c r="AK509" s="39"/>
      <c r="AL509" s="39">
        <f>AH509*AD507</f>
        <v>7.1594221111111106E-2</v>
      </c>
      <c r="AQ509" s="139"/>
      <c r="AR509" s="139"/>
      <c r="AS509" s="139"/>
      <c r="AT509" s="139"/>
      <c r="AU509" s="139"/>
    </row>
    <row r="510" spans="1:47" ht="15" customHeight="1" x14ac:dyDescent="0.4">
      <c r="B510" s="8"/>
      <c r="C510" s="7"/>
      <c r="D510" s="7"/>
      <c r="E510" s="7"/>
      <c r="F510" s="7"/>
      <c r="G510" s="7"/>
      <c r="M510" s="350"/>
      <c r="N510" s="350"/>
      <c r="O510" s="350"/>
      <c r="V510" s="38" t="s">
        <v>369</v>
      </c>
      <c r="W510" s="3" t="s">
        <v>373</v>
      </c>
      <c r="X510" s="38" t="s">
        <v>369</v>
      </c>
      <c r="Y510" s="1443">
        <v>200171033</v>
      </c>
      <c r="Z510" s="41"/>
      <c r="AE510" s="3"/>
      <c r="AF510" s="38"/>
      <c r="AH510" s="39">
        <f>1.3*AG507</f>
        <v>2.1378499999999998E-2</v>
      </c>
      <c r="AI510" s="39"/>
      <c r="AJ510" s="39"/>
      <c r="AK510" s="39"/>
      <c r="AL510" s="39">
        <f>AH510*AD507</f>
        <v>7.1594221111111106E-2</v>
      </c>
      <c r="AQ510" s="139"/>
      <c r="AR510" s="139"/>
      <c r="AS510" s="139"/>
      <c r="AT510" s="139"/>
      <c r="AU510" s="139"/>
    </row>
    <row r="511" spans="1:47" ht="15" customHeight="1" x14ac:dyDescent="0.4">
      <c r="B511" s="8"/>
      <c r="C511" s="7"/>
      <c r="D511" s="7"/>
      <c r="E511" s="7"/>
      <c r="F511" s="7"/>
      <c r="G511" s="7"/>
      <c r="M511" s="350"/>
      <c r="N511" s="350"/>
      <c r="O511" s="350"/>
      <c r="V511" s="38" t="s">
        <v>369</v>
      </c>
      <c r="W511" s="3" t="s">
        <v>374</v>
      </c>
      <c r="X511" s="38" t="s">
        <v>369</v>
      </c>
      <c r="Y511" s="1443">
        <v>200171090</v>
      </c>
      <c r="Z511" s="41"/>
      <c r="AE511" s="3"/>
      <c r="AF511" s="38"/>
      <c r="AH511" s="1036">
        <f>1.3*AG508</f>
        <v>0</v>
      </c>
      <c r="AI511" s="39"/>
      <c r="AJ511" s="39"/>
      <c r="AK511" s="39"/>
      <c r="AL511" s="39">
        <f>AH511*AD508</f>
        <v>0</v>
      </c>
      <c r="AQ511" s="139"/>
      <c r="AR511" s="139"/>
      <c r="AS511" s="139"/>
      <c r="AT511" s="139"/>
      <c r="AU511" s="139"/>
    </row>
    <row r="512" spans="1:47" ht="15" customHeight="1" x14ac:dyDescent="0.4">
      <c r="B512" s="8"/>
      <c r="C512" s="7"/>
      <c r="D512" s="7"/>
      <c r="E512" s="7"/>
      <c r="F512" s="7"/>
      <c r="G512" s="7"/>
      <c r="M512" s="350"/>
      <c r="N512" s="350"/>
      <c r="O512" s="350"/>
      <c r="V512" s="38" t="s">
        <v>369</v>
      </c>
      <c r="W512" s="3" t="s">
        <v>375</v>
      </c>
      <c r="X512" s="38" t="s">
        <v>369</v>
      </c>
      <c r="Y512" s="1443">
        <v>200171133</v>
      </c>
      <c r="Z512" s="41"/>
      <c r="AE512" s="3"/>
      <c r="AF512" s="38"/>
      <c r="AH512" s="39"/>
      <c r="AI512" s="39"/>
      <c r="AJ512" s="39"/>
      <c r="AK512" s="39"/>
      <c r="AQ512" s="139"/>
      <c r="AR512" s="139"/>
      <c r="AS512" s="139"/>
      <c r="AT512" s="139"/>
      <c r="AU512" s="139"/>
    </row>
    <row r="513" spans="1:47" ht="15" customHeight="1" thickBot="1" x14ac:dyDescent="0.45">
      <c r="B513" s="949"/>
      <c r="C513" s="924"/>
      <c r="D513" s="924"/>
      <c r="E513" s="924"/>
      <c r="F513" s="924"/>
      <c r="G513" s="924"/>
      <c r="H513" s="948"/>
      <c r="I513" s="889"/>
      <c r="J513" s="889"/>
      <c r="K513" s="889"/>
      <c r="L513" s="889"/>
      <c r="M513" s="950"/>
      <c r="N513" s="950"/>
      <c r="O513" s="950"/>
      <c r="P513" s="945"/>
      <c r="Q513" s="945"/>
      <c r="R513" s="889"/>
      <c r="S513" s="945"/>
      <c r="T513" s="889"/>
      <c r="U513" s="948"/>
      <c r="V513" s="1876" t="s">
        <v>369</v>
      </c>
      <c r="W513" s="1877" t="s">
        <v>1849</v>
      </c>
      <c r="X513" s="1876" t="s">
        <v>369</v>
      </c>
      <c r="Y513" s="1878">
        <v>200171148</v>
      </c>
      <c r="Z513" s="946"/>
      <c r="AA513" s="948"/>
      <c r="AB513" s="889"/>
      <c r="AC513" s="889"/>
      <c r="AD513" s="945"/>
      <c r="AE513" s="889"/>
      <c r="AF513" s="888"/>
      <c r="AG513" s="945"/>
      <c r="AH513" s="947">
        <v>0</v>
      </c>
      <c r="AI513" s="947"/>
      <c r="AJ513" s="947"/>
      <c r="AK513" s="947"/>
      <c r="AL513" s="947">
        <f t="shared" ref="AL513" si="30">AH513*AD510</f>
        <v>0</v>
      </c>
      <c r="AM513" s="889"/>
      <c r="AN513" s="889"/>
      <c r="AO513" s="889"/>
      <c r="AP513" s="889"/>
      <c r="AQ513" s="1163"/>
      <c r="AR513" s="139"/>
      <c r="AS513" s="139"/>
      <c r="AT513" s="139"/>
      <c r="AU513" s="139"/>
    </row>
    <row r="514" spans="1:47" ht="15" customHeight="1" x14ac:dyDescent="0.4">
      <c r="B514" s="173" t="s">
        <v>1271</v>
      </c>
      <c r="C514" s="138"/>
      <c r="D514" s="138"/>
      <c r="E514" s="138"/>
      <c r="F514" s="138"/>
      <c r="G514" s="173"/>
      <c r="H514" s="193"/>
      <c r="I514" s="116" t="s">
        <v>392</v>
      </c>
      <c r="J514" s="116" t="s">
        <v>346</v>
      </c>
      <c r="K514" s="116">
        <v>3</v>
      </c>
      <c r="L514" s="116" t="s">
        <v>348</v>
      </c>
      <c r="M514" s="177">
        <v>-3.74</v>
      </c>
      <c r="N514" s="177"/>
      <c r="O514" s="177"/>
      <c r="P514" s="177" t="s">
        <v>348</v>
      </c>
      <c r="Q514" s="5" t="s">
        <v>2315</v>
      </c>
      <c r="R514" s="116" t="s">
        <v>352</v>
      </c>
      <c r="S514" s="177">
        <f>SLEQwidth/K514+M514+SLEQSORnd</f>
        <v>20.093333333333334</v>
      </c>
      <c r="T514" s="116" t="s">
        <v>366</v>
      </c>
      <c r="V514" s="38"/>
      <c r="X514" s="38"/>
      <c r="Y514" s="41"/>
      <c r="Z514" s="41"/>
      <c r="AB514" s="3">
        <v>40</v>
      </c>
      <c r="AC514" s="3">
        <v>2</v>
      </c>
      <c r="AD514" s="5">
        <f>AC514*S514/12</f>
        <v>3.3488888888888888</v>
      </c>
      <c r="AE514" s="3" t="s">
        <v>367</v>
      </c>
      <c r="AF514" s="38">
        <v>2.5999999999999999E-2</v>
      </c>
      <c r="AG514" s="5">
        <f>AF514*AtolbperftEQ</f>
        <v>1.6444999999999998E-2</v>
      </c>
      <c r="AH514" s="39"/>
      <c r="AI514" s="39"/>
      <c r="AJ514" s="39"/>
      <c r="AK514" s="39"/>
      <c r="AQ514" s="139"/>
      <c r="AR514" s="139"/>
      <c r="AS514" s="139"/>
      <c r="AT514" s="139"/>
      <c r="AU514" s="139"/>
    </row>
    <row r="515" spans="1:47" ht="15" customHeight="1" x14ac:dyDescent="0.4">
      <c r="B515" s="8"/>
      <c r="C515" s="7"/>
      <c r="D515" s="7"/>
      <c r="E515" s="7"/>
      <c r="F515" s="7"/>
      <c r="G515" s="7"/>
      <c r="M515" s="350"/>
      <c r="N515" s="350"/>
      <c r="O515" s="350"/>
      <c r="V515" s="38" t="s">
        <v>369</v>
      </c>
      <c r="W515" s="3" t="s">
        <v>370</v>
      </c>
      <c r="X515" s="38" t="s">
        <v>369</v>
      </c>
      <c r="Y515" s="1443">
        <v>200190003</v>
      </c>
      <c r="Z515" s="41"/>
      <c r="AE515" s="3"/>
      <c r="AF515" s="38"/>
      <c r="AH515" s="39"/>
      <c r="AI515" s="39"/>
      <c r="AJ515" s="39"/>
      <c r="AK515" s="39"/>
      <c r="AQ515" s="139"/>
      <c r="AR515" s="139"/>
      <c r="AS515" s="139"/>
      <c r="AT515" s="139"/>
      <c r="AU515" s="139"/>
    </row>
    <row r="516" spans="1:47" ht="15" customHeight="1" x14ac:dyDescent="0.4">
      <c r="B516" s="8"/>
      <c r="C516" s="7"/>
      <c r="D516" s="7"/>
      <c r="E516" s="7"/>
      <c r="F516" s="7"/>
      <c r="G516" s="7"/>
      <c r="M516" s="350"/>
      <c r="N516" s="350"/>
      <c r="O516" s="350"/>
      <c r="V516" s="38" t="s">
        <v>369</v>
      </c>
      <c r="W516" s="3" t="s">
        <v>372</v>
      </c>
      <c r="X516" s="38" t="s">
        <v>369</v>
      </c>
      <c r="Y516" s="1443">
        <v>200190021</v>
      </c>
      <c r="Z516" s="41"/>
      <c r="AE516" s="3"/>
      <c r="AF516" s="38"/>
      <c r="AH516" s="39"/>
      <c r="AI516" s="39"/>
      <c r="AJ516" s="39"/>
      <c r="AK516" s="39"/>
      <c r="AQ516" s="139"/>
      <c r="AR516" s="139"/>
      <c r="AS516" s="139"/>
      <c r="AT516" s="139"/>
      <c r="AU516" s="139"/>
    </row>
    <row r="517" spans="1:47" ht="15" customHeight="1" x14ac:dyDescent="0.4">
      <c r="B517" s="8"/>
      <c r="C517" s="7"/>
      <c r="D517" s="7"/>
      <c r="E517" s="7"/>
      <c r="F517" s="7"/>
      <c r="G517" s="7"/>
      <c r="M517" s="350"/>
      <c r="N517" s="350"/>
      <c r="O517" s="350"/>
      <c r="V517" s="38" t="s">
        <v>369</v>
      </c>
      <c r="W517" s="3" t="s">
        <v>373</v>
      </c>
      <c r="X517" s="38" t="s">
        <v>369</v>
      </c>
      <c r="Y517" s="1443">
        <v>200190033</v>
      </c>
      <c r="Z517" s="41"/>
      <c r="AE517" s="3"/>
      <c r="AF517" s="38"/>
      <c r="AH517" s="39"/>
      <c r="AI517" s="39"/>
      <c r="AJ517" s="39"/>
      <c r="AK517" s="39"/>
      <c r="AQ517" s="139"/>
      <c r="AR517" s="139"/>
      <c r="AS517" s="139"/>
      <c r="AT517" s="139"/>
      <c r="AU517" s="139"/>
    </row>
    <row r="518" spans="1:47" ht="15" customHeight="1" x14ac:dyDescent="0.4">
      <c r="B518" s="8"/>
      <c r="C518" s="7"/>
      <c r="D518" s="7"/>
      <c r="E518" s="7"/>
      <c r="F518" s="7"/>
      <c r="G518" s="7"/>
      <c r="M518" s="350"/>
      <c r="N518" s="350"/>
      <c r="O518" s="350"/>
      <c r="V518" s="38" t="s">
        <v>369</v>
      </c>
      <c r="W518" s="3" t="s">
        <v>374</v>
      </c>
      <c r="X518" s="38" t="s">
        <v>369</v>
      </c>
      <c r="Y518" s="1443">
        <v>200190090</v>
      </c>
      <c r="Z518" s="41"/>
      <c r="AE518" s="3"/>
      <c r="AF518" s="38"/>
      <c r="AH518" s="1036">
        <v>0</v>
      </c>
      <c r="AI518" s="39"/>
      <c r="AJ518" s="39"/>
      <c r="AK518" s="39"/>
      <c r="AQ518" s="139"/>
      <c r="AR518" s="139"/>
      <c r="AS518" s="139"/>
      <c r="AT518" s="139"/>
      <c r="AU518" s="139"/>
    </row>
    <row r="519" spans="1:47" ht="15" customHeight="1" x14ac:dyDescent="0.4">
      <c r="B519" s="8"/>
      <c r="C519" s="7"/>
      <c r="D519" s="7"/>
      <c r="E519" s="7"/>
      <c r="F519" s="7"/>
      <c r="G519" s="7"/>
      <c r="M519" s="350"/>
      <c r="N519" s="350"/>
      <c r="O519" s="350"/>
      <c r="V519" s="38" t="s">
        <v>369</v>
      </c>
      <c r="W519" s="3" t="s">
        <v>375</v>
      </c>
      <c r="X519" s="38" t="s">
        <v>369</v>
      </c>
      <c r="Y519" s="1443">
        <v>200190133</v>
      </c>
      <c r="Z519" s="41"/>
      <c r="AE519" s="3"/>
      <c r="AF519" s="38"/>
      <c r="AH519" s="39"/>
      <c r="AI519" s="39"/>
      <c r="AJ519" s="39"/>
      <c r="AK519" s="39"/>
      <c r="AQ519" s="139"/>
      <c r="AR519" s="139"/>
      <c r="AS519" s="139"/>
      <c r="AT519" s="139"/>
      <c r="AU519" s="139"/>
    </row>
    <row r="520" spans="1:47" ht="15" customHeight="1" thickBot="1" x14ac:dyDescent="0.45">
      <c r="B520" s="949"/>
      <c r="C520" s="924"/>
      <c r="D520" s="924"/>
      <c r="E520" s="924"/>
      <c r="F520" s="924"/>
      <c r="G520" s="924"/>
      <c r="H520" s="948"/>
      <c r="I520" s="889"/>
      <c r="J520" s="889"/>
      <c r="K520" s="889"/>
      <c r="L520" s="889"/>
      <c r="M520" s="950"/>
      <c r="N520" s="950"/>
      <c r="O520" s="950"/>
      <c r="P520" s="945"/>
      <c r="Q520" s="945"/>
      <c r="R520" s="889"/>
      <c r="S520" s="945"/>
      <c r="T520" s="889"/>
      <c r="U520" s="948"/>
      <c r="V520" s="1876" t="s">
        <v>369</v>
      </c>
      <c r="W520" s="1877" t="s">
        <v>1849</v>
      </c>
      <c r="X520" s="1876" t="s">
        <v>369</v>
      </c>
      <c r="Y520" s="1878">
        <v>200190148</v>
      </c>
      <c r="Z520" s="946"/>
      <c r="AA520" s="948"/>
      <c r="AB520" s="889"/>
      <c r="AC520" s="889"/>
      <c r="AD520" s="945"/>
      <c r="AE520" s="889"/>
      <c r="AF520" s="888"/>
      <c r="AG520" s="945"/>
      <c r="AH520" s="947">
        <v>0</v>
      </c>
      <c r="AI520" s="947"/>
      <c r="AJ520" s="947"/>
      <c r="AK520" s="947"/>
      <c r="AL520" s="947"/>
      <c r="AM520" s="889"/>
      <c r="AN520" s="889"/>
      <c r="AO520" s="889"/>
      <c r="AP520" s="889"/>
      <c r="AQ520" s="1163"/>
      <c r="AR520" s="139"/>
      <c r="AS520" s="139"/>
      <c r="AT520" s="139"/>
      <c r="AU520" s="139"/>
    </row>
    <row r="521" spans="1:47" ht="15" customHeight="1" x14ac:dyDescent="0.4">
      <c r="A521" s="3" t="s">
        <v>496</v>
      </c>
      <c r="B521" s="173" t="s">
        <v>853</v>
      </c>
      <c r="C521" s="173"/>
      <c r="D521" s="173"/>
      <c r="E521" s="173"/>
      <c r="F521" s="173"/>
      <c r="G521" s="173"/>
      <c r="H521" s="193"/>
      <c r="I521" s="116" t="s">
        <v>365</v>
      </c>
      <c r="J521" s="116"/>
      <c r="K521" s="116"/>
      <c r="L521" s="116" t="s">
        <v>348</v>
      </c>
      <c r="M521" s="177">
        <v>-5.0629999999999997</v>
      </c>
      <c r="N521" s="497"/>
      <c r="O521" s="497"/>
      <c r="P521" s="177"/>
      <c r="Q521" s="177"/>
      <c r="R521" s="116" t="s">
        <v>352</v>
      </c>
      <c r="S521" s="177">
        <f>SLEQheight+M521</f>
        <v>42.436999999999998</v>
      </c>
      <c r="T521" s="116" t="s">
        <v>366</v>
      </c>
      <c r="U521" s="193"/>
      <c r="V521" s="138"/>
      <c r="W521" s="138"/>
      <c r="X521" s="138"/>
      <c r="Y521" s="116"/>
      <c r="Z521" s="116"/>
      <c r="AA521" s="193"/>
      <c r="AB521" s="116">
        <v>42</v>
      </c>
      <c r="AC521" s="116">
        <v>4</v>
      </c>
      <c r="AD521" s="177">
        <f>AC521*S521/12</f>
        <v>14.145666666666665</v>
      </c>
      <c r="AE521" s="116" t="s">
        <v>367</v>
      </c>
      <c r="AF521" s="179">
        <v>2.5999999999999999E-2</v>
      </c>
      <c r="AG521" s="177">
        <f>AF521*AtolbperftEQ</f>
        <v>1.6444999999999998E-2</v>
      </c>
      <c r="AH521" s="185"/>
      <c r="AI521" s="9"/>
      <c r="AJ521" s="9"/>
      <c r="AK521" s="9"/>
      <c r="AQ521" s="139"/>
      <c r="AR521" s="139"/>
      <c r="AS521" s="139"/>
      <c r="AT521" s="139"/>
      <c r="AU521" s="139"/>
    </row>
    <row r="522" spans="1:47" ht="15" customHeight="1" x14ac:dyDescent="0.4">
      <c r="B522" s="7"/>
      <c r="C522" s="7"/>
      <c r="D522" s="7"/>
      <c r="E522" s="7"/>
      <c r="F522" s="7"/>
      <c r="G522" s="7"/>
      <c r="V522" s="38" t="s">
        <v>369</v>
      </c>
      <c r="W522" s="3" t="s">
        <v>370</v>
      </c>
      <c r="X522" s="38" t="s">
        <v>369</v>
      </c>
      <c r="Y522" s="1443">
        <v>200170003</v>
      </c>
      <c r="Z522" s="41"/>
      <c r="AE522" s="3"/>
      <c r="AF522" s="38"/>
      <c r="AH522" s="39">
        <f>1.3*AG521</f>
        <v>2.1378499999999998E-2</v>
      </c>
      <c r="AI522" s="9"/>
      <c r="AJ522" s="9"/>
      <c r="AK522" s="9"/>
      <c r="AL522" s="39">
        <f>AH522*AD521</f>
        <v>0.30241313483333326</v>
      </c>
      <c r="AQ522" s="139"/>
      <c r="AR522" s="139"/>
      <c r="AS522" s="139"/>
      <c r="AT522" s="139"/>
      <c r="AU522" s="139"/>
    </row>
    <row r="523" spans="1:47" ht="15" customHeight="1" x14ac:dyDescent="0.4">
      <c r="B523" s="1947" t="s">
        <v>2393</v>
      </c>
      <c r="C523" s="7"/>
      <c r="D523" s="7"/>
      <c r="E523" s="7"/>
      <c r="F523" s="7"/>
      <c r="G523" s="7"/>
      <c r="V523" s="38" t="s">
        <v>369</v>
      </c>
      <c r="W523" s="3" t="s">
        <v>372</v>
      </c>
      <c r="X523" s="38" t="s">
        <v>369</v>
      </c>
      <c r="Y523" s="1443">
        <v>200170021</v>
      </c>
      <c r="Z523" s="41"/>
      <c r="AE523" s="3"/>
      <c r="AF523" s="38"/>
      <c r="AH523" s="39">
        <f>1.3*AG521</f>
        <v>2.1378499999999998E-2</v>
      </c>
      <c r="AI523" s="39"/>
      <c r="AJ523" s="39"/>
      <c r="AK523" s="39"/>
      <c r="AL523" s="39">
        <f>AH523*AD521</f>
        <v>0.30241313483333326</v>
      </c>
      <c r="AQ523" s="139"/>
      <c r="AR523" s="139"/>
      <c r="AS523" s="139"/>
      <c r="AT523" s="139"/>
      <c r="AU523" s="139"/>
    </row>
    <row r="524" spans="1:47" ht="15" customHeight="1" x14ac:dyDescent="0.4">
      <c r="B524" s="8"/>
      <c r="C524" s="7"/>
      <c r="D524" s="7"/>
      <c r="E524" s="7"/>
      <c r="F524" s="7"/>
      <c r="G524" s="7"/>
      <c r="M524" s="350"/>
      <c r="N524" s="350"/>
      <c r="O524" s="350"/>
      <c r="V524" s="38" t="s">
        <v>369</v>
      </c>
      <c r="W524" s="3" t="s">
        <v>373</v>
      </c>
      <c r="X524" s="38" t="s">
        <v>369</v>
      </c>
      <c r="Y524" s="1443">
        <v>200170033</v>
      </c>
      <c r="Z524" s="41"/>
      <c r="AE524" s="3"/>
      <c r="AF524" s="38"/>
      <c r="AH524" s="39">
        <f>1.3*AG521</f>
        <v>2.1378499999999998E-2</v>
      </c>
      <c r="AI524" s="39"/>
      <c r="AJ524" s="39"/>
      <c r="AK524" s="39"/>
      <c r="AL524" s="39">
        <f>AH524*AD521</f>
        <v>0.30241313483333326</v>
      </c>
      <c r="AQ524" s="139"/>
      <c r="AR524" s="139"/>
      <c r="AS524" s="139"/>
      <c r="AT524" s="139"/>
      <c r="AU524" s="139"/>
    </row>
    <row r="525" spans="1:47" ht="15" customHeight="1" x14ac:dyDescent="0.4">
      <c r="B525" s="8"/>
      <c r="C525" s="7"/>
      <c r="D525" s="7"/>
      <c r="E525" s="7"/>
      <c r="F525" s="7"/>
      <c r="G525" s="7"/>
      <c r="M525" s="350"/>
      <c r="N525" s="350"/>
      <c r="O525" s="350"/>
      <c r="V525" s="38" t="s">
        <v>369</v>
      </c>
      <c r="W525" s="3" t="s">
        <v>374</v>
      </c>
      <c r="X525" s="38" t="s">
        <v>369</v>
      </c>
      <c r="Y525" s="1443">
        <v>200170090</v>
      </c>
      <c r="Z525" s="41"/>
      <c r="AE525" s="3"/>
      <c r="AF525" s="38"/>
      <c r="AH525" s="1036">
        <f>1.3*AG522</f>
        <v>0</v>
      </c>
      <c r="AI525" s="39"/>
      <c r="AJ525" s="39"/>
      <c r="AK525" s="39"/>
      <c r="AL525" s="39">
        <f>AH525*AD522</f>
        <v>0</v>
      </c>
      <c r="AQ525" s="139"/>
      <c r="AR525" s="139"/>
      <c r="AS525" s="139"/>
      <c r="AT525" s="139"/>
      <c r="AU525" s="139"/>
    </row>
    <row r="526" spans="1:47" ht="15" customHeight="1" x14ac:dyDescent="0.4">
      <c r="B526" s="8"/>
      <c r="C526" s="7"/>
      <c r="D526" s="7"/>
      <c r="E526" s="7"/>
      <c r="F526" s="7"/>
      <c r="G526" s="7"/>
      <c r="M526" s="350"/>
      <c r="N526" s="350"/>
      <c r="O526" s="350"/>
      <c r="T526" s="842"/>
      <c r="V526" s="279" t="s">
        <v>369</v>
      </c>
      <c r="W526" s="112" t="s">
        <v>375</v>
      </c>
      <c r="X526" s="279" t="s">
        <v>369</v>
      </c>
      <c r="Y526" s="1871">
        <v>200170133</v>
      </c>
      <c r="Z526" s="41"/>
      <c r="AE526" s="3"/>
      <c r="AF526" s="38"/>
      <c r="AH526" s="39"/>
      <c r="AI526" s="39"/>
      <c r="AJ526" s="39"/>
      <c r="AK526" s="39"/>
      <c r="AQ526" s="139"/>
      <c r="AR526" s="139"/>
      <c r="AS526" s="139"/>
      <c r="AT526" s="139"/>
      <c r="AU526" s="139"/>
    </row>
    <row r="527" spans="1:47" ht="15" customHeight="1" thickBot="1" x14ac:dyDescent="0.45">
      <c r="B527" s="8"/>
      <c r="C527" s="7"/>
      <c r="D527" s="7"/>
      <c r="E527" s="7"/>
      <c r="F527" s="7"/>
      <c r="G527" s="7"/>
      <c r="M527" s="350"/>
      <c r="N527" s="350"/>
      <c r="O527" s="350"/>
      <c r="V527" s="1876" t="s">
        <v>369</v>
      </c>
      <c r="W527" s="1877" t="s">
        <v>1849</v>
      </c>
      <c r="X527" s="1876" t="s">
        <v>369</v>
      </c>
      <c r="Y527" s="1878">
        <v>200170148</v>
      </c>
      <c r="Z527" s="946"/>
      <c r="AA527" s="948"/>
      <c r="AB527" s="889"/>
      <c r="AC527" s="889"/>
      <c r="AD527" s="945"/>
      <c r="AE527" s="889"/>
      <c r="AF527" s="888"/>
      <c r="AG527" s="945"/>
      <c r="AH527" s="947">
        <v>0</v>
      </c>
      <c r="AI527" s="947"/>
      <c r="AJ527" s="947"/>
      <c r="AK527" s="947"/>
      <c r="AL527" s="947">
        <f t="shared" ref="AL527" si="31">AH527*AD524</f>
        <v>0</v>
      </c>
      <c r="AM527" s="889"/>
      <c r="AN527" s="889"/>
      <c r="AO527" s="889"/>
      <c r="AP527" s="889"/>
      <c r="AQ527" s="1163"/>
      <c r="AR527" s="139"/>
      <c r="AS527" s="139"/>
      <c r="AT527" s="139"/>
      <c r="AU527" s="139"/>
    </row>
    <row r="528" spans="1:47" ht="15" customHeight="1" x14ac:dyDescent="0.25">
      <c r="A528" s="3" t="s">
        <v>498</v>
      </c>
      <c r="B528" s="173" t="s">
        <v>854</v>
      </c>
      <c r="C528" s="173"/>
      <c r="D528" s="173"/>
      <c r="E528" s="173"/>
      <c r="F528" s="173"/>
      <c r="G528" s="173"/>
      <c r="H528" s="193"/>
      <c r="I528" s="116" t="s">
        <v>365</v>
      </c>
      <c r="J528" s="116"/>
      <c r="K528" s="116"/>
      <c r="L528" s="116" t="s">
        <v>348</v>
      </c>
      <c r="M528" s="177">
        <v>-5.0629999999999997</v>
      </c>
      <c r="N528" s="497"/>
      <c r="O528" s="497"/>
      <c r="P528" s="177"/>
      <c r="Q528" s="177"/>
      <c r="R528" s="116" t="s">
        <v>352</v>
      </c>
      <c r="S528" s="177">
        <f>SLEQheight+M528</f>
        <v>42.436999999999998</v>
      </c>
      <c r="T528" s="116" t="s">
        <v>366</v>
      </c>
      <c r="U528" s="193"/>
      <c r="V528" s="4"/>
      <c r="W528" s="4"/>
      <c r="X528" s="4"/>
      <c r="AB528" s="3">
        <v>40</v>
      </c>
      <c r="AC528" s="3">
        <v>4</v>
      </c>
      <c r="AD528" s="5">
        <f>AC528*S528/12</f>
        <v>14.145666666666665</v>
      </c>
      <c r="AE528" s="3" t="s">
        <v>367</v>
      </c>
      <c r="AF528" s="38">
        <v>2.5999999999999999E-2</v>
      </c>
      <c r="AG528" s="5">
        <f>AF528*AtolbperftEQ</f>
        <v>1.6444999999999998E-2</v>
      </c>
      <c r="AI528" s="290"/>
      <c r="AJ528" s="290"/>
      <c r="AK528" s="290"/>
      <c r="AQ528" s="139"/>
      <c r="AR528" s="139"/>
      <c r="AS528" s="139"/>
      <c r="AT528" s="139"/>
      <c r="AU528" s="139"/>
    </row>
    <row r="529" spans="1:47" ht="15" customHeight="1" x14ac:dyDescent="0.25">
      <c r="B529" s="7"/>
      <c r="C529" s="7"/>
      <c r="D529" s="7"/>
      <c r="E529" s="7"/>
      <c r="F529" s="7"/>
      <c r="G529" s="7"/>
      <c r="V529" s="38" t="s">
        <v>369</v>
      </c>
      <c r="W529" s="3" t="s">
        <v>370</v>
      </c>
      <c r="X529" s="38" t="s">
        <v>369</v>
      </c>
      <c r="Y529" s="1443">
        <v>200171003</v>
      </c>
      <c r="Z529" s="41"/>
      <c r="AE529" s="3"/>
      <c r="AF529" s="38"/>
      <c r="AH529" s="39">
        <f>1.3*AG528</f>
        <v>2.1378499999999998E-2</v>
      </c>
      <c r="AI529" s="206"/>
      <c r="AJ529" s="206"/>
      <c r="AK529" s="206"/>
      <c r="AL529" s="39">
        <f>AH529*AD528</f>
        <v>0.30241313483333326</v>
      </c>
      <c r="AQ529" s="139"/>
      <c r="AR529" s="139"/>
      <c r="AS529" s="139"/>
      <c r="AT529" s="139"/>
      <c r="AU529" s="139"/>
    </row>
    <row r="530" spans="1:47" ht="15" customHeight="1" x14ac:dyDescent="0.4">
      <c r="B530" s="7"/>
      <c r="C530" s="7"/>
      <c r="D530" s="7"/>
      <c r="E530" s="7"/>
      <c r="F530" s="7"/>
      <c r="G530" s="7"/>
      <c r="V530" s="38" t="s">
        <v>369</v>
      </c>
      <c r="W530" s="3" t="s">
        <v>372</v>
      </c>
      <c r="X530" s="38" t="s">
        <v>369</v>
      </c>
      <c r="Y530" s="1443">
        <v>200171021</v>
      </c>
      <c r="Z530" s="41"/>
      <c r="AE530" s="3"/>
      <c r="AF530" s="38"/>
      <c r="AH530" s="39">
        <f>1.3*AG528</f>
        <v>2.1378499999999998E-2</v>
      </c>
      <c r="AI530" s="39"/>
      <c r="AJ530" s="39"/>
      <c r="AK530" s="39"/>
      <c r="AL530" s="39">
        <f>AH530*AD528</f>
        <v>0.30241313483333326</v>
      </c>
      <c r="AQ530" s="139"/>
      <c r="AR530" s="139"/>
      <c r="AS530" s="139"/>
      <c r="AT530" s="139"/>
      <c r="AU530" s="139"/>
    </row>
    <row r="531" spans="1:47" ht="15" customHeight="1" x14ac:dyDescent="0.4">
      <c r="B531" s="8"/>
      <c r="C531" s="7"/>
      <c r="D531" s="7"/>
      <c r="E531" s="7"/>
      <c r="F531" s="7"/>
      <c r="G531" s="7"/>
      <c r="M531" s="350"/>
      <c r="N531" s="350"/>
      <c r="O531" s="350"/>
      <c r="V531" s="38" t="s">
        <v>369</v>
      </c>
      <c r="W531" s="3" t="s">
        <v>373</v>
      </c>
      <c r="X531" s="38" t="s">
        <v>369</v>
      </c>
      <c r="Y531" s="1443">
        <v>200171033</v>
      </c>
      <c r="Z531" s="41"/>
      <c r="AE531" s="3"/>
      <c r="AF531" s="38"/>
      <c r="AH531" s="39">
        <f>1.3*AG528</f>
        <v>2.1378499999999998E-2</v>
      </c>
      <c r="AI531" s="39"/>
      <c r="AJ531" s="39"/>
      <c r="AK531" s="39"/>
      <c r="AL531" s="39">
        <f>AH531*AD528</f>
        <v>0.30241313483333326</v>
      </c>
      <c r="AQ531" s="139"/>
      <c r="AR531" s="139"/>
      <c r="AS531" s="139"/>
      <c r="AT531" s="139"/>
      <c r="AU531" s="139"/>
    </row>
    <row r="532" spans="1:47" ht="15" customHeight="1" x14ac:dyDescent="0.4">
      <c r="B532" s="8"/>
      <c r="C532" s="7"/>
      <c r="D532" s="7"/>
      <c r="E532" s="7"/>
      <c r="F532" s="7"/>
      <c r="G532" s="7"/>
      <c r="M532" s="350"/>
      <c r="N532" s="350"/>
      <c r="O532" s="350"/>
      <c r="V532" s="38" t="s">
        <v>369</v>
      </c>
      <c r="W532" s="3" t="s">
        <v>374</v>
      </c>
      <c r="X532" s="38" t="s">
        <v>369</v>
      </c>
      <c r="Y532" s="1443">
        <v>200171090</v>
      </c>
      <c r="Z532" s="41"/>
      <c r="AE532" s="3"/>
      <c r="AF532" s="38"/>
      <c r="AH532" s="1036">
        <f>1.3*AG529</f>
        <v>0</v>
      </c>
      <c r="AI532" s="39"/>
      <c r="AJ532" s="39"/>
      <c r="AK532" s="39"/>
      <c r="AL532" s="39">
        <f>AH532*AD529</f>
        <v>0</v>
      </c>
      <c r="AQ532" s="139"/>
      <c r="AR532" s="139"/>
      <c r="AS532" s="139"/>
      <c r="AT532" s="139"/>
      <c r="AU532" s="139"/>
    </row>
    <row r="533" spans="1:47" ht="15" customHeight="1" x14ac:dyDescent="0.4">
      <c r="B533" s="8"/>
      <c r="C533" s="7"/>
      <c r="D533" s="7"/>
      <c r="E533" s="7"/>
      <c r="F533" s="7"/>
      <c r="G533" s="7"/>
      <c r="M533" s="350"/>
      <c r="N533" s="350"/>
      <c r="O533" s="350"/>
      <c r="V533" s="38" t="s">
        <v>369</v>
      </c>
      <c r="W533" s="3" t="s">
        <v>375</v>
      </c>
      <c r="X533" s="38" t="s">
        <v>369</v>
      </c>
      <c r="Y533" s="1443">
        <v>200171133</v>
      </c>
      <c r="Z533" s="41"/>
      <c r="AE533" s="3"/>
      <c r="AF533" s="38"/>
      <c r="AH533" s="39"/>
      <c r="AI533" s="39"/>
      <c r="AJ533" s="39"/>
      <c r="AK533" s="39"/>
      <c r="AQ533" s="139"/>
      <c r="AR533" s="139"/>
      <c r="AS533" s="139"/>
      <c r="AT533" s="139"/>
      <c r="AU533" s="139"/>
    </row>
    <row r="534" spans="1:47" ht="15" customHeight="1" thickBot="1" x14ac:dyDescent="0.45">
      <c r="B534" s="8"/>
      <c r="C534" s="7"/>
      <c r="D534" s="7"/>
      <c r="E534" s="7"/>
      <c r="F534" s="7"/>
      <c r="G534" s="7"/>
      <c r="M534" s="350"/>
      <c r="N534" s="350"/>
      <c r="O534" s="350"/>
      <c r="U534" s="948"/>
      <c r="V534" s="1876" t="s">
        <v>369</v>
      </c>
      <c r="W534" s="1877" t="s">
        <v>1849</v>
      </c>
      <c r="X534" s="1876" t="s">
        <v>369</v>
      </c>
      <c r="Y534" s="1878">
        <v>200171148</v>
      </c>
      <c r="Z534" s="946"/>
      <c r="AA534" s="948"/>
      <c r="AB534" s="889"/>
      <c r="AC534" s="889"/>
      <c r="AD534" s="945"/>
      <c r="AE534" s="889"/>
      <c r="AF534" s="888"/>
      <c r="AG534" s="945"/>
      <c r="AH534" s="947">
        <v>0</v>
      </c>
      <c r="AI534" s="947"/>
      <c r="AJ534" s="947"/>
      <c r="AK534" s="947"/>
      <c r="AL534" s="947">
        <f t="shared" ref="AL534" si="32">AH534*AD531</f>
        <v>0</v>
      </c>
      <c r="AM534" s="889"/>
      <c r="AN534" s="889"/>
      <c r="AO534" s="889"/>
      <c r="AP534" s="889"/>
      <c r="AQ534" s="1163"/>
      <c r="AR534" s="139"/>
      <c r="AS534" s="139"/>
      <c r="AT534" s="139"/>
      <c r="AU534" s="139"/>
    </row>
    <row r="535" spans="1:47" ht="15" customHeight="1" x14ac:dyDescent="0.4">
      <c r="B535" s="173" t="s">
        <v>855</v>
      </c>
      <c r="C535" s="173"/>
      <c r="D535" s="173"/>
      <c r="E535" s="173"/>
      <c r="F535" s="173"/>
      <c r="G535" s="173"/>
      <c r="H535" s="193"/>
      <c r="I535" s="116" t="s">
        <v>365</v>
      </c>
      <c r="J535" s="116"/>
      <c r="K535" s="116"/>
      <c r="L535" s="116" t="s">
        <v>348</v>
      </c>
      <c r="M535" s="177">
        <v>-5.0629999999999997</v>
      </c>
      <c r="N535" s="497"/>
      <c r="O535" s="497"/>
      <c r="P535" s="177"/>
      <c r="Q535" s="177"/>
      <c r="R535" s="116" t="s">
        <v>352</v>
      </c>
      <c r="S535" s="177">
        <f>SLEQheight+M535</f>
        <v>42.436999999999998</v>
      </c>
      <c r="T535" s="116" t="s">
        <v>366</v>
      </c>
      <c r="V535" s="38"/>
      <c r="X535" s="38"/>
      <c r="Y535" s="41"/>
      <c r="Z535" s="41"/>
      <c r="AB535" s="3">
        <v>40</v>
      </c>
      <c r="AC535" s="3">
        <v>4</v>
      </c>
      <c r="AD535" s="5">
        <f>AC535*S535/12</f>
        <v>14.145666666666665</v>
      </c>
      <c r="AE535" s="3" t="s">
        <v>367</v>
      </c>
      <c r="AF535" s="38">
        <v>2.5999999999999999E-2</v>
      </c>
      <c r="AG535" s="5">
        <f>AF535*AtolbperftEQ</f>
        <v>1.6444999999999998E-2</v>
      </c>
      <c r="AH535" s="39"/>
      <c r="AI535" s="39"/>
      <c r="AJ535" s="39"/>
      <c r="AK535" s="39"/>
      <c r="AQ535" s="139"/>
      <c r="AR535" s="139"/>
      <c r="AS535" s="139"/>
      <c r="AT535" s="139"/>
      <c r="AU535" s="139"/>
    </row>
    <row r="536" spans="1:47" ht="15" customHeight="1" x14ac:dyDescent="0.4">
      <c r="B536" s="8"/>
      <c r="C536" s="7"/>
      <c r="D536" s="7"/>
      <c r="E536" s="7"/>
      <c r="F536" s="7"/>
      <c r="G536" s="7"/>
      <c r="M536" s="350"/>
      <c r="N536" s="350"/>
      <c r="O536" s="350"/>
      <c r="V536" s="38" t="s">
        <v>369</v>
      </c>
      <c r="W536" s="3" t="s">
        <v>370</v>
      </c>
      <c r="X536" s="38" t="s">
        <v>369</v>
      </c>
      <c r="Y536" s="1443">
        <v>200190003</v>
      </c>
      <c r="Z536" s="41"/>
      <c r="AE536" s="3"/>
      <c r="AF536" s="38"/>
      <c r="AH536" s="39"/>
      <c r="AI536" s="39"/>
      <c r="AJ536" s="39"/>
      <c r="AK536" s="39"/>
      <c r="AQ536" s="139"/>
      <c r="AR536" s="139"/>
      <c r="AS536" s="139"/>
      <c r="AT536" s="139"/>
      <c r="AU536" s="139"/>
    </row>
    <row r="537" spans="1:47" ht="15" customHeight="1" x14ac:dyDescent="0.4">
      <c r="B537" s="8"/>
      <c r="C537" s="7"/>
      <c r="D537" s="7"/>
      <c r="E537" s="7"/>
      <c r="F537" s="7"/>
      <c r="G537" s="7"/>
      <c r="M537" s="350"/>
      <c r="N537" s="350"/>
      <c r="O537" s="350"/>
      <c r="V537" s="38" t="s">
        <v>369</v>
      </c>
      <c r="W537" s="3" t="s">
        <v>372</v>
      </c>
      <c r="X537" s="38" t="s">
        <v>369</v>
      </c>
      <c r="Y537" s="1443">
        <v>200190021</v>
      </c>
      <c r="Z537" s="41"/>
      <c r="AE537" s="3"/>
      <c r="AF537" s="38"/>
      <c r="AH537" s="39"/>
      <c r="AI537" s="39"/>
      <c r="AJ537" s="39"/>
      <c r="AK537" s="39"/>
      <c r="AQ537" s="139"/>
      <c r="AR537" s="139"/>
      <c r="AS537" s="139"/>
      <c r="AT537" s="139"/>
      <c r="AU537" s="139"/>
    </row>
    <row r="538" spans="1:47" ht="15" customHeight="1" x14ac:dyDescent="0.4">
      <c r="B538" s="8"/>
      <c r="C538" s="7"/>
      <c r="D538" s="7"/>
      <c r="E538" s="7"/>
      <c r="F538" s="7"/>
      <c r="G538" s="7"/>
      <c r="M538" s="350"/>
      <c r="N538" s="350"/>
      <c r="O538" s="350"/>
      <c r="V538" s="38" t="s">
        <v>369</v>
      </c>
      <c r="W538" s="3" t="s">
        <v>373</v>
      </c>
      <c r="X538" s="38" t="s">
        <v>369</v>
      </c>
      <c r="Y538" s="1443">
        <v>200190033</v>
      </c>
      <c r="Z538" s="41"/>
      <c r="AE538" s="3"/>
      <c r="AF538" s="38"/>
      <c r="AH538" s="39"/>
      <c r="AI538" s="39"/>
      <c r="AJ538" s="39"/>
      <c r="AK538" s="39"/>
      <c r="AQ538" s="139"/>
      <c r="AR538" s="139"/>
      <c r="AS538" s="139"/>
      <c r="AT538" s="139"/>
      <c r="AU538" s="139"/>
    </row>
    <row r="539" spans="1:47" ht="15" customHeight="1" x14ac:dyDescent="0.4">
      <c r="B539" s="8"/>
      <c r="C539" s="7"/>
      <c r="D539" s="7"/>
      <c r="E539" s="7"/>
      <c r="F539" s="7"/>
      <c r="G539" s="7"/>
      <c r="M539" s="350"/>
      <c r="N539" s="350"/>
      <c r="O539" s="350"/>
      <c r="V539" s="38" t="s">
        <v>369</v>
      </c>
      <c r="W539" s="3" t="s">
        <v>374</v>
      </c>
      <c r="X539" s="38" t="s">
        <v>369</v>
      </c>
      <c r="Y539" s="1443">
        <v>200190090</v>
      </c>
      <c r="Z539" s="41"/>
      <c r="AE539" s="3"/>
      <c r="AF539" s="38"/>
      <c r="AH539" s="39">
        <v>0</v>
      </c>
      <c r="AI539" s="39"/>
      <c r="AJ539" s="39"/>
      <c r="AK539" s="39"/>
      <c r="AQ539" s="139"/>
      <c r="AR539" s="139"/>
      <c r="AS539" s="139"/>
      <c r="AT539" s="139"/>
      <c r="AU539" s="139"/>
    </row>
    <row r="540" spans="1:47" ht="15" customHeight="1" x14ac:dyDescent="0.4">
      <c r="B540" s="8"/>
      <c r="C540" s="7"/>
      <c r="D540" s="7"/>
      <c r="E540" s="7"/>
      <c r="F540" s="7"/>
      <c r="G540" s="7"/>
      <c r="M540" s="350"/>
      <c r="N540" s="350"/>
      <c r="O540" s="350"/>
      <c r="V540" s="38" t="s">
        <v>369</v>
      </c>
      <c r="W540" s="3" t="s">
        <v>375</v>
      </c>
      <c r="X540" s="38" t="s">
        <v>369</v>
      </c>
      <c r="Y540" s="1443">
        <v>200190133</v>
      </c>
      <c r="Z540" s="41"/>
      <c r="AE540" s="3"/>
      <c r="AF540" s="38"/>
      <c r="AH540" s="39"/>
      <c r="AI540" s="39"/>
      <c r="AJ540" s="39"/>
      <c r="AK540" s="39"/>
      <c r="AQ540" s="139"/>
      <c r="AR540" s="139"/>
      <c r="AS540" s="139"/>
      <c r="AT540" s="139"/>
      <c r="AU540" s="139"/>
    </row>
    <row r="541" spans="1:47" ht="15" customHeight="1" thickBot="1" x14ac:dyDescent="0.45">
      <c r="B541" s="949"/>
      <c r="C541" s="924"/>
      <c r="D541" s="924"/>
      <c r="E541" s="924"/>
      <c r="F541" s="924"/>
      <c r="G541" s="924"/>
      <c r="H541" s="948"/>
      <c r="I541" s="889"/>
      <c r="J541" s="889"/>
      <c r="K541" s="889"/>
      <c r="L541" s="889"/>
      <c r="M541" s="950"/>
      <c r="N541" s="950"/>
      <c r="O541" s="950"/>
      <c r="P541" s="945"/>
      <c r="Q541" s="945"/>
      <c r="R541" s="889"/>
      <c r="S541" s="945"/>
      <c r="T541" s="889"/>
      <c r="U541" s="948"/>
      <c r="V541" s="1876" t="s">
        <v>369</v>
      </c>
      <c r="W541" s="1877" t="s">
        <v>1849</v>
      </c>
      <c r="X541" s="1876" t="s">
        <v>369</v>
      </c>
      <c r="Y541" s="1878">
        <v>200190148</v>
      </c>
      <c r="Z541" s="946"/>
      <c r="AA541" s="948"/>
      <c r="AB541" s="889"/>
      <c r="AC541" s="889"/>
      <c r="AD541" s="945"/>
      <c r="AE541" s="889"/>
      <c r="AF541" s="888"/>
      <c r="AG541" s="945"/>
      <c r="AH541" s="947">
        <v>0</v>
      </c>
      <c r="AI541" s="947"/>
      <c r="AJ541" s="947"/>
      <c r="AK541" s="947"/>
      <c r="AL541" s="947"/>
      <c r="AM541" s="889"/>
      <c r="AN541" s="889"/>
      <c r="AO541" s="889"/>
      <c r="AP541" s="889"/>
      <c r="AQ541" s="1163"/>
      <c r="AR541" s="139"/>
      <c r="AS541" s="139"/>
      <c r="AT541" s="139"/>
      <c r="AU541" s="139"/>
    </row>
    <row r="542" spans="1:47" ht="15" customHeight="1" x14ac:dyDescent="0.4">
      <c r="B542" s="641" t="s">
        <v>1082</v>
      </c>
      <c r="C542" s="642"/>
      <c r="D542" s="642"/>
      <c r="E542" s="642"/>
      <c r="F542" s="642"/>
      <c r="G542" s="642"/>
      <c r="H542" s="643"/>
      <c r="I542" s="643"/>
      <c r="J542" s="643"/>
      <c r="K542" s="643"/>
      <c r="L542" s="643"/>
      <c r="M542" s="644"/>
      <c r="N542" s="644"/>
      <c r="O542" s="644"/>
      <c r="P542" s="644"/>
      <c r="Q542" s="644"/>
      <c r="R542" s="643"/>
      <c r="S542" s="644"/>
      <c r="T542" s="643"/>
      <c r="U542" s="643"/>
      <c r="V542" s="642"/>
      <c r="W542" s="642"/>
      <c r="X542" s="642"/>
      <c r="Y542" s="645"/>
      <c r="Z542" s="645"/>
      <c r="AA542" s="643"/>
      <c r="AB542" s="645"/>
      <c r="AC542" s="643"/>
      <c r="AD542" s="644"/>
      <c r="AE542" s="643"/>
      <c r="AF542" s="643"/>
      <c r="AG542" s="643"/>
      <c r="AH542" s="647"/>
      <c r="AI542" s="647"/>
      <c r="AJ542" s="647"/>
      <c r="AK542" s="647"/>
      <c r="AL542" s="647"/>
      <c r="AM542" s="647"/>
      <c r="AN542" s="647"/>
      <c r="AO542" s="647"/>
      <c r="AP542" s="647"/>
      <c r="AQ542" s="647"/>
      <c r="AR542" s="139"/>
      <c r="AS542" s="139"/>
      <c r="AT542" s="139"/>
      <c r="AU542" s="139"/>
    </row>
    <row r="543" spans="1:47" ht="15" customHeight="1" thickBot="1" x14ac:dyDescent="0.45">
      <c r="C543" s="155"/>
      <c r="D543" s="155"/>
      <c r="E543" s="155"/>
      <c r="F543" s="155"/>
      <c r="G543" s="7"/>
      <c r="Q543" s="24" t="s">
        <v>1359</v>
      </c>
      <c r="S543" s="24" t="s">
        <v>523</v>
      </c>
      <c r="V543" s="500" t="s">
        <v>524</v>
      </c>
      <c r="W543" s="500" t="s">
        <v>1360</v>
      </c>
      <c r="X543" s="500" t="s">
        <v>522</v>
      </c>
      <c r="AI543" s="937"/>
      <c r="AJ543" s="937"/>
      <c r="AK543" s="937"/>
      <c r="AM543" s="889"/>
      <c r="AN543" s="889"/>
      <c r="AO543" s="889"/>
      <c r="AP543" s="889"/>
      <c r="AQ543" s="1163"/>
      <c r="AR543" s="139"/>
      <c r="AS543" s="139"/>
      <c r="AT543" s="139"/>
      <c r="AU543" s="139"/>
    </row>
    <row r="544" spans="1:47" ht="15" customHeight="1" x14ac:dyDescent="0.4">
      <c r="A544" s="3" t="s">
        <v>1361</v>
      </c>
      <c r="B544" s="173" t="s">
        <v>1272</v>
      </c>
      <c r="C544" s="182"/>
      <c r="D544" s="138"/>
      <c r="E544" s="182"/>
      <c r="F544" s="430" t="s">
        <v>1362</v>
      </c>
      <c r="G544" s="431">
        <v>3</v>
      </c>
      <c r="H544" s="193"/>
      <c r="I544" s="432" t="str">
        <f xml:space="preserve"> "Length = INT ( ( UH - " &amp;FIXED(G545,2)&amp;") / "&amp;FIXED(G544,2)&amp;" ) *"&amp;FIXED(G544,2)</f>
        <v>Length = INT ( ( UH - 6.00) / 3.00 ) *3.00</v>
      </c>
      <c r="J544" s="116"/>
      <c r="K544" s="116"/>
      <c r="L544" s="116"/>
      <c r="M544" s="177"/>
      <c r="N544" s="177"/>
      <c r="O544" s="177"/>
      <c r="P544" s="177"/>
      <c r="Q544" s="178" t="s">
        <v>1363</v>
      </c>
      <c r="R544" s="116" t="s">
        <v>352</v>
      </c>
      <c r="S544" s="177">
        <v>0</v>
      </c>
      <c r="T544" s="116" t="s">
        <v>366</v>
      </c>
      <c r="U544" s="193"/>
      <c r="V544" s="488" t="e">
        <f>IF(NOT(OR(#REF!,#REF!)),"√","")</f>
        <v>#REF!</v>
      </c>
      <c r="W544" s="489">
        <v>0</v>
      </c>
      <c r="X544" s="448" t="s">
        <v>529</v>
      </c>
      <c r="Y544" s="116" t="s">
        <v>529</v>
      </c>
      <c r="Z544" s="116"/>
      <c r="AA544" s="193"/>
      <c r="AB544" s="116"/>
      <c r="AC544" s="116"/>
      <c r="AD544" s="177"/>
      <c r="AE544" s="177"/>
      <c r="AF544" s="177"/>
      <c r="AG544" s="177"/>
      <c r="AH544" s="185">
        <v>0</v>
      </c>
      <c r="AI544" s="39"/>
      <c r="AJ544" s="39"/>
      <c r="AK544" s="39"/>
      <c r="AL544" s="180">
        <v>0</v>
      </c>
      <c r="AQ544" s="139"/>
      <c r="AR544" s="139"/>
      <c r="AS544" s="139"/>
      <c r="AT544" s="139"/>
      <c r="AU544" s="139"/>
    </row>
    <row r="545" spans="2:47" ht="15" customHeight="1" x14ac:dyDescent="0.4">
      <c r="B545" s="7"/>
      <c r="C545" s="155"/>
      <c r="D545" s="155"/>
      <c r="E545" s="155"/>
      <c r="F545" s="434" t="s">
        <v>419</v>
      </c>
      <c r="G545" s="435">
        <v>6</v>
      </c>
      <c r="H545" s="20"/>
      <c r="I545" s="443" t="s">
        <v>1364</v>
      </c>
      <c r="Q545" s="437" t="s">
        <v>528</v>
      </c>
      <c r="R545" s="500" t="s">
        <v>352</v>
      </c>
      <c r="S545" s="376" t="e">
        <f>IF(#REF!,LOOKUP(INT((SLEQheight-G545)/G544)*G544,S552:S570),0)</f>
        <v>#REF!</v>
      </c>
      <c r="T545" s="3" t="s">
        <v>366</v>
      </c>
      <c r="U545" s="20"/>
      <c r="V545" s="438" t="e">
        <f>IF(#REF!,"√","")</f>
        <v>#REF!</v>
      </c>
      <c r="W545" s="376" t="e">
        <f>LOOKUP(S545,S552:S570,O552:O570)</f>
        <v>#REF!</v>
      </c>
      <c r="X545" s="24" t="e">
        <f>LOOKUP(S545,S552:S570,Q552:Q570)</f>
        <v>#REF!</v>
      </c>
      <c r="Y545" s="56" t="e">
        <f>LOOKUP(S545,S552:S570,Y552:Y570)</f>
        <v>#REF!</v>
      </c>
      <c r="Z545" s="56"/>
      <c r="AA545" s="20"/>
      <c r="AB545" s="3">
        <v>42</v>
      </c>
      <c r="AC545" s="3" t="e">
        <f>IF(V545&lt;&gt;"",1,0)</f>
        <v>#REF!</v>
      </c>
      <c r="AD545" s="5" t="e">
        <f>LOOKUP(S545,S552:S570,AD552:AD570)</f>
        <v>#REF!</v>
      </c>
      <c r="AE545" s="3" t="s">
        <v>367</v>
      </c>
      <c r="AF545" s="38"/>
      <c r="AG545" s="38"/>
      <c r="AH545" s="39">
        <v>0.34670000000000001</v>
      </c>
      <c r="AI545" s="39"/>
      <c r="AJ545" s="39"/>
      <c r="AK545" s="39"/>
      <c r="AL545" s="39" t="e">
        <f>AH545*AD545*AC545</f>
        <v>#REF!</v>
      </c>
      <c r="AQ545" s="139"/>
      <c r="AR545" s="139"/>
      <c r="AS545" s="139"/>
      <c r="AT545" s="139"/>
      <c r="AU545" s="139"/>
    </row>
    <row r="546" spans="2:47" ht="15" customHeight="1" x14ac:dyDescent="0.4">
      <c r="B546" s="7"/>
      <c r="C546" s="155"/>
      <c r="D546" s="155"/>
      <c r="E546" s="155"/>
      <c r="F546" s="434" t="s">
        <v>866</v>
      </c>
      <c r="G546" s="435">
        <v>0</v>
      </c>
      <c r="H546" s="20"/>
      <c r="Q546" s="437" t="s">
        <v>1365</v>
      </c>
      <c r="R546" s="500" t="s">
        <v>352</v>
      </c>
      <c r="S546" s="376" t="e">
        <f>IF(#REF!,LOOKUP(INT((SLEQheight-G545)/G544)*G544,S573:S591),0)</f>
        <v>#REF!</v>
      </c>
      <c r="T546" s="3" t="s">
        <v>366</v>
      </c>
      <c r="V546" s="438" t="e">
        <f>IF(#REF!,"√","")</f>
        <v>#REF!</v>
      </c>
      <c r="W546" s="376" t="e">
        <f>LOOKUP(S546,S573:S591,O573:O591)</f>
        <v>#REF!</v>
      </c>
      <c r="X546" s="24" t="e">
        <f>LOOKUP(S546,S573:S591,Q573:Q591)</f>
        <v>#REF!</v>
      </c>
      <c r="Y546" s="56" t="e">
        <f>LOOKUP(S546,S573:S591,Y573:Y591)</f>
        <v>#REF!</v>
      </c>
      <c r="Z546" s="56"/>
      <c r="AA546" s="20"/>
      <c r="AB546" s="3">
        <v>42</v>
      </c>
      <c r="AC546" s="3">
        <v>2</v>
      </c>
      <c r="AD546" s="5" t="e">
        <f>LOOKUP(S546,S573:S591,AD573:AD591)</f>
        <v>#REF!</v>
      </c>
      <c r="AE546" s="3" t="s">
        <v>367</v>
      </c>
      <c r="AF546" s="38"/>
      <c r="AG546" s="38"/>
      <c r="AH546" s="39">
        <v>0.48049999999999998</v>
      </c>
      <c r="AI546" s="39"/>
      <c r="AJ546" s="39"/>
      <c r="AK546" s="39"/>
      <c r="AL546" s="39" t="e">
        <f>AH546*AD546*AC546</f>
        <v>#REF!</v>
      </c>
      <c r="AQ546" s="139"/>
      <c r="AR546" s="139"/>
      <c r="AS546" s="139"/>
      <c r="AT546" s="139"/>
      <c r="AU546" s="139"/>
    </row>
    <row r="547" spans="2:47" ht="15" customHeight="1" thickBot="1" x14ac:dyDescent="0.45">
      <c r="B547" s="924"/>
      <c r="C547" s="925"/>
      <c r="D547" s="968"/>
      <c r="E547" s="925"/>
      <c r="F547" s="968"/>
      <c r="G547" s="968"/>
      <c r="H547" s="948"/>
      <c r="I547" s="889"/>
      <c r="J547" s="889"/>
      <c r="K547" s="889"/>
      <c r="L547" s="889"/>
      <c r="M547" s="945"/>
      <c r="N547" s="945"/>
      <c r="O547" s="945"/>
      <c r="P547" s="945"/>
      <c r="Q547" s="945"/>
      <c r="R547" s="889"/>
      <c r="S547" s="945"/>
      <c r="T547" s="889"/>
      <c r="U547" s="948"/>
      <c r="V547" s="889"/>
      <c r="W547" s="970"/>
      <c r="X547" s="889"/>
      <c r="Y547" s="889"/>
      <c r="Z547" s="889"/>
      <c r="AA547" s="948"/>
      <c r="AB547" s="889"/>
      <c r="AC547" s="889"/>
      <c r="AD547" s="945"/>
      <c r="AE547" s="945"/>
      <c r="AF547" s="889"/>
      <c r="AG547" s="1494"/>
      <c r="AH547" s="1213"/>
      <c r="AI547" s="947"/>
      <c r="AJ547" s="947"/>
      <c r="AK547" s="947"/>
      <c r="AL547" s="947"/>
      <c r="AM547" s="889"/>
      <c r="AN547" s="889"/>
      <c r="AO547" s="889"/>
      <c r="AP547" s="889"/>
      <c r="AQ547" s="1163"/>
      <c r="AR547" s="139"/>
      <c r="AS547" s="139"/>
      <c r="AT547" s="139"/>
      <c r="AU547" s="139"/>
    </row>
    <row r="548" spans="2:47" ht="15" customHeight="1" x14ac:dyDescent="0.4">
      <c r="B548" s="7"/>
      <c r="C548" s="155"/>
      <c r="D548" s="155"/>
      <c r="E548" s="155"/>
      <c r="F548" s="434"/>
      <c r="G548" s="498"/>
      <c r="H548" s="20"/>
      <c r="AF548" s="38"/>
      <c r="AG548" s="39"/>
      <c r="AH548" s="39"/>
      <c r="AI548" s="39"/>
      <c r="AJ548" s="39"/>
      <c r="AK548" s="39"/>
      <c r="AQ548" s="139"/>
      <c r="AR548" s="139"/>
      <c r="AS548" s="139"/>
      <c r="AT548" s="139"/>
      <c r="AU548" s="139"/>
    </row>
    <row r="549" spans="2:47" ht="15" customHeight="1" thickBot="1" x14ac:dyDescent="0.45">
      <c r="B549" s="7"/>
      <c r="C549" s="925"/>
      <c r="D549" s="925"/>
      <c r="E549" s="925"/>
      <c r="F549" s="1243"/>
      <c r="G549" s="1246"/>
      <c r="H549" s="887"/>
      <c r="I549" s="889"/>
      <c r="J549" s="889"/>
      <c r="K549" s="889"/>
      <c r="L549" s="889"/>
      <c r="M549" s="945"/>
      <c r="N549" s="945"/>
      <c r="O549" s="945"/>
      <c r="P549" s="945"/>
      <c r="Q549" s="945"/>
      <c r="R549" s="889"/>
      <c r="S549" s="945"/>
      <c r="T549" s="889"/>
      <c r="U549" s="948"/>
      <c r="V549" s="889"/>
      <c r="W549" s="889"/>
      <c r="X549" s="889"/>
      <c r="Y549" s="889"/>
      <c r="Z549" s="889"/>
      <c r="AA549" s="948"/>
      <c r="AB549" s="889"/>
      <c r="AC549" s="889"/>
      <c r="AD549" s="945"/>
      <c r="AE549" s="945"/>
      <c r="AF549" s="888"/>
      <c r="AG549" s="947"/>
      <c r="AH549" s="947"/>
      <c r="AI549" s="947"/>
      <c r="AJ549" s="947"/>
      <c r="AK549" s="947"/>
      <c r="AL549" s="947"/>
      <c r="AM549" s="889"/>
      <c r="AN549" s="889"/>
      <c r="AO549" s="889"/>
      <c r="AP549" s="889"/>
      <c r="AQ549" s="1163"/>
      <c r="AR549" s="139"/>
      <c r="AS549" s="139"/>
      <c r="AT549" s="139"/>
      <c r="AU549" s="139"/>
    </row>
    <row r="550" spans="2:47" ht="15" customHeight="1" x14ac:dyDescent="0.4">
      <c r="C550" s="173" t="s">
        <v>1366</v>
      </c>
      <c r="D550" s="182"/>
      <c r="E550" s="182"/>
      <c r="F550" s="138"/>
      <c r="G550" s="138"/>
      <c r="H550" s="193"/>
      <c r="I550" s="116"/>
      <c r="J550" s="116"/>
      <c r="K550" s="116"/>
      <c r="L550" s="116"/>
      <c r="M550" s="177"/>
      <c r="N550" s="177"/>
      <c r="O550" s="177"/>
      <c r="P550" s="177"/>
      <c r="Q550" s="177"/>
      <c r="R550" s="116"/>
      <c r="S550" s="177"/>
      <c r="T550" s="116"/>
      <c r="U550" s="193"/>
      <c r="V550" s="116"/>
      <c r="W550" s="116"/>
      <c r="X550" s="116"/>
      <c r="Y550" s="116"/>
      <c r="Z550" s="116"/>
      <c r="AA550" s="193"/>
      <c r="AB550" s="116"/>
      <c r="AC550" s="116"/>
      <c r="AD550" s="177"/>
      <c r="AE550" s="177"/>
      <c r="AF550" s="179"/>
      <c r="AG550" s="180"/>
      <c r="AH550" s="180"/>
      <c r="AI550" s="39"/>
      <c r="AJ550" s="39"/>
      <c r="AK550" s="39"/>
      <c r="AL550" s="499"/>
      <c r="AQ550" s="139"/>
      <c r="AR550" s="139"/>
      <c r="AS550" s="139"/>
      <c r="AT550" s="139"/>
      <c r="AU550" s="139"/>
    </row>
    <row r="551" spans="2:47" ht="15" customHeight="1" x14ac:dyDescent="0.4">
      <c r="C551" s="4"/>
      <c r="D551" s="155"/>
      <c r="E551" s="155"/>
      <c r="F551" s="434" t="s">
        <v>418</v>
      </c>
      <c r="G551" s="435">
        <v>3</v>
      </c>
      <c r="O551" s="24" t="s">
        <v>1277</v>
      </c>
      <c r="Q551" s="24" t="s">
        <v>522</v>
      </c>
      <c r="S551" s="24" t="s">
        <v>523</v>
      </c>
      <c r="V551" s="4"/>
      <c r="W551" s="4"/>
      <c r="X551" s="4"/>
      <c r="Y551" s="500" t="s">
        <v>356</v>
      </c>
      <c r="Z551" s="500"/>
      <c r="AE551" s="3"/>
      <c r="AF551" s="38"/>
      <c r="AG551" s="39"/>
      <c r="AH551" s="39"/>
      <c r="AI551" s="39"/>
      <c r="AJ551" s="39"/>
      <c r="AK551" s="39"/>
      <c r="AL551" s="501"/>
      <c r="AQ551" s="139"/>
      <c r="AR551" s="139"/>
      <c r="AS551" s="139"/>
      <c r="AT551" s="139"/>
      <c r="AU551" s="139"/>
    </row>
    <row r="552" spans="2:47" ht="15" customHeight="1" x14ac:dyDescent="0.4">
      <c r="C552" s="4"/>
      <c r="D552" s="155"/>
      <c r="E552" s="155"/>
      <c r="F552" s="434"/>
      <c r="G552" s="498"/>
      <c r="O552" s="1625">
        <v>0</v>
      </c>
      <c r="P552" s="277"/>
      <c r="Q552" s="545" t="s">
        <v>529</v>
      </c>
      <c r="R552" s="112"/>
      <c r="S552" s="1625">
        <v>0</v>
      </c>
      <c r="T552" s="3" t="s">
        <v>366</v>
      </c>
      <c r="V552" s="4"/>
      <c r="W552" s="4"/>
      <c r="X552" s="4"/>
      <c r="Y552" s="3" t="s">
        <v>529</v>
      </c>
      <c r="AE552" s="3"/>
      <c r="AF552" s="38"/>
      <c r="AG552" s="39"/>
      <c r="AH552" s="39"/>
      <c r="AI552" s="39"/>
      <c r="AJ552" s="39"/>
      <c r="AK552" s="39"/>
      <c r="AL552" s="501"/>
      <c r="AQ552" s="139"/>
      <c r="AR552" s="139"/>
      <c r="AS552" s="139"/>
      <c r="AT552" s="139"/>
      <c r="AU552" s="139"/>
    </row>
    <row r="553" spans="2:47" ht="15" customHeight="1" x14ac:dyDescent="0.4">
      <c r="B553" s="3"/>
      <c r="C553" s="4"/>
      <c r="D553" s="155"/>
      <c r="E553" s="155"/>
      <c r="F553" s="434" t="s">
        <v>878</v>
      </c>
      <c r="G553" s="435">
        <v>15</v>
      </c>
      <c r="O553" s="1625">
        <f t="shared" ref="O553:O570" si="33">S553/12*$G$554</f>
        <v>0.40500000000000003</v>
      </c>
      <c r="P553" s="277"/>
      <c r="Q553" s="545" t="s">
        <v>70</v>
      </c>
      <c r="R553" s="546" t="s">
        <v>352</v>
      </c>
      <c r="S553" s="1626">
        <f>G553</f>
        <v>15</v>
      </c>
      <c r="T553" s="3" t="s">
        <v>366</v>
      </c>
      <c r="V553" s="4"/>
      <c r="W553" s="4"/>
      <c r="X553" s="4"/>
      <c r="Y553" s="1628">
        <v>250012000001</v>
      </c>
      <c r="Z553" s="547"/>
      <c r="AA553" s="20"/>
      <c r="AB553" s="3">
        <v>42</v>
      </c>
      <c r="AC553" s="3">
        <v>2</v>
      </c>
      <c r="AD553" s="5">
        <f t="shared" ref="AD553:AD570" si="34">AC553*S553/12</f>
        <v>2.5</v>
      </c>
      <c r="AE553" s="3" t="s">
        <v>367</v>
      </c>
      <c r="AF553" s="38"/>
      <c r="AG553" s="39"/>
      <c r="AH553" s="39"/>
      <c r="AI553" s="39"/>
      <c r="AJ553" s="39"/>
      <c r="AK553" s="39"/>
      <c r="AL553" s="501"/>
      <c r="AQ553" s="139"/>
      <c r="AR553" s="139"/>
      <c r="AS553" s="139"/>
      <c r="AT553" s="139"/>
      <c r="AU553" s="139"/>
    </row>
    <row r="554" spans="2:47" ht="15" customHeight="1" x14ac:dyDescent="0.4">
      <c r="D554" s="155"/>
      <c r="E554" s="155"/>
      <c r="F554" s="461" t="s">
        <v>868</v>
      </c>
      <c r="G554" s="502">
        <v>0.32400000000000001</v>
      </c>
      <c r="O554" s="1625">
        <f t="shared" si="33"/>
        <v>0.48599999999999999</v>
      </c>
      <c r="P554" s="277"/>
      <c r="Q554" s="545" t="s">
        <v>81</v>
      </c>
      <c r="R554" s="546" t="s">
        <v>352</v>
      </c>
      <c r="S554" s="1626">
        <f t="shared" ref="S554:S570" si="35">S553+$G$551</f>
        <v>18</v>
      </c>
      <c r="T554" s="3" t="s">
        <v>366</v>
      </c>
      <c r="V554" s="4"/>
      <c r="W554" s="4"/>
      <c r="X554" s="4"/>
      <c r="Y554" s="1628">
        <v>250012000002</v>
      </c>
      <c r="Z554" s="547"/>
      <c r="AA554" s="20"/>
      <c r="AB554" s="3">
        <v>42</v>
      </c>
      <c r="AC554" s="3">
        <v>2</v>
      </c>
      <c r="AD554" s="5">
        <f t="shared" si="34"/>
        <v>3</v>
      </c>
      <c r="AE554" s="3" t="s">
        <v>367</v>
      </c>
      <c r="AF554" s="38"/>
      <c r="AG554" s="39"/>
      <c r="AH554" s="39"/>
      <c r="AI554" s="39"/>
      <c r="AJ554" s="39"/>
      <c r="AK554" s="39"/>
      <c r="AL554" s="501"/>
      <c r="AQ554" s="139"/>
      <c r="AR554" s="139"/>
      <c r="AS554" s="139"/>
      <c r="AT554" s="139"/>
      <c r="AU554" s="139"/>
    </row>
    <row r="555" spans="2:47" ht="15" customHeight="1" x14ac:dyDescent="0.4">
      <c r="D555" s="155"/>
      <c r="E555" s="155"/>
      <c r="F555" s="155"/>
      <c r="G555" s="155"/>
      <c r="O555" s="1625">
        <f t="shared" si="33"/>
        <v>0.56700000000000006</v>
      </c>
      <c r="P555" s="277"/>
      <c r="Q555" s="545" t="s">
        <v>531</v>
      </c>
      <c r="R555" s="546" t="s">
        <v>352</v>
      </c>
      <c r="S555" s="1626">
        <f t="shared" si="35"/>
        <v>21</v>
      </c>
      <c r="T555" s="3" t="s">
        <v>366</v>
      </c>
      <c r="V555" s="4"/>
      <c r="W555" s="4"/>
      <c r="X555" s="4"/>
      <c r="Y555" s="1628">
        <v>250012000003</v>
      </c>
      <c r="Z555" s="547"/>
      <c r="AA555" s="20"/>
      <c r="AB555" s="3">
        <v>42</v>
      </c>
      <c r="AC555" s="3">
        <v>2</v>
      </c>
      <c r="AD555" s="5">
        <f t="shared" si="34"/>
        <v>3.5</v>
      </c>
      <c r="AE555" s="3" t="s">
        <v>367</v>
      </c>
      <c r="AF555" s="38"/>
      <c r="AG555" s="39"/>
      <c r="AH555" s="39"/>
      <c r="AI555" s="39"/>
      <c r="AJ555" s="39"/>
      <c r="AK555" s="39"/>
      <c r="AL555" s="501"/>
      <c r="AQ555" s="139"/>
      <c r="AR555" s="139"/>
      <c r="AS555" s="139"/>
      <c r="AT555" s="139"/>
      <c r="AU555" s="139"/>
    </row>
    <row r="556" spans="2:47" ht="15" customHeight="1" x14ac:dyDescent="0.4">
      <c r="B556" s="3"/>
      <c r="D556" s="155"/>
      <c r="E556" s="155"/>
      <c r="F556" s="155"/>
      <c r="G556" s="155"/>
      <c r="O556" s="1625">
        <f t="shared" si="33"/>
        <v>0.64800000000000002</v>
      </c>
      <c r="P556" s="277"/>
      <c r="Q556" s="545" t="s">
        <v>94</v>
      </c>
      <c r="R556" s="546" t="s">
        <v>352</v>
      </c>
      <c r="S556" s="1626">
        <f t="shared" si="35"/>
        <v>24</v>
      </c>
      <c r="T556" s="3" t="s">
        <v>366</v>
      </c>
      <c r="V556" s="4"/>
      <c r="W556" s="4"/>
      <c r="X556" s="4"/>
      <c r="Y556" s="1628">
        <v>250012000004</v>
      </c>
      <c r="Z556" s="547"/>
      <c r="AA556" s="20"/>
      <c r="AB556" s="3">
        <v>42</v>
      </c>
      <c r="AC556" s="3">
        <v>2</v>
      </c>
      <c r="AD556" s="5">
        <f t="shared" si="34"/>
        <v>4</v>
      </c>
      <c r="AE556" s="3" t="s">
        <v>367</v>
      </c>
      <c r="AF556" s="38"/>
      <c r="AG556" s="39"/>
      <c r="AH556" s="39"/>
      <c r="AI556" s="39"/>
      <c r="AJ556" s="39"/>
      <c r="AK556" s="39"/>
      <c r="AL556" s="501"/>
      <c r="AQ556" s="139"/>
      <c r="AR556" s="139"/>
      <c r="AS556" s="139"/>
      <c r="AT556" s="139"/>
      <c r="AU556" s="139"/>
    </row>
    <row r="557" spans="2:47" ht="15" customHeight="1" x14ac:dyDescent="0.4">
      <c r="B557" s="3"/>
      <c r="C557" s="4"/>
      <c r="D557" s="155"/>
      <c r="E557" s="155"/>
      <c r="F557" s="155"/>
      <c r="G557" s="155"/>
      <c r="O557" s="1625">
        <f t="shared" si="33"/>
        <v>0.72899999999999998</v>
      </c>
      <c r="P557" s="277"/>
      <c r="Q557" s="545" t="s">
        <v>112</v>
      </c>
      <c r="R557" s="546" t="s">
        <v>352</v>
      </c>
      <c r="S557" s="1626">
        <f t="shared" si="35"/>
        <v>27</v>
      </c>
      <c r="T557" s="3" t="s">
        <v>366</v>
      </c>
      <c r="V557" s="4"/>
      <c r="W557" s="4"/>
      <c r="X557" s="4"/>
      <c r="Y557" s="1628">
        <v>250012000005</v>
      </c>
      <c r="Z557" s="547"/>
      <c r="AA557" s="20"/>
      <c r="AB557" s="3">
        <v>42</v>
      </c>
      <c r="AC557" s="3">
        <v>2</v>
      </c>
      <c r="AD557" s="5">
        <f t="shared" si="34"/>
        <v>4.5</v>
      </c>
      <c r="AE557" s="3" t="s">
        <v>367</v>
      </c>
      <c r="AF557" s="38"/>
      <c r="AG557" s="39"/>
      <c r="AH557" s="39"/>
      <c r="AI557" s="39"/>
      <c r="AJ557" s="39"/>
      <c r="AK557" s="39"/>
      <c r="AL557" s="501"/>
      <c r="AQ557" s="139"/>
      <c r="AR557" s="139"/>
      <c r="AS557" s="139"/>
      <c r="AT557" s="139"/>
      <c r="AU557" s="139"/>
    </row>
    <row r="558" spans="2:47" ht="15" customHeight="1" x14ac:dyDescent="0.4">
      <c r="C558" s="442"/>
      <c r="D558" s="155"/>
      <c r="E558" s="155"/>
      <c r="F558" s="155"/>
      <c r="G558" s="155"/>
      <c r="O558" s="1625">
        <f t="shared" si="33"/>
        <v>0.81</v>
      </c>
      <c r="P558" s="277"/>
      <c r="Q558" s="545" t="s">
        <v>128</v>
      </c>
      <c r="R558" s="546" t="s">
        <v>352</v>
      </c>
      <c r="S558" s="1626">
        <f t="shared" si="35"/>
        <v>30</v>
      </c>
      <c r="T558" s="3" t="s">
        <v>366</v>
      </c>
      <c r="V558" s="4"/>
      <c r="W558" s="4"/>
      <c r="X558" s="4"/>
      <c r="Y558" s="1628">
        <v>250012000006</v>
      </c>
      <c r="Z558" s="547"/>
      <c r="AA558" s="20"/>
      <c r="AB558" s="3">
        <v>42</v>
      </c>
      <c r="AC558" s="3">
        <v>2</v>
      </c>
      <c r="AD558" s="5">
        <f t="shared" si="34"/>
        <v>5</v>
      </c>
      <c r="AE558" s="3" t="s">
        <v>367</v>
      </c>
      <c r="AF558" s="38"/>
      <c r="AG558" s="39"/>
      <c r="AH558" s="39"/>
      <c r="AI558" s="39"/>
      <c r="AJ558" s="39"/>
      <c r="AK558" s="39"/>
      <c r="AL558" s="501"/>
      <c r="AQ558" s="139"/>
      <c r="AR558" s="139"/>
      <c r="AS558" s="139"/>
      <c r="AT558" s="139"/>
      <c r="AU558" s="139"/>
    </row>
    <row r="559" spans="2:47" ht="15" customHeight="1" x14ac:dyDescent="0.4">
      <c r="C559" s="443"/>
      <c r="D559" s="155"/>
      <c r="E559" s="155"/>
      <c r="F559" s="155"/>
      <c r="G559" s="155"/>
      <c r="O559" s="1625">
        <f t="shared" si="33"/>
        <v>0.89100000000000001</v>
      </c>
      <c r="P559" s="277"/>
      <c r="Q559" s="545" t="s">
        <v>155</v>
      </c>
      <c r="R559" s="546" t="s">
        <v>352</v>
      </c>
      <c r="S559" s="1626">
        <f t="shared" si="35"/>
        <v>33</v>
      </c>
      <c r="T559" s="3" t="s">
        <v>366</v>
      </c>
      <c r="V559" s="4"/>
      <c r="W559" s="4"/>
      <c r="X559" s="4"/>
      <c r="Y559" s="1628">
        <v>250012000007</v>
      </c>
      <c r="Z559" s="547"/>
      <c r="AA559" s="20"/>
      <c r="AB559" s="3">
        <v>42</v>
      </c>
      <c r="AC559" s="3">
        <v>2</v>
      </c>
      <c r="AD559" s="5">
        <f t="shared" si="34"/>
        <v>5.5</v>
      </c>
      <c r="AE559" s="3" t="s">
        <v>367</v>
      </c>
      <c r="AF559" s="38"/>
      <c r="AG559" s="39"/>
      <c r="AH559" s="39"/>
      <c r="AI559" s="39"/>
      <c r="AJ559" s="39"/>
      <c r="AK559" s="39"/>
      <c r="AL559" s="501"/>
      <c r="AQ559" s="139"/>
      <c r="AR559" s="139"/>
      <c r="AS559" s="139"/>
      <c r="AT559" s="139"/>
      <c r="AU559" s="139"/>
    </row>
    <row r="560" spans="2:47" ht="15" customHeight="1" x14ac:dyDescent="0.4">
      <c r="C560" s="4"/>
      <c r="D560" s="155"/>
      <c r="E560" s="155"/>
      <c r="F560" s="155"/>
      <c r="G560" s="155"/>
      <c r="O560" s="1625">
        <f t="shared" si="33"/>
        <v>0.97199999999999998</v>
      </c>
      <c r="P560" s="277"/>
      <c r="Q560" s="545" t="s">
        <v>163</v>
      </c>
      <c r="R560" s="546" t="s">
        <v>352</v>
      </c>
      <c r="S560" s="1626">
        <f t="shared" si="35"/>
        <v>36</v>
      </c>
      <c r="T560" s="3" t="s">
        <v>366</v>
      </c>
      <c r="V560" s="4"/>
      <c r="W560" s="4"/>
      <c r="X560" s="4"/>
      <c r="Y560" s="1628">
        <v>250012000008</v>
      </c>
      <c r="Z560" s="547"/>
      <c r="AA560" s="20"/>
      <c r="AB560" s="3">
        <v>42</v>
      </c>
      <c r="AC560" s="3">
        <v>2</v>
      </c>
      <c r="AD560" s="5">
        <f t="shared" si="34"/>
        <v>6</v>
      </c>
      <c r="AE560" s="3" t="s">
        <v>367</v>
      </c>
      <c r="AF560" s="38"/>
      <c r="AG560" s="39"/>
      <c r="AH560" s="39"/>
      <c r="AI560" s="39"/>
      <c r="AJ560" s="39"/>
      <c r="AK560" s="39"/>
      <c r="AL560" s="501"/>
      <c r="AQ560" s="139"/>
      <c r="AR560" s="139"/>
      <c r="AS560" s="139"/>
      <c r="AT560" s="139"/>
      <c r="AU560" s="139"/>
    </row>
    <row r="561" spans="2:47" ht="15" customHeight="1" x14ac:dyDescent="0.4">
      <c r="C561" s="4"/>
      <c r="D561" s="155"/>
      <c r="E561" s="155"/>
      <c r="F561" s="155"/>
      <c r="G561" s="155"/>
      <c r="O561" s="1625">
        <f t="shared" si="33"/>
        <v>1.0529999999999999</v>
      </c>
      <c r="P561" s="277"/>
      <c r="Q561" s="545" t="s">
        <v>175</v>
      </c>
      <c r="R561" s="546" t="s">
        <v>352</v>
      </c>
      <c r="S561" s="1626">
        <f t="shared" si="35"/>
        <v>39</v>
      </c>
      <c r="T561" s="3" t="s">
        <v>366</v>
      </c>
      <c r="V561" s="4"/>
      <c r="W561" s="4"/>
      <c r="X561" s="4"/>
      <c r="Y561" s="1628">
        <v>250012000009</v>
      </c>
      <c r="Z561" s="547"/>
      <c r="AA561" s="20"/>
      <c r="AB561" s="3">
        <v>42</v>
      </c>
      <c r="AC561" s="3">
        <v>2</v>
      </c>
      <c r="AD561" s="5">
        <f t="shared" si="34"/>
        <v>6.5</v>
      </c>
      <c r="AE561" s="3" t="s">
        <v>367</v>
      </c>
      <c r="AF561" s="38"/>
      <c r="AG561" s="39"/>
      <c r="AH561" s="39"/>
      <c r="AI561" s="39"/>
      <c r="AJ561" s="39"/>
      <c r="AK561" s="39"/>
      <c r="AL561" s="501"/>
      <c r="AQ561" s="139"/>
      <c r="AR561" s="139"/>
      <c r="AS561" s="139"/>
      <c r="AT561" s="139"/>
      <c r="AU561" s="139"/>
    </row>
    <row r="562" spans="2:47" ht="15" customHeight="1" x14ac:dyDescent="0.4">
      <c r="C562" s="4"/>
      <c r="D562" s="155"/>
      <c r="E562" s="155"/>
      <c r="F562" s="155"/>
      <c r="G562" s="155"/>
      <c r="O562" s="1625">
        <f t="shared" si="33"/>
        <v>1.1340000000000001</v>
      </c>
      <c r="P562" s="277"/>
      <c r="Q562" s="545" t="s">
        <v>533</v>
      </c>
      <c r="R562" s="546" t="s">
        <v>352</v>
      </c>
      <c r="S562" s="1626">
        <f t="shared" si="35"/>
        <v>42</v>
      </c>
      <c r="T562" s="3" t="s">
        <v>366</v>
      </c>
      <c r="V562" s="4"/>
      <c r="W562" s="4"/>
      <c r="X562" s="4"/>
      <c r="Y562" s="1628">
        <v>250012000010</v>
      </c>
      <c r="Z562" s="547"/>
      <c r="AA562" s="20"/>
      <c r="AB562" s="3">
        <v>42</v>
      </c>
      <c r="AC562" s="3">
        <v>2</v>
      </c>
      <c r="AD562" s="5">
        <f t="shared" si="34"/>
        <v>7</v>
      </c>
      <c r="AE562" s="3" t="s">
        <v>367</v>
      </c>
      <c r="AF562" s="38"/>
      <c r="AG562" s="39"/>
      <c r="AH562" s="39"/>
      <c r="AI562" s="39"/>
      <c r="AJ562" s="39"/>
      <c r="AK562" s="39"/>
      <c r="AL562" s="501"/>
      <c r="AQ562" s="139"/>
      <c r="AR562" s="139"/>
      <c r="AS562" s="139"/>
      <c r="AT562" s="139"/>
      <c r="AU562" s="139"/>
    </row>
    <row r="563" spans="2:47" ht="15" customHeight="1" x14ac:dyDescent="0.4">
      <c r="C563" s="4"/>
      <c r="D563" s="155"/>
      <c r="E563" s="155"/>
      <c r="F563" s="155"/>
      <c r="G563" s="155"/>
      <c r="O563" s="1625">
        <f t="shared" si="33"/>
        <v>1.2150000000000001</v>
      </c>
      <c r="P563" s="277"/>
      <c r="Q563" s="545" t="s">
        <v>534</v>
      </c>
      <c r="R563" s="546" t="s">
        <v>352</v>
      </c>
      <c r="S563" s="1626">
        <f t="shared" si="35"/>
        <v>45</v>
      </c>
      <c r="T563" s="3" t="s">
        <v>366</v>
      </c>
      <c r="V563" s="4"/>
      <c r="W563" s="4"/>
      <c r="X563" s="4"/>
      <c r="Y563" s="1628">
        <v>250012000011</v>
      </c>
      <c r="Z563" s="547"/>
      <c r="AA563" s="20"/>
      <c r="AB563" s="3">
        <v>42</v>
      </c>
      <c r="AC563" s="3">
        <v>2</v>
      </c>
      <c r="AD563" s="5">
        <f t="shared" si="34"/>
        <v>7.5</v>
      </c>
      <c r="AE563" s="3" t="s">
        <v>367</v>
      </c>
      <c r="AF563" s="38"/>
      <c r="AG563" s="39"/>
      <c r="AH563" s="39"/>
      <c r="AI563" s="39"/>
      <c r="AJ563" s="39"/>
      <c r="AK563" s="39"/>
      <c r="AL563" s="501"/>
      <c r="AQ563" s="139"/>
      <c r="AR563" s="139"/>
      <c r="AS563" s="139"/>
      <c r="AT563" s="139"/>
      <c r="AU563" s="139"/>
    </row>
    <row r="564" spans="2:47" ht="15" customHeight="1" x14ac:dyDescent="0.4">
      <c r="C564" s="4"/>
      <c r="D564" s="155"/>
      <c r="E564" s="155"/>
      <c r="F564" s="155"/>
      <c r="G564" s="155"/>
      <c r="O564" s="1625">
        <f t="shared" si="33"/>
        <v>1.296</v>
      </c>
      <c r="P564" s="277"/>
      <c r="Q564" s="545" t="s">
        <v>535</v>
      </c>
      <c r="R564" s="546" t="s">
        <v>352</v>
      </c>
      <c r="S564" s="1626">
        <f t="shared" si="35"/>
        <v>48</v>
      </c>
      <c r="T564" s="3" t="s">
        <v>366</v>
      </c>
      <c r="V564" s="4"/>
      <c r="W564" s="4"/>
      <c r="X564" s="4"/>
      <c r="Y564" s="1628">
        <v>250012000012</v>
      </c>
      <c r="Z564" s="547"/>
      <c r="AA564" s="20"/>
      <c r="AB564" s="3">
        <v>42</v>
      </c>
      <c r="AC564" s="3">
        <v>2</v>
      </c>
      <c r="AD564" s="5">
        <f t="shared" si="34"/>
        <v>8</v>
      </c>
      <c r="AE564" s="3" t="s">
        <v>367</v>
      </c>
      <c r="AF564" s="38"/>
      <c r="AG564" s="39"/>
      <c r="AH564" s="39"/>
      <c r="AI564" s="39"/>
      <c r="AJ564" s="39"/>
      <c r="AK564" s="39"/>
      <c r="AL564" s="501"/>
      <c r="AQ564" s="139"/>
      <c r="AR564" s="139"/>
      <c r="AS564" s="139"/>
      <c r="AT564" s="139"/>
      <c r="AU564" s="139"/>
    </row>
    <row r="565" spans="2:47" ht="15" customHeight="1" x14ac:dyDescent="0.4">
      <c r="C565" s="4"/>
      <c r="D565" s="155"/>
      <c r="E565" s="155"/>
      <c r="F565" s="155"/>
      <c r="G565" s="155"/>
      <c r="O565" s="1625">
        <f t="shared" si="33"/>
        <v>1.377</v>
      </c>
      <c r="P565" s="277"/>
      <c r="Q565" s="545" t="s">
        <v>536</v>
      </c>
      <c r="R565" s="546" t="s">
        <v>352</v>
      </c>
      <c r="S565" s="1626">
        <f t="shared" si="35"/>
        <v>51</v>
      </c>
      <c r="T565" s="3" t="s">
        <v>366</v>
      </c>
      <c r="V565" s="4"/>
      <c r="W565" s="4"/>
      <c r="X565" s="4"/>
      <c r="Y565" s="1628">
        <v>250012000013</v>
      </c>
      <c r="Z565" s="547"/>
      <c r="AA565" s="20"/>
      <c r="AB565" s="3">
        <v>42</v>
      </c>
      <c r="AC565" s="3">
        <v>2</v>
      </c>
      <c r="AD565" s="5">
        <f t="shared" si="34"/>
        <v>8.5</v>
      </c>
      <c r="AE565" s="3" t="s">
        <v>367</v>
      </c>
      <c r="AF565" s="38"/>
      <c r="AG565" s="39"/>
      <c r="AH565" s="39"/>
      <c r="AI565" s="39"/>
      <c r="AJ565" s="39"/>
      <c r="AK565" s="39"/>
      <c r="AL565" s="501"/>
      <c r="AQ565" s="139"/>
      <c r="AR565" s="139"/>
      <c r="AS565" s="139"/>
      <c r="AT565" s="139"/>
      <c r="AU565" s="139"/>
    </row>
    <row r="566" spans="2:47" ht="15" customHeight="1" x14ac:dyDescent="0.4">
      <c r="C566" s="4"/>
      <c r="D566" s="155"/>
      <c r="E566" s="155"/>
      <c r="F566" s="155"/>
      <c r="G566" s="155"/>
      <c r="O566" s="1625">
        <f t="shared" si="33"/>
        <v>1.458</v>
      </c>
      <c r="P566" s="277"/>
      <c r="Q566" s="545" t="s">
        <v>537</v>
      </c>
      <c r="R566" s="546" t="s">
        <v>352</v>
      </c>
      <c r="S566" s="1626">
        <f t="shared" si="35"/>
        <v>54</v>
      </c>
      <c r="T566" s="3" t="s">
        <v>366</v>
      </c>
      <c r="V566" s="4"/>
      <c r="W566" s="4"/>
      <c r="X566" s="4"/>
      <c r="Y566" s="1628">
        <v>250012000014</v>
      </c>
      <c r="Z566" s="547"/>
      <c r="AA566" s="20"/>
      <c r="AB566" s="3">
        <v>42</v>
      </c>
      <c r="AC566" s="3">
        <v>2</v>
      </c>
      <c r="AD566" s="5">
        <f t="shared" si="34"/>
        <v>9</v>
      </c>
      <c r="AE566" s="3" t="s">
        <v>367</v>
      </c>
      <c r="AF566" s="38"/>
      <c r="AG566" s="39"/>
      <c r="AH566" s="39"/>
      <c r="AI566" s="39"/>
      <c r="AJ566" s="39"/>
      <c r="AK566" s="39"/>
      <c r="AL566" s="501"/>
      <c r="AQ566" s="139"/>
      <c r="AR566" s="139"/>
      <c r="AS566" s="139"/>
      <c r="AT566" s="139"/>
      <c r="AU566" s="139"/>
    </row>
    <row r="567" spans="2:47" ht="15" customHeight="1" x14ac:dyDescent="0.4">
      <c r="C567" s="4"/>
      <c r="D567" s="155"/>
      <c r="E567" s="155"/>
      <c r="F567" s="155"/>
      <c r="G567" s="155"/>
      <c r="O567" s="1625">
        <f t="shared" si="33"/>
        <v>1.5390000000000001</v>
      </c>
      <c r="P567" s="277"/>
      <c r="Q567" s="545" t="s">
        <v>371</v>
      </c>
      <c r="R567" s="546" t="s">
        <v>352</v>
      </c>
      <c r="S567" s="1626">
        <f t="shared" si="35"/>
        <v>57</v>
      </c>
      <c r="T567" s="3" t="s">
        <v>366</v>
      </c>
      <c r="V567" s="4"/>
      <c r="W567" s="4"/>
      <c r="X567" s="4"/>
      <c r="Y567" s="1628">
        <v>250012000015</v>
      </c>
      <c r="Z567" s="547"/>
      <c r="AA567" s="20"/>
      <c r="AB567" s="3">
        <v>42</v>
      </c>
      <c r="AC567" s="3">
        <v>2</v>
      </c>
      <c r="AD567" s="5">
        <f t="shared" si="34"/>
        <v>9.5</v>
      </c>
      <c r="AE567" s="3" t="s">
        <v>367</v>
      </c>
      <c r="AF567" s="38"/>
      <c r="AG567" s="39"/>
      <c r="AH567" s="39"/>
      <c r="AI567" s="39"/>
      <c r="AJ567" s="39"/>
      <c r="AK567" s="39"/>
      <c r="AL567" s="501"/>
      <c r="AQ567" s="139"/>
      <c r="AR567" s="139"/>
      <c r="AS567" s="139"/>
      <c r="AT567" s="139"/>
      <c r="AU567" s="139"/>
    </row>
    <row r="568" spans="2:47" ht="15" customHeight="1" x14ac:dyDescent="0.4">
      <c r="C568" s="4"/>
      <c r="D568" s="155"/>
      <c r="E568" s="155"/>
      <c r="F568" s="155"/>
      <c r="G568" s="155"/>
      <c r="O568" s="1625">
        <f t="shared" si="33"/>
        <v>1.62</v>
      </c>
      <c r="P568" s="277"/>
      <c r="Q568" s="545" t="s">
        <v>538</v>
      </c>
      <c r="R568" s="546" t="s">
        <v>352</v>
      </c>
      <c r="S568" s="1626">
        <f t="shared" si="35"/>
        <v>60</v>
      </c>
      <c r="T568" s="3" t="s">
        <v>366</v>
      </c>
      <c r="V568" s="4"/>
      <c r="W568" s="4"/>
      <c r="X568" s="4"/>
      <c r="Y568" s="1628">
        <v>250012000016</v>
      </c>
      <c r="Z568" s="547"/>
      <c r="AA568" s="20"/>
      <c r="AB568" s="3">
        <v>42</v>
      </c>
      <c r="AC568" s="3">
        <v>2</v>
      </c>
      <c r="AD568" s="5">
        <f t="shared" si="34"/>
        <v>10</v>
      </c>
      <c r="AE568" s="3" t="s">
        <v>367</v>
      </c>
      <c r="AF568" s="38"/>
      <c r="AG568" s="39"/>
      <c r="AH568" s="39"/>
      <c r="AI568" s="39"/>
      <c r="AJ568" s="39"/>
      <c r="AK568" s="39"/>
      <c r="AL568" s="501"/>
      <c r="AQ568" s="139"/>
      <c r="AR568" s="139"/>
      <c r="AS568" s="139"/>
      <c r="AT568" s="139"/>
      <c r="AU568" s="139"/>
    </row>
    <row r="569" spans="2:47" ht="15" customHeight="1" x14ac:dyDescent="0.4">
      <c r="C569" s="4"/>
      <c r="D569" s="155"/>
      <c r="E569" s="155"/>
      <c r="F569" s="155"/>
      <c r="G569" s="155"/>
      <c r="O569" s="1625">
        <f t="shared" si="33"/>
        <v>1.7010000000000001</v>
      </c>
      <c r="P569" s="277"/>
      <c r="Q569" s="545" t="s">
        <v>539</v>
      </c>
      <c r="R569" s="546" t="s">
        <v>352</v>
      </c>
      <c r="S569" s="1626">
        <f t="shared" si="35"/>
        <v>63</v>
      </c>
      <c r="T569" s="3" t="s">
        <v>366</v>
      </c>
      <c r="V569" s="4"/>
      <c r="W569" s="4"/>
      <c r="X569" s="4"/>
      <c r="Y569" s="1628">
        <v>250012000017</v>
      </c>
      <c r="Z569" s="547"/>
      <c r="AA569" s="20"/>
      <c r="AB569" s="3">
        <v>42</v>
      </c>
      <c r="AC569" s="3">
        <v>2</v>
      </c>
      <c r="AD569" s="5">
        <f t="shared" si="34"/>
        <v>10.5</v>
      </c>
      <c r="AE569" s="3" t="s">
        <v>367</v>
      </c>
      <c r="AF569" s="38"/>
      <c r="AG569" s="39"/>
      <c r="AH569" s="39"/>
      <c r="AI569" s="39"/>
      <c r="AJ569" s="39"/>
      <c r="AK569" s="39"/>
      <c r="AL569" s="501"/>
      <c r="AQ569" s="139"/>
      <c r="AR569" s="139"/>
      <c r="AS569" s="139"/>
      <c r="AT569" s="139"/>
      <c r="AU569" s="139"/>
    </row>
    <row r="570" spans="2:47" ht="15" customHeight="1" thickBot="1" x14ac:dyDescent="0.45">
      <c r="C570" s="968"/>
      <c r="D570" s="925"/>
      <c r="E570" s="925"/>
      <c r="F570" s="925"/>
      <c r="G570" s="925"/>
      <c r="H570" s="948"/>
      <c r="I570" s="889"/>
      <c r="J570" s="889"/>
      <c r="K570" s="889"/>
      <c r="L570" s="889"/>
      <c r="M570" s="945"/>
      <c r="N570" s="945"/>
      <c r="O570" s="1625">
        <f t="shared" si="33"/>
        <v>1.782</v>
      </c>
      <c r="P570" s="1250"/>
      <c r="Q570" s="1251" t="s">
        <v>540</v>
      </c>
      <c r="R570" s="1252" t="s">
        <v>352</v>
      </c>
      <c r="S570" s="1627">
        <f t="shared" si="35"/>
        <v>66</v>
      </c>
      <c r="T570" s="889" t="s">
        <v>366</v>
      </c>
      <c r="U570" s="948"/>
      <c r="V570" s="968"/>
      <c r="W570" s="968"/>
      <c r="X570" s="968"/>
      <c r="Y570" s="1629">
        <v>250012000018</v>
      </c>
      <c r="Z570" s="1253"/>
      <c r="AA570" s="887"/>
      <c r="AB570" s="889">
        <v>42</v>
      </c>
      <c r="AC570" s="889">
        <v>2</v>
      </c>
      <c r="AD570" s="945">
        <f t="shared" si="34"/>
        <v>11</v>
      </c>
      <c r="AE570" s="889" t="s">
        <v>367</v>
      </c>
      <c r="AF570" s="888"/>
      <c r="AG570" s="947"/>
      <c r="AH570" s="947"/>
      <c r="AI570" s="947"/>
      <c r="AJ570" s="947"/>
      <c r="AK570" s="947"/>
      <c r="AL570" s="1247"/>
      <c r="AM570" s="889"/>
      <c r="AN570" s="889"/>
      <c r="AO570" s="889"/>
      <c r="AP570" s="889"/>
      <c r="AQ570" s="1163"/>
      <c r="AR570" s="139"/>
      <c r="AS570" s="139"/>
      <c r="AT570" s="139"/>
      <c r="AU570" s="139"/>
    </row>
    <row r="571" spans="2:47" ht="15" customHeight="1" x14ac:dyDescent="0.4">
      <c r="C571" s="173" t="s">
        <v>1367</v>
      </c>
      <c r="D571" s="182"/>
      <c r="E571" s="182"/>
      <c r="F571" s="182"/>
      <c r="G571" s="173"/>
      <c r="H571" s="193"/>
      <c r="I571" s="503"/>
      <c r="J571" s="116"/>
      <c r="K571" s="116"/>
      <c r="L571" s="116"/>
      <c r="M571" s="177"/>
      <c r="N571" s="177"/>
      <c r="O571" s="177"/>
      <c r="P571" s="177"/>
      <c r="Q571" s="178"/>
      <c r="R571" s="448"/>
      <c r="S571" s="504"/>
      <c r="T571" s="448"/>
      <c r="U571" s="175"/>
      <c r="V571" s="179"/>
      <c r="W571" s="116"/>
      <c r="X571" s="179"/>
      <c r="Y571" s="1630"/>
      <c r="Z571" s="179"/>
      <c r="AA571" s="175"/>
      <c r="AB571" s="179"/>
      <c r="AC571" s="179"/>
      <c r="AD571" s="179"/>
      <c r="AE571" s="179"/>
      <c r="AF571" s="179"/>
      <c r="AG571" s="179"/>
      <c r="AH571" s="179"/>
      <c r="AI571" s="39"/>
      <c r="AJ571" s="39"/>
      <c r="AK571" s="39"/>
      <c r="AL571" s="179"/>
      <c r="AQ571" s="139"/>
      <c r="AR571" s="139"/>
      <c r="AS571" s="139"/>
      <c r="AT571" s="139"/>
      <c r="AU571" s="139"/>
    </row>
    <row r="572" spans="2:47" ht="15" customHeight="1" x14ac:dyDescent="0.4">
      <c r="B572" s="7"/>
      <c r="C572" s="155"/>
      <c r="E572" s="155"/>
      <c r="F572" s="461" t="s">
        <v>868</v>
      </c>
      <c r="G572" s="502">
        <v>0.504</v>
      </c>
      <c r="O572" s="24" t="s">
        <v>1277</v>
      </c>
      <c r="Q572" s="24" t="s">
        <v>522</v>
      </c>
      <c r="S572" s="24" t="s">
        <v>523</v>
      </c>
      <c r="V572" s="4"/>
      <c r="W572" s="4"/>
      <c r="X572" s="4"/>
      <c r="Y572" s="1631" t="s">
        <v>356</v>
      </c>
      <c r="Z572" s="500"/>
      <c r="AE572" s="3"/>
      <c r="AF572" s="3"/>
      <c r="AG572" s="3"/>
      <c r="AH572" s="39"/>
      <c r="AI572" s="39"/>
      <c r="AJ572" s="39"/>
      <c r="AK572" s="39"/>
      <c r="AQ572" s="139"/>
      <c r="AR572" s="139"/>
      <c r="AS572" s="139"/>
      <c r="AT572" s="139"/>
      <c r="AU572" s="139"/>
    </row>
    <row r="573" spans="2:47" ht="15" customHeight="1" x14ac:dyDescent="0.4">
      <c r="B573" s="7"/>
      <c r="C573" s="155"/>
      <c r="E573" s="155"/>
      <c r="F573" s="461"/>
      <c r="G573" s="505"/>
      <c r="O573" s="5">
        <v>0</v>
      </c>
      <c r="Q573" s="439" t="s">
        <v>529</v>
      </c>
      <c r="S573" s="5">
        <v>0</v>
      </c>
      <c r="T573" s="3" t="s">
        <v>366</v>
      </c>
      <c r="V573" s="4"/>
      <c r="W573" s="4"/>
      <c r="X573" s="4"/>
      <c r="Y573" s="1445" t="s">
        <v>529</v>
      </c>
      <c r="AE573" s="3"/>
      <c r="AF573" s="3"/>
      <c r="AG573" s="3"/>
      <c r="AH573" s="39"/>
      <c r="AI573" s="39"/>
      <c r="AJ573" s="39"/>
      <c r="AK573" s="39"/>
      <c r="AQ573" s="139"/>
      <c r="AR573" s="139"/>
      <c r="AS573" s="139"/>
      <c r="AT573" s="139"/>
      <c r="AU573" s="139"/>
    </row>
    <row r="574" spans="2:47" ht="15" customHeight="1" x14ac:dyDescent="0.4">
      <c r="B574" s="7"/>
      <c r="C574" s="155"/>
      <c r="D574" s="155"/>
      <c r="E574" s="155"/>
      <c r="F574" s="434"/>
      <c r="G574" s="498"/>
      <c r="O574" s="5">
        <f t="shared" ref="O574:O591" si="36">S574/12*$G$572</f>
        <v>0.63</v>
      </c>
      <c r="Q574" s="439" t="s">
        <v>70</v>
      </c>
      <c r="R574" s="440" t="s">
        <v>352</v>
      </c>
      <c r="S574" s="376">
        <f>S553</f>
        <v>15</v>
      </c>
      <c r="T574" s="3" t="s">
        <v>366</v>
      </c>
      <c r="V574" s="4"/>
      <c r="W574" s="4"/>
      <c r="X574" s="4"/>
      <c r="Y574" s="1454">
        <v>250013000001</v>
      </c>
      <c r="Z574" s="441"/>
      <c r="AA574" s="20"/>
      <c r="AB574" s="3">
        <v>42</v>
      </c>
      <c r="AC574" s="3">
        <v>2</v>
      </c>
      <c r="AD574" s="5">
        <f t="shared" ref="AD574:AD591" si="37">AC574*S574/12</f>
        <v>2.5</v>
      </c>
      <c r="AE574" s="3" t="s">
        <v>367</v>
      </c>
      <c r="AF574" s="38"/>
      <c r="AG574" s="3"/>
      <c r="AH574" s="39"/>
      <c r="AI574" s="39"/>
      <c r="AJ574" s="39"/>
      <c r="AK574" s="39"/>
      <c r="AQ574" s="139"/>
      <c r="AR574" s="139"/>
      <c r="AS574" s="139"/>
      <c r="AT574" s="139"/>
      <c r="AU574" s="139"/>
    </row>
    <row r="575" spans="2:47" ht="15" customHeight="1" x14ac:dyDescent="0.4">
      <c r="C575" s="4"/>
      <c r="D575" s="155"/>
      <c r="E575" s="155"/>
      <c r="F575" s="155"/>
      <c r="G575" s="155"/>
      <c r="O575" s="5">
        <f t="shared" si="36"/>
        <v>0.75600000000000001</v>
      </c>
      <c r="Q575" s="439" t="s">
        <v>81</v>
      </c>
      <c r="R575" s="440" t="s">
        <v>352</v>
      </c>
      <c r="S575" s="376">
        <f t="shared" ref="S575:S591" si="38">S574+$G$551</f>
        <v>18</v>
      </c>
      <c r="T575" s="3" t="s">
        <v>366</v>
      </c>
      <c r="V575" s="4"/>
      <c r="W575" s="4"/>
      <c r="X575" s="4"/>
      <c r="Y575" s="1454">
        <v>250013000002</v>
      </c>
      <c r="Z575" s="441"/>
      <c r="AA575" s="20"/>
      <c r="AB575" s="3">
        <v>42</v>
      </c>
      <c r="AC575" s="3">
        <v>2</v>
      </c>
      <c r="AD575" s="5">
        <f t="shared" si="37"/>
        <v>3</v>
      </c>
      <c r="AE575" s="3" t="s">
        <v>367</v>
      </c>
      <c r="AF575" s="38"/>
      <c r="AG575" s="3"/>
      <c r="AH575" s="39"/>
      <c r="AI575" s="39"/>
      <c r="AJ575" s="39"/>
      <c r="AK575" s="39"/>
      <c r="AQ575" s="139"/>
      <c r="AR575" s="139"/>
      <c r="AS575" s="139"/>
      <c r="AT575" s="139"/>
      <c r="AU575" s="139"/>
    </row>
    <row r="576" spans="2:47" ht="15" customHeight="1" x14ac:dyDescent="0.4">
      <c r="C576" s="4"/>
      <c r="D576" s="155"/>
      <c r="E576" s="155"/>
      <c r="F576" s="155"/>
      <c r="G576" s="155"/>
      <c r="O576" s="5">
        <f t="shared" si="36"/>
        <v>0.88200000000000001</v>
      </c>
      <c r="Q576" s="439" t="s">
        <v>531</v>
      </c>
      <c r="R576" s="440" t="s">
        <v>352</v>
      </c>
      <c r="S576" s="376">
        <f t="shared" si="38"/>
        <v>21</v>
      </c>
      <c r="T576" s="3" t="s">
        <v>366</v>
      </c>
      <c r="V576" s="4"/>
      <c r="W576" s="4"/>
      <c r="X576" s="4"/>
      <c r="Y576" s="1454">
        <v>250013000003</v>
      </c>
      <c r="Z576" s="441"/>
      <c r="AA576" s="20"/>
      <c r="AB576" s="3">
        <v>42</v>
      </c>
      <c r="AC576" s="3">
        <v>2</v>
      </c>
      <c r="AD576" s="5">
        <f t="shared" si="37"/>
        <v>3.5</v>
      </c>
      <c r="AE576" s="3" t="s">
        <v>367</v>
      </c>
      <c r="AF576" s="38"/>
      <c r="AG576" s="3"/>
      <c r="AH576" s="39"/>
      <c r="AI576" s="39"/>
      <c r="AJ576" s="39"/>
      <c r="AK576" s="39"/>
      <c r="AQ576" s="139"/>
      <c r="AR576" s="139"/>
      <c r="AS576" s="139"/>
      <c r="AT576" s="139"/>
      <c r="AU576" s="139"/>
    </row>
    <row r="577" spans="1:47" ht="15" customHeight="1" x14ac:dyDescent="0.4">
      <c r="C577" s="4"/>
      <c r="D577" s="155"/>
      <c r="E577" s="155"/>
      <c r="F577" s="155"/>
      <c r="G577" s="155"/>
      <c r="O577" s="5">
        <f t="shared" si="36"/>
        <v>1.008</v>
      </c>
      <c r="Q577" s="439" t="s">
        <v>94</v>
      </c>
      <c r="R577" s="440" t="s">
        <v>352</v>
      </c>
      <c r="S577" s="376">
        <f t="shared" si="38"/>
        <v>24</v>
      </c>
      <c r="T577" s="3" t="s">
        <v>366</v>
      </c>
      <c r="V577" s="4"/>
      <c r="W577" s="4"/>
      <c r="X577" s="4"/>
      <c r="Y577" s="1454">
        <v>250013000004</v>
      </c>
      <c r="Z577" s="441"/>
      <c r="AA577" s="20"/>
      <c r="AB577" s="3">
        <v>42</v>
      </c>
      <c r="AC577" s="3">
        <v>2</v>
      </c>
      <c r="AD577" s="5">
        <f t="shared" si="37"/>
        <v>4</v>
      </c>
      <c r="AE577" s="3" t="s">
        <v>367</v>
      </c>
      <c r="AF577" s="38"/>
      <c r="AG577" s="3"/>
      <c r="AH577" s="39"/>
      <c r="AI577" s="39"/>
      <c r="AJ577" s="39"/>
      <c r="AK577" s="39"/>
      <c r="AQ577" s="139"/>
      <c r="AR577" s="139"/>
      <c r="AS577" s="139"/>
      <c r="AT577" s="139"/>
      <c r="AU577" s="139"/>
    </row>
    <row r="578" spans="1:47" ht="15" customHeight="1" x14ac:dyDescent="0.4">
      <c r="C578" s="4"/>
      <c r="D578" s="155"/>
      <c r="E578" s="155"/>
      <c r="F578" s="155"/>
      <c r="G578" s="155"/>
      <c r="O578" s="5">
        <f t="shared" si="36"/>
        <v>1.1339999999999999</v>
      </c>
      <c r="Q578" s="439" t="s">
        <v>112</v>
      </c>
      <c r="R578" s="440" t="s">
        <v>352</v>
      </c>
      <c r="S578" s="376">
        <f t="shared" si="38"/>
        <v>27</v>
      </c>
      <c r="T578" s="3" t="s">
        <v>366</v>
      </c>
      <c r="V578" s="4"/>
      <c r="W578" s="4"/>
      <c r="X578" s="4"/>
      <c r="Y578" s="1454">
        <v>250013000005</v>
      </c>
      <c r="Z578" s="441"/>
      <c r="AA578" s="20"/>
      <c r="AB578" s="3">
        <v>42</v>
      </c>
      <c r="AC578" s="3">
        <v>2</v>
      </c>
      <c r="AD578" s="5">
        <f t="shared" si="37"/>
        <v>4.5</v>
      </c>
      <c r="AE578" s="3" t="s">
        <v>367</v>
      </c>
      <c r="AF578" s="38"/>
      <c r="AG578" s="3"/>
      <c r="AH578" s="39"/>
      <c r="AI578" s="39"/>
      <c r="AJ578" s="39"/>
      <c r="AK578" s="39"/>
      <c r="AQ578" s="139"/>
      <c r="AR578" s="139"/>
      <c r="AS578" s="139"/>
      <c r="AT578" s="139"/>
      <c r="AU578" s="139"/>
    </row>
    <row r="579" spans="1:47" ht="15" customHeight="1" x14ac:dyDescent="0.4">
      <c r="C579" s="4"/>
      <c r="D579" s="155"/>
      <c r="E579" s="155"/>
      <c r="F579" s="155"/>
      <c r="G579" s="155"/>
      <c r="O579" s="5">
        <f t="shared" si="36"/>
        <v>1.26</v>
      </c>
      <c r="Q579" s="439" t="s">
        <v>128</v>
      </c>
      <c r="R579" s="440" t="s">
        <v>352</v>
      </c>
      <c r="S579" s="376">
        <f t="shared" si="38"/>
        <v>30</v>
      </c>
      <c r="T579" s="3" t="s">
        <v>366</v>
      </c>
      <c r="V579" s="4"/>
      <c r="W579" s="4"/>
      <c r="X579" s="4"/>
      <c r="Y579" s="1454">
        <v>250013000006</v>
      </c>
      <c r="Z579" s="441"/>
      <c r="AA579" s="20"/>
      <c r="AB579" s="3">
        <v>42</v>
      </c>
      <c r="AC579" s="3">
        <v>2</v>
      </c>
      <c r="AD579" s="5">
        <f t="shared" si="37"/>
        <v>5</v>
      </c>
      <c r="AE579" s="3" t="s">
        <v>367</v>
      </c>
      <c r="AF579" s="38"/>
      <c r="AG579" s="3"/>
      <c r="AH579" s="39"/>
      <c r="AI579" s="39"/>
      <c r="AJ579" s="39"/>
      <c r="AK579" s="39"/>
      <c r="AQ579" s="139"/>
      <c r="AR579" s="139"/>
      <c r="AS579" s="139"/>
      <c r="AT579" s="139"/>
      <c r="AU579" s="139"/>
    </row>
    <row r="580" spans="1:47" ht="15" customHeight="1" x14ac:dyDescent="0.4">
      <c r="C580" s="4"/>
      <c r="D580" s="155"/>
      <c r="E580" s="155"/>
      <c r="F580" s="155"/>
      <c r="G580" s="155"/>
      <c r="O580" s="5">
        <f t="shared" si="36"/>
        <v>1.3860000000000001</v>
      </c>
      <c r="Q580" s="439" t="s">
        <v>155</v>
      </c>
      <c r="R580" s="440" t="s">
        <v>352</v>
      </c>
      <c r="S580" s="376">
        <f t="shared" si="38"/>
        <v>33</v>
      </c>
      <c r="T580" s="3" t="s">
        <v>366</v>
      </c>
      <c r="V580" s="4"/>
      <c r="W580" s="4"/>
      <c r="X580" s="4"/>
      <c r="Y580" s="1454">
        <v>250013000007</v>
      </c>
      <c r="Z580" s="441"/>
      <c r="AA580" s="20"/>
      <c r="AB580" s="3">
        <v>42</v>
      </c>
      <c r="AC580" s="3">
        <v>2</v>
      </c>
      <c r="AD580" s="5">
        <f t="shared" si="37"/>
        <v>5.5</v>
      </c>
      <c r="AE580" s="3" t="s">
        <v>367</v>
      </c>
      <c r="AF580" s="38"/>
      <c r="AG580" s="3"/>
      <c r="AH580" s="39"/>
      <c r="AI580" s="39"/>
      <c r="AJ580" s="39"/>
      <c r="AK580" s="39"/>
      <c r="AQ580" s="139"/>
      <c r="AR580" s="139"/>
      <c r="AS580" s="139"/>
      <c r="AT580" s="139"/>
      <c r="AU580" s="139"/>
    </row>
    <row r="581" spans="1:47" ht="15" customHeight="1" x14ac:dyDescent="0.4">
      <c r="C581" s="4"/>
      <c r="D581" s="155"/>
      <c r="E581" s="155"/>
      <c r="F581" s="155"/>
      <c r="G581" s="155"/>
      <c r="O581" s="5">
        <f t="shared" si="36"/>
        <v>1.512</v>
      </c>
      <c r="Q581" s="439" t="s">
        <v>163</v>
      </c>
      <c r="R581" s="440" t="s">
        <v>352</v>
      </c>
      <c r="S581" s="376">
        <f t="shared" si="38"/>
        <v>36</v>
      </c>
      <c r="T581" s="3" t="s">
        <v>366</v>
      </c>
      <c r="V581" s="4"/>
      <c r="W581" s="4"/>
      <c r="X581" s="4"/>
      <c r="Y581" s="1454">
        <v>250013000008</v>
      </c>
      <c r="Z581" s="441"/>
      <c r="AA581" s="20"/>
      <c r="AB581" s="3">
        <v>42</v>
      </c>
      <c r="AC581" s="3">
        <v>2</v>
      </c>
      <c r="AD581" s="5">
        <f t="shared" si="37"/>
        <v>6</v>
      </c>
      <c r="AE581" s="3" t="s">
        <v>367</v>
      </c>
      <c r="AF581" s="38"/>
      <c r="AG581" s="3"/>
      <c r="AH581" s="39"/>
      <c r="AI581" s="39"/>
      <c r="AJ581" s="39"/>
      <c r="AK581" s="39"/>
      <c r="AQ581" s="139"/>
      <c r="AR581" s="139"/>
      <c r="AS581" s="139"/>
      <c r="AT581" s="139"/>
      <c r="AU581" s="139"/>
    </row>
    <row r="582" spans="1:47" ht="15" customHeight="1" x14ac:dyDescent="0.4">
      <c r="C582" s="4"/>
      <c r="D582" s="155"/>
      <c r="E582" s="155"/>
      <c r="F582" s="155"/>
      <c r="G582" s="155"/>
      <c r="O582" s="5">
        <f t="shared" si="36"/>
        <v>1.6379999999999999</v>
      </c>
      <c r="Q582" s="439" t="s">
        <v>175</v>
      </c>
      <c r="R582" s="440" t="s">
        <v>352</v>
      </c>
      <c r="S582" s="376">
        <f t="shared" si="38"/>
        <v>39</v>
      </c>
      <c r="T582" s="3" t="s">
        <v>366</v>
      </c>
      <c r="V582" s="4"/>
      <c r="W582" s="4"/>
      <c r="X582" s="4"/>
      <c r="Y582" s="1454">
        <v>250013000009</v>
      </c>
      <c r="Z582" s="441"/>
      <c r="AA582" s="20"/>
      <c r="AB582" s="3">
        <v>42</v>
      </c>
      <c r="AC582" s="3">
        <v>2</v>
      </c>
      <c r="AD582" s="5">
        <f t="shared" si="37"/>
        <v>6.5</v>
      </c>
      <c r="AE582" s="3" t="s">
        <v>367</v>
      </c>
      <c r="AF582" s="38"/>
      <c r="AG582" s="3"/>
      <c r="AH582" s="39"/>
      <c r="AI582" s="39"/>
      <c r="AJ582" s="39"/>
      <c r="AK582" s="39"/>
      <c r="AQ582" s="139"/>
      <c r="AR582" s="139"/>
      <c r="AS582" s="139"/>
      <c r="AT582" s="139"/>
      <c r="AU582" s="139"/>
    </row>
    <row r="583" spans="1:47" ht="15" customHeight="1" x14ac:dyDescent="0.4">
      <c r="C583" s="4"/>
      <c r="D583" s="155"/>
      <c r="E583" s="155"/>
      <c r="F583" s="155"/>
      <c r="G583" s="155"/>
      <c r="O583" s="5">
        <f t="shared" si="36"/>
        <v>1.764</v>
      </c>
      <c r="Q583" s="439" t="s">
        <v>533</v>
      </c>
      <c r="R583" s="440" t="s">
        <v>352</v>
      </c>
      <c r="S583" s="376">
        <f t="shared" si="38"/>
        <v>42</v>
      </c>
      <c r="T583" s="3" t="s">
        <v>366</v>
      </c>
      <c r="V583" s="4"/>
      <c r="W583" s="4"/>
      <c r="X583" s="4"/>
      <c r="Y583" s="1454">
        <v>250013000010</v>
      </c>
      <c r="Z583" s="441"/>
      <c r="AA583" s="20"/>
      <c r="AB583" s="3">
        <v>42</v>
      </c>
      <c r="AC583" s="3">
        <v>2</v>
      </c>
      <c r="AD583" s="5">
        <f t="shared" si="37"/>
        <v>7</v>
      </c>
      <c r="AE583" s="3" t="s">
        <v>367</v>
      </c>
      <c r="AF583" s="38"/>
      <c r="AG583" s="3"/>
      <c r="AH583" s="39"/>
      <c r="AI583" s="39"/>
      <c r="AJ583" s="39"/>
      <c r="AK583" s="39"/>
      <c r="AQ583" s="139"/>
      <c r="AR583" s="139"/>
      <c r="AS583" s="139"/>
      <c r="AT583" s="139"/>
      <c r="AU583" s="139"/>
    </row>
    <row r="584" spans="1:47" ht="15" customHeight="1" x14ac:dyDescent="0.4">
      <c r="C584" s="4"/>
      <c r="D584" s="155"/>
      <c r="E584" s="155"/>
      <c r="F584" s="155"/>
      <c r="G584" s="155"/>
      <c r="O584" s="5">
        <f t="shared" si="36"/>
        <v>1.8900000000000001</v>
      </c>
      <c r="Q584" s="439" t="s">
        <v>534</v>
      </c>
      <c r="R584" s="440" t="s">
        <v>352</v>
      </c>
      <c r="S584" s="376">
        <f t="shared" si="38"/>
        <v>45</v>
      </c>
      <c r="T584" s="3" t="s">
        <v>366</v>
      </c>
      <c r="V584" s="4"/>
      <c r="W584" s="4"/>
      <c r="X584" s="4"/>
      <c r="Y584" s="1454">
        <v>250013000011</v>
      </c>
      <c r="Z584" s="441"/>
      <c r="AA584" s="20"/>
      <c r="AB584" s="3">
        <v>42</v>
      </c>
      <c r="AC584" s="3">
        <v>2</v>
      </c>
      <c r="AD584" s="5">
        <f t="shared" si="37"/>
        <v>7.5</v>
      </c>
      <c r="AE584" s="3" t="s">
        <v>367</v>
      </c>
      <c r="AF584" s="38"/>
      <c r="AG584" s="3"/>
      <c r="AH584" s="39"/>
      <c r="AI584" s="39"/>
      <c r="AJ584" s="39"/>
      <c r="AK584" s="39"/>
      <c r="AQ584" s="139"/>
      <c r="AR584" s="139"/>
      <c r="AS584" s="139"/>
      <c r="AT584" s="139"/>
      <c r="AU584" s="139"/>
    </row>
    <row r="585" spans="1:47" ht="15" customHeight="1" x14ac:dyDescent="0.4">
      <c r="C585" s="4"/>
      <c r="D585" s="155"/>
      <c r="E585" s="155"/>
      <c r="F585" s="155"/>
      <c r="G585" s="155"/>
      <c r="O585" s="5">
        <f t="shared" si="36"/>
        <v>2.016</v>
      </c>
      <c r="Q585" s="439" t="s">
        <v>535</v>
      </c>
      <c r="R585" s="440" t="s">
        <v>352</v>
      </c>
      <c r="S585" s="376">
        <f t="shared" si="38"/>
        <v>48</v>
      </c>
      <c r="T585" s="3" t="s">
        <v>366</v>
      </c>
      <c r="V585" s="4"/>
      <c r="W585" s="4"/>
      <c r="X585" s="4"/>
      <c r="Y585" s="1454">
        <v>250013000012</v>
      </c>
      <c r="Z585" s="441"/>
      <c r="AA585" s="20"/>
      <c r="AB585" s="3">
        <v>42</v>
      </c>
      <c r="AC585" s="3">
        <v>2</v>
      </c>
      <c r="AD585" s="5">
        <f t="shared" si="37"/>
        <v>8</v>
      </c>
      <c r="AE585" s="3" t="s">
        <v>367</v>
      </c>
      <c r="AF585" s="38"/>
      <c r="AG585" s="3"/>
      <c r="AH585" s="39"/>
      <c r="AI585" s="39"/>
      <c r="AJ585" s="39"/>
      <c r="AK585" s="39"/>
      <c r="AQ585" s="139"/>
      <c r="AR585" s="139"/>
      <c r="AS585" s="139"/>
      <c r="AT585" s="139"/>
      <c r="AU585" s="139"/>
    </row>
    <row r="586" spans="1:47" ht="15" customHeight="1" x14ac:dyDescent="0.4">
      <c r="C586" s="4"/>
      <c r="D586" s="155"/>
      <c r="E586" s="155"/>
      <c r="F586" s="155"/>
      <c r="G586" s="155"/>
      <c r="O586" s="5">
        <f t="shared" si="36"/>
        <v>2.1419999999999999</v>
      </c>
      <c r="Q586" s="439" t="s">
        <v>536</v>
      </c>
      <c r="R586" s="440" t="s">
        <v>352</v>
      </c>
      <c r="S586" s="376">
        <f t="shared" si="38"/>
        <v>51</v>
      </c>
      <c r="T586" s="3" t="s">
        <v>366</v>
      </c>
      <c r="V586" s="4"/>
      <c r="W586" s="4"/>
      <c r="X586" s="4"/>
      <c r="Y586" s="1454">
        <v>250013000013</v>
      </c>
      <c r="Z586" s="441"/>
      <c r="AA586" s="20"/>
      <c r="AB586" s="3">
        <v>42</v>
      </c>
      <c r="AC586" s="3">
        <v>2</v>
      </c>
      <c r="AD586" s="5">
        <f t="shared" si="37"/>
        <v>8.5</v>
      </c>
      <c r="AE586" s="3" t="s">
        <v>367</v>
      </c>
      <c r="AF586" s="38"/>
      <c r="AG586" s="3"/>
      <c r="AH586" s="39"/>
      <c r="AI586" s="39"/>
      <c r="AJ586" s="39"/>
      <c r="AK586" s="39"/>
      <c r="AQ586" s="139"/>
      <c r="AR586" s="139"/>
      <c r="AS586" s="139"/>
      <c r="AT586" s="139"/>
      <c r="AU586" s="139"/>
    </row>
    <row r="587" spans="1:47" ht="15" customHeight="1" x14ac:dyDescent="0.4">
      <c r="C587" s="4"/>
      <c r="D587" s="155"/>
      <c r="E587" s="155"/>
      <c r="F587" s="155"/>
      <c r="G587" s="155"/>
      <c r="O587" s="5">
        <f t="shared" si="36"/>
        <v>2.2679999999999998</v>
      </c>
      <c r="Q587" s="439" t="s">
        <v>537</v>
      </c>
      <c r="R587" s="440" t="s">
        <v>352</v>
      </c>
      <c r="S587" s="376">
        <f t="shared" si="38"/>
        <v>54</v>
      </c>
      <c r="T587" s="3" t="s">
        <v>366</v>
      </c>
      <c r="V587" s="4"/>
      <c r="W587" s="4"/>
      <c r="X587" s="4"/>
      <c r="Y587" s="1454">
        <v>250013000014</v>
      </c>
      <c r="Z587" s="441"/>
      <c r="AA587" s="20"/>
      <c r="AB587" s="3">
        <v>42</v>
      </c>
      <c r="AC587" s="3">
        <v>2</v>
      </c>
      <c r="AD587" s="5">
        <f t="shared" si="37"/>
        <v>9</v>
      </c>
      <c r="AE587" s="3" t="s">
        <v>367</v>
      </c>
      <c r="AF587" s="38"/>
      <c r="AG587" s="3"/>
      <c r="AH587" s="39"/>
      <c r="AI587" s="39"/>
      <c r="AJ587" s="39"/>
      <c r="AK587" s="39"/>
      <c r="AQ587" s="139"/>
      <c r="AR587" s="139"/>
      <c r="AS587" s="139"/>
      <c r="AT587" s="139"/>
      <c r="AU587" s="139"/>
    </row>
    <row r="588" spans="1:47" ht="15" customHeight="1" x14ac:dyDescent="0.4">
      <c r="C588" s="4"/>
      <c r="D588" s="155"/>
      <c r="E588" s="155"/>
      <c r="F588" s="155"/>
      <c r="G588" s="155"/>
      <c r="O588" s="5">
        <f t="shared" si="36"/>
        <v>2.3940000000000001</v>
      </c>
      <c r="Q588" s="439" t="s">
        <v>371</v>
      </c>
      <c r="R588" s="440" t="s">
        <v>352</v>
      </c>
      <c r="S588" s="376">
        <f t="shared" si="38"/>
        <v>57</v>
      </c>
      <c r="T588" s="3" t="s">
        <v>366</v>
      </c>
      <c r="V588" s="4"/>
      <c r="W588" s="4"/>
      <c r="X588" s="4"/>
      <c r="Y588" s="1454">
        <v>250013000015</v>
      </c>
      <c r="Z588" s="441"/>
      <c r="AA588" s="20"/>
      <c r="AB588" s="3">
        <v>42</v>
      </c>
      <c r="AC588" s="3">
        <v>2</v>
      </c>
      <c r="AD588" s="5">
        <f t="shared" si="37"/>
        <v>9.5</v>
      </c>
      <c r="AE588" s="3" t="s">
        <v>367</v>
      </c>
      <c r="AF588" s="38"/>
      <c r="AG588" s="3"/>
      <c r="AH588" s="39"/>
      <c r="AI588" s="39"/>
      <c r="AJ588" s="39"/>
      <c r="AK588" s="39"/>
      <c r="AQ588" s="139"/>
      <c r="AR588" s="139"/>
      <c r="AS588" s="139"/>
      <c r="AT588" s="139"/>
      <c r="AU588" s="139"/>
    </row>
    <row r="589" spans="1:47" ht="15" customHeight="1" x14ac:dyDescent="0.4">
      <c r="C589" s="4"/>
      <c r="D589" s="155"/>
      <c r="E589" s="155"/>
      <c r="F589" s="155"/>
      <c r="G589" s="155"/>
      <c r="O589" s="5">
        <f t="shared" si="36"/>
        <v>2.52</v>
      </c>
      <c r="Q589" s="439" t="s">
        <v>538</v>
      </c>
      <c r="R589" s="440" t="s">
        <v>352</v>
      </c>
      <c r="S589" s="376">
        <f t="shared" si="38"/>
        <v>60</v>
      </c>
      <c r="T589" s="3" t="s">
        <v>366</v>
      </c>
      <c r="V589" s="4"/>
      <c r="W589" s="4"/>
      <c r="X589" s="4"/>
      <c r="Y589" s="1454">
        <v>250013000016</v>
      </c>
      <c r="Z589" s="441"/>
      <c r="AA589" s="20"/>
      <c r="AB589" s="3">
        <v>42</v>
      </c>
      <c r="AC589" s="3">
        <v>2</v>
      </c>
      <c r="AD589" s="5">
        <f t="shared" si="37"/>
        <v>10</v>
      </c>
      <c r="AE589" s="3" t="s">
        <v>367</v>
      </c>
      <c r="AF589" s="38"/>
      <c r="AG589" s="3"/>
      <c r="AH589" s="39"/>
      <c r="AI589" s="39"/>
      <c r="AJ589" s="39"/>
      <c r="AK589" s="39"/>
      <c r="AQ589" s="139"/>
      <c r="AR589" s="139"/>
      <c r="AS589" s="139"/>
      <c r="AT589" s="139"/>
      <c r="AU589" s="139"/>
    </row>
    <row r="590" spans="1:47" ht="15" customHeight="1" x14ac:dyDescent="0.4">
      <c r="C590" s="4"/>
      <c r="D590" s="155"/>
      <c r="E590" s="155"/>
      <c r="F590" s="155"/>
      <c r="G590" s="155"/>
      <c r="O590" s="5">
        <f t="shared" si="36"/>
        <v>2.6459999999999999</v>
      </c>
      <c r="Q590" s="439" t="s">
        <v>539</v>
      </c>
      <c r="R590" s="440" t="s">
        <v>352</v>
      </c>
      <c r="S590" s="376">
        <f t="shared" si="38"/>
        <v>63</v>
      </c>
      <c r="T590" s="3" t="s">
        <v>366</v>
      </c>
      <c r="V590" s="4"/>
      <c r="W590" s="4"/>
      <c r="X590" s="4"/>
      <c r="Y590" s="1454">
        <v>250013000017</v>
      </c>
      <c r="Z590" s="441"/>
      <c r="AA590" s="20"/>
      <c r="AB590" s="3">
        <v>42</v>
      </c>
      <c r="AC590" s="3">
        <v>2</v>
      </c>
      <c r="AD590" s="5">
        <f t="shared" si="37"/>
        <v>10.5</v>
      </c>
      <c r="AE590" s="3" t="s">
        <v>367</v>
      </c>
      <c r="AF590" s="38"/>
      <c r="AG590" s="3"/>
      <c r="AH590" s="39"/>
      <c r="AI590" s="39"/>
      <c r="AJ590" s="39"/>
      <c r="AK590" s="39"/>
      <c r="AQ590" s="139"/>
      <c r="AR590" s="139"/>
      <c r="AS590" s="139"/>
      <c r="AT590" s="139"/>
      <c r="AU590" s="139"/>
    </row>
    <row r="591" spans="1:47" ht="15" customHeight="1" thickBot="1" x14ac:dyDescent="0.45">
      <c r="B591" s="968"/>
      <c r="C591" s="968"/>
      <c r="D591" s="925"/>
      <c r="E591" s="925"/>
      <c r="F591" s="925"/>
      <c r="G591" s="925"/>
      <c r="H591" s="948"/>
      <c r="I591" s="889"/>
      <c r="J591" s="889"/>
      <c r="K591" s="889"/>
      <c r="L591" s="889"/>
      <c r="M591" s="945"/>
      <c r="N591" s="945"/>
      <c r="O591" s="945">
        <f t="shared" si="36"/>
        <v>2.7720000000000002</v>
      </c>
      <c r="P591" s="945"/>
      <c r="Q591" s="1192" t="s">
        <v>540</v>
      </c>
      <c r="R591" s="1005" t="s">
        <v>352</v>
      </c>
      <c r="S591" s="970">
        <f t="shared" si="38"/>
        <v>66</v>
      </c>
      <c r="T591" s="889" t="s">
        <v>366</v>
      </c>
      <c r="U591" s="948"/>
      <c r="V591" s="968"/>
      <c r="W591" s="968"/>
      <c r="X591" s="968"/>
      <c r="Y591" s="1461">
        <v>250013000018</v>
      </c>
      <c r="Z591" s="1006"/>
      <c r="AA591" s="887"/>
      <c r="AB591" s="889">
        <v>42</v>
      </c>
      <c r="AC591" s="889">
        <v>2</v>
      </c>
      <c r="AD591" s="945">
        <f t="shared" si="37"/>
        <v>11</v>
      </c>
      <c r="AE591" s="889" t="s">
        <v>367</v>
      </c>
      <c r="AF591" s="889"/>
      <c r="AG591" s="889"/>
      <c r="AH591" s="947"/>
      <c r="AI591" s="947"/>
      <c r="AJ591" s="947"/>
      <c r="AK591" s="947"/>
      <c r="AL591" s="947"/>
      <c r="AQ591" s="139"/>
      <c r="AR591" s="139"/>
      <c r="AS591" s="139"/>
      <c r="AT591" s="139"/>
      <c r="AU591" s="139"/>
    </row>
    <row r="592" spans="1:47" ht="15" customHeight="1" x14ac:dyDescent="0.4">
      <c r="A592" s="3" t="s">
        <v>879</v>
      </c>
      <c r="B592" s="641" t="s">
        <v>880</v>
      </c>
      <c r="C592" s="642"/>
      <c r="D592" s="642"/>
      <c r="E592" s="642"/>
      <c r="F592" s="642"/>
      <c r="G592" s="642"/>
      <c r="H592" s="643"/>
      <c r="I592" s="643"/>
      <c r="J592" s="643"/>
      <c r="K592" s="643"/>
      <c r="L592" s="643"/>
      <c r="M592" s="644"/>
      <c r="N592" s="644"/>
      <c r="O592" s="644"/>
      <c r="P592" s="644"/>
      <c r="Q592" s="644"/>
      <c r="R592" s="643"/>
      <c r="S592" s="644"/>
      <c r="T592" s="643"/>
      <c r="U592" s="643"/>
      <c r="V592" s="642"/>
      <c r="W592" s="642"/>
      <c r="X592" s="642"/>
      <c r="Y592" s="645"/>
      <c r="Z592" s="645"/>
      <c r="AA592" s="643"/>
      <c r="AB592" s="645"/>
      <c r="AC592" s="643"/>
      <c r="AD592" s="644"/>
      <c r="AE592" s="643"/>
      <c r="AF592" s="643"/>
      <c r="AG592" s="643"/>
      <c r="AH592" s="647"/>
      <c r="AI592" s="647"/>
      <c r="AJ592" s="647"/>
      <c r="AK592" s="647"/>
      <c r="AL592" s="647"/>
      <c r="AM592" s="647"/>
      <c r="AN592" s="647"/>
      <c r="AO592" s="647"/>
      <c r="AP592" s="647"/>
      <c r="AQ592" s="647"/>
      <c r="AR592" s="139"/>
      <c r="AS592" s="139"/>
      <c r="AT592" s="139"/>
    </row>
    <row r="593" spans="1:47" ht="11.4" x14ac:dyDescent="0.4">
      <c r="B593" s="4" t="s">
        <v>1278</v>
      </c>
      <c r="C593" s="3"/>
      <c r="G593" s="3"/>
      <c r="I593" s="3" t="s">
        <v>365</v>
      </c>
      <c r="L593" s="5" t="s">
        <v>348</v>
      </c>
      <c r="M593" s="5">
        <v>-2</v>
      </c>
      <c r="Q593" s="3"/>
      <c r="R593" s="5" t="s">
        <v>352</v>
      </c>
      <c r="S593" s="5">
        <f>SLEQheight+M593</f>
        <v>45.5</v>
      </c>
      <c r="T593" s="3" t="s">
        <v>366</v>
      </c>
      <c r="V593" s="4"/>
      <c r="W593" s="4"/>
      <c r="X593" s="56"/>
      <c r="Y593" s="1443">
        <v>640019000</v>
      </c>
      <c r="AB593" s="3">
        <v>42</v>
      </c>
      <c r="AC593" s="56">
        <v>2</v>
      </c>
      <c r="AD593" s="376">
        <f>AC593*S593/12</f>
        <v>7.583333333333333</v>
      </c>
      <c r="AE593" s="3" t="s">
        <v>367</v>
      </c>
      <c r="AF593" s="38"/>
      <c r="AG593" s="38"/>
      <c r="AH593" s="477">
        <v>0</v>
      </c>
      <c r="AI593" s="39"/>
      <c r="AJ593" s="39"/>
      <c r="AK593" s="39"/>
      <c r="AL593" s="39">
        <f>AH593*AD593</f>
        <v>0</v>
      </c>
      <c r="AQ593" s="139"/>
      <c r="AR593" s="139"/>
      <c r="AS593" s="139"/>
      <c r="AT593" s="139"/>
    </row>
    <row r="594" spans="1:47" ht="11.4" x14ac:dyDescent="0.4">
      <c r="C594" s="3"/>
      <c r="G594" s="3"/>
      <c r="L594" s="5"/>
      <c r="Q594" s="3"/>
      <c r="R594" s="5"/>
      <c r="V594" s="4"/>
      <c r="W594" s="4"/>
      <c r="X594" s="56"/>
      <c r="Y594" s="1443"/>
      <c r="AC594" s="56"/>
      <c r="AD594" s="376"/>
      <c r="AE594" s="3"/>
      <c r="AF594" s="38"/>
      <c r="AG594" s="38"/>
      <c r="AH594" s="477"/>
      <c r="AI594" s="39"/>
      <c r="AJ594" s="39"/>
      <c r="AK594" s="39"/>
      <c r="AQ594" s="139"/>
      <c r="AR594" s="139"/>
      <c r="AS594" s="139"/>
      <c r="AT594" s="139"/>
    </row>
    <row r="595" spans="1:47" ht="11.4" x14ac:dyDescent="0.4">
      <c r="C595" s="3"/>
      <c r="G595" s="3"/>
      <c r="L595" s="5"/>
      <c r="Q595" s="3"/>
      <c r="R595" s="5"/>
      <c r="V595" s="4"/>
      <c r="W595" s="4"/>
      <c r="X595" s="56"/>
      <c r="Y595" s="1443"/>
      <c r="AC595" s="56"/>
      <c r="AD595" s="376"/>
      <c r="AE595" s="3"/>
      <c r="AF595" s="38"/>
      <c r="AG595" s="38"/>
      <c r="AH595" s="477"/>
      <c r="AI595" s="39"/>
      <c r="AJ595" s="39"/>
      <c r="AK595" s="39"/>
      <c r="AQ595" s="139"/>
      <c r="AR595" s="139"/>
      <c r="AS595" s="139"/>
      <c r="AT595" s="139"/>
    </row>
    <row r="596" spans="1:47" ht="12" thickBot="1" x14ac:dyDescent="0.45">
      <c r="B596" s="968"/>
      <c r="C596" s="889"/>
      <c r="D596" s="968"/>
      <c r="E596" s="968"/>
      <c r="F596" s="968"/>
      <c r="G596" s="889"/>
      <c r="H596" s="948"/>
      <c r="I596" s="889"/>
      <c r="J596" s="889"/>
      <c r="K596" s="889"/>
      <c r="L596" s="945"/>
      <c r="M596" s="945"/>
      <c r="N596" s="945"/>
      <c r="O596" s="945"/>
      <c r="P596" s="945"/>
      <c r="Q596" s="889"/>
      <c r="R596" s="945"/>
      <c r="S596" s="945"/>
      <c r="T596" s="889"/>
      <c r="U596" s="948"/>
      <c r="V596" s="968"/>
      <c r="W596" s="968"/>
      <c r="X596" s="1156"/>
      <c r="Y596" s="1444"/>
      <c r="Z596" s="889"/>
      <c r="AA596" s="948"/>
      <c r="AB596" s="889"/>
      <c r="AC596" s="1156"/>
      <c r="AD596" s="970"/>
      <c r="AE596" s="889"/>
      <c r="AF596" s="888"/>
      <c r="AG596" s="888"/>
      <c r="AH596" s="1157"/>
      <c r="AI596" s="947"/>
      <c r="AJ596" s="947"/>
      <c r="AK596" s="947"/>
      <c r="AL596" s="947"/>
      <c r="AM596" s="947"/>
      <c r="AN596" s="947"/>
      <c r="AO596" s="947"/>
      <c r="AP596" s="947"/>
      <c r="AQ596" s="947"/>
      <c r="AR596" s="139"/>
      <c r="AS596" s="139"/>
      <c r="AT596" s="139"/>
    </row>
    <row r="597" spans="1:47" ht="15" customHeight="1" x14ac:dyDescent="0.4">
      <c r="B597" s="4" t="s">
        <v>1279</v>
      </c>
      <c r="C597" s="3"/>
      <c r="G597" s="3"/>
      <c r="I597" s="3" t="s">
        <v>365</v>
      </c>
      <c r="J597" s="38"/>
      <c r="L597" s="5" t="s">
        <v>348</v>
      </c>
      <c r="M597" s="5">
        <v>-2</v>
      </c>
      <c r="Q597" s="3"/>
      <c r="R597" s="5" t="s">
        <v>352</v>
      </c>
      <c r="S597" s="5">
        <f>SLEQheight+M597</f>
        <v>45.5</v>
      </c>
      <c r="T597" s="3" t="s">
        <v>366</v>
      </c>
      <c r="V597" s="4"/>
      <c r="W597" s="4"/>
      <c r="X597" s="56"/>
      <c r="Y597" s="1443">
        <v>640020000</v>
      </c>
      <c r="AB597" s="3">
        <v>42</v>
      </c>
      <c r="AC597" s="56">
        <v>2</v>
      </c>
      <c r="AD597" s="376">
        <f>AC597*S597/12</f>
        <v>7.583333333333333</v>
      </c>
      <c r="AE597" s="3" t="s">
        <v>367</v>
      </c>
      <c r="AF597" s="38"/>
      <c r="AG597" s="38"/>
      <c r="AH597" s="477">
        <v>0</v>
      </c>
      <c r="AI597" s="39"/>
      <c r="AJ597" s="39"/>
      <c r="AK597" s="39"/>
      <c r="AL597" s="39">
        <f>AH597*AD597</f>
        <v>0</v>
      </c>
      <c r="AQ597" s="139"/>
      <c r="AR597" s="139"/>
      <c r="AS597" s="139"/>
      <c r="AT597" s="139"/>
    </row>
    <row r="598" spans="1:47" ht="15" customHeight="1" x14ac:dyDescent="0.4">
      <c r="C598" s="3"/>
      <c r="G598" s="3"/>
      <c r="J598" s="38"/>
      <c r="L598" s="5"/>
      <c r="Q598" s="3"/>
      <c r="R598" s="5"/>
      <c r="V598" s="4"/>
      <c r="W598" s="4"/>
      <c r="X598" s="56"/>
      <c r="Y598" s="1443"/>
      <c r="AC598" s="56"/>
      <c r="AD598" s="376"/>
      <c r="AE598" s="3"/>
      <c r="AF598" s="38"/>
      <c r="AG598" s="38"/>
      <c r="AH598" s="477"/>
      <c r="AI598" s="39"/>
      <c r="AJ598" s="39"/>
      <c r="AK598" s="39"/>
      <c r="AQ598" s="139"/>
      <c r="AR598" s="139"/>
      <c r="AS598" s="139"/>
      <c r="AT598" s="139"/>
    </row>
    <row r="599" spans="1:47" ht="15" customHeight="1" x14ac:dyDescent="0.4">
      <c r="B599" s="4" t="s">
        <v>1280</v>
      </c>
      <c r="C599" s="3"/>
      <c r="G599" s="3"/>
      <c r="I599" s="3" t="s">
        <v>392</v>
      </c>
      <c r="J599" s="38" t="s">
        <v>346</v>
      </c>
      <c r="K599" s="3">
        <v>3</v>
      </c>
      <c r="L599" s="5" t="s">
        <v>348</v>
      </c>
      <c r="M599" s="5">
        <v>-2</v>
      </c>
      <c r="P599" s="3" t="s">
        <v>348</v>
      </c>
      <c r="Q599" s="5" t="s">
        <v>2315</v>
      </c>
      <c r="R599" s="5" t="s">
        <v>352</v>
      </c>
      <c r="S599" s="5">
        <f>SLEQwidth/K599+M599+SLEQSORnd</f>
        <v>21.833333333333332</v>
      </c>
      <c r="T599" s="3" t="s">
        <v>366</v>
      </c>
      <c r="V599" s="4"/>
      <c r="W599" s="4"/>
      <c r="X599" s="56"/>
      <c r="Y599" s="1443">
        <v>640020000</v>
      </c>
      <c r="AB599" s="3">
        <v>42</v>
      </c>
      <c r="AC599" s="56">
        <v>4</v>
      </c>
      <c r="AD599" s="376">
        <f>AC599*S599/12</f>
        <v>7.2777777777777777</v>
      </c>
      <c r="AE599" s="3" t="s">
        <v>367</v>
      </c>
      <c r="AF599" s="38"/>
      <c r="AG599" s="38"/>
      <c r="AH599" s="477">
        <v>0</v>
      </c>
      <c r="AI599" s="39"/>
      <c r="AJ599" s="39"/>
      <c r="AK599" s="39"/>
      <c r="AL599" s="39">
        <f>AH599*AD599</f>
        <v>0</v>
      </c>
      <c r="AQ599" s="139"/>
      <c r="AR599" s="139"/>
      <c r="AS599" s="139"/>
      <c r="AT599" s="139"/>
    </row>
    <row r="600" spans="1:47" ht="15" customHeight="1" thickBot="1" x14ac:dyDescent="0.45">
      <c r="B600" s="889"/>
      <c r="C600" s="968"/>
      <c r="D600" s="968"/>
      <c r="E600" s="968"/>
      <c r="F600" s="968"/>
      <c r="G600" s="889"/>
      <c r="H600" s="948"/>
      <c r="I600" s="889"/>
      <c r="J600" s="888"/>
      <c r="K600" s="889"/>
      <c r="L600" s="945"/>
      <c r="M600" s="945"/>
      <c r="N600" s="945"/>
      <c r="O600" s="945"/>
      <c r="P600" s="889"/>
      <c r="Q600" s="889"/>
      <c r="R600" s="945"/>
      <c r="S600" s="945"/>
      <c r="T600" s="889"/>
      <c r="U600" s="948"/>
      <c r="V600" s="968"/>
      <c r="W600" s="968"/>
      <c r="X600" s="1156"/>
      <c r="Y600" s="1444"/>
      <c r="Z600" s="889"/>
      <c r="AA600" s="948"/>
      <c r="AB600" s="889"/>
      <c r="AC600" s="1156"/>
      <c r="AD600" s="970"/>
      <c r="AE600" s="889"/>
      <c r="AF600" s="888"/>
      <c r="AG600" s="888"/>
      <c r="AH600" s="1157"/>
      <c r="AI600" s="947"/>
      <c r="AJ600" s="947"/>
      <c r="AK600" s="947"/>
      <c r="AL600" s="947"/>
      <c r="AQ600" s="139"/>
      <c r="AR600" s="139"/>
      <c r="AS600" s="139"/>
      <c r="AT600" s="139"/>
    </row>
    <row r="601" spans="1:47" ht="15" customHeight="1" thickBot="1" x14ac:dyDescent="0.45">
      <c r="B601" s="652" t="s">
        <v>549</v>
      </c>
      <c r="C601" s="653"/>
      <c r="D601" s="653"/>
      <c r="E601" s="653"/>
      <c r="F601" s="653"/>
      <c r="G601" s="653"/>
      <c r="H601" s="654"/>
      <c r="I601" s="654"/>
      <c r="J601" s="654"/>
      <c r="K601" s="654"/>
      <c r="L601" s="654"/>
      <c r="M601" s="655"/>
      <c r="N601" s="655"/>
      <c r="O601" s="655"/>
      <c r="P601" s="655"/>
      <c r="Q601" s="655"/>
      <c r="R601" s="654"/>
      <c r="S601" s="655"/>
      <c r="T601" s="654"/>
      <c r="U601" s="654"/>
      <c r="V601" s="653"/>
      <c r="W601" s="653"/>
      <c r="X601" s="653"/>
      <c r="Y601" s="1515"/>
      <c r="Z601" s="656"/>
      <c r="AA601" s="654"/>
      <c r="AB601" s="656"/>
      <c r="AC601" s="654"/>
      <c r="AD601" s="655"/>
      <c r="AE601" s="654"/>
      <c r="AF601" s="654"/>
      <c r="AG601" s="654"/>
      <c r="AH601" s="658"/>
      <c r="AI601" s="658"/>
      <c r="AJ601" s="658"/>
      <c r="AK601" s="658"/>
      <c r="AL601" s="658"/>
      <c r="AM601" s="658"/>
      <c r="AN601" s="658"/>
      <c r="AO601" s="658"/>
      <c r="AP601" s="658"/>
      <c r="AQ601" s="658"/>
      <c r="AR601" s="139"/>
      <c r="AS601" s="139"/>
      <c r="AT601" s="139"/>
      <c r="AU601" s="139"/>
    </row>
    <row r="602" spans="1:47" ht="15" customHeight="1" thickBot="1" x14ac:dyDescent="0.45">
      <c r="B602" s="173" t="s">
        <v>897</v>
      </c>
      <c r="C602" s="7"/>
      <c r="D602" s="7"/>
      <c r="E602" s="7"/>
      <c r="F602" s="7"/>
      <c r="G602" s="7"/>
      <c r="R602" s="506"/>
      <c r="S602" s="507"/>
      <c r="T602" s="508"/>
      <c r="V602" s="38"/>
      <c r="X602" s="38"/>
      <c r="Y602" s="1443"/>
      <c r="Z602" s="41"/>
      <c r="AB602" s="136"/>
      <c r="AC602" s="136"/>
      <c r="AD602" s="507"/>
      <c r="AE602" s="136"/>
      <c r="AF602" s="38"/>
      <c r="AG602" s="38"/>
      <c r="AH602" s="477"/>
      <c r="AI602" s="947"/>
      <c r="AJ602" s="947"/>
      <c r="AK602" s="947"/>
      <c r="AM602" s="39"/>
      <c r="AN602" s="39"/>
      <c r="AO602" s="39"/>
      <c r="AP602" s="39"/>
      <c r="AQ602" s="39"/>
      <c r="AR602" s="139"/>
      <c r="AS602" s="139"/>
      <c r="AT602" s="139"/>
      <c r="AU602" s="139"/>
    </row>
    <row r="603" spans="1:47" ht="15" customHeight="1" x14ac:dyDescent="0.4">
      <c r="A603" s="3" t="s">
        <v>898</v>
      </c>
      <c r="B603" s="3"/>
      <c r="C603" s="173" t="s">
        <v>899</v>
      </c>
      <c r="D603" s="138"/>
      <c r="E603" s="173"/>
      <c r="F603" s="138"/>
      <c r="G603" s="173"/>
      <c r="H603" s="193"/>
      <c r="I603" s="448" t="s">
        <v>461</v>
      </c>
      <c r="J603" s="116"/>
      <c r="K603" s="116" t="s">
        <v>365</v>
      </c>
      <c r="L603" s="116" t="s">
        <v>465</v>
      </c>
      <c r="M603" s="178">
        <v>25</v>
      </c>
      <c r="N603" s="177"/>
      <c r="O603" s="177"/>
      <c r="P603" s="177"/>
      <c r="Q603" s="177"/>
      <c r="R603" s="3" t="s">
        <v>352</v>
      </c>
      <c r="S603" s="56">
        <v>1</v>
      </c>
      <c r="T603" s="3" t="s">
        <v>385</v>
      </c>
      <c r="U603" s="193"/>
      <c r="V603" s="138"/>
      <c r="W603" s="138"/>
      <c r="X603" s="138"/>
      <c r="Y603" s="1449"/>
      <c r="Z603" s="116"/>
      <c r="AA603" s="193"/>
      <c r="AB603" s="3">
        <v>45</v>
      </c>
      <c r="AC603" s="56">
        <f>IF(SLEQheight&lt;M603,2,4)</f>
        <v>4</v>
      </c>
      <c r="AD603" s="198">
        <f>AC603</f>
        <v>4</v>
      </c>
      <c r="AE603" s="3" t="s">
        <v>385</v>
      </c>
      <c r="AF603" s="179"/>
      <c r="AG603" s="179"/>
      <c r="AH603" s="180"/>
      <c r="AI603" s="39"/>
      <c r="AJ603" s="39"/>
      <c r="AK603" s="39"/>
      <c r="AL603" s="180"/>
      <c r="AM603" s="180"/>
      <c r="AN603" s="180"/>
      <c r="AO603" s="180"/>
      <c r="AP603" s="180"/>
      <c r="AQ603" s="180"/>
      <c r="AR603" s="139"/>
      <c r="AS603" s="139"/>
      <c r="AT603" s="139"/>
      <c r="AU603" s="139"/>
    </row>
    <row r="604" spans="1:47" ht="15" customHeight="1" x14ac:dyDescent="0.4">
      <c r="B604" s="7"/>
      <c r="C604" s="4"/>
      <c r="E604" s="7"/>
      <c r="G604" s="7"/>
      <c r="I604" s="36" t="s">
        <v>464</v>
      </c>
      <c r="J604" s="38"/>
      <c r="K604" s="3" t="s">
        <v>365</v>
      </c>
      <c r="L604" s="3" t="s">
        <v>463</v>
      </c>
      <c r="M604" s="5">
        <f>M603</f>
        <v>25</v>
      </c>
      <c r="R604" s="3" t="s">
        <v>352</v>
      </c>
      <c r="S604" s="56">
        <v>2</v>
      </c>
      <c r="T604" s="3" t="s">
        <v>385</v>
      </c>
      <c r="V604" s="38" t="s">
        <v>369</v>
      </c>
      <c r="W604" s="3" t="s">
        <v>370</v>
      </c>
      <c r="X604" s="38" t="s">
        <v>369</v>
      </c>
      <c r="Y604" s="1443">
        <v>420126003</v>
      </c>
      <c r="Z604" s="41"/>
      <c r="AF604" s="38"/>
      <c r="AG604" s="38"/>
      <c r="AH604" s="39">
        <v>0.24</v>
      </c>
      <c r="AI604" s="39"/>
      <c r="AJ604" s="39"/>
      <c r="AK604" s="39"/>
      <c r="AL604" s="39">
        <f>AH604*AD603</f>
        <v>0.96</v>
      </c>
      <c r="AQ604" s="139"/>
      <c r="AR604" s="139"/>
      <c r="AS604" s="139"/>
      <c r="AT604" s="139"/>
      <c r="AU604" s="139"/>
    </row>
    <row r="605" spans="1:47" ht="15" customHeight="1" x14ac:dyDescent="0.4">
      <c r="B605" s="36"/>
      <c r="C605" s="36"/>
      <c r="D605" s="36"/>
      <c r="E605" s="7"/>
      <c r="F605" s="36"/>
      <c r="G605" s="7"/>
      <c r="V605" s="38" t="s">
        <v>369</v>
      </c>
      <c r="W605" s="3" t="s">
        <v>372</v>
      </c>
      <c r="X605" s="38" t="s">
        <v>369</v>
      </c>
      <c r="Y605" s="1443">
        <v>420126021</v>
      </c>
      <c r="Z605" s="41"/>
      <c r="AD605" s="56"/>
      <c r="AE605" s="3"/>
      <c r="AF605" s="38"/>
      <c r="AG605" s="38"/>
      <c r="AH605" s="39">
        <v>0.24</v>
      </c>
      <c r="AI605" s="39"/>
      <c r="AJ605" s="39"/>
      <c r="AK605" s="39"/>
      <c r="AL605" s="39">
        <f>AH605*AD603</f>
        <v>0.96</v>
      </c>
      <c r="AQ605" s="139"/>
      <c r="AR605" s="139"/>
      <c r="AS605" s="139"/>
      <c r="AT605" s="139"/>
      <c r="AU605" s="139"/>
    </row>
    <row r="606" spans="1:47" ht="15" customHeight="1" x14ac:dyDescent="0.4">
      <c r="B606" s="36"/>
      <c r="C606" s="36"/>
      <c r="D606" s="36"/>
      <c r="E606" s="7"/>
      <c r="F606" s="36"/>
      <c r="G606" s="7"/>
      <c r="J606" s="38"/>
      <c r="V606" s="38" t="s">
        <v>369</v>
      </c>
      <c r="W606" s="3" t="s">
        <v>373</v>
      </c>
      <c r="X606" s="38" t="s">
        <v>369</v>
      </c>
      <c r="Y606" s="1443">
        <v>420126033</v>
      </c>
      <c r="Z606" s="41"/>
      <c r="AD606" s="56"/>
      <c r="AE606" s="3"/>
      <c r="AF606" s="38"/>
      <c r="AG606" s="38"/>
      <c r="AH606" s="39">
        <v>0.24</v>
      </c>
      <c r="AI606" s="39"/>
      <c r="AJ606" s="39"/>
      <c r="AK606" s="39"/>
      <c r="AL606" s="39">
        <f>AH606*AD603</f>
        <v>0.96</v>
      </c>
      <c r="AQ606" s="139"/>
      <c r="AR606" s="139"/>
      <c r="AS606" s="139"/>
      <c r="AT606" s="139"/>
      <c r="AU606" s="139"/>
    </row>
    <row r="607" spans="1:47" ht="15" customHeight="1" thickBot="1" x14ac:dyDescent="0.45">
      <c r="B607" s="36"/>
      <c r="C607" s="943"/>
      <c r="D607" s="943"/>
      <c r="E607" s="924"/>
      <c r="F607" s="943"/>
      <c r="G607" s="924"/>
      <c r="H607" s="948"/>
      <c r="I607" s="889"/>
      <c r="J607" s="889"/>
      <c r="K607" s="889"/>
      <c r="L607" s="889"/>
      <c r="M607" s="945"/>
      <c r="N607" s="945"/>
      <c r="O607" s="945"/>
      <c r="P607" s="945"/>
      <c r="Q607" s="945"/>
      <c r="R607" s="889"/>
      <c r="S607" s="1156"/>
      <c r="T607" s="889"/>
      <c r="U607" s="948"/>
      <c r="V607" s="888" t="s">
        <v>369</v>
      </c>
      <c r="W607" s="889" t="s">
        <v>375</v>
      </c>
      <c r="X607" s="888" t="s">
        <v>369</v>
      </c>
      <c r="Y607" s="1444">
        <v>420126133</v>
      </c>
      <c r="Z607" s="889"/>
      <c r="AA607" s="948"/>
      <c r="AB607" s="889"/>
      <c r="AC607" s="889"/>
      <c r="AD607" s="945"/>
      <c r="AE607" s="945"/>
      <c r="AF607" s="945"/>
      <c r="AG607" s="945"/>
      <c r="AH607" s="937"/>
      <c r="AI607" s="947"/>
      <c r="AJ607" s="947"/>
      <c r="AK607" s="947"/>
      <c r="AL607" s="947"/>
      <c r="AM607" s="889"/>
      <c r="AN607" s="889"/>
      <c r="AO607" s="889"/>
      <c r="AP607" s="889"/>
      <c r="AQ607" s="1163"/>
      <c r="AR607" s="139"/>
      <c r="AS607" s="139"/>
      <c r="AT607" s="139"/>
      <c r="AU607" s="139"/>
    </row>
    <row r="608" spans="1:47" ht="15" customHeight="1" x14ac:dyDescent="0.4">
      <c r="B608" s="3"/>
      <c r="C608" s="476" t="s">
        <v>1281</v>
      </c>
      <c r="D608" s="116"/>
      <c r="E608" s="173"/>
      <c r="F608" s="116"/>
      <c r="G608" s="173"/>
      <c r="H608" s="193"/>
      <c r="I608" s="114" t="s">
        <v>901</v>
      </c>
      <c r="J608" s="116"/>
      <c r="K608" s="116"/>
      <c r="L608" s="116"/>
      <c r="M608" s="177"/>
      <c r="N608" s="177"/>
      <c r="O608" s="177"/>
      <c r="P608" s="177"/>
      <c r="Q608" s="177"/>
      <c r="R608" s="116"/>
      <c r="S608" s="198">
        <v>2</v>
      </c>
      <c r="T608" s="116" t="s">
        <v>385</v>
      </c>
      <c r="U608" s="193"/>
      <c r="V608" s="179"/>
      <c r="W608" s="116"/>
      <c r="X608" s="179"/>
      <c r="Y608" s="1449"/>
      <c r="Z608" s="116"/>
      <c r="AA608" s="193"/>
      <c r="AB608" s="3">
        <v>45</v>
      </c>
      <c r="AC608" s="56">
        <f>AC603</f>
        <v>4</v>
      </c>
      <c r="AD608" s="116">
        <f>AC608*S608</f>
        <v>8</v>
      </c>
      <c r="AE608" s="3" t="s">
        <v>385</v>
      </c>
      <c r="AF608" s="179"/>
      <c r="AG608" s="179"/>
      <c r="AH608" s="180"/>
      <c r="AI608" s="180"/>
      <c r="AJ608" s="180"/>
      <c r="AK608" s="180"/>
      <c r="AL608" s="180"/>
      <c r="AQ608" s="139"/>
      <c r="AR608" s="139"/>
      <c r="AS608" s="139"/>
      <c r="AT608" s="139"/>
    </row>
    <row r="609" spans="2:58" ht="15" customHeight="1" x14ac:dyDescent="0.4">
      <c r="B609" s="36"/>
      <c r="C609" s="7"/>
      <c r="D609" s="7"/>
      <c r="E609" s="7"/>
      <c r="F609" s="7"/>
      <c r="G609" s="7"/>
      <c r="I609" s="8"/>
      <c r="S609" s="56"/>
      <c r="V609" s="38" t="s">
        <v>369</v>
      </c>
      <c r="W609" s="3" t="s">
        <v>370</v>
      </c>
      <c r="X609" s="38" t="s">
        <v>369</v>
      </c>
      <c r="Y609" s="1443">
        <v>440029003</v>
      </c>
      <c r="Z609" s="41"/>
      <c r="AF609" s="38"/>
      <c r="AG609" s="38"/>
      <c r="AH609" s="477">
        <v>5.0000000000000001E-3</v>
      </c>
      <c r="AI609" s="39"/>
      <c r="AJ609" s="39"/>
      <c r="AK609" s="39"/>
      <c r="AL609" s="39">
        <f>AH609*AD608</f>
        <v>0.04</v>
      </c>
      <c r="AQ609" s="139"/>
      <c r="AR609" s="139"/>
      <c r="AS609" s="139"/>
      <c r="AT609" s="139"/>
    </row>
    <row r="610" spans="2:58" ht="15" customHeight="1" x14ac:dyDescent="0.4">
      <c r="B610" s="36"/>
      <c r="C610" s="7"/>
      <c r="D610" s="7"/>
      <c r="E610" s="7"/>
      <c r="F610" s="7"/>
      <c r="G610" s="7"/>
      <c r="I610" s="8"/>
      <c r="S610" s="56"/>
      <c r="V610" s="38" t="s">
        <v>369</v>
      </c>
      <c r="W610" s="3" t="s">
        <v>372</v>
      </c>
      <c r="X610" s="38" t="s">
        <v>369</v>
      </c>
      <c r="Y610" s="1443">
        <v>440029021</v>
      </c>
      <c r="Z610" s="41"/>
      <c r="AC610" s="56"/>
      <c r="AD610" s="56"/>
      <c r="AE610" s="3"/>
      <c r="AF610" s="38"/>
      <c r="AG610" s="38"/>
      <c r="AH610" s="477">
        <v>5.0000000000000001E-3</v>
      </c>
      <c r="AI610" s="39"/>
      <c r="AJ610" s="39"/>
      <c r="AK610" s="39"/>
      <c r="AL610" s="39">
        <f>AH610*AD608</f>
        <v>0.04</v>
      </c>
      <c r="AQ610" s="139"/>
      <c r="AR610" s="139"/>
      <c r="AS610" s="139"/>
      <c r="AT610" s="139"/>
    </row>
    <row r="611" spans="2:58" ht="15" customHeight="1" x14ac:dyDescent="0.4">
      <c r="B611" s="36"/>
      <c r="C611" s="7"/>
      <c r="D611" s="7"/>
      <c r="E611" s="7"/>
      <c r="F611" s="7"/>
      <c r="G611" s="7"/>
      <c r="I611" s="8"/>
      <c r="S611" s="56"/>
      <c r="V611" s="38" t="s">
        <v>369</v>
      </c>
      <c r="W611" s="3" t="s">
        <v>373</v>
      </c>
      <c r="X611" s="38" t="s">
        <v>369</v>
      </c>
      <c r="Y611" s="1443">
        <v>440029033</v>
      </c>
      <c r="Z611" s="41"/>
      <c r="AC611" s="56"/>
      <c r="AD611" s="56"/>
      <c r="AE611" s="3"/>
      <c r="AF611" s="38"/>
      <c r="AG611" s="38"/>
      <c r="AH611" s="477">
        <v>5.0000000000000001E-3</v>
      </c>
      <c r="AI611" s="39"/>
      <c r="AJ611" s="39"/>
      <c r="AK611" s="39"/>
      <c r="AL611" s="39">
        <f>AH611*AD608</f>
        <v>0.04</v>
      </c>
      <c r="AQ611" s="139"/>
      <c r="AR611" s="139"/>
      <c r="AS611" s="139"/>
      <c r="AT611" s="139"/>
    </row>
    <row r="612" spans="2:58" ht="15" customHeight="1" thickBot="1" x14ac:dyDescent="0.45">
      <c r="B612" s="36"/>
      <c r="C612" s="924"/>
      <c r="D612" s="924"/>
      <c r="E612" s="924"/>
      <c r="F612" s="924"/>
      <c r="G612" s="924"/>
      <c r="H612" s="948"/>
      <c r="I612" s="949"/>
      <c r="J612" s="889"/>
      <c r="K612" s="889"/>
      <c r="L612" s="889"/>
      <c r="M612" s="945"/>
      <c r="N612" s="945"/>
      <c r="O612" s="945"/>
      <c r="P612" s="945"/>
      <c r="Q612" s="945"/>
      <c r="R612" s="889"/>
      <c r="S612" s="1156"/>
      <c r="T612" s="889"/>
      <c r="U612" s="948"/>
      <c r="V612" s="888" t="s">
        <v>369</v>
      </c>
      <c r="W612" s="889" t="s">
        <v>375</v>
      </c>
      <c r="X612" s="888" t="s">
        <v>369</v>
      </c>
      <c r="Y612" s="1444">
        <v>440029133</v>
      </c>
      <c r="Z612" s="946"/>
      <c r="AA612" s="948"/>
      <c r="AB612" s="889"/>
      <c r="AC612" s="1156"/>
      <c r="AD612" s="1156"/>
      <c r="AE612" s="889"/>
      <c r="AF612" s="888"/>
      <c r="AG612" s="888"/>
      <c r="AH612" s="1157"/>
      <c r="AI612" s="947"/>
      <c r="AJ612" s="947"/>
      <c r="AK612" s="947"/>
      <c r="AL612" s="947"/>
      <c r="AM612" s="889"/>
      <c r="AN612" s="889"/>
      <c r="AO612" s="889"/>
      <c r="AP612" s="889"/>
      <c r="AQ612" s="1163"/>
      <c r="AR612" s="139"/>
      <c r="AS612" s="139"/>
      <c r="AT612" s="139"/>
    </row>
    <row r="613" spans="2:58" ht="15" customHeight="1" x14ac:dyDescent="0.4">
      <c r="B613" s="3"/>
      <c r="C613" s="509" t="s">
        <v>1282</v>
      </c>
      <c r="D613" s="3"/>
      <c r="E613" s="7"/>
      <c r="F613" s="3"/>
      <c r="G613" s="7"/>
      <c r="I613" s="8" t="s">
        <v>901</v>
      </c>
      <c r="S613" s="56">
        <v>2</v>
      </c>
      <c r="T613" s="3" t="s">
        <v>385</v>
      </c>
      <c r="V613" s="38"/>
      <c r="X613" s="38"/>
      <c r="Y613" s="1443"/>
      <c r="AB613" s="3">
        <v>42</v>
      </c>
      <c r="AC613" s="56">
        <f>AC603</f>
        <v>4</v>
      </c>
      <c r="AD613" s="56">
        <f>AC613*S613</f>
        <v>8</v>
      </c>
      <c r="AE613" s="3" t="s">
        <v>385</v>
      </c>
      <c r="AF613" s="38" t="s">
        <v>8</v>
      </c>
      <c r="AG613" s="38" t="s">
        <v>8</v>
      </c>
      <c r="AH613" s="39"/>
      <c r="AI613" s="39"/>
      <c r="AJ613" s="39"/>
      <c r="AK613" s="39"/>
      <c r="AZ613" s="3" t="s">
        <v>92</v>
      </c>
      <c r="BA613" s="3" t="s">
        <v>92</v>
      </c>
      <c r="BB613" s="139"/>
      <c r="BC613" s="139"/>
      <c r="BD613" s="139"/>
      <c r="BE613" s="139"/>
      <c r="BF613" s="139"/>
    </row>
    <row r="614" spans="2:58" ht="15" customHeight="1" x14ac:dyDescent="0.4">
      <c r="B614" s="36"/>
      <c r="C614" s="7" t="s">
        <v>1283</v>
      </c>
      <c r="D614" s="7"/>
      <c r="E614" s="7"/>
      <c r="F614" s="7"/>
      <c r="G614" s="7"/>
      <c r="I614" s="8"/>
      <c r="S614" s="56"/>
      <c r="V614" s="38" t="s">
        <v>369</v>
      </c>
      <c r="W614" s="3" t="s">
        <v>370</v>
      </c>
      <c r="X614" s="38" t="s">
        <v>369</v>
      </c>
      <c r="Y614" s="1443">
        <v>440023003</v>
      </c>
      <c r="Z614" s="41"/>
      <c r="AF614" s="3"/>
      <c r="AG614" s="3"/>
      <c r="AH614" s="477">
        <v>5.0000000000000001E-3</v>
      </c>
      <c r="AI614" s="477"/>
      <c r="AJ614" s="477"/>
      <c r="AK614" s="477"/>
      <c r="AL614" s="39">
        <f>AH614*AD613</f>
        <v>0.04</v>
      </c>
      <c r="AZ614" s="3" t="s">
        <v>92</v>
      </c>
      <c r="BA614" s="3" t="s">
        <v>92</v>
      </c>
      <c r="BB614" s="139"/>
      <c r="BC614" s="139"/>
      <c r="BD614" s="139"/>
      <c r="BE614" s="139"/>
      <c r="BF614" s="139"/>
    </row>
    <row r="615" spans="2:58" ht="15" customHeight="1" x14ac:dyDescent="0.4">
      <c r="B615" s="36"/>
      <c r="C615" s="7"/>
      <c r="D615" s="7"/>
      <c r="E615" s="7"/>
      <c r="F615" s="7"/>
      <c r="G615" s="7"/>
      <c r="I615" s="8"/>
      <c r="S615" s="56"/>
      <c r="V615" s="38" t="s">
        <v>369</v>
      </c>
      <c r="W615" s="3" t="s">
        <v>372</v>
      </c>
      <c r="X615" s="38" t="s">
        <v>369</v>
      </c>
      <c r="Y615" s="1443">
        <v>440023021</v>
      </c>
      <c r="Z615" s="41"/>
      <c r="AD615" s="56"/>
      <c r="AE615" s="3"/>
      <c r="AF615" s="38"/>
      <c r="AG615" s="38"/>
      <c r="AH615" s="477">
        <v>5.0000000000000001E-3</v>
      </c>
      <c r="AI615" s="477"/>
      <c r="AJ615" s="477"/>
      <c r="AK615" s="477"/>
      <c r="AL615" s="39">
        <f>AH615*AD613</f>
        <v>0.04</v>
      </c>
      <c r="AZ615" s="3" t="s">
        <v>92</v>
      </c>
      <c r="BA615" s="3" t="s">
        <v>92</v>
      </c>
      <c r="BB615" s="139"/>
      <c r="BC615" s="139"/>
      <c r="BD615" s="139"/>
      <c r="BE615" s="139"/>
      <c r="BF615" s="139"/>
    </row>
    <row r="616" spans="2:58" ht="15" customHeight="1" x14ac:dyDescent="0.4">
      <c r="B616" s="36"/>
      <c r="C616" s="7"/>
      <c r="D616" s="7"/>
      <c r="E616" s="7"/>
      <c r="F616" s="7"/>
      <c r="G616" s="7"/>
      <c r="I616" s="8"/>
      <c r="S616" s="56"/>
      <c r="V616" s="38" t="s">
        <v>369</v>
      </c>
      <c r="W616" s="3" t="s">
        <v>373</v>
      </c>
      <c r="X616" s="38" t="s">
        <v>369</v>
      </c>
      <c r="Y616" s="1443">
        <v>440023033</v>
      </c>
      <c r="Z616" s="41"/>
      <c r="AD616" s="56"/>
      <c r="AE616" s="3"/>
      <c r="AF616" s="38"/>
      <c r="AG616" s="38"/>
      <c r="AH616" s="477">
        <v>5.0000000000000001E-3</v>
      </c>
      <c r="AI616" s="477"/>
      <c r="AJ616" s="477"/>
      <c r="AK616" s="477"/>
      <c r="AL616" s="39">
        <f>AH616*AD613</f>
        <v>0.04</v>
      </c>
      <c r="AZ616" s="3" t="s">
        <v>92</v>
      </c>
      <c r="BA616" s="3" t="s">
        <v>92</v>
      </c>
      <c r="BB616" s="139"/>
      <c r="BC616" s="139"/>
      <c r="BD616" s="139"/>
      <c r="BE616" s="139"/>
      <c r="BF616" s="139"/>
    </row>
    <row r="617" spans="2:58" ht="15" customHeight="1" thickBot="1" x14ac:dyDescent="0.45">
      <c r="B617" s="36"/>
      <c r="C617" s="924"/>
      <c r="D617" s="924"/>
      <c r="E617" s="924"/>
      <c r="F617" s="924"/>
      <c r="G617" s="924"/>
      <c r="H617" s="948"/>
      <c r="I617" s="949"/>
      <c r="J617" s="889"/>
      <c r="K617" s="889"/>
      <c r="L617" s="889"/>
      <c r="M617" s="945"/>
      <c r="N617" s="945"/>
      <c r="O617" s="945"/>
      <c r="P617" s="945"/>
      <c r="Q617" s="945"/>
      <c r="R617" s="889"/>
      <c r="S617" s="1156"/>
      <c r="T617" s="889"/>
      <c r="U617" s="948"/>
      <c r="V617" s="888" t="s">
        <v>369</v>
      </c>
      <c r="W617" s="889" t="s">
        <v>375</v>
      </c>
      <c r="X617" s="888" t="s">
        <v>369</v>
      </c>
      <c r="Y617" s="1444">
        <v>440023133</v>
      </c>
      <c r="Z617" s="946"/>
      <c r="AA617" s="948"/>
      <c r="AB617" s="889"/>
      <c r="AC617" s="889"/>
      <c r="AD617" s="1156"/>
      <c r="AE617" s="889"/>
      <c r="AF617" s="888"/>
      <c r="AG617" s="888"/>
      <c r="AH617" s="1157"/>
      <c r="AI617" s="1157"/>
      <c r="AJ617" s="1157"/>
      <c r="AK617" s="1157"/>
      <c r="AL617" s="947"/>
      <c r="AM617" s="889"/>
      <c r="AN617" s="889"/>
      <c r="AO617" s="889"/>
      <c r="AP617" s="889"/>
      <c r="AQ617" s="889"/>
      <c r="BB617" s="139"/>
      <c r="BC617" s="139"/>
      <c r="BD617" s="139"/>
      <c r="BE617" s="139"/>
      <c r="BF617" s="139"/>
    </row>
    <row r="618" spans="2:58" ht="15" customHeight="1" x14ac:dyDescent="0.4">
      <c r="B618" s="3"/>
      <c r="C618" s="7" t="s">
        <v>1284</v>
      </c>
      <c r="E618" s="7"/>
      <c r="G618" s="7"/>
      <c r="I618" s="500" t="s">
        <v>461</v>
      </c>
      <c r="K618" s="3" t="s">
        <v>365</v>
      </c>
      <c r="L618" s="3" t="s">
        <v>465</v>
      </c>
      <c r="M618" s="5">
        <f>SL2TwoLockCutoff</f>
        <v>25</v>
      </c>
      <c r="R618" s="3" t="s">
        <v>352</v>
      </c>
      <c r="S618" s="56">
        <v>1</v>
      </c>
      <c r="T618" s="3" t="s">
        <v>385</v>
      </c>
      <c r="V618" s="38" t="s">
        <v>369</v>
      </c>
      <c r="W618" s="38" t="s">
        <v>369</v>
      </c>
      <c r="X618" s="38" t="s">
        <v>369</v>
      </c>
      <c r="Y618" s="1443">
        <v>420144000</v>
      </c>
      <c r="AB618" s="3">
        <v>45</v>
      </c>
      <c r="AC618" s="56" t="e">
        <f>IF(SLHeight&lt;M618,1,2)</f>
        <v>#NAME?</v>
      </c>
      <c r="AD618" s="3" t="e">
        <f>AC618*S618</f>
        <v>#NAME?</v>
      </c>
      <c r="AE618" s="3" t="s">
        <v>385</v>
      </c>
      <c r="AF618" s="38" t="s">
        <v>8</v>
      </c>
      <c r="AG618" s="38" t="s">
        <v>8</v>
      </c>
      <c r="AH618" s="51">
        <f>'Single Hung'!AI1004</f>
        <v>0</v>
      </c>
      <c r="AI618" s="39"/>
      <c r="AJ618" s="39"/>
      <c r="AK618" s="39"/>
      <c r="AQ618" s="139"/>
      <c r="AR618" s="139"/>
      <c r="AS618" s="139"/>
      <c r="AT618" s="139"/>
      <c r="AU618" s="139"/>
    </row>
    <row r="619" spans="2:58" ht="15" customHeight="1" x14ac:dyDescent="0.4">
      <c r="B619" s="7"/>
      <c r="C619" s="4"/>
      <c r="E619" s="7"/>
      <c r="G619" s="7"/>
      <c r="I619" s="36" t="s">
        <v>464</v>
      </c>
      <c r="J619" s="38"/>
      <c r="K619" s="3" t="s">
        <v>365</v>
      </c>
      <c r="L619" s="3" t="s">
        <v>463</v>
      </c>
      <c r="M619" s="5">
        <f>SL2TwoLockCutoff</f>
        <v>25</v>
      </c>
      <c r="R619" s="3" t="s">
        <v>352</v>
      </c>
      <c r="S619" s="56">
        <v>2</v>
      </c>
      <c r="T619" s="3" t="s">
        <v>385</v>
      </c>
      <c r="V619" s="38"/>
      <c r="X619" s="38"/>
      <c r="Y619" s="1443"/>
      <c r="AE619" s="3"/>
      <c r="AF619" s="3"/>
      <c r="AG619" s="3"/>
      <c r="AH619" s="39"/>
      <c r="AI619" s="39"/>
      <c r="AJ619" s="39"/>
      <c r="AK619" s="39"/>
      <c r="AQ619" s="139"/>
      <c r="AR619" s="139"/>
      <c r="AS619" s="139"/>
      <c r="AT619" s="139"/>
      <c r="AU619" s="139"/>
    </row>
    <row r="620" spans="2:58" ht="15" customHeight="1" x14ac:dyDescent="0.4">
      <c r="B620" s="36"/>
      <c r="C620" s="36"/>
      <c r="D620" s="36"/>
      <c r="E620" s="7"/>
      <c r="F620" s="36"/>
      <c r="G620" s="7"/>
      <c r="V620" s="38"/>
      <c r="X620" s="38"/>
      <c r="Y620" s="1443"/>
      <c r="Z620" s="41"/>
      <c r="AE620" s="3"/>
      <c r="AF620" s="3"/>
      <c r="AG620" s="3"/>
      <c r="AH620" s="39"/>
      <c r="AI620" s="39"/>
      <c r="AJ620" s="39"/>
      <c r="AK620" s="39"/>
      <c r="AQ620" s="139"/>
      <c r="AR620" s="139"/>
      <c r="AS620" s="139"/>
      <c r="AT620" s="139"/>
      <c r="AU620" s="139"/>
    </row>
    <row r="621" spans="2:58" ht="15" customHeight="1" x14ac:dyDescent="0.4">
      <c r="B621" s="36"/>
      <c r="C621" s="36"/>
      <c r="D621" s="36"/>
      <c r="E621" s="7"/>
      <c r="F621" s="36"/>
      <c r="G621" s="7"/>
      <c r="J621" s="38"/>
      <c r="S621" s="56"/>
      <c r="V621" s="38"/>
      <c r="X621" s="38"/>
      <c r="Y621" s="1443"/>
      <c r="Z621" s="41"/>
      <c r="AE621" s="3"/>
      <c r="AF621" s="3"/>
      <c r="AG621" s="3"/>
      <c r="AH621" s="39"/>
      <c r="AI621" s="39"/>
      <c r="AJ621" s="39"/>
      <c r="AK621" s="39"/>
      <c r="AQ621" s="139"/>
      <c r="AR621" s="139"/>
      <c r="AS621" s="139"/>
      <c r="AT621" s="139"/>
      <c r="AU621" s="139"/>
    </row>
    <row r="622" spans="2:58" ht="15" customHeight="1" thickBot="1" x14ac:dyDescent="0.45">
      <c r="B622" s="36"/>
      <c r="C622" s="943"/>
      <c r="D622" s="943"/>
      <c r="E622" s="924"/>
      <c r="F622" s="943"/>
      <c r="G622" s="924"/>
      <c r="H622" s="948"/>
      <c r="I622" s="889"/>
      <c r="J622" s="889"/>
      <c r="K622" s="889"/>
      <c r="L622" s="889"/>
      <c r="M622" s="945"/>
      <c r="N622" s="945"/>
      <c r="O622" s="945"/>
      <c r="P622" s="945"/>
      <c r="Q622" s="945"/>
      <c r="R622" s="889"/>
      <c r="S622" s="1156"/>
      <c r="T622" s="889"/>
      <c r="U622" s="948"/>
      <c r="V622" s="889"/>
      <c r="W622" s="889"/>
      <c r="X622" s="889"/>
      <c r="Y622" s="1444"/>
      <c r="Z622" s="889"/>
      <c r="AA622" s="948"/>
      <c r="AB622" s="889"/>
      <c r="AC622" s="889"/>
      <c r="AD622" s="945"/>
      <c r="AE622" s="945"/>
      <c r="AF622" s="945"/>
      <c r="AG622" s="945"/>
      <c r="AH622" s="937"/>
      <c r="AI622" s="947"/>
      <c r="AJ622" s="947"/>
      <c r="AK622" s="947"/>
      <c r="AL622" s="947"/>
      <c r="AM622" s="889"/>
      <c r="AN622" s="889"/>
      <c r="AO622" s="889"/>
      <c r="AP622" s="889"/>
      <c r="AQ622" s="1163"/>
      <c r="AR622" s="139"/>
      <c r="AS622" s="139"/>
      <c r="AT622" s="139"/>
      <c r="AU622" s="139"/>
    </row>
    <row r="623" spans="2:58" ht="15" customHeight="1" x14ac:dyDescent="0.4">
      <c r="B623" s="3"/>
      <c r="C623" s="476" t="s">
        <v>905</v>
      </c>
      <c r="D623" s="116"/>
      <c r="E623" s="173"/>
      <c r="F623" s="116"/>
      <c r="G623" s="173"/>
      <c r="H623" s="193"/>
      <c r="I623" s="114"/>
      <c r="J623" s="116"/>
      <c r="K623" s="116"/>
      <c r="L623" s="116"/>
      <c r="M623" s="177"/>
      <c r="N623" s="177"/>
      <c r="O623" s="177"/>
      <c r="P623" s="177"/>
      <c r="Q623" s="177"/>
      <c r="R623" s="116"/>
      <c r="S623" s="198">
        <v>4</v>
      </c>
      <c r="T623" s="116" t="s">
        <v>385</v>
      </c>
      <c r="U623" s="193"/>
      <c r="V623" s="179"/>
      <c r="W623" s="116"/>
      <c r="X623" s="179"/>
      <c r="Y623" s="1449"/>
      <c r="Z623" s="116"/>
      <c r="AA623" s="193"/>
      <c r="AB623" s="3">
        <v>42</v>
      </c>
      <c r="AC623" s="56" t="e">
        <f>AC618</f>
        <v>#NAME?</v>
      </c>
      <c r="AD623" s="56" t="e">
        <f>AC623*S623</f>
        <v>#NAME?</v>
      </c>
      <c r="AE623" s="3" t="s">
        <v>385</v>
      </c>
      <c r="AF623" s="179"/>
      <c r="AG623" s="179"/>
      <c r="AH623" s="180"/>
      <c r="AI623" s="39"/>
      <c r="AJ623" s="39"/>
      <c r="AK623" s="39"/>
      <c r="AL623" s="180"/>
      <c r="AQ623" s="139"/>
      <c r="AR623" s="139"/>
      <c r="AS623" s="139"/>
      <c r="AT623" s="139"/>
      <c r="AU623" s="139"/>
    </row>
    <row r="624" spans="2:58" ht="15" customHeight="1" x14ac:dyDescent="0.4">
      <c r="B624" s="36"/>
      <c r="C624" s="7"/>
      <c r="D624" s="7"/>
      <c r="E624" s="7"/>
      <c r="F624" s="7"/>
      <c r="G624" s="7"/>
      <c r="I624" s="8"/>
      <c r="S624" s="56"/>
      <c r="V624" s="38" t="s">
        <v>369</v>
      </c>
      <c r="W624" s="3" t="s">
        <v>370</v>
      </c>
      <c r="X624" s="38" t="s">
        <v>369</v>
      </c>
      <c r="Y624" s="1443">
        <v>440029003</v>
      </c>
      <c r="Z624" s="41"/>
      <c r="AF624" s="38"/>
      <c r="AG624" s="38"/>
      <c r="AH624" s="477">
        <v>5.0000000000000001E-3</v>
      </c>
      <c r="AI624" s="39"/>
      <c r="AJ624" s="39"/>
      <c r="AK624" s="39"/>
      <c r="AL624" s="39" t="e">
        <f>AH624*AD623</f>
        <v>#NAME?</v>
      </c>
      <c r="AQ624" s="139"/>
      <c r="AR624" s="139"/>
      <c r="AS624" s="139"/>
      <c r="AT624" s="139"/>
      <c r="AU624" s="139"/>
    </row>
    <row r="625" spans="2:47" ht="15" customHeight="1" x14ac:dyDescent="0.4">
      <c r="B625" s="36"/>
      <c r="C625" s="7"/>
      <c r="D625" s="7"/>
      <c r="E625" s="7"/>
      <c r="F625" s="7"/>
      <c r="G625" s="7"/>
      <c r="I625" s="8"/>
      <c r="S625" s="56"/>
      <c r="V625" s="38" t="s">
        <v>369</v>
      </c>
      <c r="W625" s="3" t="s">
        <v>372</v>
      </c>
      <c r="X625" s="38" t="s">
        <v>369</v>
      </c>
      <c r="Y625" s="1443">
        <v>440029021</v>
      </c>
      <c r="Z625" s="41"/>
      <c r="AD625" s="56"/>
      <c r="AE625" s="3"/>
      <c r="AF625" s="38"/>
      <c r="AG625" s="38"/>
      <c r="AH625" s="477">
        <v>5.0000000000000001E-3</v>
      </c>
      <c r="AI625" s="39"/>
      <c r="AJ625" s="39"/>
      <c r="AK625" s="39"/>
      <c r="AL625" s="39" t="e">
        <f>AH625*AD623</f>
        <v>#NAME?</v>
      </c>
      <c r="AQ625" s="139"/>
      <c r="AR625" s="139"/>
      <c r="AS625" s="139"/>
      <c r="AT625" s="139"/>
      <c r="AU625" s="139"/>
    </row>
    <row r="626" spans="2:47" ht="15" customHeight="1" x14ac:dyDescent="0.4">
      <c r="B626" s="36"/>
      <c r="C626" s="7"/>
      <c r="D626" s="7"/>
      <c r="E626" s="7"/>
      <c r="F626" s="7"/>
      <c r="G626" s="7"/>
      <c r="I626" s="8"/>
      <c r="S626" s="56"/>
      <c r="V626" s="38" t="s">
        <v>369</v>
      </c>
      <c r="W626" s="3" t="s">
        <v>373</v>
      </c>
      <c r="X626" s="38" t="s">
        <v>369</v>
      </c>
      <c r="Y626" s="1443">
        <v>440029033</v>
      </c>
      <c r="Z626" s="41"/>
      <c r="AD626" s="56"/>
      <c r="AE626" s="3"/>
      <c r="AF626" s="38"/>
      <c r="AG626" s="38"/>
      <c r="AH626" s="477">
        <v>5.0000000000000001E-3</v>
      </c>
      <c r="AI626" s="39"/>
      <c r="AJ626" s="39"/>
      <c r="AK626" s="39"/>
      <c r="AL626" s="39" t="e">
        <f>AH626*AD623</f>
        <v>#NAME?</v>
      </c>
      <c r="AQ626" s="139"/>
      <c r="AR626" s="139"/>
      <c r="AS626" s="139"/>
      <c r="AT626" s="139"/>
      <c r="AU626" s="139"/>
    </row>
    <row r="627" spans="2:47" ht="15" customHeight="1" thickBot="1" x14ac:dyDescent="0.45">
      <c r="B627" s="36"/>
      <c r="C627" s="924"/>
      <c r="D627" s="924"/>
      <c r="E627" s="924"/>
      <c r="F627" s="924"/>
      <c r="G627" s="924"/>
      <c r="H627" s="948"/>
      <c r="I627" s="949"/>
      <c r="J627" s="889"/>
      <c r="K627" s="889"/>
      <c r="L627" s="889"/>
      <c r="M627" s="945"/>
      <c r="N627" s="945"/>
      <c r="O627" s="945"/>
      <c r="P627" s="945"/>
      <c r="Q627" s="945"/>
      <c r="R627" s="889"/>
      <c r="S627" s="1156"/>
      <c r="T627" s="889"/>
      <c r="U627" s="948"/>
      <c r="V627" s="888" t="s">
        <v>369</v>
      </c>
      <c r="W627" s="889" t="s">
        <v>375</v>
      </c>
      <c r="X627" s="888" t="s">
        <v>369</v>
      </c>
      <c r="Y627" s="1444">
        <v>440029133</v>
      </c>
      <c r="Z627" s="946"/>
      <c r="AA627" s="948"/>
      <c r="AB627" s="889"/>
      <c r="AC627" s="889"/>
      <c r="AD627" s="1156"/>
      <c r="AE627" s="889"/>
      <c r="AF627" s="888"/>
      <c r="AG627" s="888"/>
      <c r="AH627" s="1157"/>
      <c r="AI627" s="947"/>
      <c r="AJ627" s="947"/>
      <c r="AK627" s="947"/>
      <c r="AL627" s="947"/>
      <c r="AM627" s="889"/>
      <c r="AN627" s="889"/>
      <c r="AO627" s="889"/>
      <c r="AP627" s="889"/>
      <c r="AQ627" s="1163"/>
      <c r="AR627" s="139"/>
      <c r="AS627" s="139"/>
      <c r="AT627" s="139"/>
      <c r="AU627" s="139"/>
    </row>
    <row r="628" spans="2:47" ht="15" customHeight="1" x14ac:dyDescent="0.4">
      <c r="B628" s="3"/>
      <c r="C628" s="7" t="s">
        <v>1285</v>
      </c>
      <c r="E628" s="7"/>
      <c r="G628" s="7"/>
      <c r="I628" s="500" t="s">
        <v>461</v>
      </c>
      <c r="K628" s="3" t="s">
        <v>365</v>
      </c>
      <c r="L628" s="3" t="s">
        <v>465</v>
      </c>
      <c r="M628" s="24">
        <f>M603</f>
        <v>25</v>
      </c>
      <c r="R628" s="3" t="s">
        <v>352</v>
      </c>
      <c r="S628" s="56">
        <v>1</v>
      </c>
      <c r="T628" s="3" t="s">
        <v>385</v>
      </c>
      <c r="V628" s="4"/>
      <c r="W628" s="4"/>
      <c r="X628" s="4"/>
      <c r="Y628" s="1443"/>
      <c r="AB628" s="3">
        <v>42</v>
      </c>
      <c r="AC628" s="56" t="e">
        <f>AC618</f>
        <v>#NAME?</v>
      </c>
      <c r="AD628" s="3" t="e">
        <f>AC628*S628</f>
        <v>#NAME?</v>
      </c>
      <c r="AE628" s="3" t="s">
        <v>385</v>
      </c>
      <c r="AF628" s="38" t="s">
        <v>8</v>
      </c>
      <c r="AG628" s="38" t="s">
        <v>8</v>
      </c>
      <c r="AH628" s="39"/>
      <c r="AI628" s="39"/>
      <c r="AJ628" s="39"/>
      <c r="AK628" s="39"/>
      <c r="AQ628" s="139"/>
      <c r="AR628" s="139"/>
      <c r="AS628" s="139"/>
      <c r="AT628" s="139"/>
    </row>
    <row r="629" spans="2:47" ht="15" customHeight="1" x14ac:dyDescent="0.4">
      <c r="B629" s="7"/>
      <c r="C629" s="4"/>
      <c r="E629" s="7"/>
      <c r="G629" s="7"/>
      <c r="I629" s="36" t="s">
        <v>464</v>
      </c>
      <c r="J629" s="38"/>
      <c r="K629" s="3" t="s">
        <v>365</v>
      </c>
      <c r="L629" s="3" t="s">
        <v>463</v>
      </c>
      <c r="M629" s="5">
        <f>M628</f>
        <v>25</v>
      </c>
      <c r="R629" s="3" t="s">
        <v>352</v>
      </c>
      <c r="S629" s="56">
        <v>2</v>
      </c>
      <c r="T629" s="3" t="s">
        <v>385</v>
      </c>
      <c r="V629" s="38" t="s">
        <v>369</v>
      </c>
      <c r="W629" s="3" t="s">
        <v>370</v>
      </c>
      <c r="X629" s="38" t="s">
        <v>369</v>
      </c>
      <c r="Y629" s="1443">
        <v>420145003</v>
      </c>
      <c r="Z629" s="41"/>
      <c r="AE629" s="3"/>
      <c r="AF629" s="3"/>
      <c r="AG629" s="3"/>
      <c r="AH629" s="39">
        <v>0</v>
      </c>
      <c r="AI629" s="39"/>
      <c r="AJ629" s="39"/>
      <c r="AK629" s="39"/>
      <c r="AL629" s="39" t="e">
        <f>AH629*AD628</f>
        <v>#NAME?</v>
      </c>
      <c r="AQ629" s="139"/>
      <c r="AR629" s="139"/>
      <c r="AS629" s="139"/>
      <c r="AT629" s="139"/>
    </row>
    <row r="630" spans="2:47" ht="15" customHeight="1" x14ac:dyDescent="0.4">
      <c r="B630" s="36"/>
      <c r="C630" s="36"/>
      <c r="D630" s="36"/>
      <c r="E630" s="7"/>
      <c r="F630" s="36"/>
      <c r="G630" s="7"/>
      <c r="V630" s="38" t="s">
        <v>369</v>
      </c>
      <c r="W630" s="3" t="s">
        <v>372</v>
      </c>
      <c r="X630" s="38" t="s">
        <v>369</v>
      </c>
      <c r="Y630" s="1443">
        <v>420145021</v>
      </c>
      <c r="Z630" s="41"/>
      <c r="AE630" s="3"/>
      <c r="AF630" s="3"/>
      <c r="AG630" s="3"/>
      <c r="AH630" s="39">
        <v>0</v>
      </c>
      <c r="AI630" s="39"/>
      <c r="AJ630" s="39"/>
      <c r="AK630" s="39"/>
      <c r="AL630" s="39" t="e">
        <f>AH630*AD628</f>
        <v>#NAME?</v>
      </c>
      <c r="AQ630" s="139"/>
      <c r="AR630" s="139"/>
      <c r="AS630" s="139"/>
      <c r="AT630" s="139"/>
    </row>
    <row r="631" spans="2:47" ht="15" customHeight="1" x14ac:dyDescent="0.4">
      <c r="B631" s="36"/>
      <c r="C631" s="36"/>
      <c r="D631" s="36"/>
      <c r="E631" s="7"/>
      <c r="F631" s="36"/>
      <c r="G631" s="7"/>
      <c r="J631" s="38"/>
      <c r="S631" s="56"/>
      <c r="V631" s="38" t="s">
        <v>369</v>
      </c>
      <c r="W631" s="3" t="s">
        <v>373</v>
      </c>
      <c r="X631" s="38" t="s">
        <v>369</v>
      </c>
      <c r="Y631" s="1443">
        <v>420145033</v>
      </c>
      <c r="Z631" s="41"/>
      <c r="AE631" s="3"/>
      <c r="AF631" s="3"/>
      <c r="AG631" s="3"/>
      <c r="AH631" s="39">
        <v>0</v>
      </c>
      <c r="AI631" s="39"/>
      <c r="AJ631" s="39"/>
      <c r="AK631" s="39"/>
      <c r="AL631" s="39" t="e">
        <f>AH631*AD628</f>
        <v>#NAME?</v>
      </c>
      <c r="AQ631" s="139"/>
      <c r="AR631" s="139"/>
      <c r="AS631" s="139"/>
      <c r="AT631" s="139"/>
    </row>
    <row r="632" spans="2:47" ht="15" customHeight="1" thickBot="1" x14ac:dyDescent="0.45">
      <c r="B632" s="36"/>
      <c r="C632" s="36"/>
      <c r="D632" s="36"/>
      <c r="E632" s="7"/>
      <c r="F632" s="36"/>
      <c r="G632" s="7"/>
      <c r="J632" s="38"/>
      <c r="R632" s="889"/>
      <c r="S632" s="1156"/>
      <c r="T632" s="889"/>
      <c r="V632" s="888" t="s">
        <v>369</v>
      </c>
      <c r="W632" s="889" t="s">
        <v>375</v>
      </c>
      <c r="X632" s="888" t="s">
        <v>369</v>
      </c>
      <c r="Y632" s="1443">
        <v>420145133</v>
      </c>
      <c r="Z632" s="41"/>
      <c r="AE632" s="3"/>
      <c r="AF632" s="3"/>
      <c r="AG632" s="3"/>
      <c r="AH632" s="39"/>
      <c r="AI632" s="947"/>
      <c r="AJ632" s="947"/>
      <c r="AK632" s="947"/>
      <c r="AM632" s="889"/>
      <c r="AN632" s="889"/>
      <c r="AO632" s="889"/>
      <c r="AP632" s="889"/>
      <c r="AQ632" s="1163"/>
      <c r="AR632" s="139"/>
      <c r="AS632" s="139"/>
      <c r="AT632" s="139"/>
    </row>
    <row r="633" spans="2:47" ht="15" customHeight="1" x14ac:dyDescent="0.4">
      <c r="B633" s="36"/>
      <c r="C633" s="173" t="s">
        <v>1286</v>
      </c>
      <c r="D633" s="138"/>
      <c r="E633" s="173"/>
      <c r="F633" s="138"/>
      <c r="G633" s="173"/>
      <c r="H633" s="193"/>
      <c r="I633" s="448" t="s">
        <v>461</v>
      </c>
      <c r="J633" s="116"/>
      <c r="K633" s="116" t="s">
        <v>365</v>
      </c>
      <c r="L633" s="116" t="s">
        <v>465</v>
      </c>
      <c r="M633" s="178">
        <f>M603</f>
        <v>25</v>
      </c>
      <c r="N633" s="177"/>
      <c r="O633" s="177"/>
      <c r="P633" s="177"/>
      <c r="Q633" s="177"/>
      <c r="R633" s="3" t="s">
        <v>352</v>
      </c>
      <c r="S633" s="56">
        <v>1</v>
      </c>
      <c r="T633" s="3" t="s">
        <v>385</v>
      </c>
      <c r="U633" s="193"/>
      <c r="V633" s="138"/>
      <c r="W633" s="138"/>
      <c r="X633" s="138"/>
      <c r="Y633" s="1449"/>
      <c r="Z633" s="116"/>
      <c r="AA633" s="193"/>
      <c r="AB633" s="116">
        <v>42</v>
      </c>
      <c r="AC633" s="198" t="e">
        <f>AC618</f>
        <v>#NAME?</v>
      </c>
      <c r="AD633" s="116" t="e">
        <f>AC633*S633</f>
        <v>#NAME?</v>
      </c>
      <c r="AE633" s="116" t="s">
        <v>385</v>
      </c>
      <c r="AF633" s="179" t="s">
        <v>8</v>
      </c>
      <c r="AG633" s="179" t="s">
        <v>8</v>
      </c>
      <c r="AH633" s="180"/>
      <c r="AI633" s="180"/>
      <c r="AJ633" s="180"/>
      <c r="AK633" s="180"/>
      <c r="AL633" s="180"/>
      <c r="AQ633" s="139"/>
      <c r="AR633" s="139"/>
      <c r="AS633" s="139"/>
      <c r="AT633" s="139"/>
    </row>
    <row r="634" spans="2:47" ht="15" customHeight="1" x14ac:dyDescent="0.4">
      <c r="B634" s="36"/>
      <c r="D634" s="36"/>
      <c r="E634" s="7"/>
      <c r="F634" s="36"/>
      <c r="G634" s="7"/>
      <c r="I634" s="36" t="s">
        <v>464</v>
      </c>
      <c r="J634" s="38"/>
      <c r="K634" s="3" t="s">
        <v>365</v>
      </c>
      <c r="L634" s="3" t="s">
        <v>463</v>
      </c>
      <c r="M634" s="5">
        <f>M633</f>
        <v>25</v>
      </c>
      <c r="R634" s="3" t="s">
        <v>352</v>
      </c>
      <c r="S634" s="56">
        <v>2</v>
      </c>
      <c r="T634" s="3" t="s">
        <v>385</v>
      </c>
      <c r="V634" s="38" t="s">
        <v>369</v>
      </c>
      <c r="W634" s="3" t="s">
        <v>370</v>
      </c>
      <c r="X634" s="38" t="s">
        <v>369</v>
      </c>
      <c r="Y634" s="1443">
        <v>420146003</v>
      </c>
      <c r="Z634" s="41"/>
      <c r="AE634" s="3"/>
      <c r="AF634" s="3"/>
      <c r="AG634" s="3"/>
      <c r="AH634" s="39">
        <v>0</v>
      </c>
      <c r="AI634" s="39"/>
      <c r="AJ634" s="39"/>
      <c r="AK634" s="39"/>
      <c r="AL634" s="39" t="e">
        <f>AH634*AD633</f>
        <v>#NAME?</v>
      </c>
      <c r="AQ634" s="139"/>
      <c r="AR634" s="139"/>
      <c r="AS634" s="139"/>
      <c r="AT634" s="139"/>
    </row>
    <row r="635" spans="2:47" ht="15" customHeight="1" x14ac:dyDescent="0.4">
      <c r="B635" s="36"/>
      <c r="C635" s="36"/>
      <c r="D635" s="36"/>
      <c r="E635" s="7"/>
      <c r="F635" s="36"/>
      <c r="G635" s="7"/>
      <c r="V635" s="38" t="s">
        <v>369</v>
      </c>
      <c r="W635" s="3" t="s">
        <v>372</v>
      </c>
      <c r="X635" s="38" t="s">
        <v>369</v>
      </c>
      <c r="Y635" s="1443">
        <v>420146021</v>
      </c>
      <c r="Z635" s="41"/>
      <c r="AE635" s="3"/>
      <c r="AF635" s="3"/>
      <c r="AG635" s="3"/>
      <c r="AH635" s="39">
        <v>0</v>
      </c>
      <c r="AI635" s="39"/>
      <c r="AJ635" s="39"/>
      <c r="AK635" s="39"/>
      <c r="AL635" s="39" t="e">
        <f>AH635*AD633</f>
        <v>#NAME?</v>
      </c>
      <c r="AQ635" s="139"/>
      <c r="AR635" s="139"/>
      <c r="AS635" s="139"/>
      <c r="AT635" s="139"/>
    </row>
    <row r="636" spans="2:47" ht="15" customHeight="1" x14ac:dyDescent="0.4">
      <c r="B636" s="36"/>
      <c r="C636" s="36"/>
      <c r="D636" s="36"/>
      <c r="E636" s="7"/>
      <c r="F636" s="36"/>
      <c r="G636" s="7"/>
      <c r="J636" s="38"/>
      <c r="S636" s="56"/>
      <c r="V636" s="38" t="s">
        <v>369</v>
      </c>
      <c r="W636" s="3" t="s">
        <v>373</v>
      </c>
      <c r="X636" s="38" t="s">
        <v>369</v>
      </c>
      <c r="Y636" s="1443">
        <v>420146033</v>
      </c>
      <c r="Z636" s="41"/>
      <c r="AE636" s="3"/>
      <c r="AF636" s="3"/>
      <c r="AG636" s="3"/>
      <c r="AH636" s="39">
        <v>0</v>
      </c>
      <c r="AI636" s="39"/>
      <c r="AJ636" s="39"/>
      <c r="AK636" s="39"/>
      <c r="AL636" s="39" t="e">
        <f>AH636*AD633</f>
        <v>#NAME?</v>
      </c>
      <c r="AQ636" s="139"/>
      <c r="AR636" s="139"/>
      <c r="AS636" s="139"/>
      <c r="AT636" s="139"/>
    </row>
    <row r="637" spans="2:47" ht="15" customHeight="1" thickBot="1" x14ac:dyDescent="0.45">
      <c r="B637" s="36"/>
      <c r="C637" s="36"/>
      <c r="D637" s="36"/>
      <c r="E637" s="7"/>
      <c r="F637" s="36"/>
      <c r="G637" s="7"/>
      <c r="J637" s="38"/>
      <c r="S637" s="56"/>
      <c r="U637" s="948"/>
      <c r="V637" s="888" t="s">
        <v>369</v>
      </c>
      <c r="W637" s="889" t="s">
        <v>375</v>
      </c>
      <c r="X637" s="888" t="s">
        <v>369</v>
      </c>
      <c r="Y637" s="1444">
        <v>420146133</v>
      </c>
      <c r="Z637" s="946"/>
      <c r="AA637" s="948"/>
      <c r="AB637" s="889"/>
      <c r="AC637" s="889"/>
      <c r="AD637" s="945"/>
      <c r="AE637" s="889"/>
      <c r="AF637" s="889"/>
      <c r="AG637" s="889"/>
      <c r="AH637" s="947"/>
      <c r="AI637" s="947"/>
      <c r="AJ637" s="947"/>
      <c r="AK637" s="947"/>
      <c r="AL637" s="947"/>
      <c r="AM637" s="889"/>
      <c r="AN637" s="889"/>
      <c r="AO637" s="889"/>
      <c r="AP637" s="889"/>
      <c r="AQ637" s="1163"/>
      <c r="AR637" s="139"/>
      <c r="AS637" s="139"/>
      <c r="AT637" s="139"/>
    </row>
    <row r="638" spans="2:47" ht="15" customHeight="1" x14ac:dyDescent="0.4">
      <c r="B638" s="476" t="s">
        <v>1287</v>
      </c>
      <c r="C638" s="476"/>
      <c r="D638" s="116"/>
      <c r="E638" s="173"/>
      <c r="F638" s="116"/>
      <c r="G638" s="173"/>
      <c r="H638" s="193"/>
      <c r="I638" s="114"/>
      <c r="J638" s="116"/>
      <c r="K638" s="116"/>
      <c r="L638" s="116"/>
      <c r="M638" s="177"/>
      <c r="N638" s="177"/>
      <c r="O638" s="177"/>
      <c r="P638" s="177"/>
      <c r="Q638" s="177"/>
      <c r="R638" s="116"/>
      <c r="S638" s="198">
        <v>1</v>
      </c>
      <c r="T638" s="116" t="s">
        <v>385</v>
      </c>
      <c r="U638" s="193"/>
      <c r="V638" s="179"/>
      <c r="W638" s="116"/>
      <c r="X638" s="179"/>
      <c r="Y638" s="1454">
        <v>420050000001</v>
      </c>
      <c r="Z638" s="184"/>
      <c r="AA638" s="193"/>
      <c r="AB638" s="116">
        <v>45</v>
      </c>
      <c r="AC638" s="116">
        <v>4</v>
      </c>
      <c r="AD638" s="198">
        <f>AC638*S638</f>
        <v>4</v>
      </c>
      <c r="AE638" s="116" t="s">
        <v>385</v>
      </c>
      <c r="AF638" s="179"/>
      <c r="AG638" s="179"/>
      <c r="AH638" s="481">
        <v>5.0000000000000001E-3</v>
      </c>
      <c r="AI638" s="180"/>
      <c r="AJ638" s="180"/>
      <c r="AK638" s="180"/>
      <c r="AL638" s="180">
        <f>AH638*AD638</f>
        <v>0.02</v>
      </c>
      <c r="AQ638" s="139"/>
      <c r="AR638" s="139"/>
      <c r="AS638" s="139"/>
      <c r="AT638" s="139"/>
    </row>
    <row r="639" spans="2:47" ht="15" customHeight="1" x14ac:dyDescent="0.4">
      <c r="B639" s="36"/>
      <c r="C639" s="509"/>
      <c r="D639" s="3"/>
      <c r="E639" s="7"/>
      <c r="F639" s="3"/>
      <c r="G639" s="7"/>
      <c r="I639" s="8"/>
      <c r="S639" s="56"/>
      <c r="V639" s="38"/>
      <c r="X639" s="38"/>
      <c r="Y639" s="41"/>
      <c r="Z639" s="41"/>
      <c r="AD639" s="56"/>
      <c r="AE639" s="3"/>
      <c r="AF639" s="38"/>
      <c r="AG639" s="38"/>
      <c r="AH639" s="477"/>
      <c r="AI639" s="39"/>
      <c r="AJ639" s="39"/>
      <c r="AK639" s="39"/>
      <c r="AQ639" s="139"/>
      <c r="AR639" s="139"/>
      <c r="AS639" s="139"/>
      <c r="AT639" s="139"/>
    </row>
    <row r="640" spans="2:47" ht="15" customHeight="1" x14ac:dyDescent="0.4">
      <c r="B640" s="36"/>
      <c r="C640" s="509"/>
      <c r="D640" s="3"/>
      <c r="E640" s="7"/>
      <c r="F640" s="3"/>
      <c r="G640" s="7"/>
      <c r="I640" s="8"/>
      <c r="S640" s="56"/>
      <c r="V640" s="38"/>
      <c r="X640" s="38"/>
      <c r="Y640" s="41"/>
      <c r="Z640" s="41"/>
      <c r="AD640" s="56"/>
      <c r="AE640" s="3"/>
      <c r="AF640" s="38"/>
      <c r="AG640" s="38"/>
      <c r="AH640" s="477"/>
      <c r="AI640" s="39"/>
      <c r="AJ640" s="39"/>
      <c r="AK640" s="39"/>
      <c r="AQ640" s="139"/>
      <c r="AR640" s="139"/>
      <c r="AS640" s="139"/>
      <c r="AT640" s="139"/>
    </row>
    <row r="641" spans="1:47" ht="15" customHeight="1" x14ac:dyDescent="0.4">
      <c r="B641" s="36"/>
      <c r="C641" s="509"/>
      <c r="D641" s="3"/>
      <c r="E641" s="7"/>
      <c r="F641" s="3"/>
      <c r="G641" s="7"/>
      <c r="I641" s="8"/>
      <c r="S641" s="56"/>
      <c r="V641" s="38"/>
      <c r="X641" s="38"/>
      <c r="Y641" s="41"/>
      <c r="Z641" s="41"/>
      <c r="AD641" s="56"/>
      <c r="AE641" s="3"/>
      <c r="AF641" s="38"/>
      <c r="AG641" s="38"/>
      <c r="AH641" s="477"/>
      <c r="AI641" s="39"/>
      <c r="AJ641" s="39"/>
      <c r="AK641" s="39"/>
      <c r="AQ641" s="139"/>
      <c r="AR641" s="139"/>
      <c r="AS641" s="139"/>
      <c r="AT641" s="139"/>
    </row>
    <row r="642" spans="1:47" ht="15" customHeight="1" x14ac:dyDescent="0.4">
      <c r="B642" s="641" t="s">
        <v>1355</v>
      </c>
      <c r="C642" s="642"/>
      <c r="D642" s="642"/>
      <c r="E642" s="642"/>
      <c r="F642" s="642"/>
      <c r="G642" s="642"/>
      <c r="H642" s="643"/>
      <c r="I642" s="643"/>
      <c r="J642" s="643"/>
      <c r="K642" s="643"/>
      <c r="L642" s="643"/>
      <c r="M642" s="644"/>
      <c r="N642" s="644"/>
      <c r="O642" s="644"/>
      <c r="P642" s="644"/>
      <c r="Q642" s="644"/>
      <c r="R642" s="643"/>
      <c r="S642" s="644"/>
      <c r="T642" s="643"/>
      <c r="U642" s="643"/>
      <c r="V642" s="642"/>
      <c r="W642" s="642"/>
      <c r="X642" s="642"/>
      <c r="Y642" s="645"/>
      <c r="Z642" s="645"/>
      <c r="AA642" s="643"/>
      <c r="AB642" s="645"/>
      <c r="AC642" s="643"/>
      <c r="AD642" s="644"/>
      <c r="AE642" s="643"/>
      <c r="AF642" s="643"/>
      <c r="AG642" s="643"/>
      <c r="AH642" s="647"/>
      <c r="AI642" s="647"/>
      <c r="AJ642" s="647"/>
      <c r="AK642" s="647"/>
      <c r="AL642" s="647"/>
      <c r="AM642" s="647"/>
      <c r="AN642" s="647"/>
      <c r="AO642" s="647"/>
      <c r="AP642" s="647"/>
      <c r="AQ642" s="647"/>
      <c r="AR642" s="139"/>
      <c r="AS642" s="139"/>
      <c r="AT642" s="139"/>
      <c r="AU642" s="139"/>
    </row>
    <row r="643" spans="1:47" ht="15" customHeight="1" x14ac:dyDescent="0.4">
      <c r="A643" s="3" t="s">
        <v>809</v>
      </c>
      <c r="B643" s="4" t="s">
        <v>2060</v>
      </c>
      <c r="C643" s="4"/>
      <c r="D643" s="8"/>
      <c r="E643" s="8"/>
      <c r="F643" s="8"/>
      <c r="G643" s="3"/>
      <c r="I643" s="47" t="s">
        <v>910</v>
      </c>
      <c r="L643" s="5"/>
      <c r="Q643" s="3"/>
      <c r="R643" s="5"/>
      <c r="S643" s="5">
        <f>((SLEQSGW*2)+(SLEQSGH*2))/12/1010</f>
        <v>1.023107810781078E-2</v>
      </c>
      <c r="T643" s="3" t="s">
        <v>815</v>
      </c>
      <c r="V643" s="38" t="s">
        <v>8</v>
      </c>
      <c r="W643" s="3" t="s">
        <v>422</v>
      </c>
      <c r="X643" s="38" t="s">
        <v>8</v>
      </c>
      <c r="Y643" s="1443">
        <v>610023014</v>
      </c>
      <c r="Z643" s="56">
        <v>39844</v>
      </c>
      <c r="AB643" s="3">
        <v>45</v>
      </c>
      <c r="AC643" s="5"/>
      <c r="AD643" s="5">
        <f>S643</f>
        <v>1.023107810781078E-2</v>
      </c>
      <c r="AE643" s="3" t="s">
        <v>815</v>
      </c>
      <c r="AF643" s="38" t="s">
        <v>8</v>
      </c>
      <c r="AG643" s="38" t="s">
        <v>8</v>
      </c>
      <c r="AH643" s="492">
        <v>27.652000000000001</v>
      </c>
      <c r="AI643" s="477"/>
      <c r="AJ643" s="477"/>
      <c r="AK643" s="477"/>
      <c r="AL643" s="51">
        <f>AD643*AH643+SUM(AI643:AK643)</f>
        <v>0.28290977183718369</v>
      </c>
      <c r="AQ643" s="139"/>
      <c r="AR643" s="139"/>
      <c r="AS643" s="139"/>
      <c r="AT643" s="139"/>
      <c r="AU643" s="139"/>
    </row>
    <row r="644" spans="1:47" ht="15" customHeight="1" x14ac:dyDescent="0.4">
      <c r="B644" s="573" t="s">
        <v>1255</v>
      </c>
      <c r="C644" s="573"/>
      <c r="D644" s="694"/>
      <c r="E644" s="694"/>
      <c r="F644" s="694"/>
      <c r="G644" s="577"/>
      <c r="H644" s="574"/>
      <c r="I644" s="577"/>
      <c r="J644" s="577"/>
      <c r="K644" s="577"/>
      <c r="L644" s="575"/>
      <c r="M644" s="575"/>
      <c r="N644" s="575"/>
      <c r="O644" s="575"/>
      <c r="P644" s="575"/>
      <c r="Q644" s="577"/>
      <c r="R644" s="575"/>
      <c r="S644" s="576">
        <v>1</v>
      </c>
      <c r="T644" s="577" t="s">
        <v>811</v>
      </c>
      <c r="U644" s="574"/>
      <c r="V644" s="573"/>
      <c r="W644" s="573"/>
      <c r="X644" s="576"/>
      <c r="Y644" s="1460">
        <v>610023014001</v>
      </c>
      <c r="Z644" s="577">
        <v>30359</v>
      </c>
      <c r="AA644" s="574"/>
      <c r="AB644" s="577">
        <v>45</v>
      </c>
      <c r="AC644" s="575"/>
      <c r="AD644" s="577">
        <v>1</v>
      </c>
      <c r="AE644" s="577" t="s">
        <v>385</v>
      </c>
      <c r="AF644" s="579" t="s">
        <v>369</v>
      </c>
      <c r="AG644" s="579" t="s">
        <v>369</v>
      </c>
      <c r="AH644" s="580">
        <v>0</v>
      </c>
      <c r="AI644" s="580"/>
      <c r="AJ644" s="580"/>
      <c r="AK644" s="580"/>
      <c r="AL644" s="581">
        <f>AH644*AD644</f>
        <v>0</v>
      </c>
      <c r="AM644" s="581"/>
      <c r="AN644" s="581"/>
      <c r="AO644" s="581"/>
      <c r="AP644" s="581"/>
      <c r="AQ644" s="581"/>
      <c r="AR644" s="139"/>
      <c r="AS644" s="139"/>
      <c r="AT644" s="139"/>
      <c r="AU644" s="139"/>
    </row>
    <row r="645" spans="1:47" ht="15" customHeight="1" x14ac:dyDescent="0.4">
      <c r="B645" s="4" t="str">
        <f>B430</f>
        <v>Impact Hotmelt glaze, golden (Henkel Purfect Glaze 1219461, 5 gal pail)</v>
      </c>
      <c r="C645" s="4"/>
      <c r="D645" s="36"/>
      <c r="E645" s="36"/>
      <c r="F645" s="36"/>
      <c r="G645" s="500"/>
      <c r="I645" s="47" t="s">
        <v>814</v>
      </c>
      <c r="L645" s="5"/>
      <c r="Q645" s="3"/>
      <c r="R645" s="5"/>
      <c r="S645" s="5">
        <f>((SLEQSGW*2)+(SLEQSGH*2))/12/392</f>
        <v>2.6360685941043085E-2</v>
      </c>
      <c r="T645" s="3" t="s">
        <v>815</v>
      </c>
      <c r="V645" s="4"/>
      <c r="W645" s="4"/>
      <c r="X645" s="56"/>
      <c r="Y645" s="1443">
        <f>Y430</f>
        <v>610027000</v>
      </c>
      <c r="Z645" s="56">
        <f>Z430</f>
        <v>251924</v>
      </c>
      <c r="AB645" s="3">
        <v>45</v>
      </c>
      <c r="AC645" s="5"/>
      <c r="AD645" s="3">
        <v>0</v>
      </c>
      <c r="AE645" s="3" t="s">
        <v>815</v>
      </c>
      <c r="AF645" s="38" t="s">
        <v>369</v>
      </c>
      <c r="AG645" s="38" t="s">
        <v>369</v>
      </c>
      <c r="AH645" s="477">
        <v>0</v>
      </c>
      <c r="AI645" s="477"/>
      <c r="AJ645" s="477"/>
      <c r="AK645" s="477"/>
      <c r="AL645" s="39">
        <f>AH645*AD645</f>
        <v>0</v>
      </c>
      <c r="AQ645" s="139"/>
      <c r="AR645" s="139"/>
      <c r="AS645" s="139"/>
      <c r="AT645" s="139"/>
      <c r="AU645" s="139"/>
    </row>
    <row r="646" spans="1:47" ht="15" customHeight="1" x14ac:dyDescent="0.4">
      <c r="B646" s="4" t="str">
        <f>B431</f>
        <v>Impact Hotmelt glaze, golden (Henkel Purfect Glaze 1219461, 55 gal drum)</v>
      </c>
      <c r="C646" s="4"/>
      <c r="D646" s="36"/>
      <c r="E646" s="36"/>
      <c r="F646" s="36"/>
      <c r="G646" s="500"/>
      <c r="I646" s="47"/>
      <c r="L646" s="5"/>
      <c r="Q646" s="3"/>
      <c r="R646" s="5"/>
      <c r="V646" s="4"/>
      <c r="W646" s="4"/>
      <c r="X646" s="56"/>
      <c r="Y646" s="1454">
        <f>Y431</f>
        <v>610027000002</v>
      </c>
      <c r="Z646" s="56">
        <f>Z431</f>
        <v>251931</v>
      </c>
      <c r="AC646" s="5"/>
      <c r="AD646" s="3"/>
      <c r="AE646" s="3"/>
      <c r="AF646" s="38"/>
      <c r="AG646" s="38"/>
      <c r="AH646" s="477"/>
      <c r="AI646" s="477"/>
      <c r="AJ646" s="477"/>
      <c r="AK646" s="477"/>
      <c r="AQ646" s="139"/>
      <c r="AR646" s="139"/>
      <c r="AS646" s="139"/>
      <c r="AT646" s="139"/>
      <c r="AU646" s="139"/>
    </row>
    <row r="647" spans="1:47" ht="15" customHeight="1" x14ac:dyDescent="0.4">
      <c r="B647" s="4" t="str">
        <f>B432</f>
        <v>Impact wet glaze, gray (Dow Corning 995, 10.3 oz tube)</v>
      </c>
      <c r="C647" s="4"/>
      <c r="D647" s="36"/>
      <c r="E647" s="36"/>
      <c r="F647" s="36"/>
      <c r="G647" s="500"/>
      <c r="I647" s="47" t="s">
        <v>814</v>
      </c>
      <c r="L647" s="5"/>
      <c r="Q647" s="3"/>
      <c r="R647" s="5"/>
      <c r="S647" s="5">
        <f>((SLEQSGW*2)+(SLEQSGH*2))/12/392</f>
        <v>2.6360685941043085E-2</v>
      </c>
      <c r="T647" s="3" t="s">
        <v>815</v>
      </c>
      <c r="V647" s="4" t="s">
        <v>1368</v>
      </c>
      <c r="W647" s="4"/>
      <c r="X647" s="56"/>
      <c r="Y647" s="1454">
        <f>Y432</f>
        <v>610007010002</v>
      </c>
      <c r="Z647" s="56"/>
      <c r="AC647" s="5"/>
      <c r="AD647" s="3"/>
      <c r="AE647" s="3"/>
      <c r="AF647" s="38"/>
      <c r="AG647" s="38"/>
      <c r="AH647" s="477"/>
      <c r="AI647" s="477"/>
      <c r="AJ647" s="477"/>
      <c r="AK647" s="477"/>
      <c r="AQ647" s="139"/>
      <c r="AR647" s="139"/>
      <c r="AS647" s="139"/>
      <c r="AT647" s="139"/>
      <c r="AU647" s="139"/>
    </row>
    <row r="648" spans="1:47" ht="15" customHeight="1" x14ac:dyDescent="0.4">
      <c r="B648" s="573" t="str">
        <f>B433</f>
        <v>Impact wet glaze, gray (Dow Corning 995, 5 gal pail)</v>
      </c>
      <c r="C648" s="573"/>
      <c r="D648" s="622"/>
      <c r="E648" s="622"/>
      <c r="F648" s="622"/>
      <c r="G648" s="223"/>
      <c r="H648" s="574"/>
      <c r="I648" s="577"/>
      <c r="J648" s="577"/>
      <c r="K648" s="577"/>
      <c r="L648" s="575"/>
      <c r="M648" s="575"/>
      <c r="N648" s="575"/>
      <c r="O648" s="575"/>
      <c r="P648" s="575"/>
      <c r="Q648" s="577"/>
      <c r="R648" s="575"/>
      <c r="S648" s="575" t="s">
        <v>1258</v>
      </c>
      <c r="T648" s="577" t="s">
        <v>815</v>
      </c>
      <c r="U648" s="574"/>
      <c r="V648" s="573" t="s">
        <v>1369</v>
      </c>
      <c r="W648" s="573"/>
      <c r="X648" s="576"/>
      <c r="Y648" s="1519">
        <f>Y433</f>
        <v>610007010001</v>
      </c>
      <c r="Z648" s="576"/>
      <c r="AA648" s="574"/>
      <c r="AB648" s="577"/>
      <c r="AC648" s="575"/>
      <c r="AD648" s="577"/>
      <c r="AE648" s="577"/>
      <c r="AF648" s="579"/>
      <c r="AG648" s="579"/>
      <c r="AH648" s="580"/>
      <c r="AI648" s="580"/>
      <c r="AJ648" s="580"/>
      <c r="AK648" s="580"/>
      <c r="AL648" s="581"/>
      <c r="AM648" s="581"/>
      <c r="AN648" s="581"/>
      <c r="AO648" s="581"/>
      <c r="AP648" s="581"/>
      <c r="AQ648" s="581"/>
      <c r="AR648" s="139"/>
      <c r="AS648" s="139"/>
      <c r="AT648" s="139"/>
      <c r="AU648" s="139"/>
    </row>
    <row r="649" spans="1:47" ht="15" customHeight="1" x14ac:dyDescent="0.4">
      <c r="B649" s="4" t="s">
        <v>819</v>
      </c>
      <c r="C649" s="4"/>
      <c r="D649" s="8"/>
      <c r="E649" s="8"/>
      <c r="F649" s="8"/>
      <c r="G649" s="3"/>
      <c r="J649" s="495"/>
      <c r="L649" s="5"/>
      <c r="Q649" s="3"/>
      <c r="R649" s="5"/>
      <c r="S649" s="5">
        <v>1</v>
      </c>
      <c r="T649" s="3" t="s">
        <v>385</v>
      </c>
      <c r="V649" s="4"/>
      <c r="W649" s="4"/>
      <c r="X649" s="56"/>
      <c r="Y649" s="3">
        <v>620001000</v>
      </c>
      <c r="AA649" s="14">
        <v>45</v>
      </c>
      <c r="AB649" s="3">
        <v>45</v>
      </c>
      <c r="AC649" s="5"/>
      <c r="AD649" s="56">
        <v>0</v>
      </c>
      <c r="AE649" s="3" t="s">
        <v>385</v>
      </c>
      <c r="AF649" s="38" t="s">
        <v>369</v>
      </c>
      <c r="AG649" s="38" t="s">
        <v>369</v>
      </c>
      <c r="AH649" s="477">
        <v>0</v>
      </c>
      <c r="AI649" s="477"/>
      <c r="AJ649" s="477"/>
      <c r="AK649" s="477"/>
      <c r="AL649" s="39">
        <f t="shared" ref="AL649:AL654" si="39">AH649*AD649</f>
        <v>0</v>
      </c>
      <c r="AQ649" s="139"/>
      <c r="AR649" s="139"/>
      <c r="AS649" s="139"/>
      <c r="AT649" s="139"/>
      <c r="AU649" s="139"/>
    </row>
    <row r="650" spans="1:47" ht="15" customHeight="1" x14ac:dyDescent="0.4">
      <c r="B650" s="4" t="s">
        <v>822</v>
      </c>
      <c r="C650" s="4"/>
      <c r="D650" s="8"/>
      <c r="E650" s="3"/>
      <c r="F650" s="8"/>
      <c r="G650" s="3"/>
      <c r="L650" s="5"/>
      <c r="Q650" s="3"/>
      <c r="R650" s="5"/>
      <c r="S650" s="5">
        <v>1</v>
      </c>
      <c r="T650" s="3" t="s">
        <v>385</v>
      </c>
      <c r="V650" s="4"/>
      <c r="W650" s="4"/>
      <c r="X650" s="56"/>
      <c r="Y650" s="3">
        <v>620007000</v>
      </c>
      <c r="AB650" s="3">
        <v>45</v>
      </c>
      <c r="AC650" s="5"/>
      <c r="AD650" s="56">
        <v>0</v>
      </c>
      <c r="AE650" s="3" t="s">
        <v>385</v>
      </c>
      <c r="AF650" s="38" t="s">
        <v>369</v>
      </c>
      <c r="AG650" s="38" t="s">
        <v>369</v>
      </c>
      <c r="AH650" s="477">
        <v>0</v>
      </c>
      <c r="AI650" s="477"/>
      <c r="AJ650" s="477"/>
      <c r="AK650" s="477"/>
      <c r="AL650" s="39">
        <f t="shared" si="39"/>
        <v>0</v>
      </c>
      <c r="AQ650" s="139"/>
      <c r="AR650" s="139"/>
      <c r="AS650" s="139"/>
      <c r="AT650" s="139"/>
      <c r="AU650" s="139"/>
    </row>
    <row r="651" spans="1:47" ht="15" customHeight="1" x14ac:dyDescent="0.4">
      <c r="B651" s="4" t="s">
        <v>823</v>
      </c>
      <c r="C651" s="4"/>
      <c r="D651" s="8"/>
      <c r="E651" s="8"/>
      <c r="F651" s="8"/>
      <c r="G651" s="3"/>
      <c r="L651" s="5"/>
      <c r="Q651" s="3"/>
      <c r="R651" s="5"/>
      <c r="S651" s="5">
        <v>1</v>
      </c>
      <c r="T651" s="3" t="s">
        <v>385</v>
      </c>
      <c r="V651" s="4"/>
      <c r="W651" s="4"/>
      <c r="X651" s="56"/>
      <c r="Y651" s="3">
        <v>620002000</v>
      </c>
      <c r="AA651" s="14">
        <v>45</v>
      </c>
      <c r="AB651" s="3">
        <v>45</v>
      </c>
      <c r="AC651" s="5"/>
      <c r="AD651" s="56">
        <v>0</v>
      </c>
      <c r="AE651" s="3" t="s">
        <v>385</v>
      </c>
      <c r="AF651" s="38" t="s">
        <v>369</v>
      </c>
      <c r="AG651" s="38" t="s">
        <v>369</v>
      </c>
      <c r="AH651" s="477">
        <v>0</v>
      </c>
      <c r="AI651" s="477"/>
      <c r="AJ651" s="477"/>
      <c r="AK651" s="477"/>
      <c r="AL651" s="39">
        <f t="shared" si="39"/>
        <v>0</v>
      </c>
      <c r="AQ651" s="139"/>
      <c r="AR651" s="139"/>
      <c r="AS651" s="139"/>
      <c r="AT651" s="139"/>
      <c r="AU651" s="139"/>
    </row>
    <row r="652" spans="1:47" ht="15" customHeight="1" x14ac:dyDescent="0.4">
      <c r="B652" s="4" t="s">
        <v>825</v>
      </c>
      <c r="C652" s="4"/>
      <c r="D652" s="8"/>
      <c r="E652" s="8"/>
      <c r="F652" s="8"/>
      <c r="G652" s="3"/>
      <c r="L652" s="5"/>
      <c r="Q652" s="3"/>
      <c r="R652" s="5"/>
      <c r="S652" s="5">
        <v>1</v>
      </c>
      <c r="T652" s="3" t="s">
        <v>385</v>
      </c>
      <c r="V652" s="4"/>
      <c r="W652" s="4"/>
      <c r="X652" s="56"/>
      <c r="Y652" s="3">
        <v>620003000</v>
      </c>
      <c r="AA652" s="14">
        <v>45</v>
      </c>
      <c r="AB652" s="3">
        <v>45</v>
      </c>
      <c r="AC652" s="5"/>
      <c r="AD652" s="56">
        <v>4</v>
      </c>
      <c r="AE652" s="3" t="s">
        <v>385</v>
      </c>
      <c r="AF652" s="38" t="s">
        <v>369</v>
      </c>
      <c r="AG652" s="38" t="s">
        <v>369</v>
      </c>
      <c r="AH652" s="477">
        <v>1.2200000000000001E-2</v>
      </c>
      <c r="AI652" s="477"/>
      <c r="AJ652" s="477"/>
      <c r="AK652" s="477"/>
      <c r="AL652" s="39">
        <f t="shared" si="39"/>
        <v>4.8800000000000003E-2</v>
      </c>
      <c r="AQ652" s="139"/>
      <c r="AR652" s="139"/>
      <c r="AS652" s="139"/>
      <c r="AT652" s="139"/>
      <c r="AU652" s="139"/>
    </row>
    <row r="653" spans="1:47" ht="15" customHeight="1" x14ac:dyDescent="0.4">
      <c r="B653" s="4" t="s">
        <v>827</v>
      </c>
      <c r="C653" s="4"/>
      <c r="D653" s="8"/>
      <c r="E653" s="3"/>
      <c r="F653" s="8"/>
      <c r="G653" s="3"/>
      <c r="L653" s="5"/>
      <c r="Q653" s="3"/>
      <c r="R653" s="5"/>
      <c r="S653" s="5">
        <v>1</v>
      </c>
      <c r="T653" s="3" t="s">
        <v>385</v>
      </c>
      <c r="V653" s="4"/>
      <c r="W653" s="4"/>
      <c r="X653" s="56"/>
      <c r="Y653" s="3">
        <v>620008000</v>
      </c>
      <c r="AB653" s="3">
        <v>45</v>
      </c>
      <c r="AC653" s="5"/>
      <c r="AD653" s="56">
        <v>0</v>
      </c>
      <c r="AE653" s="3" t="s">
        <v>385</v>
      </c>
      <c r="AF653" s="38" t="s">
        <v>369</v>
      </c>
      <c r="AG653" s="38" t="s">
        <v>369</v>
      </c>
      <c r="AH653" s="477">
        <v>0</v>
      </c>
      <c r="AI653" s="477"/>
      <c r="AJ653" s="477"/>
      <c r="AK653" s="477"/>
      <c r="AL653" s="39">
        <f t="shared" si="39"/>
        <v>0</v>
      </c>
      <c r="AQ653" s="139"/>
      <c r="AR653" s="139"/>
      <c r="AS653" s="139"/>
      <c r="AT653" s="139"/>
      <c r="AU653" s="139"/>
    </row>
    <row r="654" spans="1:47" ht="15" customHeight="1" x14ac:dyDescent="0.4">
      <c r="B654" s="4" t="s">
        <v>828</v>
      </c>
      <c r="C654" s="4"/>
      <c r="D654" s="8"/>
      <c r="E654" s="8"/>
      <c r="F654" s="8"/>
      <c r="G654" s="3"/>
      <c r="L654" s="5"/>
      <c r="Q654" s="3"/>
      <c r="R654" s="5"/>
      <c r="S654" s="5">
        <v>1</v>
      </c>
      <c r="T654" s="3" t="s">
        <v>385</v>
      </c>
      <c r="V654" s="4"/>
      <c r="W654" s="4"/>
      <c r="X654" s="56"/>
      <c r="Y654" s="3">
        <v>620004000</v>
      </c>
      <c r="AA654" s="14">
        <v>45</v>
      </c>
      <c r="AB654" s="3">
        <v>45</v>
      </c>
      <c r="AC654" s="5"/>
      <c r="AD654" s="56">
        <v>4</v>
      </c>
      <c r="AE654" s="3" t="s">
        <v>385</v>
      </c>
      <c r="AF654" s="38" t="s">
        <v>369</v>
      </c>
      <c r="AG654" s="38" t="s">
        <v>369</v>
      </c>
      <c r="AH654" s="477">
        <v>1.84E-2</v>
      </c>
      <c r="AI654" s="477"/>
      <c r="AJ654" s="477"/>
      <c r="AK654" s="477"/>
      <c r="AL654" s="39">
        <f t="shared" si="39"/>
        <v>7.3599999999999999E-2</v>
      </c>
      <c r="AQ654" s="139"/>
      <c r="AR654" s="139"/>
      <c r="AS654" s="139"/>
      <c r="AT654" s="139"/>
      <c r="AU654" s="139"/>
    </row>
    <row r="655" spans="1:47" ht="15" customHeight="1" x14ac:dyDescent="0.4">
      <c r="A655" s="3" t="s">
        <v>911</v>
      </c>
      <c r="B655" s="728" t="str">
        <f>"Half Screen: "&amp;FIXED($S$656,3)&amp;" W x "&amp;FIXED($S$657,3)&amp;" H"</f>
        <v>Half Screen: 21.063 W x 43.000 H</v>
      </c>
      <c r="C655" s="728"/>
      <c r="D655" s="728"/>
      <c r="E655" s="728"/>
      <c r="F655" s="728"/>
      <c r="G655" s="729"/>
      <c r="H655" s="730"/>
      <c r="I655" s="730"/>
      <c r="J655" s="730"/>
      <c r="K655" s="731"/>
      <c r="L655" s="731"/>
      <c r="M655" s="731"/>
      <c r="N655" s="731"/>
      <c r="O655" s="731"/>
      <c r="P655" s="731"/>
      <c r="Q655" s="731"/>
      <c r="R655" s="731"/>
      <c r="S655" s="618"/>
      <c r="T655" s="618"/>
      <c r="U655" s="618"/>
      <c r="V655" s="618"/>
      <c r="W655" s="618"/>
      <c r="X655" s="618"/>
      <c r="Y655" s="618"/>
      <c r="Z655" s="618"/>
      <c r="AA655" s="615"/>
      <c r="AB655" s="618"/>
      <c r="AC655" s="618"/>
      <c r="AD655" s="618"/>
      <c r="AE655" s="618"/>
      <c r="AF655" s="732"/>
      <c r="AG655" s="618"/>
      <c r="AH655" s="734"/>
      <c r="AI655" s="734"/>
      <c r="AJ655" s="734"/>
      <c r="AK655" s="734"/>
      <c r="AL655" s="736" t="e">
        <f>SHHalfScreenCost</f>
        <v>#NAME?</v>
      </c>
      <c r="AM655" s="734"/>
      <c r="AN655" s="734"/>
      <c r="AO655" s="734"/>
      <c r="AP655" s="734"/>
      <c r="AQ655" s="734"/>
      <c r="AR655" s="139"/>
      <c r="AS655" s="139"/>
      <c r="AT655" s="139"/>
      <c r="AU655" s="139"/>
    </row>
    <row r="656" spans="1:47" ht="15" customHeight="1" x14ac:dyDescent="0.4">
      <c r="B656" s="7"/>
      <c r="C656" s="7" t="s">
        <v>913</v>
      </c>
      <c r="D656" s="7"/>
      <c r="E656" s="7"/>
      <c r="F656" s="7"/>
      <c r="G656" s="7"/>
      <c r="H656" s="516"/>
      <c r="I656" s="517" t="s">
        <v>392</v>
      </c>
      <c r="J656" s="38" t="s">
        <v>346</v>
      </c>
      <c r="K656" s="3">
        <v>3</v>
      </c>
      <c r="L656" s="3" t="s">
        <v>348</v>
      </c>
      <c r="M656" s="5">
        <f>'All Screens'!AS7</f>
        <v>-2.77</v>
      </c>
      <c r="N656" s="3"/>
      <c r="O656" s="3"/>
      <c r="P656" s="3" t="s">
        <v>348</v>
      </c>
      <c r="Q656" s="5" t="s">
        <v>2315</v>
      </c>
      <c r="R656" s="3" t="s">
        <v>352</v>
      </c>
      <c r="S656" s="5">
        <f>SLEQwidth/K656+M656+SLEQSORnd</f>
        <v>21.063333333333333</v>
      </c>
      <c r="T656" s="3" t="s">
        <v>366</v>
      </c>
      <c r="AA656" s="20"/>
      <c r="AD656" s="3"/>
      <c r="AE656" s="3"/>
      <c r="AF656" s="216"/>
      <c r="AG656" s="3"/>
      <c r="AH656" s="5"/>
      <c r="AI656" s="5"/>
      <c r="AJ656" s="5"/>
      <c r="AK656" s="5"/>
      <c r="AL656" s="77"/>
      <c r="AM656" s="5"/>
      <c r="AN656" s="5"/>
      <c r="AO656" s="5"/>
      <c r="AP656" s="5"/>
      <c r="AQ656" s="5"/>
      <c r="AR656" s="139"/>
      <c r="AS656" s="139"/>
      <c r="AT656" s="139"/>
      <c r="AU656" s="139"/>
    </row>
    <row r="657" spans="1:49" ht="15" customHeight="1" x14ac:dyDescent="0.4">
      <c r="B657" s="7"/>
      <c r="C657" s="7" t="s">
        <v>914</v>
      </c>
      <c r="D657" s="7"/>
      <c r="E657" s="7"/>
      <c r="F657" s="7"/>
      <c r="G657" s="7"/>
      <c r="H657" s="516"/>
      <c r="I657" s="4" t="s">
        <v>365</v>
      </c>
      <c r="J657" s="4"/>
      <c r="L657" s="3" t="s">
        <v>348</v>
      </c>
      <c r="M657" s="3">
        <f>'All Screens'!AS8</f>
        <v>-4.5</v>
      </c>
      <c r="N657" s="3"/>
      <c r="O657" s="3"/>
      <c r="P657" s="3"/>
      <c r="Q657" s="3"/>
      <c r="R657" s="3" t="s">
        <v>352</v>
      </c>
      <c r="S657" s="3">
        <f>SLEQheight+M657</f>
        <v>43</v>
      </c>
      <c r="T657" s="3" t="s">
        <v>366</v>
      </c>
      <c r="AA657" s="20"/>
      <c r="AD657" s="3"/>
      <c r="AE657" s="3"/>
      <c r="AF657" s="216"/>
      <c r="AG657" s="3"/>
      <c r="AH657" s="5"/>
      <c r="AI657" s="5"/>
      <c r="AJ657" s="5"/>
      <c r="AK657" s="5"/>
      <c r="AL657" s="77"/>
      <c r="AM657" s="5"/>
      <c r="AN657" s="5"/>
      <c r="AO657" s="5"/>
      <c r="AP657" s="5"/>
      <c r="AQ657" s="5"/>
      <c r="AR657" s="518"/>
      <c r="AS657" s="518"/>
      <c r="AT657" s="518"/>
      <c r="AU657" s="518"/>
      <c r="AV657" s="4"/>
      <c r="AW657" s="4"/>
    </row>
    <row r="658" spans="1:49" ht="15" customHeight="1" x14ac:dyDescent="0.4">
      <c r="B658" s="728" t="s">
        <v>1370</v>
      </c>
      <c r="C658" s="728"/>
      <c r="D658" s="728"/>
      <c r="E658" s="728"/>
      <c r="F658" s="728"/>
      <c r="G658" s="728"/>
      <c r="H658" s="728"/>
      <c r="I658" s="730"/>
      <c r="J658" s="731"/>
      <c r="K658" s="731"/>
      <c r="L658" s="731"/>
      <c r="M658" s="731"/>
      <c r="N658" s="731"/>
      <c r="O658" s="731"/>
      <c r="P658" s="731"/>
      <c r="Q658" s="731"/>
      <c r="R658" s="731"/>
      <c r="S658" s="618"/>
      <c r="T658" s="618"/>
      <c r="U658" s="618"/>
      <c r="V658" s="618"/>
      <c r="W658" s="618"/>
      <c r="X658" s="618"/>
      <c r="Y658" s="618"/>
      <c r="Z658" s="618"/>
      <c r="AA658" s="615"/>
      <c r="AB658" s="618"/>
      <c r="AC658" s="618"/>
      <c r="AD658" s="618"/>
      <c r="AE658" s="618"/>
      <c r="AF658" s="732"/>
      <c r="AG658" s="618"/>
      <c r="AH658" s="618"/>
      <c r="AI658" s="618"/>
      <c r="AJ658" s="618"/>
      <c r="AK658" s="618"/>
      <c r="AL658" s="734" t="e">
        <f>+SUBTOTAL(109,Accessories!#REF!)</f>
        <v>#REF!</v>
      </c>
      <c r="AM658" s="618"/>
      <c r="AN658" s="618"/>
      <c r="AO658" s="618"/>
      <c r="AP658" s="618"/>
      <c r="AQ658" s="618"/>
      <c r="AR658" s="521"/>
      <c r="AS658" s="522"/>
      <c r="AT658" s="522"/>
      <c r="AU658" s="522"/>
      <c r="AV658" s="523"/>
      <c r="AW658" s="523"/>
    </row>
    <row r="659" spans="1:49" ht="15" customHeight="1" x14ac:dyDescent="0.4">
      <c r="B659" s="316"/>
      <c r="C659" s="316"/>
      <c r="D659" s="316"/>
      <c r="E659" s="316"/>
      <c r="F659" s="316"/>
      <c r="G659" s="316"/>
      <c r="I659" s="443"/>
      <c r="J659" s="376"/>
      <c r="L659" s="376"/>
      <c r="R659" s="376"/>
      <c r="Y659" s="43"/>
      <c r="Z659" s="43"/>
      <c r="AD659" s="3"/>
      <c r="AE659" s="3"/>
      <c r="AF659" s="216"/>
      <c r="AG659" s="3"/>
      <c r="AH659" s="3"/>
      <c r="AI659" s="3"/>
      <c r="AJ659" s="3"/>
      <c r="AK659" s="3"/>
      <c r="AL659" s="5"/>
      <c r="AR659" s="521"/>
      <c r="AS659" s="261"/>
      <c r="AT659" s="261"/>
      <c r="AU659" s="261"/>
      <c r="AV659" s="262"/>
      <c r="AW659" s="262"/>
    </row>
    <row r="660" spans="1:49" ht="15" customHeight="1" x14ac:dyDescent="0.4">
      <c r="B660" s="3"/>
      <c r="C660" s="7" t="s">
        <v>1371</v>
      </c>
      <c r="D660" s="316"/>
      <c r="E660" s="316"/>
      <c r="F660" s="316"/>
      <c r="G660" s="316"/>
      <c r="I660" s="443"/>
      <c r="J660" s="376"/>
      <c r="L660" s="376"/>
      <c r="R660" s="376"/>
      <c r="Y660" s="43"/>
      <c r="Z660" s="43"/>
      <c r="AD660" s="3"/>
      <c r="AE660" s="3"/>
      <c r="AF660" s="216"/>
      <c r="AG660" s="3"/>
      <c r="AH660" s="3"/>
      <c r="AI660" s="3"/>
      <c r="AJ660" s="3"/>
      <c r="AK660" s="3"/>
      <c r="AL660" s="5"/>
      <c r="AR660" s="521"/>
      <c r="AS660" s="261"/>
      <c r="AT660" s="261"/>
      <c r="AU660" s="261"/>
      <c r="AV660" s="262"/>
      <c r="AW660" s="262"/>
    </row>
    <row r="661" spans="1:49" ht="15" customHeight="1" x14ac:dyDescent="0.4">
      <c r="B661" s="7"/>
      <c r="C661" s="316"/>
      <c r="D661" s="316"/>
      <c r="E661" s="316"/>
      <c r="F661" s="316"/>
      <c r="G661" s="316"/>
      <c r="I661" s="443"/>
      <c r="J661" s="376"/>
      <c r="L661" s="376"/>
      <c r="R661" s="376"/>
      <c r="Y661" s="43"/>
      <c r="Z661" s="43"/>
      <c r="AD661" s="3"/>
      <c r="AE661" s="3"/>
      <c r="AF661" s="216"/>
      <c r="AG661" s="3"/>
      <c r="AH661" s="3"/>
      <c r="AI661" s="3"/>
      <c r="AJ661" s="3"/>
      <c r="AK661" s="3"/>
      <c r="AL661" s="5"/>
      <c r="AR661" s="521"/>
      <c r="AS661" s="261"/>
      <c r="AT661" s="261"/>
      <c r="AU661" s="261"/>
      <c r="AV661" s="262"/>
      <c r="AW661" s="262"/>
    </row>
    <row r="662" spans="1:49" ht="15" customHeight="1" x14ac:dyDescent="0.4">
      <c r="B662" s="728" t="s">
        <v>932</v>
      </c>
      <c r="C662" s="745"/>
      <c r="D662" s="729"/>
      <c r="E662" s="729"/>
      <c r="F662" s="729"/>
      <c r="G662" s="728"/>
      <c r="H662" s="728"/>
      <c r="I662" s="730"/>
      <c r="J662" s="731"/>
      <c r="K662" s="731"/>
      <c r="L662" s="731"/>
      <c r="M662" s="731"/>
      <c r="N662" s="731"/>
      <c r="O662" s="731"/>
      <c r="P662" s="731"/>
      <c r="Q662" s="731"/>
      <c r="R662" s="731"/>
      <c r="S662" s="618"/>
      <c r="T662" s="618"/>
      <c r="U662" s="618"/>
      <c r="V662" s="618"/>
      <c r="W662" s="618"/>
      <c r="X662" s="618"/>
      <c r="Y662" s="618"/>
      <c r="Z662" s="618"/>
      <c r="AA662" s="615"/>
      <c r="AB662" s="615"/>
      <c r="AC662" s="615"/>
      <c r="AD662" s="615"/>
      <c r="AE662" s="615"/>
      <c r="AF662" s="746"/>
      <c r="AG662" s="731"/>
      <c r="AH662" s="748"/>
      <c r="AI662" s="748"/>
      <c r="AJ662" s="748"/>
      <c r="AK662" s="748"/>
      <c r="AL662" s="734" t="e">
        <f>+SUBTOTAL(109,#REF!)</f>
        <v>#REF!</v>
      </c>
      <c r="AM662" s="748"/>
      <c r="AN662" s="748"/>
      <c r="AO662" s="748"/>
      <c r="AP662" s="748"/>
      <c r="AQ662" s="748"/>
      <c r="AR662" s="521"/>
      <c r="AS662" s="261"/>
      <c r="AT662" s="261"/>
      <c r="AU662" s="261"/>
      <c r="AV662" s="262"/>
      <c r="AW662" s="262"/>
    </row>
    <row r="663" spans="1:49" ht="15" customHeight="1" x14ac:dyDescent="0.4">
      <c r="B663" s="155"/>
      <c r="F663" s="108"/>
      <c r="G663" s="109"/>
      <c r="I663" s="443"/>
      <c r="J663" s="376"/>
      <c r="L663" s="376"/>
      <c r="R663" s="376"/>
      <c r="Y663" s="43"/>
      <c r="Z663" s="43"/>
      <c r="AD663" s="44"/>
      <c r="AE663" s="45" t="s">
        <v>454</v>
      </c>
      <c r="AF663" s="45"/>
      <c r="AG663" s="45"/>
      <c r="AH663" s="54"/>
      <c r="AI663" s="54"/>
      <c r="AJ663" s="54"/>
      <c r="AK663" s="54"/>
      <c r="AL663" s="55"/>
      <c r="AM663" s="519"/>
      <c r="AN663" s="519"/>
      <c r="AO663" s="519"/>
      <c r="AP663" s="519"/>
      <c r="AQ663" s="520"/>
      <c r="AR663" s="521"/>
      <c r="AS663" s="261"/>
      <c r="AT663" s="261"/>
      <c r="AU663" s="261"/>
      <c r="AV663" s="262"/>
      <c r="AW663" s="262"/>
    </row>
    <row r="664" spans="1:49" ht="15" customHeight="1" x14ac:dyDescent="0.4">
      <c r="B664" s="7"/>
      <c r="C664" s="7" t="s">
        <v>1371</v>
      </c>
      <c r="D664" s="3"/>
      <c r="F664" s="108"/>
      <c r="G664" s="109"/>
      <c r="I664" s="443"/>
      <c r="J664" s="376"/>
      <c r="L664" s="376"/>
      <c r="R664" s="376"/>
      <c r="Y664" s="43"/>
      <c r="Z664" s="43"/>
      <c r="AD664" s="44"/>
      <c r="AE664" s="45" t="s">
        <v>454</v>
      </c>
      <c r="AF664" s="45"/>
      <c r="AG664" s="45"/>
      <c r="AH664" s="54"/>
      <c r="AI664" s="54"/>
      <c r="AJ664" s="54"/>
      <c r="AK664" s="54"/>
      <c r="AL664" s="55"/>
      <c r="AM664" s="519"/>
      <c r="AN664" s="519"/>
      <c r="AO664" s="519"/>
      <c r="AP664" s="519"/>
      <c r="AQ664" s="520"/>
      <c r="AR664" s="521"/>
      <c r="AS664" s="261"/>
      <c r="AT664" s="261"/>
      <c r="AU664" s="261"/>
      <c r="AV664" s="262"/>
      <c r="AW664" s="262"/>
    </row>
    <row r="665" spans="1:49" ht="15" customHeight="1" x14ac:dyDescent="0.4">
      <c r="B665" s="155"/>
      <c r="F665" s="108"/>
      <c r="G665" s="109"/>
      <c r="I665" s="443"/>
      <c r="J665" s="376"/>
      <c r="L665" s="376"/>
      <c r="R665" s="376"/>
      <c r="Y665" s="43"/>
      <c r="Z665" s="43"/>
      <c r="AD665" s="44"/>
      <c r="AE665" s="45" t="s">
        <v>454</v>
      </c>
      <c r="AF665" s="45"/>
      <c r="AG665" s="45"/>
      <c r="AH665" s="54"/>
      <c r="AI665" s="54"/>
      <c r="AJ665" s="54"/>
      <c r="AK665" s="54"/>
      <c r="AL665" s="55"/>
      <c r="AM665" s="519"/>
      <c r="AN665" s="519"/>
      <c r="AO665" s="519"/>
      <c r="AP665" s="519"/>
      <c r="AQ665" s="520"/>
      <c r="AR665" s="521"/>
      <c r="AS665" s="261"/>
      <c r="AT665" s="261"/>
      <c r="AU665" s="261"/>
      <c r="AV665" s="262"/>
      <c r="AW665" s="262"/>
    </row>
    <row r="666" spans="1:49" ht="15" customHeight="1" x14ac:dyDescent="0.4">
      <c r="B666" s="42"/>
      <c r="F666" s="108"/>
      <c r="G666" s="109"/>
      <c r="I666" s="443"/>
      <c r="J666" s="376"/>
      <c r="L666" s="376"/>
      <c r="R666" s="376"/>
      <c r="Y666" s="43"/>
      <c r="Z666" s="43"/>
      <c r="AD666" s="44"/>
      <c r="AE666" s="45" t="s">
        <v>454</v>
      </c>
      <c r="AF666" s="45"/>
      <c r="AG666" s="45"/>
      <c r="AH666" s="54"/>
      <c r="AI666" s="54"/>
      <c r="AJ666" s="54"/>
      <c r="AK666" s="54"/>
      <c r="AL666" s="55"/>
    </row>
    <row r="667" spans="1:49" ht="15" customHeight="1" x14ac:dyDescent="0.4">
      <c r="A667" s="14"/>
      <c r="B667" s="10"/>
      <c r="C667" s="11"/>
      <c r="D667" s="12"/>
      <c r="E667" s="12"/>
      <c r="F667" s="12"/>
      <c r="G667" s="13"/>
      <c r="I667" s="15"/>
      <c r="J667" s="16"/>
      <c r="K667" s="14"/>
      <c r="L667" s="16"/>
      <c r="M667" s="17"/>
      <c r="N667" s="17"/>
      <c r="O667" s="17"/>
      <c r="P667" s="17"/>
      <c r="Q667" s="17"/>
      <c r="R667" s="16"/>
      <c r="S667" s="17"/>
      <c r="T667" s="16"/>
      <c r="V667" s="14"/>
      <c r="W667" s="18"/>
      <c r="X667" s="18"/>
      <c r="Y667" s="14"/>
      <c r="Z667" s="14"/>
      <c r="AB667" s="17"/>
      <c r="AC667" s="14"/>
      <c r="AD667" s="17"/>
      <c r="AE667" s="10"/>
      <c r="AF667" s="10"/>
      <c r="AG667" s="10"/>
      <c r="AH667" s="48"/>
      <c r="AI667" s="48"/>
      <c r="AJ667" s="48"/>
      <c r="AK667" s="48"/>
      <c r="AL667" s="19"/>
      <c r="AM667" s="48"/>
      <c r="AN667" s="19"/>
      <c r="AO667" s="19"/>
      <c r="AP667" s="19"/>
      <c r="AQ667" s="19"/>
    </row>
    <row r="668" spans="1:49" ht="15" customHeight="1" x14ac:dyDescent="0.4">
      <c r="D668" s="452"/>
      <c r="E668" s="452"/>
      <c r="F668" s="452"/>
      <c r="G668" s="453"/>
      <c r="H668" s="3"/>
      <c r="I668" s="443"/>
      <c r="J668" s="376"/>
      <c r="L668" s="376"/>
      <c r="R668" s="376"/>
      <c r="T668" s="376"/>
      <c r="U668" s="3"/>
      <c r="W668" s="6"/>
      <c r="X668" s="6"/>
      <c r="AA668" s="3"/>
      <c r="AB668" s="5"/>
      <c r="AE668" s="4"/>
      <c r="AF668" s="4"/>
      <c r="AG668" s="4"/>
      <c r="AM668" s="51"/>
      <c r="AN668" s="39"/>
    </row>
    <row r="669" spans="1:49" ht="20.25" customHeight="1" x14ac:dyDescent="0.4">
      <c r="B669" s="76" t="s">
        <v>1008</v>
      </c>
      <c r="D669" s="452"/>
      <c r="E669" s="452"/>
      <c r="F669" s="452"/>
      <c r="G669" s="453"/>
      <c r="H669" s="3"/>
      <c r="I669" s="443"/>
      <c r="J669" s="376"/>
      <c r="L669" s="376"/>
      <c r="R669" s="376"/>
      <c r="T669" s="376"/>
      <c r="U669" s="3"/>
      <c r="W669" s="6"/>
      <c r="X669" s="6"/>
      <c r="AA669" s="3"/>
      <c r="AB669" s="5"/>
      <c r="AE669" s="4"/>
      <c r="AF669" s="4"/>
      <c r="AG669" s="4"/>
      <c r="AM669" s="51"/>
      <c r="AN669" s="39"/>
    </row>
    <row r="670" spans="1:49" ht="15" customHeight="1" x14ac:dyDescent="0.25">
      <c r="B670" s="81" t="s">
        <v>1009</v>
      </c>
      <c r="C670" s="525"/>
      <c r="D670" s="526"/>
      <c r="E670" s="526"/>
      <c r="F670" s="526"/>
      <c r="G670" s="527"/>
      <c r="H670" s="438"/>
      <c r="I670" s="124" t="s">
        <v>392</v>
      </c>
      <c r="J670" s="528" t="s">
        <v>346</v>
      </c>
      <c r="K670" s="438">
        <v>3</v>
      </c>
      <c r="L670" s="528" t="s">
        <v>348</v>
      </c>
      <c r="M670" s="529">
        <v>-3.5138333300000002</v>
      </c>
      <c r="N670" s="530"/>
      <c r="O670" s="530"/>
      <c r="P670" s="530" t="s">
        <v>348</v>
      </c>
      <c r="Q670" s="530" t="s">
        <v>2315</v>
      </c>
      <c r="R670" s="528" t="s">
        <v>352</v>
      </c>
      <c r="S670" s="530">
        <f>SLEQwidth/K670+M670+SLEQSORnd</f>
        <v>20.319500003333332</v>
      </c>
      <c r="T670" s="528" t="s">
        <v>366</v>
      </c>
      <c r="U670" s="3"/>
      <c r="W670" s="6"/>
      <c r="X670" s="6"/>
      <c r="AA670" s="3"/>
      <c r="AB670" s="5"/>
      <c r="AE670" s="4"/>
      <c r="AF670" s="4"/>
      <c r="AG670" s="4"/>
      <c r="AM670" s="51"/>
      <c r="AN670" s="39"/>
    </row>
    <row r="671" spans="1:49" ht="15" customHeight="1" thickBot="1" x14ac:dyDescent="0.3">
      <c r="B671" s="81" t="s">
        <v>1010</v>
      </c>
      <c r="C671" s="3"/>
      <c r="D671" s="526"/>
      <c r="E671" s="526"/>
      <c r="F671" s="526"/>
      <c r="G671" s="527"/>
      <c r="H671" s="438"/>
      <c r="I671" s="124" t="s">
        <v>365</v>
      </c>
      <c r="J671" s="528"/>
      <c r="K671" s="438"/>
      <c r="L671" s="528" t="s">
        <v>348</v>
      </c>
      <c r="M671" s="529">
        <v>-5.1139999999999999</v>
      </c>
      <c r="N671" s="530"/>
      <c r="O671" s="530"/>
      <c r="P671" s="530"/>
      <c r="Q671" s="530"/>
      <c r="R671" s="528" t="s">
        <v>352</v>
      </c>
      <c r="S671" s="530">
        <f>SLEQheight+M671</f>
        <v>42.386000000000003</v>
      </c>
      <c r="T671" s="528" t="s">
        <v>366</v>
      </c>
      <c r="U671" s="3"/>
      <c r="W671" s="376"/>
      <c r="X671" s="376"/>
      <c r="AA671" s="3"/>
      <c r="AB671" s="5"/>
      <c r="AC671" s="5"/>
      <c r="AE671" s="4"/>
      <c r="AF671" s="4"/>
      <c r="AG671" s="4"/>
      <c r="AM671" s="51"/>
      <c r="AN671" s="39"/>
    </row>
    <row r="672" spans="1:49" ht="15" customHeight="1" thickBot="1" x14ac:dyDescent="0.3">
      <c r="D672" s="452"/>
      <c r="E672" s="452"/>
      <c r="F672" s="452"/>
      <c r="G672" s="453"/>
      <c r="H672" s="3"/>
      <c r="I672" s="295" t="s">
        <v>1011</v>
      </c>
      <c r="J672" s="376"/>
      <c r="L672" s="376"/>
      <c r="P672" s="5" t="s">
        <v>346</v>
      </c>
      <c r="Q672" s="56">
        <v>144</v>
      </c>
      <c r="R672" s="376" t="s">
        <v>352</v>
      </c>
      <c r="S672" s="1986">
        <f>S670*S671/Q672</f>
        <v>5.9809883829256014</v>
      </c>
      <c r="T672" s="1987"/>
      <c r="U672" s="3"/>
      <c r="V672" s="8" t="s">
        <v>1012</v>
      </c>
      <c r="W672" s="376"/>
      <c r="X672" s="376"/>
      <c r="AA672" s="3"/>
      <c r="AE672" s="4"/>
      <c r="AF672" s="4"/>
      <c r="AG672" s="4"/>
      <c r="AM672" s="51"/>
      <c r="AN672" s="39"/>
    </row>
    <row r="673" spans="1:46" ht="15" customHeight="1" thickBot="1" x14ac:dyDescent="0.45">
      <c r="D673" s="452"/>
      <c r="E673" s="452"/>
      <c r="F673" s="452"/>
      <c r="G673" s="453"/>
      <c r="H673" s="3"/>
      <c r="I673" s="443"/>
      <c r="J673" s="376"/>
      <c r="L673" s="376"/>
      <c r="M673" s="3"/>
      <c r="N673" s="3"/>
      <c r="O673" s="3"/>
      <c r="P673" s="3"/>
      <c r="Q673" s="3"/>
      <c r="R673" s="376"/>
      <c r="S673" s="1986">
        <f>S670*S671</f>
        <v>861.26232714128662</v>
      </c>
      <c r="T673" s="1987"/>
      <c r="U673" s="3"/>
      <c r="V673" s="8" t="s">
        <v>1013</v>
      </c>
      <c r="W673" s="376"/>
      <c r="X673" s="376"/>
      <c r="AA673" s="3"/>
      <c r="AE673" s="4"/>
      <c r="AF673" s="4"/>
      <c r="AG673" s="4"/>
      <c r="AM673" s="51"/>
      <c r="AN673" s="39"/>
    </row>
    <row r="674" spans="1:46" ht="24" customHeight="1" x14ac:dyDescent="0.4">
      <c r="B674" s="76" t="s">
        <v>1303</v>
      </c>
      <c r="D674" s="452"/>
      <c r="E674" s="452"/>
      <c r="F674" s="452"/>
      <c r="G674" s="453"/>
      <c r="H674" s="3"/>
      <c r="I674" s="443"/>
      <c r="J674" s="376"/>
      <c r="L674" s="376"/>
      <c r="M674" s="3"/>
      <c r="N674" s="3"/>
      <c r="O674" s="3"/>
      <c r="P674" s="3"/>
      <c r="Q674" s="3"/>
      <c r="R674" s="376"/>
      <c r="T674" s="376"/>
      <c r="U674" s="3"/>
      <c r="W674" s="6"/>
      <c r="X674" s="6"/>
      <c r="AA674" s="3"/>
      <c r="AB674" s="5"/>
      <c r="AE674" s="4"/>
      <c r="AF674" s="4"/>
      <c r="AG674" s="4"/>
      <c r="AM674" s="51"/>
      <c r="AN674" s="39"/>
    </row>
    <row r="675" spans="1:46" ht="15" customHeight="1" x14ac:dyDescent="0.4">
      <c r="B675" s="8"/>
      <c r="C675" s="531" t="str">
        <f>"Fixed Glass Daylight Opening: "&amp;FIXED($S$679,2)&amp;" W x "&amp;FIXED($S$680,2)&amp;" H"</f>
        <v>Fixed Glass Daylight Opening: 21.69 W x 42.38 H</v>
      </c>
      <c r="D675" s="37"/>
      <c r="E675" s="37"/>
      <c r="F675" s="37"/>
      <c r="G675" s="37"/>
      <c r="H675" s="59"/>
      <c r="I675" s="59"/>
      <c r="J675" s="59"/>
      <c r="K675" s="59"/>
      <c r="L675" s="59"/>
      <c r="M675" s="60"/>
      <c r="N675" s="60"/>
      <c r="O675" s="60"/>
      <c r="P675" s="60"/>
      <c r="Q675" s="60"/>
      <c r="R675" s="65"/>
      <c r="S675" s="60"/>
      <c r="T675" s="65"/>
      <c r="U675" s="3"/>
      <c r="V675" s="38"/>
      <c r="X675" s="38"/>
      <c r="Y675" s="41"/>
      <c r="Z675" s="41"/>
      <c r="AA675" s="3"/>
      <c r="AC675" s="42"/>
      <c r="AH675" s="492"/>
      <c r="AI675" s="492"/>
      <c r="AJ675" s="492"/>
      <c r="AK675" s="492"/>
      <c r="AL675" s="477"/>
      <c r="AM675" s="492"/>
      <c r="AN675" s="477"/>
    </row>
    <row r="676" spans="1:46" ht="15" customHeight="1" x14ac:dyDescent="0.25">
      <c r="B676" s="79"/>
      <c r="C676" s="80" t="s">
        <v>1304</v>
      </c>
      <c r="D676" s="526"/>
      <c r="E676" s="526"/>
      <c r="F676" s="526"/>
      <c r="G676" s="527"/>
      <c r="H676" s="438"/>
      <c r="I676" s="534"/>
      <c r="J676" s="528"/>
      <c r="K676" s="438"/>
      <c r="L676" s="528"/>
      <c r="M676" s="530"/>
      <c r="N676" s="530"/>
      <c r="O676" s="530"/>
      <c r="P676" s="530"/>
      <c r="Q676" s="530"/>
      <c r="R676" s="528"/>
      <c r="S676" s="530"/>
      <c r="T676" s="528"/>
      <c r="U676" s="3"/>
      <c r="W676" s="6"/>
      <c r="X676" s="6"/>
      <c r="AA676" s="3"/>
      <c r="AB676" s="5"/>
      <c r="AE676" s="4"/>
      <c r="AF676" s="4"/>
      <c r="AG676" s="4"/>
      <c r="AM676" s="51"/>
      <c r="AN676" s="39"/>
    </row>
    <row r="677" spans="1:46" ht="13.2" x14ac:dyDescent="0.25">
      <c r="A677" s="95" t="s">
        <v>1305</v>
      </c>
      <c r="B677" s="79"/>
      <c r="C677" s="3"/>
      <c r="D677" s="358" t="s">
        <v>1305</v>
      </c>
      <c r="E677" s="526"/>
      <c r="F677" s="526"/>
      <c r="G677" s="527"/>
      <c r="H677" s="438"/>
      <c r="I677" s="534" t="s">
        <v>392</v>
      </c>
      <c r="J677" s="528" t="s">
        <v>346</v>
      </c>
      <c r="K677" s="438">
        <v>3</v>
      </c>
      <c r="L677" s="528" t="s">
        <v>348</v>
      </c>
      <c r="M677" s="529">
        <v>-1.27</v>
      </c>
      <c r="N677" s="530"/>
      <c r="O677" s="530"/>
      <c r="P677" s="530" t="s">
        <v>456</v>
      </c>
      <c r="Q677" s="530" t="s">
        <v>2316</v>
      </c>
      <c r="R677" s="528" t="s">
        <v>352</v>
      </c>
      <c r="S677" s="530">
        <f>SLEQwidth/K677+M677-(SLEQSORnd*2)</f>
        <v>22.563333333333333</v>
      </c>
      <c r="T677" s="528" t="s">
        <v>366</v>
      </c>
      <c r="U677" s="3"/>
      <c r="AA677" s="3"/>
      <c r="AE677" s="4"/>
      <c r="AF677" s="4"/>
      <c r="AG677" s="4"/>
      <c r="AM677" s="51"/>
      <c r="AN677" s="39"/>
    </row>
    <row r="678" spans="1:46" s="577" customFormat="1" ht="15" customHeight="1" x14ac:dyDescent="0.25">
      <c r="A678" s="95" t="s">
        <v>1306</v>
      </c>
      <c r="B678" s="79"/>
      <c r="D678" s="358" t="s">
        <v>1306</v>
      </c>
      <c r="E678" s="526"/>
      <c r="F678" s="526"/>
      <c r="G678" s="527"/>
      <c r="H678" s="438"/>
      <c r="I678" s="534" t="s">
        <v>365</v>
      </c>
      <c r="J678" s="528"/>
      <c r="K678" s="438"/>
      <c r="L678" s="528" t="s">
        <v>348</v>
      </c>
      <c r="M678" s="529">
        <v>-4.25</v>
      </c>
      <c r="N678" s="530"/>
      <c r="O678" s="530"/>
      <c r="P678" s="530"/>
      <c r="Q678" s="530"/>
      <c r="R678" s="528" t="s">
        <v>352</v>
      </c>
      <c r="S678" s="530">
        <f>SLEQheight+M678</f>
        <v>43.25</v>
      </c>
      <c r="T678" s="528" t="s">
        <v>366</v>
      </c>
      <c r="U678" s="3"/>
      <c r="V678" s="3"/>
      <c r="W678" s="3"/>
      <c r="X678" s="3"/>
      <c r="Y678" s="3"/>
      <c r="Z678" s="3"/>
      <c r="AA678" s="3"/>
      <c r="AB678" s="3"/>
      <c r="AC678" s="3"/>
      <c r="AD678" s="5"/>
      <c r="AE678" s="4"/>
      <c r="AF678" s="4"/>
      <c r="AG678" s="4"/>
      <c r="AH678" s="51"/>
      <c r="AI678" s="51"/>
      <c r="AJ678" s="51"/>
      <c r="AK678" s="51"/>
      <c r="AL678" s="39"/>
      <c r="AM678" s="51"/>
      <c r="AN678" s="39"/>
      <c r="AO678" s="3"/>
      <c r="AP678" s="3"/>
      <c r="AQ678" s="3"/>
      <c r="AR678" s="3"/>
      <c r="AS678" s="3"/>
      <c r="AT678" s="3"/>
    </row>
    <row r="679" spans="1:46" ht="15" customHeight="1" x14ac:dyDescent="0.25">
      <c r="B679" s="79"/>
      <c r="C679" s="577"/>
      <c r="D679" s="358" t="s">
        <v>1307</v>
      </c>
      <c r="E679" s="526"/>
      <c r="F679" s="526"/>
      <c r="G679" s="527"/>
      <c r="H679" s="438"/>
      <c r="I679" s="534" t="s">
        <v>392</v>
      </c>
      <c r="J679" s="528" t="s">
        <v>346</v>
      </c>
      <c r="K679" s="438">
        <v>3</v>
      </c>
      <c r="L679" s="528" t="s">
        <v>348</v>
      </c>
      <c r="M679" s="529">
        <v>-2.1459999999999999</v>
      </c>
      <c r="N679" s="530"/>
      <c r="O679" s="530"/>
      <c r="P679" s="530" t="s">
        <v>456</v>
      </c>
      <c r="Q679" s="530" t="s">
        <v>2316</v>
      </c>
      <c r="R679" s="528" t="s">
        <v>352</v>
      </c>
      <c r="S679" s="530">
        <f>SLEQwidth/K679+M679-(SLEQSORnd*2)</f>
        <v>21.687333333333331</v>
      </c>
      <c r="T679" s="528" t="s">
        <v>366</v>
      </c>
      <c r="U679" s="3"/>
      <c r="AA679" s="3"/>
      <c r="AE679" s="4"/>
      <c r="AF679" s="4"/>
      <c r="AG679" s="4"/>
      <c r="AM679" s="51"/>
      <c r="AN679" s="39"/>
    </row>
    <row r="680" spans="1:46" ht="15" customHeight="1" x14ac:dyDescent="0.25">
      <c r="B680" s="79"/>
      <c r="C680" s="577"/>
      <c r="D680" s="358" t="s">
        <v>1308</v>
      </c>
      <c r="E680" s="526"/>
      <c r="F680" s="526"/>
      <c r="G680" s="527"/>
      <c r="H680" s="438"/>
      <c r="I680" s="534" t="s">
        <v>365</v>
      </c>
      <c r="J680" s="528"/>
      <c r="K680" s="438"/>
      <c r="L680" s="528" t="s">
        <v>348</v>
      </c>
      <c r="M680" s="529">
        <v>-5.125</v>
      </c>
      <c r="N680" s="530"/>
      <c r="O680" s="530"/>
      <c r="P680" s="530"/>
      <c r="Q680" s="530"/>
      <c r="R680" s="528" t="s">
        <v>352</v>
      </c>
      <c r="S680" s="530">
        <f>SLEQheight+M680</f>
        <v>42.375</v>
      </c>
      <c r="T680" s="528" t="s">
        <v>366</v>
      </c>
      <c r="U680" s="3"/>
      <c r="AA680" s="3"/>
      <c r="AE680" s="4"/>
      <c r="AF680" s="4"/>
      <c r="AG680" s="4"/>
      <c r="AM680" s="51"/>
      <c r="AN680" s="39"/>
    </row>
    <row r="681" spans="1:46" ht="15" customHeight="1" x14ac:dyDescent="0.25">
      <c r="B681" s="79"/>
      <c r="C681" s="296" t="s">
        <v>1022</v>
      </c>
      <c r="D681" s="526"/>
      <c r="E681" s="526"/>
      <c r="F681" s="526"/>
      <c r="G681" s="527"/>
      <c r="H681" s="438"/>
      <c r="I681" s="534" t="s">
        <v>1023</v>
      </c>
      <c r="J681" s="528" t="s">
        <v>346</v>
      </c>
      <c r="K681" s="438"/>
      <c r="L681" s="528"/>
      <c r="M681" s="125">
        <v>144</v>
      </c>
      <c r="N681" s="530"/>
      <c r="O681" s="530"/>
      <c r="P681" s="530"/>
      <c r="Q681" s="530"/>
      <c r="R681" s="528" t="s">
        <v>352</v>
      </c>
      <c r="S681" s="528">
        <f>S679*S680/M681</f>
        <v>6.3819496527777773</v>
      </c>
      <c r="T681" s="528" t="s">
        <v>1208</v>
      </c>
      <c r="U681" s="3"/>
      <c r="AA681" s="3"/>
      <c r="AE681" s="4"/>
      <c r="AF681" s="4"/>
      <c r="AG681" s="4"/>
      <c r="AM681" s="51"/>
      <c r="AN681" s="39"/>
    </row>
    <row r="682" spans="1:46" ht="15" customHeight="1" x14ac:dyDescent="0.4">
      <c r="B682" s="8"/>
      <c r="C682" s="531" t="str">
        <f>"Sash Glass Daylight Opening: "&amp;FIXED($S$685,2)&amp;" W x "&amp;FIXED($S$686,2)&amp;" H"</f>
        <v>Sash Glass Daylight Opening: 18.85 W x 41.06 H</v>
      </c>
      <c r="D682" s="37"/>
      <c r="E682" s="37"/>
      <c r="F682" s="37"/>
      <c r="G682" s="37"/>
      <c r="H682" s="59"/>
      <c r="I682" s="59"/>
      <c r="J682" s="59"/>
      <c r="K682" s="59"/>
      <c r="L682" s="59"/>
      <c r="M682" s="60"/>
      <c r="N682" s="60"/>
      <c r="O682" s="60"/>
      <c r="P682" s="60"/>
      <c r="Q682" s="60"/>
      <c r="R682" s="65"/>
      <c r="S682" s="60"/>
      <c r="T682" s="65"/>
      <c r="U682" s="3"/>
      <c r="V682" s="38"/>
      <c r="W682" s="42"/>
      <c r="X682" s="42"/>
      <c r="Y682" s="42"/>
      <c r="Z682" s="42"/>
      <c r="AA682" s="42"/>
      <c r="AB682" s="42"/>
      <c r="AC682" s="42"/>
      <c r="AH682" s="492"/>
      <c r="AI682" s="492"/>
      <c r="AJ682" s="492"/>
      <c r="AK682" s="492"/>
      <c r="AL682" s="477"/>
      <c r="AM682" s="492"/>
      <c r="AN682" s="477"/>
    </row>
    <row r="683" spans="1:46" ht="15" customHeight="1" x14ac:dyDescent="0.25">
      <c r="A683" s="95" t="s">
        <v>1309</v>
      </c>
      <c r="B683" s="79"/>
      <c r="C683" s="349" t="s">
        <v>1372</v>
      </c>
      <c r="D683" s="358" t="s">
        <v>1309</v>
      </c>
      <c r="E683" s="526"/>
      <c r="F683" s="526"/>
      <c r="G683" s="527"/>
      <c r="H683" s="438"/>
      <c r="I683" s="534" t="s">
        <v>392</v>
      </c>
      <c r="J683" s="528" t="s">
        <v>346</v>
      </c>
      <c r="K683" s="438">
        <v>3</v>
      </c>
      <c r="L683" s="528" t="s">
        <v>348</v>
      </c>
      <c r="M683" s="529">
        <v>-3.9580000000000002</v>
      </c>
      <c r="N683" s="530"/>
      <c r="O683" s="530"/>
      <c r="P683" s="530" t="s">
        <v>348</v>
      </c>
      <c r="Q683" s="530" t="s">
        <v>2315</v>
      </c>
      <c r="R683" s="528" t="s">
        <v>352</v>
      </c>
      <c r="S683" s="530">
        <f>SLEQwidth/K683+M683+SLEQSORnd</f>
        <v>19.87533333333333</v>
      </c>
      <c r="T683" s="528" t="s">
        <v>366</v>
      </c>
      <c r="U683" s="3"/>
      <c r="W683" s="6"/>
      <c r="X683" s="6"/>
      <c r="AA683" s="3"/>
      <c r="AB683" s="5"/>
      <c r="AE683" s="4"/>
      <c r="AF683" s="4"/>
      <c r="AG683" s="4"/>
      <c r="AI683" s="39"/>
      <c r="AJ683" s="39"/>
      <c r="AK683" s="39"/>
    </row>
    <row r="684" spans="1:46" s="577" customFormat="1" ht="15" customHeight="1" x14ac:dyDescent="0.25">
      <c r="A684" s="95" t="s">
        <v>1311</v>
      </c>
      <c r="B684" s="79"/>
      <c r="C684" s="349" t="s">
        <v>1373</v>
      </c>
      <c r="D684" s="358" t="s">
        <v>1311</v>
      </c>
      <c r="E684" s="526"/>
      <c r="F684" s="526"/>
      <c r="G684" s="527"/>
      <c r="H684" s="438"/>
      <c r="I684" s="534" t="s">
        <v>365</v>
      </c>
      <c r="J684" s="528"/>
      <c r="K684" s="438"/>
      <c r="L684" s="528" t="s">
        <v>348</v>
      </c>
      <c r="M684" s="529">
        <v>-5.375</v>
      </c>
      <c r="N684" s="530"/>
      <c r="O684" s="530"/>
      <c r="P684" s="530"/>
      <c r="Q684" s="530"/>
      <c r="R684" s="528" t="s">
        <v>352</v>
      </c>
      <c r="S684" s="530">
        <f>SLEQheight+M684</f>
        <v>42.125</v>
      </c>
      <c r="T684" s="528" t="s">
        <v>366</v>
      </c>
      <c r="U684" s="3"/>
      <c r="V684" s="3"/>
      <c r="W684" s="6"/>
      <c r="X684" s="6"/>
      <c r="Y684" s="3"/>
      <c r="Z684" s="3"/>
      <c r="AA684" s="3"/>
      <c r="AB684" s="5"/>
      <c r="AC684" s="3"/>
      <c r="AD684" s="5"/>
      <c r="AE684" s="4"/>
      <c r="AF684" s="4"/>
      <c r="AG684" s="4"/>
      <c r="AH684" s="51"/>
      <c r="AI684" s="39"/>
      <c r="AJ684" s="39"/>
      <c r="AK684" s="39"/>
      <c r="AL684" s="39"/>
      <c r="AM684" s="3"/>
      <c r="AN684" s="3"/>
      <c r="AO684" s="3"/>
      <c r="AP684" s="3"/>
      <c r="AQ684" s="3"/>
      <c r="AR684" s="3"/>
      <c r="AS684" s="3"/>
      <c r="AT684" s="3"/>
    </row>
    <row r="685" spans="1:46" ht="15" customHeight="1" x14ac:dyDescent="0.25">
      <c r="B685" s="79"/>
      <c r="C685" s="296"/>
      <c r="D685" s="358" t="s">
        <v>1313</v>
      </c>
      <c r="E685" s="526"/>
      <c r="F685" s="526"/>
      <c r="G685" s="527"/>
      <c r="H685" s="438"/>
      <c r="I685" s="534" t="s">
        <v>392</v>
      </c>
      <c r="J685" s="528" t="s">
        <v>346</v>
      </c>
      <c r="K685" s="438">
        <v>3</v>
      </c>
      <c r="L685" s="528" t="s">
        <v>348</v>
      </c>
      <c r="M685" s="529">
        <v>-4.9859999999999998</v>
      </c>
      <c r="N685" s="530"/>
      <c r="O685" s="530"/>
      <c r="P685" s="530" t="s">
        <v>348</v>
      </c>
      <c r="Q685" s="530" t="s">
        <v>2315</v>
      </c>
      <c r="R685" s="528" t="s">
        <v>352</v>
      </c>
      <c r="S685" s="530">
        <f>SLEQwidth/K685+M685+SLEQSORnd</f>
        <v>18.847333333333331</v>
      </c>
      <c r="T685" s="528" t="s">
        <v>366</v>
      </c>
      <c r="U685" s="3"/>
      <c r="W685" s="6"/>
      <c r="X685" s="6"/>
      <c r="AA685" s="3"/>
      <c r="AB685" s="5"/>
      <c r="AE685" s="4"/>
      <c r="AF685" s="4"/>
      <c r="AG685" s="4"/>
      <c r="AI685" s="39"/>
      <c r="AJ685" s="39"/>
      <c r="AK685" s="39"/>
    </row>
    <row r="686" spans="1:46" ht="15" customHeight="1" x14ac:dyDescent="0.25">
      <c r="B686" s="79"/>
      <c r="C686" s="296"/>
      <c r="D686" s="358" t="s">
        <v>1314</v>
      </c>
      <c r="E686" s="526"/>
      <c r="F686" s="526"/>
      <c r="G686" s="527"/>
      <c r="H686" s="438"/>
      <c r="I686" s="534" t="s">
        <v>365</v>
      </c>
      <c r="J686" s="528"/>
      <c r="K686" s="438"/>
      <c r="L686" s="528" t="s">
        <v>348</v>
      </c>
      <c r="M686" s="529">
        <v>-6.4379999999999997</v>
      </c>
      <c r="N686" s="530"/>
      <c r="O686" s="530"/>
      <c r="P686" s="530"/>
      <c r="Q686" s="530"/>
      <c r="R686" s="528" t="s">
        <v>352</v>
      </c>
      <c r="S686" s="530">
        <f>SLEQheight+M686</f>
        <v>41.061999999999998</v>
      </c>
      <c r="T686" s="528" t="s">
        <v>366</v>
      </c>
      <c r="U686" s="3"/>
      <c r="W686" s="6"/>
      <c r="X686" s="6"/>
      <c r="AA686" s="3"/>
      <c r="AB686" s="5"/>
      <c r="AE686" s="4"/>
      <c r="AF686" s="4"/>
      <c r="AG686" s="4"/>
      <c r="AI686" s="39"/>
      <c r="AJ686" s="39"/>
      <c r="AK686" s="39"/>
    </row>
    <row r="687" spans="1:46" ht="15" customHeight="1" x14ac:dyDescent="0.25">
      <c r="B687" s="79"/>
      <c r="C687" s="296" t="s">
        <v>1315</v>
      </c>
      <c r="D687" s="526"/>
      <c r="E687" s="526"/>
      <c r="F687" s="526"/>
      <c r="G687" s="527"/>
      <c r="H687" s="438"/>
      <c r="I687" s="534" t="s">
        <v>1023</v>
      </c>
      <c r="J687" s="528" t="s">
        <v>346</v>
      </c>
      <c r="K687" s="438"/>
      <c r="L687" s="528"/>
      <c r="M687" s="530">
        <v>144</v>
      </c>
      <c r="N687" s="530"/>
      <c r="O687" s="530"/>
      <c r="P687" s="530"/>
      <c r="Q687" s="530"/>
      <c r="R687" s="528" t="s">
        <v>352</v>
      </c>
      <c r="S687" s="530">
        <f>S685*S686/M687</f>
        <v>5.3743694537037028</v>
      </c>
      <c r="T687" s="528" t="s">
        <v>1208</v>
      </c>
      <c r="U687" s="3"/>
      <c r="W687" s="6"/>
      <c r="X687" s="6"/>
      <c r="AA687" s="3"/>
      <c r="AB687" s="5"/>
      <c r="AE687" s="4"/>
      <c r="AF687" s="4"/>
      <c r="AG687" s="4"/>
      <c r="AI687" s="39"/>
      <c r="AJ687" s="39"/>
      <c r="AK687" s="39"/>
    </row>
    <row r="688" spans="1:46" ht="15" customHeight="1" x14ac:dyDescent="0.25">
      <c r="B688" s="79"/>
      <c r="C688" s="297"/>
      <c r="D688" s="526"/>
      <c r="E688" s="526"/>
      <c r="F688" s="526"/>
      <c r="G688" s="527"/>
      <c r="H688" s="438"/>
      <c r="I688" s="534"/>
      <c r="J688" s="528"/>
      <c r="K688" s="438"/>
      <c r="L688" s="528"/>
      <c r="M688" s="530"/>
      <c r="N688" s="530"/>
      <c r="O688" s="530"/>
      <c r="P688" s="530"/>
      <c r="Q688" s="530"/>
      <c r="R688" s="528"/>
      <c r="S688" s="530"/>
      <c r="T688" s="528"/>
      <c r="U688" s="3"/>
      <c r="W688" s="6"/>
      <c r="X688" s="6"/>
      <c r="AA688" s="3"/>
      <c r="AB688" s="5"/>
      <c r="AE688" s="4"/>
      <c r="AF688" s="4"/>
      <c r="AG688" s="4"/>
      <c r="AI688" s="39"/>
      <c r="AJ688" s="39"/>
      <c r="AK688" s="39"/>
    </row>
    <row r="689" spans="2:37" ht="15" customHeight="1" x14ac:dyDescent="0.25">
      <c r="B689" s="79"/>
      <c r="C689" s="296" t="s">
        <v>1032</v>
      </c>
      <c r="D689" s="526"/>
      <c r="E689" s="526"/>
      <c r="F689" s="526"/>
      <c r="G689" s="527"/>
      <c r="H689" s="438"/>
      <c r="I689" s="534" t="s">
        <v>1033</v>
      </c>
      <c r="J689" s="528"/>
      <c r="K689" s="438"/>
      <c r="L689" s="528" t="s">
        <v>348</v>
      </c>
      <c r="M689" s="530" t="s">
        <v>1034</v>
      </c>
      <c r="N689" s="530"/>
      <c r="O689" s="530"/>
      <c r="P689" s="530"/>
      <c r="Q689" s="530"/>
      <c r="R689" s="528" t="s">
        <v>352</v>
      </c>
      <c r="S689" s="535">
        <f>S687+S681</f>
        <v>11.756319106481481</v>
      </c>
      <c r="T689" s="528"/>
      <c r="U689" s="3"/>
      <c r="W689" s="6"/>
      <c r="X689" s="6"/>
      <c r="AA689" s="3"/>
      <c r="AB689" s="5"/>
      <c r="AE689" s="4"/>
      <c r="AF689" s="4"/>
      <c r="AG689" s="4"/>
      <c r="AI689" s="39"/>
      <c r="AJ689" s="39"/>
      <c r="AK689" s="39"/>
    </row>
    <row r="690" spans="2:37" ht="25.5" customHeight="1" x14ac:dyDescent="0.4">
      <c r="B690" s="76" t="s">
        <v>1035</v>
      </c>
      <c r="C690" s="300"/>
      <c r="D690" s="122"/>
      <c r="E690" s="122"/>
      <c r="F690" s="122"/>
      <c r="G690" s="123"/>
      <c r="H690" s="3"/>
      <c r="I690" s="443"/>
      <c r="J690" s="376"/>
      <c r="L690" s="376"/>
      <c r="R690" s="376"/>
      <c r="T690" s="376"/>
      <c r="U690" s="3"/>
      <c r="W690" s="6"/>
      <c r="X690" s="6"/>
      <c r="AA690" s="3"/>
      <c r="AB690" s="5"/>
      <c r="AE690" s="4"/>
      <c r="AF690" s="4"/>
      <c r="AG690" s="4"/>
      <c r="AI690" s="39"/>
      <c r="AJ690" s="39"/>
      <c r="AK690" s="39"/>
    </row>
    <row r="691" spans="2:37" ht="15" customHeight="1" x14ac:dyDescent="0.25">
      <c r="B691" s="454" t="s">
        <v>1036</v>
      </c>
      <c r="C691" s="300"/>
      <c r="D691" s="122"/>
      <c r="E691" s="122"/>
      <c r="F691" s="122"/>
      <c r="G691" s="123"/>
      <c r="H691" s="3"/>
      <c r="I691" s="443"/>
      <c r="J691" s="376"/>
      <c r="L691" s="376"/>
      <c r="R691" s="376"/>
      <c r="T691" s="376"/>
      <c r="U691" s="3"/>
      <c r="W691" s="6"/>
      <c r="X691" s="6"/>
      <c r="AA691" s="3"/>
      <c r="AB691" s="5"/>
      <c r="AE691" s="4"/>
      <c r="AF691" s="4"/>
      <c r="AG691" s="4"/>
      <c r="AI691" s="39"/>
      <c r="AJ691" s="39"/>
      <c r="AK691" s="39"/>
    </row>
    <row r="692" spans="2:37" ht="15" customHeight="1" x14ac:dyDescent="0.25">
      <c r="B692" s="536" t="s">
        <v>1037</v>
      </c>
      <c r="C692" s="2060" t="s">
        <v>1374</v>
      </c>
      <c r="D692" s="2060"/>
      <c r="E692" s="2060"/>
      <c r="F692" s="2060"/>
      <c r="G692" s="537">
        <v>2.6880000000000002</v>
      </c>
      <c r="H692" s="3"/>
      <c r="I692" s="443"/>
      <c r="J692" s="376"/>
      <c r="L692" s="376"/>
      <c r="R692" s="376"/>
      <c r="T692" s="376"/>
      <c r="U692" s="3"/>
      <c r="W692" s="6"/>
      <c r="X692" s="6"/>
      <c r="AA692" s="3"/>
      <c r="AB692" s="5"/>
      <c r="AE692" s="4"/>
      <c r="AF692" s="4"/>
      <c r="AG692" s="4"/>
      <c r="AI692" s="39"/>
      <c r="AJ692" s="39"/>
      <c r="AK692" s="39"/>
    </row>
    <row r="693" spans="2:37" ht="15" customHeight="1" x14ac:dyDescent="0.25">
      <c r="B693" s="536" t="s">
        <v>1039</v>
      </c>
      <c r="C693" s="2060" t="s">
        <v>1375</v>
      </c>
      <c r="D693" s="2060"/>
      <c r="E693" s="2060"/>
      <c r="F693" s="2060"/>
      <c r="G693" s="537">
        <v>2.7189999999999999</v>
      </c>
      <c r="H693" s="3"/>
      <c r="I693" s="443"/>
      <c r="J693" s="376"/>
      <c r="L693" s="376"/>
      <c r="R693" s="376"/>
      <c r="T693" s="376"/>
      <c r="U693" s="3"/>
      <c r="W693" s="6"/>
      <c r="X693" s="6"/>
      <c r="AA693" s="3"/>
      <c r="AB693" s="5"/>
      <c r="AE693" s="4"/>
      <c r="AF693" s="4"/>
      <c r="AG693" s="4"/>
      <c r="AI693" s="39"/>
      <c r="AJ693" s="39"/>
      <c r="AK693" s="39"/>
    </row>
    <row r="694" spans="2:37" ht="15" customHeight="1" x14ac:dyDescent="0.25">
      <c r="B694" s="536" t="s">
        <v>1041</v>
      </c>
      <c r="C694" s="2060" t="s">
        <v>1376</v>
      </c>
      <c r="D694" s="2060"/>
      <c r="E694" s="2060"/>
      <c r="F694" s="2060"/>
      <c r="G694" s="537">
        <v>2.6880000000000002</v>
      </c>
      <c r="H694" s="3"/>
      <c r="I694" s="443"/>
      <c r="J694" s="376"/>
      <c r="L694" s="376"/>
      <c r="R694" s="376"/>
      <c r="T694" s="376"/>
      <c r="U694" s="3"/>
      <c r="W694" s="6"/>
      <c r="X694" s="6"/>
      <c r="AA694" s="3"/>
      <c r="AB694" s="5"/>
      <c r="AE694" s="4"/>
      <c r="AF694" s="4"/>
      <c r="AG694" s="4"/>
      <c r="AI694" s="39"/>
      <c r="AJ694" s="39"/>
      <c r="AK694" s="39"/>
    </row>
    <row r="695" spans="2:37" ht="15" customHeight="1" x14ac:dyDescent="0.25">
      <c r="B695" s="536" t="s">
        <v>1043</v>
      </c>
      <c r="C695" s="2060" t="s">
        <v>1377</v>
      </c>
      <c r="D695" s="2060"/>
      <c r="E695" s="2060"/>
      <c r="F695" s="2060"/>
      <c r="G695" s="537">
        <v>1.875</v>
      </c>
      <c r="H695" s="3"/>
      <c r="I695" s="443"/>
      <c r="J695" s="376"/>
      <c r="L695" s="376"/>
      <c r="R695" s="376"/>
      <c r="T695" s="376"/>
      <c r="U695" s="3"/>
      <c r="W695" s="6"/>
      <c r="X695" s="6"/>
      <c r="AA695" s="3"/>
      <c r="AB695" s="5"/>
      <c r="AE695" s="4"/>
      <c r="AF695" s="4"/>
      <c r="AG695" s="4"/>
      <c r="AI695" s="39"/>
      <c r="AJ695" s="39"/>
      <c r="AK695" s="39"/>
    </row>
    <row r="696" spans="2:37" ht="15" customHeight="1" x14ac:dyDescent="0.25">
      <c r="B696" s="536" t="s">
        <v>1045</v>
      </c>
      <c r="C696" s="2060" t="s">
        <v>1378</v>
      </c>
      <c r="D696" s="2060"/>
      <c r="E696" s="2060"/>
      <c r="F696" s="2060"/>
      <c r="G696" s="537">
        <v>2.125</v>
      </c>
      <c r="H696" s="3"/>
      <c r="I696" s="443"/>
      <c r="J696" s="376"/>
      <c r="L696" s="376"/>
      <c r="R696" s="376"/>
      <c r="T696" s="376"/>
      <c r="U696" s="3"/>
      <c r="W696" s="6"/>
      <c r="X696" s="6"/>
      <c r="AA696" s="3"/>
      <c r="AB696" s="5"/>
      <c r="AE696" s="4"/>
      <c r="AF696" s="4"/>
      <c r="AG696" s="4"/>
      <c r="AI696" s="39"/>
      <c r="AJ696" s="39"/>
      <c r="AK696" s="39"/>
    </row>
    <row r="697" spans="2:37" ht="15" customHeight="1" x14ac:dyDescent="0.25">
      <c r="B697" s="536" t="s">
        <v>1320</v>
      </c>
      <c r="C697" s="2060" t="s">
        <v>1379</v>
      </c>
      <c r="D697" s="2060"/>
      <c r="E697" s="2060"/>
      <c r="F697" s="2060"/>
      <c r="G697" s="537">
        <v>1.875</v>
      </c>
      <c r="H697" s="3"/>
      <c r="I697" s="443"/>
      <c r="J697" s="376"/>
      <c r="L697" s="376"/>
      <c r="R697" s="376"/>
      <c r="T697" s="376"/>
      <c r="U697" s="3"/>
      <c r="W697" s="6"/>
      <c r="X697" s="6"/>
      <c r="AA697" s="3"/>
      <c r="AB697" s="5"/>
      <c r="AE697" s="4"/>
      <c r="AF697" s="4"/>
      <c r="AG697" s="4"/>
      <c r="AI697" s="39"/>
      <c r="AJ697" s="39"/>
      <c r="AK697" s="39"/>
    </row>
    <row r="698" spans="2:37" ht="15" customHeight="1" x14ac:dyDescent="0.25">
      <c r="B698" s="536" t="s">
        <v>1322</v>
      </c>
      <c r="C698" s="2060" t="s">
        <v>1380</v>
      </c>
      <c r="D698" s="2060"/>
      <c r="E698" s="2060"/>
      <c r="F698" s="2060"/>
      <c r="G698" s="537">
        <v>2.125</v>
      </c>
      <c r="H698" s="3"/>
      <c r="I698" s="443"/>
      <c r="J698" s="376"/>
      <c r="L698" s="376"/>
      <c r="R698" s="376"/>
      <c r="T698" s="376"/>
      <c r="U698" s="3"/>
      <c r="W698" s="6"/>
      <c r="X698" s="6"/>
      <c r="AA698" s="3"/>
      <c r="AB698" s="5"/>
      <c r="AE698" s="4"/>
      <c r="AF698" s="4"/>
      <c r="AG698" s="4"/>
      <c r="AI698" s="39"/>
      <c r="AJ698" s="39"/>
      <c r="AK698" s="39"/>
    </row>
    <row r="699" spans="2:37" ht="15" customHeight="1" x14ac:dyDescent="0.25">
      <c r="B699" s="536" t="s">
        <v>1381</v>
      </c>
      <c r="C699" s="2060" t="s">
        <v>1382</v>
      </c>
      <c r="D699" s="2060"/>
      <c r="E699" s="2060"/>
      <c r="F699" s="2060"/>
      <c r="G699" s="537">
        <v>2.6880000000000002</v>
      </c>
      <c r="H699" s="3"/>
      <c r="I699" s="443"/>
      <c r="J699" s="376"/>
      <c r="L699" s="376"/>
      <c r="R699" s="376"/>
      <c r="T699" s="376"/>
      <c r="U699" s="3"/>
      <c r="W699" s="6"/>
      <c r="X699" s="6"/>
      <c r="AA699" s="3"/>
      <c r="AB699" s="5"/>
      <c r="AE699" s="4"/>
      <c r="AF699" s="4"/>
      <c r="AG699" s="4"/>
      <c r="AI699" s="39"/>
      <c r="AJ699" s="39"/>
      <c r="AK699" s="39"/>
    </row>
    <row r="700" spans="2:37" ht="15" customHeight="1" x14ac:dyDescent="0.25">
      <c r="B700" s="536" t="s">
        <v>1383</v>
      </c>
      <c r="C700" s="2060" t="s">
        <v>1384</v>
      </c>
      <c r="D700" s="2060"/>
      <c r="E700" s="2060"/>
      <c r="F700" s="2060"/>
      <c r="G700" s="537">
        <v>2.7189999999999999</v>
      </c>
      <c r="H700" s="3"/>
      <c r="I700" s="443"/>
      <c r="J700" s="376"/>
      <c r="L700" s="376"/>
      <c r="R700" s="376"/>
      <c r="T700" s="376"/>
      <c r="U700" s="3"/>
      <c r="W700" s="6"/>
      <c r="X700" s="6"/>
      <c r="AA700" s="3"/>
      <c r="AB700" s="5"/>
      <c r="AE700" s="4"/>
      <c r="AF700" s="4"/>
      <c r="AG700" s="4"/>
      <c r="AI700" s="39"/>
      <c r="AJ700" s="39"/>
      <c r="AK700" s="39"/>
    </row>
    <row r="701" spans="2:37" ht="15" customHeight="1" x14ac:dyDescent="0.25">
      <c r="B701" s="536" t="s">
        <v>1385</v>
      </c>
      <c r="C701" s="2060" t="s">
        <v>1386</v>
      </c>
      <c r="D701" s="2060"/>
      <c r="E701" s="2060"/>
      <c r="F701" s="2060"/>
      <c r="G701" s="537">
        <v>2.6880000000000002</v>
      </c>
      <c r="H701" s="3"/>
      <c r="I701" s="443"/>
      <c r="J701" s="376"/>
      <c r="L701" s="376"/>
      <c r="R701" s="376"/>
      <c r="T701" s="376"/>
      <c r="U701" s="3"/>
      <c r="W701" s="6"/>
      <c r="X701" s="6"/>
      <c r="AA701" s="3"/>
      <c r="AB701" s="5"/>
      <c r="AE701" s="4"/>
      <c r="AF701" s="4"/>
      <c r="AG701" s="4"/>
      <c r="AI701" s="39"/>
      <c r="AJ701" s="39"/>
      <c r="AK701" s="39"/>
    </row>
    <row r="702" spans="2:37" ht="15" customHeight="1" x14ac:dyDescent="0.25">
      <c r="B702" s="7" t="s">
        <v>1047</v>
      </c>
      <c r="C702" s="299"/>
      <c r="D702" s="452"/>
      <c r="E702" s="452"/>
      <c r="F702" s="452"/>
      <c r="G702" s="453"/>
      <c r="H702" s="3"/>
      <c r="I702" s="443"/>
      <c r="J702" s="376"/>
      <c r="L702" s="376"/>
      <c r="R702" s="376"/>
      <c r="T702" s="376"/>
      <c r="U702" s="3"/>
      <c r="W702" s="6"/>
      <c r="X702" s="6"/>
      <c r="AA702" s="3"/>
      <c r="AB702" s="5"/>
      <c r="AE702" s="4"/>
      <c r="AF702" s="4"/>
      <c r="AG702" s="4"/>
      <c r="AI702" s="39"/>
      <c r="AJ702" s="39"/>
      <c r="AK702" s="39"/>
    </row>
    <row r="703" spans="2:37" ht="15" customHeight="1" x14ac:dyDescent="0.25">
      <c r="B703" s="536" t="s">
        <v>1048</v>
      </c>
      <c r="C703" s="2060" t="s">
        <v>1387</v>
      </c>
      <c r="D703" s="2060"/>
      <c r="E703" s="2060"/>
      <c r="F703" s="2060"/>
      <c r="G703" s="537">
        <v>0.53100000000000003</v>
      </c>
      <c r="H703" s="538"/>
      <c r="I703" s="443"/>
      <c r="J703" s="376"/>
      <c r="L703" s="376"/>
      <c r="R703" s="376"/>
      <c r="T703" s="376"/>
      <c r="U703" s="3"/>
      <c r="W703" s="6"/>
      <c r="X703" s="6"/>
      <c r="AA703" s="3"/>
      <c r="AB703" s="5"/>
      <c r="AE703" s="4"/>
      <c r="AF703" s="4"/>
      <c r="AG703" s="4"/>
      <c r="AI703" s="39"/>
      <c r="AJ703" s="39"/>
      <c r="AK703" s="39"/>
    </row>
    <row r="704" spans="2:37" ht="15" customHeight="1" x14ac:dyDescent="0.25">
      <c r="B704" s="536" t="s">
        <v>1050</v>
      </c>
      <c r="C704" s="2060" t="s">
        <v>1388</v>
      </c>
      <c r="D704" s="2060"/>
      <c r="E704" s="2060"/>
      <c r="F704" s="2060"/>
      <c r="G704" s="537">
        <v>0.53100000000000003</v>
      </c>
      <c r="H704" s="538"/>
      <c r="I704" s="443"/>
      <c r="J704" s="376"/>
      <c r="L704" s="376"/>
      <c r="R704" s="376"/>
      <c r="T704" s="376"/>
      <c r="U704" s="3"/>
      <c r="W704" s="6"/>
      <c r="X704" s="6"/>
      <c r="AA704" s="3"/>
      <c r="AB704" s="5"/>
      <c r="AE704" s="4"/>
      <c r="AF704" s="4"/>
      <c r="AG704" s="4"/>
      <c r="AI704" s="39"/>
      <c r="AJ704" s="39"/>
      <c r="AK704" s="39"/>
    </row>
    <row r="705" spans="2:37" ht="15" customHeight="1" x14ac:dyDescent="0.25">
      <c r="B705" s="536" t="s">
        <v>1052</v>
      </c>
      <c r="C705" s="2060" t="s">
        <v>1389</v>
      </c>
      <c r="D705" s="2060"/>
      <c r="E705" s="2060"/>
      <c r="F705" s="2060"/>
      <c r="G705" s="537">
        <v>0.53100000000000003</v>
      </c>
      <c r="H705" s="538"/>
      <c r="I705" s="443"/>
      <c r="J705" s="376"/>
      <c r="L705" s="376"/>
      <c r="R705" s="376"/>
      <c r="T705" s="376"/>
      <c r="U705" s="3"/>
      <c r="W705" s="6"/>
      <c r="X705" s="6"/>
      <c r="AA705" s="3"/>
      <c r="AB705" s="5"/>
      <c r="AE705" s="4"/>
      <c r="AF705" s="4"/>
      <c r="AG705" s="4"/>
      <c r="AI705" s="39"/>
      <c r="AJ705" s="39"/>
      <c r="AK705" s="39"/>
    </row>
    <row r="706" spans="2:37" ht="15" customHeight="1" x14ac:dyDescent="0.25">
      <c r="B706" s="536" t="s">
        <v>1054</v>
      </c>
      <c r="C706" s="2060" t="s">
        <v>1390</v>
      </c>
      <c r="D706" s="2060"/>
      <c r="E706" s="2060"/>
      <c r="F706" s="2060"/>
      <c r="G706" s="537">
        <v>0.53100000000000003</v>
      </c>
      <c r="H706" s="538"/>
      <c r="I706" s="443"/>
      <c r="J706" s="376"/>
      <c r="L706" s="376"/>
      <c r="R706" s="376"/>
      <c r="T706" s="376"/>
      <c r="U706" s="3"/>
      <c r="W706" s="6"/>
      <c r="X706" s="6"/>
      <c r="AA706" s="3"/>
      <c r="AB706" s="5"/>
      <c r="AE706" s="4"/>
      <c r="AF706" s="4"/>
      <c r="AG706" s="4"/>
      <c r="AI706" s="39"/>
      <c r="AJ706" s="39"/>
      <c r="AK706" s="39"/>
    </row>
    <row r="707" spans="2:37" ht="15" customHeight="1" x14ac:dyDescent="0.25">
      <c r="B707" s="536" t="s">
        <v>1056</v>
      </c>
      <c r="C707" s="2060" t="s">
        <v>1391</v>
      </c>
      <c r="D707" s="2060"/>
      <c r="E707" s="2060"/>
      <c r="F707" s="2060"/>
      <c r="G707" s="537">
        <v>0.438</v>
      </c>
      <c r="H707" s="538"/>
      <c r="I707" s="443"/>
      <c r="J707" s="376"/>
      <c r="L707" s="376"/>
      <c r="R707" s="376"/>
      <c r="T707" s="376"/>
      <c r="U707" s="3"/>
      <c r="W707" s="6"/>
      <c r="X707" s="6"/>
      <c r="AA707" s="3"/>
      <c r="AB707" s="5"/>
      <c r="AE707" s="4"/>
      <c r="AF707" s="4"/>
      <c r="AG707" s="4"/>
      <c r="AI707" s="39"/>
      <c r="AJ707" s="39"/>
      <c r="AK707" s="39"/>
    </row>
    <row r="708" spans="2:37" ht="15" customHeight="1" x14ac:dyDescent="0.25">
      <c r="B708" s="536" t="s">
        <v>1058</v>
      </c>
      <c r="C708" s="2060" t="s">
        <v>1392</v>
      </c>
      <c r="D708" s="2060"/>
      <c r="E708" s="2060"/>
      <c r="F708" s="2060"/>
      <c r="G708" s="537">
        <v>0.438</v>
      </c>
      <c r="H708" s="538"/>
      <c r="I708" s="443"/>
      <c r="J708" s="376"/>
      <c r="L708" s="376"/>
      <c r="R708" s="376"/>
      <c r="T708" s="376"/>
      <c r="U708" s="3"/>
      <c r="W708" s="6"/>
      <c r="X708" s="6"/>
      <c r="AA708" s="3"/>
      <c r="AB708" s="5"/>
      <c r="AE708" s="4"/>
      <c r="AF708" s="4"/>
      <c r="AG708" s="4"/>
      <c r="AI708" s="39"/>
      <c r="AJ708" s="39"/>
      <c r="AK708" s="39"/>
    </row>
    <row r="709" spans="2:37" ht="15" customHeight="1" x14ac:dyDescent="0.25">
      <c r="B709" s="536" t="s">
        <v>1330</v>
      </c>
      <c r="C709" s="2060" t="s">
        <v>1393</v>
      </c>
      <c r="D709" s="2060"/>
      <c r="E709" s="2060"/>
      <c r="F709" s="2060"/>
      <c r="G709" s="537">
        <v>0.438</v>
      </c>
      <c r="H709" s="538"/>
      <c r="I709" s="443"/>
      <c r="J709" s="376"/>
      <c r="L709" s="376"/>
      <c r="R709" s="376"/>
      <c r="T709" s="376"/>
      <c r="U709" s="3"/>
      <c r="W709" s="6"/>
      <c r="X709" s="6"/>
      <c r="AA709" s="3"/>
      <c r="AB709" s="5"/>
      <c r="AE709" s="4"/>
      <c r="AF709" s="4"/>
      <c r="AG709" s="4"/>
      <c r="AI709" s="39"/>
      <c r="AJ709" s="39"/>
      <c r="AK709" s="39"/>
    </row>
    <row r="710" spans="2:37" ht="15" customHeight="1" x14ac:dyDescent="0.25">
      <c r="B710" s="536" t="s">
        <v>1332</v>
      </c>
      <c r="C710" s="2060" t="s">
        <v>1394</v>
      </c>
      <c r="D710" s="2060"/>
      <c r="E710" s="2060"/>
      <c r="F710" s="2060"/>
      <c r="G710" s="537">
        <v>0.438</v>
      </c>
      <c r="H710" s="538"/>
      <c r="I710" s="443"/>
      <c r="J710" s="376"/>
      <c r="L710" s="376"/>
      <c r="R710" s="376"/>
      <c r="T710" s="376"/>
      <c r="U710" s="3"/>
      <c r="W710" s="6"/>
      <c r="X710" s="6"/>
      <c r="AA710" s="3"/>
      <c r="AB710" s="5"/>
      <c r="AE710" s="4"/>
      <c r="AF710" s="4"/>
      <c r="AG710" s="4"/>
      <c r="AI710" s="39"/>
      <c r="AJ710" s="39"/>
      <c r="AK710" s="39"/>
    </row>
    <row r="711" spans="2:37" ht="15" customHeight="1" x14ac:dyDescent="0.25">
      <c r="B711" s="536" t="s">
        <v>1395</v>
      </c>
      <c r="C711" s="2060" t="s">
        <v>1396</v>
      </c>
      <c r="D711" s="2060"/>
      <c r="E711" s="2060"/>
      <c r="F711" s="2060"/>
      <c r="G711" s="537">
        <v>0.53100000000000003</v>
      </c>
      <c r="H711" s="538"/>
      <c r="I711" s="443"/>
      <c r="J711" s="376"/>
      <c r="L711" s="376"/>
      <c r="R711" s="376"/>
      <c r="T711" s="376"/>
      <c r="U711" s="3"/>
      <c r="W711" s="6"/>
      <c r="X711" s="6"/>
      <c r="AA711" s="3"/>
      <c r="AB711" s="5"/>
      <c r="AE711" s="4"/>
      <c r="AF711" s="4"/>
      <c r="AG711" s="4"/>
      <c r="AI711" s="3"/>
      <c r="AJ711" s="3"/>
      <c r="AK711" s="3"/>
    </row>
    <row r="712" spans="2:37" ht="15" customHeight="1" x14ac:dyDescent="0.25">
      <c r="B712" s="536" t="s">
        <v>1397</v>
      </c>
      <c r="C712" s="2060" t="s">
        <v>1398</v>
      </c>
      <c r="D712" s="2060"/>
      <c r="E712" s="2060"/>
      <c r="F712" s="2060"/>
      <c r="G712" s="537">
        <v>0.53100000000000003</v>
      </c>
      <c r="H712" s="538"/>
      <c r="I712" s="443"/>
      <c r="J712" s="376"/>
      <c r="L712" s="376"/>
      <c r="R712" s="376"/>
      <c r="T712" s="376"/>
      <c r="U712" s="3"/>
      <c r="W712" s="6"/>
      <c r="X712" s="6"/>
      <c r="AA712" s="3"/>
      <c r="AB712" s="5"/>
      <c r="AE712" s="4"/>
      <c r="AF712" s="4"/>
      <c r="AG712" s="4"/>
      <c r="AI712" s="3"/>
      <c r="AJ712" s="3"/>
      <c r="AK712" s="3"/>
    </row>
    <row r="713" spans="2:37" ht="15" customHeight="1" x14ac:dyDescent="0.25">
      <c r="B713" s="536" t="s">
        <v>1399</v>
      </c>
      <c r="C713" s="2060" t="s">
        <v>1400</v>
      </c>
      <c r="D713" s="2060"/>
      <c r="E713" s="2060"/>
      <c r="F713" s="2060"/>
      <c r="G713" s="537">
        <v>0.53100000000000003</v>
      </c>
      <c r="H713" s="538"/>
      <c r="I713" s="443"/>
      <c r="J713" s="376"/>
      <c r="L713" s="376"/>
      <c r="R713" s="376"/>
      <c r="T713" s="376"/>
      <c r="U713" s="3"/>
      <c r="W713" s="6"/>
      <c r="X713" s="6"/>
      <c r="AA713" s="3"/>
      <c r="AB713" s="5"/>
      <c r="AE713" s="4"/>
      <c r="AF713" s="4"/>
      <c r="AG713" s="4"/>
      <c r="AI713" s="39"/>
      <c r="AJ713" s="39"/>
      <c r="AK713" s="39"/>
    </row>
    <row r="714" spans="2:37" ht="15" customHeight="1" x14ac:dyDescent="0.25">
      <c r="B714" s="536" t="s">
        <v>1401</v>
      </c>
      <c r="C714" s="2060" t="s">
        <v>1402</v>
      </c>
      <c r="D714" s="2060"/>
      <c r="E714" s="2060"/>
      <c r="F714" s="2060"/>
      <c r="G714" s="537">
        <v>0.53100000000000003</v>
      </c>
      <c r="H714" s="538"/>
      <c r="I714" s="443"/>
      <c r="J714" s="376"/>
      <c r="L714" s="376"/>
      <c r="R714" s="376"/>
      <c r="T714" s="376"/>
      <c r="U714" s="3"/>
      <c r="W714" s="6"/>
      <c r="X714" s="6"/>
      <c r="AA714" s="3"/>
      <c r="AB714" s="5"/>
      <c r="AE714" s="4"/>
      <c r="AF714" s="4"/>
      <c r="AG714" s="4"/>
      <c r="AI714" s="39"/>
      <c r="AJ714" s="39"/>
      <c r="AK714" s="39"/>
    </row>
    <row r="715" spans="2:37" ht="15" customHeight="1" x14ac:dyDescent="0.25">
      <c r="B715" s="130"/>
      <c r="C715" s="298"/>
      <c r="D715" s="122"/>
      <c r="E715" s="122"/>
      <c r="F715" s="122"/>
      <c r="G715" s="123"/>
      <c r="H715" s="3"/>
      <c r="I715" s="443"/>
      <c r="J715" s="376"/>
      <c r="L715" s="376"/>
      <c r="R715" s="376"/>
      <c r="T715" s="376"/>
      <c r="U715" s="3"/>
      <c r="W715" s="6"/>
      <c r="X715" s="6"/>
      <c r="AA715" s="3"/>
      <c r="AB715" s="5"/>
      <c r="AE715" s="4"/>
      <c r="AF715" s="4"/>
      <c r="AG715" s="4"/>
      <c r="AI715" s="39"/>
      <c r="AJ715" s="39"/>
      <c r="AK715" s="39"/>
    </row>
    <row r="716" spans="2:37" ht="15" customHeight="1" x14ac:dyDescent="0.4">
      <c r="B716" s="2055" t="s">
        <v>1060</v>
      </c>
      <c r="C716" s="2055"/>
      <c r="D716" s="2055"/>
      <c r="E716" s="2055"/>
      <c r="F716" s="2055"/>
      <c r="G716" s="2055"/>
      <c r="H716" s="3"/>
      <c r="I716" s="443"/>
      <c r="J716" s="376"/>
      <c r="K716"/>
      <c r="L716" s="376"/>
      <c r="M716"/>
      <c r="N716"/>
      <c r="O716"/>
      <c r="P716"/>
      <c r="Q716"/>
      <c r="R716" s="376"/>
      <c r="S716"/>
      <c r="T716" s="376"/>
      <c r="U716" s="3"/>
      <c r="W716" s="6"/>
      <c r="X716" s="6"/>
      <c r="AA716" s="3"/>
      <c r="AB716" s="5"/>
      <c r="AE716" s="4"/>
      <c r="AF716" s="4"/>
      <c r="AG716" s="4"/>
      <c r="AI716" s="39"/>
      <c r="AJ716" s="39"/>
      <c r="AK716" s="39"/>
    </row>
    <row r="717" spans="2:37" ht="15" customHeight="1" x14ac:dyDescent="0.4">
      <c r="B717" s="2056"/>
      <c r="C717" s="2056"/>
      <c r="D717" s="2056"/>
      <c r="E717" s="2056"/>
      <c r="F717" s="2056"/>
      <c r="G717" s="2056"/>
      <c r="H717" s="3"/>
      <c r="I717" s="539" t="s">
        <v>2334</v>
      </c>
      <c r="J717" s="528"/>
      <c r="K717" s="438"/>
      <c r="L717" s="528"/>
      <c r="M717" s="530" t="s">
        <v>1403</v>
      </c>
      <c r="N717" s="530"/>
      <c r="O717" s="530"/>
      <c r="P717" s="530" t="s">
        <v>348</v>
      </c>
      <c r="Q717" s="529">
        <v>-1.458</v>
      </c>
      <c r="R717" s="528" t="s">
        <v>352</v>
      </c>
      <c r="S717" s="530">
        <f>SLEQwidth/3+Q717</f>
        <v>22.375333333333334</v>
      </c>
      <c r="T717" s="528"/>
      <c r="U717" s="3"/>
      <c r="W717" s="6"/>
      <c r="X717" s="6"/>
      <c r="AA717" s="3"/>
      <c r="AB717" s="5"/>
      <c r="AE717" s="4"/>
      <c r="AF717" s="4"/>
      <c r="AG717" s="4"/>
      <c r="AI717" s="39"/>
      <c r="AJ717" s="39"/>
      <c r="AK717" s="39"/>
    </row>
    <row r="718" spans="2:37" ht="15" customHeight="1" x14ac:dyDescent="0.25">
      <c r="B718" s="525" t="s">
        <v>319</v>
      </c>
      <c r="C718" s="296"/>
      <c r="D718" s="526"/>
      <c r="E718" s="526"/>
      <c r="F718" s="526"/>
      <c r="G718" s="527"/>
      <c r="H718" s="438"/>
      <c r="I718" s="534"/>
      <c r="J718" s="528"/>
      <c r="K718" s="438"/>
      <c r="L718" s="528"/>
      <c r="M718" s="530"/>
      <c r="N718" s="530"/>
      <c r="O718" s="530"/>
      <c r="P718" s="530"/>
      <c r="Q718" s="530"/>
      <c r="R718" s="528"/>
      <c r="S718" s="529">
        <v>0</v>
      </c>
      <c r="T718" s="528" t="s">
        <v>366</v>
      </c>
      <c r="U718" s="3"/>
      <c r="W718" s="6"/>
      <c r="X718" s="6"/>
      <c r="AA718" s="3"/>
      <c r="AB718" s="5"/>
      <c r="AE718" s="4"/>
      <c r="AF718" s="4"/>
      <c r="AG718" s="4"/>
      <c r="AI718" s="39"/>
      <c r="AJ718" s="39"/>
      <c r="AK718" s="39"/>
    </row>
    <row r="719" spans="2:37" ht="15" customHeight="1" x14ac:dyDescent="0.25">
      <c r="B719" s="525" t="s">
        <v>1216</v>
      </c>
      <c r="C719" s="296"/>
      <c r="D719" s="526"/>
      <c r="E719" s="526"/>
      <c r="F719" s="526"/>
      <c r="G719" s="527"/>
      <c r="H719" s="438"/>
      <c r="I719" s="540" t="s">
        <v>1336</v>
      </c>
      <c r="J719" s="528"/>
      <c r="K719" s="438"/>
      <c r="L719" s="528" t="s">
        <v>456</v>
      </c>
      <c r="M719" s="539" t="s">
        <v>2334</v>
      </c>
      <c r="N719" s="541"/>
      <c r="O719" s="541"/>
      <c r="P719" s="530"/>
      <c r="Q719" s="530"/>
      <c r="R719" s="528" t="s">
        <v>352</v>
      </c>
      <c r="S719" s="529">
        <f>E8-SLEQRSashW</f>
        <v>5.9996666666666663</v>
      </c>
      <c r="T719" s="528" t="s">
        <v>366</v>
      </c>
      <c r="U719" s="3"/>
      <c r="W719" s="6"/>
      <c r="X719" s="6"/>
      <c r="AA719" s="3"/>
      <c r="AB719" s="5"/>
      <c r="AE719" s="4"/>
      <c r="AF719" s="4"/>
      <c r="AG719" s="4"/>
      <c r="AI719" s="39"/>
      <c r="AJ719" s="39"/>
      <c r="AK719" s="39"/>
    </row>
    <row r="720" spans="2:37" ht="15" customHeight="1" x14ac:dyDescent="0.4">
      <c r="B720"/>
      <c r="C720" s="299"/>
      <c r="D720" s="452"/>
      <c r="E720" s="452"/>
      <c r="F720" s="452"/>
      <c r="G720" s="453"/>
      <c r="H720" s="3"/>
      <c r="I720" s="443"/>
      <c r="J720" s="376"/>
      <c r="K720"/>
      <c r="L720" s="376"/>
      <c r="M720"/>
      <c r="N720"/>
      <c r="O720"/>
      <c r="P720"/>
      <c r="Q720"/>
      <c r="R720" s="376"/>
      <c r="S720" s="1505">
        <f>LOOKUP(E7,B718:B719,S718:S719)</f>
        <v>0</v>
      </c>
      <c r="T720"/>
      <c r="U720" s="3"/>
      <c r="W720" s="6"/>
      <c r="X720" s="6"/>
      <c r="AA720" s="3"/>
      <c r="AB720" s="5"/>
      <c r="AE720" s="4"/>
      <c r="AF720" s="4"/>
      <c r="AG720" s="4"/>
      <c r="AI720" s="39"/>
      <c r="AJ720" s="39"/>
      <c r="AK720" s="39"/>
    </row>
    <row r="721" spans="2:38" ht="15" customHeight="1" x14ac:dyDescent="0.4">
      <c r="B721"/>
      <c r="C721" s="299"/>
      <c r="D721" s="452"/>
      <c r="E721" s="452"/>
      <c r="F721" s="452"/>
      <c r="G721" s="453"/>
      <c r="H721" s="3"/>
      <c r="I721" s="443"/>
      <c r="J721" s="376"/>
      <c r="K721"/>
      <c r="L721" s="376"/>
      <c r="M721"/>
      <c r="N721"/>
      <c r="O721"/>
      <c r="P721"/>
      <c r="Q721"/>
      <c r="R721" s="461" t="s">
        <v>1074</v>
      </c>
      <c r="S721" s="535">
        <f>SIGN(S720)*((S720*16))/16</f>
        <v>0</v>
      </c>
      <c r="T721" s="470" t="s">
        <v>1404</v>
      </c>
      <c r="U721" s="3"/>
      <c r="W721" s="6"/>
      <c r="X721" s="6"/>
      <c r="AA721" s="3"/>
      <c r="AB721" s="5"/>
      <c r="AE721" s="4"/>
      <c r="AF721" s="4"/>
      <c r="AG721" s="4"/>
      <c r="AI721" s="39"/>
      <c r="AJ721" s="39"/>
      <c r="AK721" s="39"/>
    </row>
    <row r="722" spans="2:38" ht="15" customHeight="1" x14ac:dyDescent="0.25">
      <c r="B722" s="3"/>
      <c r="C722" s="303"/>
      <c r="D722" s="452"/>
      <c r="E722" s="452"/>
      <c r="F722" s="452"/>
      <c r="G722" s="453"/>
      <c r="H722" s="3"/>
      <c r="I722" s="443"/>
      <c r="J722" s="376"/>
      <c r="L722" s="376"/>
      <c r="R722" s="376"/>
      <c r="T722" s="376"/>
      <c r="U722" s="3"/>
      <c r="W722" s="6"/>
      <c r="X722" s="6"/>
      <c r="AA722" s="3"/>
      <c r="AB722" s="5"/>
      <c r="AE722" s="4"/>
      <c r="AF722" s="4"/>
      <c r="AG722" s="4"/>
      <c r="AI722" s="39"/>
      <c r="AJ722" s="39"/>
      <c r="AK722" s="39"/>
    </row>
    <row r="723" spans="2:38" ht="15" customHeight="1" x14ac:dyDescent="0.4">
      <c r="C723" s="561" t="s">
        <v>2152</v>
      </c>
      <c r="D723" s="36"/>
      <c r="E723" s="3"/>
      <c r="F723" s="3"/>
      <c r="G723" s="3"/>
      <c r="H723" s="3"/>
      <c r="U723" s="3"/>
      <c r="AA723" s="3"/>
      <c r="AI723" s="39"/>
      <c r="AJ723" s="39"/>
      <c r="AK723" s="39"/>
    </row>
    <row r="724" spans="2:38" ht="15" customHeight="1" thickBot="1" x14ac:dyDescent="0.45">
      <c r="C724" s="452" t="s">
        <v>2112</v>
      </c>
      <c r="D724" s="36" t="s">
        <v>2113</v>
      </c>
      <c r="E724" s="3"/>
      <c r="F724" s="3"/>
      <c r="G724" s="3"/>
      <c r="H724" s="3"/>
      <c r="I724" s="5"/>
      <c r="J724" s="5"/>
      <c r="U724" s="3"/>
      <c r="AA724" s="3"/>
      <c r="AI724" s="39"/>
      <c r="AJ724" s="39"/>
      <c r="AK724" s="39"/>
    </row>
    <row r="725" spans="2:38" ht="15" customHeight="1" x14ac:dyDescent="0.25">
      <c r="B725" s="3">
        <v>1</v>
      </c>
      <c r="C725" s="1827">
        <f>IF('SH Sash &amp; unit Weight'!D61&lt;&gt;"",'SH Sash &amp; unit Weight'!D61,"")</f>
        <v>1.7361111111111112E-2</v>
      </c>
      <c r="D725" s="361" t="str">
        <f>IF('SH Sash &amp; unit Weight'!F61&lt;&gt;"",'SH Sash &amp; unit Weight'!F61,"")</f>
        <v>01-Double: 2.5mm &amp; 2.5mm</v>
      </c>
      <c r="E725" s="362"/>
      <c r="F725" s="362"/>
      <c r="G725" s="116"/>
      <c r="H725" s="66"/>
      <c r="I725" s="5"/>
      <c r="J725" s="5"/>
      <c r="U725" s="3"/>
      <c r="AA725" s="3"/>
      <c r="AI725" s="39"/>
      <c r="AJ725" s="39"/>
      <c r="AK725" s="39"/>
    </row>
    <row r="726" spans="2:38" ht="15" customHeight="1" x14ac:dyDescent="0.25">
      <c r="B726" s="3">
        <v>2</v>
      </c>
      <c r="C726" s="1828">
        <f>IF('SH Sash &amp; unit Weight'!D62&lt;&gt;"",'SH Sash &amp; unit Weight'!D62,"")</f>
        <v>2.3194444444444445E-2</v>
      </c>
      <c r="D726" s="363" t="str">
        <f>IF('SH Sash &amp; unit Weight'!F62&lt;&gt;"",'SH Sash &amp; unit Weight'!F62,"")</f>
        <v>02-Double: 3mm &amp; 3mm</v>
      </c>
      <c r="E726" s="364"/>
      <c r="F726" s="364"/>
      <c r="G726" s="3"/>
      <c r="H726" s="64"/>
      <c r="I726" s="5"/>
      <c r="J726" s="5"/>
      <c r="U726" s="3"/>
      <c r="AA726" s="3"/>
      <c r="AB726" s="5"/>
      <c r="AC726" s="5"/>
      <c r="AF726" s="51"/>
      <c r="AG726" s="39"/>
      <c r="AH726" s="5"/>
      <c r="AI726" s="39"/>
      <c r="AJ726" s="39"/>
      <c r="AK726" s="39"/>
      <c r="AL726" s="3"/>
    </row>
    <row r="727" spans="2:38" ht="15" customHeight="1" x14ac:dyDescent="0.25">
      <c r="B727" s="3">
        <v>3</v>
      </c>
      <c r="C727" s="1828">
        <f>IF('SH Sash &amp; unit Weight'!D63&lt;&gt;"",'SH Sash &amp; unit Weight'!D63,"")</f>
        <v>2.6249999999999999E-2</v>
      </c>
      <c r="D727" s="363" t="str">
        <f>IF('SH Sash &amp; unit Weight'!F63&lt;&gt;"",'SH Sash &amp; unit Weight'!F63,"")</f>
        <v>03-Double: 3mm &amp; 4mm</v>
      </c>
      <c r="E727" s="364"/>
      <c r="F727" s="364"/>
      <c r="G727" s="3"/>
      <c r="H727" s="64"/>
      <c r="I727" s="5"/>
      <c r="J727" s="5"/>
      <c r="U727" s="3"/>
      <c r="AA727" s="3"/>
      <c r="AB727" s="5"/>
      <c r="AC727" s="5"/>
      <c r="AF727" s="51"/>
      <c r="AG727" s="39"/>
      <c r="AH727" s="5"/>
      <c r="AI727" s="39"/>
      <c r="AJ727" s="39"/>
      <c r="AK727" s="39"/>
      <c r="AL727" s="3"/>
    </row>
    <row r="728" spans="2:38" ht="15" customHeight="1" x14ac:dyDescent="0.25">
      <c r="B728" s="3">
        <v>4</v>
      </c>
      <c r="C728" s="1828">
        <f>IF('SH Sash &amp; unit Weight'!D64&lt;&gt;"",'SH Sash &amp; unit Weight'!D64,"")</f>
        <v>2.8958333333333332E-2</v>
      </c>
      <c r="D728" s="363" t="str">
        <f>IF('SH Sash &amp; unit Weight'!F64&lt;&gt;"",'SH Sash &amp; unit Weight'!F64,"")</f>
        <v>04-Double: 3mm &amp; 5mm - Regal</v>
      </c>
      <c r="E728" s="364"/>
      <c r="F728" s="364"/>
      <c r="G728" s="3"/>
      <c r="H728" s="64"/>
      <c r="I728" s="5"/>
      <c r="J728" s="5"/>
      <c r="U728" s="3"/>
      <c r="AA728" s="3"/>
      <c r="AB728" s="5"/>
      <c r="AC728" s="5"/>
      <c r="AF728" s="51"/>
      <c r="AG728" s="39"/>
      <c r="AH728" s="5"/>
      <c r="AI728" s="39"/>
      <c r="AJ728" s="39"/>
      <c r="AK728" s="39"/>
      <c r="AL728" s="3"/>
    </row>
    <row r="729" spans="2:38" ht="15" customHeight="1" x14ac:dyDescent="0.25">
      <c r="B729" s="3">
        <v>5</v>
      </c>
      <c r="C729" s="1828">
        <f>IF('SH Sash &amp; unit Weight'!D65&lt;&gt;"",'SH Sash &amp; unit Weight'!D65,"")</f>
        <v>2.8958333333333332E-2</v>
      </c>
      <c r="D729" s="363" t="str">
        <f>IF('SH Sash &amp; unit Weight'!F65&lt;&gt;"",'SH Sash &amp; unit Weight'!F65,"")</f>
        <v>05-Double: 3mm &amp; 5mm - Sound</v>
      </c>
      <c r="E729" s="364"/>
      <c r="F729" s="364"/>
      <c r="G729" s="3"/>
      <c r="H729" s="64"/>
      <c r="I729" s="5"/>
      <c r="J729" s="5"/>
      <c r="U729" s="3"/>
      <c r="AA729" s="3"/>
      <c r="AB729" s="5"/>
      <c r="AC729" s="5"/>
      <c r="AF729" s="51"/>
      <c r="AG729" s="39"/>
      <c r="AH729" s="5"/>
      <c r="AI729" s="39"/>
      <c r="AJ729" s="39"/>
      <c r="AK729" s="39"/>
      <c r="AL729" s="3"/>
    </row>
    <row r="730" spans="2:38" ht="15" customHeight="1" x14ac:dyDescent="0.25">
      <c r="B730" s="3">
        <v>6</v>
      </c>
      <c r="C730" s="1828">
        <f>IF('SH Sash &amp; unit Weight'!D66&lt;&gt;"",'SH Sash &amp; unit Weight'!D66,"")</f>
        <v>2.8750000000000005E-2</v>
      </c>
      <c r="D730" s="363" t="str">
        <f>IF('SH Sash &amp; unit Weight'!F66&lt;&gt;"",'SH Sash &amp; unit Weight'!F66,"")</f>
        <v>06-Double: 2.5mm &amp; 6mm - Spandrel</v>
      </c>
      <c r="E730" s="364"/>
      <c r="F730" s="364"/>
      <c r="G730" s="3"/>
      <c r="H730" s="64"/>
      <c r="I730" s="5"/>
      <c r="J730" s="5"/>
      <c r="U730" s="3"/>
      <c r="AA730" s="3"/>
      <c r="AB730" s="5"/>
      <c r="AC730" s="5"/>
      <c r="AF730" s="51"/>
      <c r="AG730" s="39"/>
      <c r="AH730" s="5"/>
      <c r="AI730" s="39"/>
      <c r="AJ730" s="39"/>
      <c r="AK730" s="39"/>
      <c r="AL730" s="3"/>
    </row>
    <row r="731" spans="2:38" ht="15" customHeight="1" x14ac:dyDescent="0.25">
      <c r="B731" s="3">
        <v>7</v>
      </c>
      <c r="C731" s="1828">
        <f>IF('SH Sash &amp; unit Weight'!D67&lt;&gt;"",'SH Sash &amp; unit Weight'!D67,"")</f>
        <v>3.2069444444444449E-2</v>
      </c>
      <c r="D731" s="363" t="str">
        <f>IF('SH Sash &amp; unit Weight'!F67&lt;&gt;"",'SH Sash &amp; unit Weight'!F67,"")</f>
        <v>07-Double: 3mm &amp; 6mm Lami - Sound</v>
      </c>
      <c r="E731" s="364"/>
      <c r="F731" s="364"/>
      <c r="G731" s="3"/>
      <c r="H731" s="64"/>
      <c r="I731" s="5"/>
      <c r="J731" s="5"/>
      <c r="U731" s="3"/>
      <c r="AA731" s="3"/>
      <c r="AB731" s="5"/>
      <c r="AC731" s="5"/>
      <c r="AF731" s="51"/>
      <c r="AG731" s="39"/>
      <c r="AH731" s="5"/>
      <c r="AI731" s="39"/>
      <c r="AJ731" s="39"/>
      <c r="AK731" s="39"/>
      <c r="AL731" s="3"/>
    </row>
    <row r="732" spans="2:38" ht="15" customHeight="1" x14ac:dyDescent="0.25">
      <c r="B732" s="3">
        <v>8</v>
      </c>
      <c r="C732" s="1828">
        <f>IF('SH Sash &amp; unit Weight'!D68&lt;&gt;"",'SH Sash &amp; unit Weight'!D68,"")</f>
        <v>3.9930555555555552E-2</v>
      </c>
      <c r="D732" s="363" t="str">
        <f>IF('SH Sash &amp; unit Weight'!F68&lt;&gt;"",'SH Sash &amp; unit Weight'!F68,"")</f>
        <v>08-Double: 3mm &amp; 8.5mm Lami - IMPACT</v>
      </c>
      <c r="E732" s="364"/>
      <c r="F732" s="364"/>
      <c r="G732" s="3"/>
      <c r="H732" s="64"/>
      <c r="I732" s="5"/>
      <c r="J732" s="5"/>
      <c r="U732" s="3"/>
      <c r="AA732" s="3"/>
      <c r="AB732" s="5"/>
      <c r="AC732" s="5"/>
      <c r="AF732" s="51"/>
      <c r="AG732" s="39"/>
      <c r="AH732" s="5"/>
      <c r="AI732" s="39"/>
      <c r="AJ732" s="39"/>
      <c r="AK732" s="39"/>
      <c r="AL732" s="3"/>
    </row>
    <row r="733" spans="2:38" ht="15" customHeight="1" x14ac:dyDescent="0.25">
      <c r="B733" s="3">
        <v>9</v>
      </c>
      <c r="C733" s="1828">
        <f>IF('SH Sash &amp; unit Weight'!D69&lt;&gt;"",'SH Sash &amp; unit Weight'!D69,"")</f>
        <v>2.9305555555555553E-2</v>
      </c>
      <c r="D733" s="363" t="str">
        <f>IF('SH Sash &amp; unit Weight'!F69&lt;&gt;"",'SH Sash &amp; unit Weight'!F69,"")</f>
        <v>09-Double: 4mm &amp; 4mm</v>
      </c>
      <c r="E733" s="364"/>
      <c r="F733" s="364"/>
      <c r="G733" s="3"/>
      <c r="H733" s="64"/>
      <c r="I733" s="5"/>
      <c r="J733" s="5"/>
      <c r="U733" s="3"/>
      <c r="AA733" s="3"/>
      <c r="AB733" s="5"/>
      <c r="AC733" s="5"/>
      <c r="AF733" s="51"/>
      <c r="AG733" s="39"/>
      <c r="AH733" s="5"/>
      <c r="AI733" s="39"/>
      <c r="AJ733" s="39"/>
      <c r="AK733" s="39"/>
      <c r="AL733" s="3"/>
    </row>
    <row r="734" spans="2:38" ht="15" customHeight="1" x14ac:dyDescent="0.25">
      <c r="B734" s="3">
        <v>10</v>
      </c>
      <c r="C734" s="1828">
        <f>IF('SH Sash &amp; unit Weight'!D70&lt;&gt;"",'SH Sash &amp; unit Weight'!D70,"")</f>
        <v>3.4722222222222224E-2</v>
      </c>
      <c r="D734" s="363" t="str">
        <f>IF('SH Sash &amp; unit Weight'!F70&lt;&gt;"",'SH Sash &amp; unit Weight'!F70,"")</f>
        <v>10-Double: 5mm &amp; 5mm</v>
      </c>
      <c r="E734" s="364"/>
      <c r="F734" s="364"/>
      <c r="G734" s="3"/>
      <c r="H734" s="64"/>
      <c r="I734" s="5"/>
      <c r="J734" s="5"/>
      <c r="U734" s="3"/>
      <c r="AA734" s="3"/>
      <c r="AB734" s="5"/>
      <c r="AC734" s="5"/>
      <c r="AF734" s="51"/>
      <c r="AG734" s="39"/>
      <c r="AH734" s="5"/>
      <c r="AI734" s="39"/>
      <c r="AJ734" s="39"/>
      <c r="AK734" s="39"/>
      <c r="AL734" s="3"/>
    </row>
    <row r="735" spans="2:38" ht="15" customHeight="1" x14ac:dyDescent="0.25">
      <c r="B735" s="3">
        <v>11</v>
      </c>
      <c r="C735" s="1828">
        <f>IF('SH Sash &amp; unit Weight'!D71&lt;&gt;"",'SH Sash &amp; unit Weight'!D71,"")</f>
        <v>3.4722222222222224E-2</v>
      </c>
      <c r="D735" s="363" t="str">
        <f>IF('SH Sash &amp; unit Weight'!F71&lt;&gt;"",'SH Sash &amp; unit Weight'!F71,"")</f>
        <v>11-Double: 5mm &amp; 5mm (Regal)</v>
      </c>
      <c r="E735" s="364"/>
      <c r="F735" s="364"/>
      <c r="G735" s="3"/>
      <c r="H735" s="64"/>
      <c r="I735" s="5"/>
      <c r="J735" s="5"/>
      <c r="U735" s="3"/>
      <c r="AA735" s="3"/>
      <c r="AB735" s="5"/>
      <c r="AC735" s="5"/>
      <c r="AF735" s="51"/>
      <c r="AG735" s="39"/>
      <c r="AH735" s="5"/>
      <c r="AI735" s="39"/>
      <c r="AJ735" s="39"/>
      <c r="AK735" s="39"/>
      <c r="AL735" s="3"/>
    </row>
    <row r="736" spans="2:38" ht="15" customHeight="1" x14ac:dyDescent="0.25">
      <c r="B736" s="3">
        <v>12</v>
      </c>
      <c r="C736" s="1828">
        <f>IF('SH Sash &amp; unit Weight'!D72&lt;&gt;"",'SH Sash &amp; unit Weight'!D72,"")</f>
        <v>3.7833333333333337E-2</v>
      </c>
      <c r="D736" s="363" t="str">
        <f>IF('SH Sash &amp; unit Weight'!F72&lt;&gt;"",'SH Sash &amp; unit Weight'!F72,"")</f>
        <v>12-Double: 5mm &amp; 6mm Lami - Sound</v>
      </c>
      <c r="E736" s="364"/>
      <c r="F736" s="364"/>
      <c r="G736" s="3"/>
      <c r="H736" s="64"/>
      <c r="I736" s="4"/>
      <c r="J736" s="4"/>
      <c r="U736" s="3"/>
      <c r="AA736" s="3"/>
      <c r="AB736" s="5"/>
      <c r="AC736" s="5"/>
      <c r="AF736" s="51"/>
      <c r="AG736" s="39"/>
      <c r="AH736" s="5"/>
      <c r="AI736" s="39"/>
      <c r="AJ736" s="39"/>
      <c r="AK736" s="39"/>
      <c r="AL736" s="3"/>
    </row>
    <row r="737" spans="2:38" ht="15" customHeight="1" x14ac:dyDescent="0.25">
      <c r="B737" s="3">
        <v>13</v>
      </c>
      <c r="C737" s="1828">
        <f>IF('SH Sash &amp; unit Weight'!D73&lt;&gt;"",'SH Sash &amp; unit Weight'!D73,"")</f>
        <v>4.0319444444444436E-2</v>
      </c>
      <c r="D737" s="363" t="str">
        <f>IF('SH Sash &amp; unit Weight'!F73&lt;&gt;"",'SH Sash &amp; unit Weight'!F73,"")</f>
        <v>13-Double: 5mm &amp; 6mm Offset 2.3+3.0 Lami - Sound</v>
      </c>
      <c r="H737" s="64"/>
      <c r="U737" s="3"/>
      <c r="AA737" s="3"/>
      <c r="AB737" s="5"/>
      <c r="AC737" s="5"/>
      <c r="AF737" s="51"/>
      <c r="AG737" s="39"/>
      <c r="AH737" s="5"/>
      <c r="AI737" s="39"/>
      <c r="AJ737" s="39"/>
      <c r="AK737" s="39"/>
      <c r="AL737" s="3"/>
    </row>
    <row r="738" spans="2:38" ht="15" customHeight="1" x14ac:dyDescent="0.25">
      <c r="B738" s="3">
        <v>14</v>
      </c>
      <c r="C738" s="1828">
        <f>IF('SH Sash &amp; unit Weight'!D74&lt;&gt;"",'SH Sash &amp; unit Weight'!D74,"")</f>
        <v>2.6041666666666668E-2</v>
      </c>
      <c r="D738" s="363" t="str">
        <f>IF('SH Sash &amp; unit Weight'!F74&lt;&gt;"",'SH Sash &amp; unit Weight'!F74,"")</f>
        <v>14-Triple:   2.5mm &amp; 2.5mm &amp; 2.5mm</v>
      </c>
      <c r="H738" s="64"/>
      <c r="U738" s="3"/>
      <c r="AA738" s="3"/>
      <c r="AB738" s="5"/>
      <c r="AC738" s="5"/>
      <c r="AF738" s="51"/>
      <c r="AG738" s="39"/>
      <c r="AH738" s="5"/>
      <c r="AI738" s="39"/>
      <c r="AJ738" s="39"/>
      <c r="AK738" s="39"/>
      <c r="AL738" s="3"/>
    </row>
    <row r="739" spans="2:38" ht="15" customHeight="1" x14ac:dyDescent="0.25">
      <c r="B739" s="3">
        <v>15</v>
      </c>
      <c r="C739" s="1828">
        <f>IF('SH Sash &amp; unit Weight'!D75&lt;&gt;"",'SH Sash &amp; unit Weight'!D75,"")</f>
        <v>3.7833333333333337E-2</v>
      </c>
      <c r="D739" s="363" t="str">
        <f>IF('SH Sash &amp; unit Weight'!F75&lt;&gt;"",'SH Sash &amp; unit Weight'!F75,"")</f>
        <v>15-Triple:   2.5mm &amp; 2.5mm &amp; 6mm Lami - Sound</v>
      </c>
      <c r="H739" s="64"/>
      <c r="U739" s="3"/>
      <c r="AA739" s="3"/>
      <c r="AB739" s="5"/>
      <c r="AC739" s="5"/>
      <c r="AF739" s="51"/>
      <c r="AG739" s="39"/>
      <c r="AH739" s="5"/>
      <c r="AI739" s="39"/>
      <c r="AJ739" s="39"/>
      <c r="AK739" s="39"/>
      <c r="AL739" s="3"/>
    </row>
    <row r="740" spans="2:38" ht="15" customHeight="1" x14ac:dyDescent="0.25">
      <c r="B740" s="3">
        <v>16</v>
      </c>
      <c r="C740" s="1828">
        <f>IF('SH Sash &amp; unit Weight'!D76&lt;&gt;"",'SH Sash &amp; unit Weight'!D76,"")</f>
        <v>3.1875000000000001E-2</v>
      </c>
      <c r="D740" s="363" t="str">
        <f>IF('SH Sash &amp; unit Weight'!F76&lt;&gt;"",'SH Sash &amp; unit Weight'!F76,"")</f>
        <v>16-Triple:   3mm &amp; 2.5mm &amp; 3mm</v>
      </c>
      <c r="H740" s="64"/>
      <c r="U740" s="3"/>
      <c r="AA740" s="3"/>
      <c r="AB740" s="5"/>
      <c r="AC740" s="5"/>
      <c r="AF740" s="51"/>
      <c r="AG740" s="39"/>
      <c r="AH740" s="5"/>
      <c r="AI740" s="39"/>
      <c r="AJ740" s="39"/>
      <c r="AK740" s="39"/>
      <c r="AL740" s="3"/>
    </row>
    <row r="741" spans="2:38" ht="15" customHeight="1" x14ac:dyDescent="0.25">
      <c r="B741" s="3">
        <v>17</v>
      </c>
      <c r="C741" s="1828">
        <f>IF('SH Sash &amp; unit Weight'!D77&lt;&gt;"",'SH Sash &amp; unit Weight'!D77,"")</f>
        <v>3.4791666666666665E-2</v>
      </c>
      <c r="D741" s="363" t="str">
        <f>IF('SH Sash &amp; unit Weight'!F77&lt;&gt;"",'SH Sash &amp; unit Weight'!F77,"")</f>
        <v>17-Triple:   3mm &amp; 3mm &amp; 3mm</v>
      </c>
      <c r="E741" s="561"/>
      <c r="H741" s="64"/>
      <c r="U741" s="3"/>
      <c r="AA741" s="3"/>
      <c r="AB741" s="5"/>
      <c r="AC741" s="5"/>
      <c r="AF741" s="51"/>
      <c r="AG741" s="39"/>
      <c r="AH741" s="5"/>
      <c r="AI741" s="477"/>
      <c r="AJ741" s="477"/>
      <c r="AK741" s="477"/>
      <c r="AL741" s="3"/>
    </row>
    <row r="742" spans="2:38" ht="15" customHeight="1" x14ac:dyDescent="0.25">
      <c r="B742" s="3">
        <v>18</v>
      </c>
      <c r="C742" s="1828">
        <f>IF('SH Sash &amp; unit Weight'!D78&lt;&gt;"",'SH Sash &amp; unit Weight'!D78,"")</f>
        <v>4.0555555555555553E-2</v>
      </c>
      <c r="D742" s="363" t="str">
        <f>IF('SH Sash &amp; unit Weight'!F78&lt;&gt;"",'SH Sash &amp; unit Weight'!F78,"")</f>
        <v>18-Triple:   3mm &amp; 5mm &amp; 3mm</v>
      </c>
      <c r="H742" s="64"/>
      <c r="U742" s="3"/>
      <c r="AA742" s="3"/>
      <c r="AB742" s="5"/>
      <c r="AC742" s="5"/>
      <c r="AF742" s="51"/>
      <c r="AG742" s="39"/>
      <c r="AH742" s="5"/>
      <c r="AI742" s="477"/>
      <c r="AJ742" s="477"/>
      <c r="AK742" s="477"/>
      <c r="AL742" s="3"/>
    </row>
    <row r="743" spans="2:38" ht="15" customHeight="1" x14ac:dyDescent="0.25">
      <c r="B743" s="3">
        <v>19</v>
      </c>
      <c r="C743" s="1828">
        <f>IF('SH Sash &amp; unit Weight'!D79&lt;&gt;"",'SH Sash &amp; unit Weight'!D79,"")</f>
        <v>4.3666666666666666E-2</v>
      </c>
      <c r="D743" s="363" t="str">
        <f>IF('SH Sash &amp; unit Weight'!F79&lt;&gt;"",'SH Sash &amp; unit Weight'!F79,"")</f>
        <v>19-Triple:   3mm &amp; 3mm &amp; 6mm Lami - Sound</v>
      </c>
      <c r="H743" s="64"/>
      <c r="U743" s="3"/>
      <c r="AA743" s="3"/>
      <c r="AB743" s="5"/>
      <c r="AC743" s="5"/>
      <c r="AF743" s="51"/>
      <c r="AG743" s="39"/>
      <c r="AH743" s="5"/>
      <c r="AI743" s="39"/>
      <c r="AJ743" s="39"/>
      <c r="AK743" s="39"/>
      <c r="AL743" s="3"/>
    </row>
    <row r="744" spans="2:38" ht="15" customHeight="1" thickBot="1" x14ac:dyDescent="0.3">
      <c r="B744" s="3">
        <v>20</v>
      </c>
      <c r="C744" s="1829">
        <f>IF('SH Sash &amp; unit Weight'!D80&lt;&gt;"",'SH Sash &amp; unit Weight'!D80,"")</f>
        <v>4.2361111111111106E-2</v>
      </c>
      <c r="D744" s="1248" t="str">
        <f>IF('SH Sash &amp; unit Weight'!F80&lt;&gt;"",'SH Sash &amp; unit Weight'!F80,"")</f>
        <v>20-Bevel Leaded - Designer</v>
      </c>
      <c r="E744" s="968"/>
      <c r="F744" s="968"/>
      <c r="G744" s="968"/>
      <c r="H744" s="940"/>
      <c r="U744" s="3"/>
      <c r="AA744" s="3"/>
      <c r="AB744" s="5"/>
      <c r="AC744" s="5"/>
      <c r="AF744" s="51"/>
      <c r="AG744" s="39"/>
      <c r="AH744" s="5"/>
      <c r="AI744" s="477"/>
      <c r="AJ744" s="477"/>
      <c r="AK744" s="477"/>
      <c r="AL744" s="3"/>
    </row>
    <row r="745" spans="2:38" ht="15" customHeight="1" x14ac:dyDescent="0.4">
      <c r="H745" s="3"/>
      <c r="U745" s="3"/>
      <c r="AA745" s="3"/>
      <c r="AI745" s="39"/>
      <c r="AJ745" s="39"/>
      <c r="AK745" s="39"/>
    </row>
    <row r="746" spans="2:38" ht="15" customHeight="1" x14ac:dyDescent="0.4">
      <c r="H746" s="3"/>
      <c r="U746" s="3"/>
      <c r="AA746" s="3"/>
    </row>
    <row r="747" spans="2:38" ht="15" customHeight="1" x14ac:dyDescent="0.4">
      <c r="H747" s="3"/>
      <c r="U747" s="3"/>
      <c r="AA747" s="3"/>
      <c r="AI747" s="39"/>
      <c r="AJ747" s="39"/>
      <c r="AK747" s="39"/>
    </row>
    <row r="748" spans="2:38" ht="15" customHeight="1" x14ac:dyDescent="0.4">
      <c r="H748" s="3"/>
      <c r="U748" s="3"/>
      <c r="AA748" s="3"/>
      <c r="AI748" s="39"/>
      <c r="AJ748" s="39"/>
      <c r="AK748" s="39"/>
    </row>
    <row r="749" spans="2:38" ht="15" customHeight="1" x14ac:dyDescent="0.4">
      <c r="H749" s="3"/>
      <c r="U749" s="3"/>
      <c r="AA749" s="3"/>
      <c r="AI749" s="39"/>
      <c r="AJ749" s="39"/>
      <c r="AK749" s="39"/>
    </row>
    <row r="750" spans="2:38" ht="15" customHeight="1" x14ac:dyDescent="0.4">
      <c r="H750" s="3"/>
      <c r="U750" s="3"/>
      <c r="AA750" s="3"/>
    </row>
    <row r="751" spans="2:38" ht="15" customHeight="1" x14ac:dyDescent="0.4">
      <c r="H751" s="3"/>
      <c r="U751" s="3"/>
      <c r="AA751" s="3"/>
      <c r="AI751" s="39"/>
      <c r="AJ751" s="39"/>
      <c r="AK751" s="39"/>
    </row>
    <row r="752" spans="2:38" ht="15" customHeight="1" x14ac:dyDescent="0.4">
      <c r="H752" s="3"/>
      <c r="U752" s="3"/>
      <c r="AA752" s="3"/>
      <c r="AI752" s="39"/>
      <c r="AJ752" s="39"/>
      <c r="AK752" s="39"/>
    </row>
    <row r="753" spans="8:37" ht="15" customHeight="1" x14ac:dyDescent="0.4">
      <c r="H753" s="3"/>
      <c r="U753" s="3"/>
      <c r="AA753" s="3"/>
      <c r="AI753" s="39"/>
      <c r="AJ753" s="39"/>
      <c r="AK753" s="39"/>
    </row>
    <row r="754" spans="8:37" ht="15" customHeight="1" x14ac:dyDescent="0.4">
      <c r="H754" s="3"/>
      <c r="U754" s="3"/>
      <c r="AA754" s="3"/>
    </row>
    <row r="755" spans="8:37" ht="15" customHeight="1" x14ac:dyDescent="0.4">
      <c r="H755" s="3"/>
      <c r="U755" s="3"/>
      <c r="AA755" s="3"/>
      <c r="AI755" s="39"/>
      <c r="AJ755" s="39"/>
      <c r="AK755" s="39"/>
    </row>
    <row r="756" spans="8:37" ht="15" customHeight="1" x14ac:dyDescent="0.4">
      <c r="H756" s="3"/>
      <c r="U756" s="3"/>
      <c r="AA756" s="3"/>
      <c r="AI756" s="39"/>
      <c r="AJ756" s="39"/>
      <c r="AK756" s="39"/>
    </row>
    <row r="757" spans="8:37" ht="15" customHeight="1" x14ac:dyDescent="0.4">
      <c r="H757" s="3"/>
      <c r="U757" s="3"/>
      <c r="AA757" s="3"/>
      <c r="AI757" s="39"/>
      <c r="AJ757" s="39"/>
      <c r="AK757" s="39"/>
    </row>
    <row r="758" spans="8:37" ht="15" customHeight="1" x14ac:dyDescent="0.4">
      <c r="H758" s="3"/>
      <c r="U758" s="3"/>
      <c r="AA758" s="3"/>
    </row>
    <row r="759" spans="8:37" ht="15" customHeight="1" x14ac:dyDescent="0.4">
      <c r="H759" s="3"/>
      <c r="U759" s="3"/>
      <c r="AA759" s="3"/>
      <c r="AI759" s="39"/>
      <c r="AJ759" s="39"/>
      <c r="AK759" s="39"/>
    </row>
    <row r="760" spans="8:37" ht="15" customHeight="1" x14ac:dyDescent="0.4">
      <c r="H760" s="3"/>
      <c r="U760" s="3"/>
      <c r="AA760" s="3"/>
      <c r="AI760" s="39"/>
      <c r="AJ760" s="39"/>
      <c r="AK760" s="39"/>
    </row>
    <row r="761" spans="8:37" ht="15" customHeight="1" x14ac:dyDescent="0.4">
      <c r="H761" s="3"/>
      <c r="U761" s="3"/>
      <c r="AA761" s="3"/>
      <c r="AI761" s="39"/>
      <c r="AJ761" s="39"/>
      <c r="AK761" s="39"/>
    </row>
    <row r="762" spans="8:37" ht="15" customHeight="1" x14ac:dyDescent="0.4">
      <c r="H762" s="3"/>
      <c r="U762" s="3"/>
      <c r="AA762" s="3"/>
    </row>
    <row r="763" spans="8:37" ht="15" customHeight="1" x14ac:dyDescent="0.4">
      <c r="H763" s="3"/>
      <c r="U763" s="3"/>
      <c r="AA763" s="3"/>
      <c r="AI763" s="39"/>
      <c r="AJ763" s="39"/>
      <c r="AK763" s="39"/>
    </row>
    <row r="764" spans="8:37" ht="15" customHeight="1" x14ac:dyDescent="0.4">
      <c r="H764" s="3"/>
      <c r="U764" s="3"/>
      <c r="AA764" s="3"/>
      <c r="AI764" s="39"/>
      <c r="AJ764" s="39"/>
      <c r="AK764" s="39"/>
    </row>
    <row r="765" spans="8:37" ht="15" customHeight="1" x14ac:dyDescent="0.4">
      <c r="H765" s="3"/>
      <c r="U765" s="3"/>
      <c r="AA765" s="3"/>
      <c r="AI765" s="39"/>
      <c r="AJ765" s="39"/>
      <c r="AK765" s="39"/>
    </row>
    <row r="766" spans="8:37" ht="15" customHeight="1" x14ac:dyDescent="0.4">
      <c r="H766" s="3"/>
      <c r="U766" s="3"/>
      <c r="AA766" s="3"/>
    </row>
    <row r="767" spans="8:37" ht="15" customHeight="1" x14ac:dyDescent="0.4">
      <c r="H767" s="3"/>
      <c r="U767" s="3"/>
      <c r="AA767" s="3"/>
      <c r="AI767" s="39"/>
      <c r="AJ767" s="39"/>
      <c r="AK767" s="39"/>
    </row>
    <row r="768" spans="8:37" ht="15" customHeight="1" x14ac:dyDescent="0.4">
      <c r="H768" s="3"/>
      <c r="U768" s="3"/>
      <c r="AA768" s="3"/>
      <c r="AI768" s="39"/>
      <c r="AJ768" s="39"/>
      <c r="AK768" s="39"/>
    </row>
    <row r="769" spans="8:37" ht="15" customHeight="1" x14ac:dyDescent="0.4">
      <c r="H769" s="3"/>
      <c r="U769" s="3"/>
      <c r="AA769" s="3"/>
      <c r="AI769" s="39"/>
      <c r="AJ769" s="39"/>
      <c r="AK769" s="39"/>
    </row>
    <row r="770" spans="8:37" ht="15" customHeight="1" x14ac:dyDescent="0.4">
      <c r="H770" s="3"/>
      <c r="U770" s="3"/>
      <c r="AA770" s="3"/>
      <c r="AI770" s="9"/>
      <c r="AJ770" s="9"/>
      <c r="AK770" s="9"/>
    </row>
    <row r="771" spans="8:37" ht="15" customHeight="1" x14ac:dyDescent="0.4">
      <c r="H771" s="3"/>
      <c r="U771" s="3"/>
      <c r="AA771" s="3"/>
    </row>
    <row r="772" spans="8:37" ht="15" customHeight="1" x14ac:dyDescent="0.4">
      <c r="H772" s="3"/>
      <c r="U772" s="3"/>
      <c r="AA772" s="3"/>
    </row>
    <row r="773" spans="8:37" ht="15" customHeight="1" x14ac:dyDescent="0.4">
      <c r="H773" s="3"/>
      <c r="U773" s="3"/>
      <c r="AA773" s="3"/>
      <c r="AI773" s="39"/>
      <c r="AJ773" s="39"/>
      <c r="AK773" s="39"/>
    </row>
    <row r="774" spans="8:37" ht="15" customHeight="1" x14ac:dyDescent="0.4">
      <c r="H774" s="3"/>
      <c r="U774" s="3"/>
      <c r="AA774" s="3"/>
    </row>
    <row r="775" spans="8:37" ht="15" customHeight="1" x14ac:dyDescent="0.4">
      <c r="H775" s="3"/>
      <c r="U775" s="3"/>
      <c r="AA775" s="3"/>
      <c r="AI775" s="9"/>
      <c r="AJ775" s="9"/>
      <c r="AK775" s="9"/>
    </row>
    <row r="776" spans="8:37" ht="15" customHeight="1" x14ac:dyDescent="0.4">
      <c r="H776" s="3"/>
      <c r="U776" s="3"/>
      <c r="AA776" s="3"/>
    </row>
    <row r="777" spans="8:37" ht="15" customHeight="1" x14ac:dyDescent="0.4">
      <c r="H777" s="3"/>
      <c r="U777" s="3"/>
      <c r="AA777" s="3"/>
      <c r="AI777" s="39"/>
      <c r="AJ777" s="39"/>
      <c r="AK777" s="39"/>
    </row>
    <row r="778" spans="8:37" ht="15" customHeight="1" x14ac:dyDescent="0.4">
      <c r="H778" s="3"/>
      <c r="U778" s="3"/>
      <c r="AA778" s="3"/>
    </row>
    <row r="779" spans="8:37" ht="15" customHeight="1" x14ac:dyDescent="0.4">
      <c r="H779" s="3"/>
      <c r="U779" s="3"/>
      <c r="AA779" s="3"/>
      <c r="AI779" s="39"/>
      <c r="AJ779" s="39"/>
      <c r="AK779" s="39"/>
    </row>
    <row r="780" spans="8:37" ht="15" customHeight="1" x14ac:dyDescent="0.4">
      <c r="H780" s="3"/>
      <c r="U780" s="3"/>
      <c r="AA780" s="3"/>
      <c r="AI780" s="38"/>
      <c r="AJ780" s="38"/>
      <c r="AK780" s="38"/>
    </row>
    <row r="781" spans="8:37" ht="15" customHeight="1" x14ac:dyDescent="0.4">
      <c r="H781" s="3"/>
      <c r="U781" s="3"/>
      <c r="AA781" s="3"/>
      <c r="AI781" s="39"/>
      <c r="AJ781" s="39"/>
      <c r="AK781" s="39"/>
    </row>
    <row r="782" spans="8:37" ht="15" customHeight="1" x14ac:dyDescent="0.4">
      <c r="H782" s="3"/>
      <c r="U782" s="3"/>
      <c r="AA782" s="3"/>
      <c r="AI782" s="39"/>
      <c r="AJ782" s="39"/>
      <c r="AK782" s="39"/>
    </row>
    <row r="783" spans="8:37" ht="15" customHeight="1" x14ac:dyDescent="0.4">
      <c r="H783" s="3"/>
      <c r="U783" s="3"/>
      <c r="AA783" s="3"/>
      <c r="AI783" s="39"/>
      <c r="AJ783" s="39"/>
      <c r="AK783" s="39"/>
    </row>
    <row r="784" spans="8:37" ht="15" customHeight="1" x14ac:dyDescent="0.4">
      <c r="H784" s="3"/>
      <c r="U784" s="3"/>
      <c r="AA784" s="3"/>
      <c r="AI784" s="39"/>
      <c r="AJ784" s="39"/>
      <c r="AK784" s="39"/>
    </row>
    <row r="785" spans="8:37" ht="15" customHeight="1" x14ac:dyDescent="0.4">
      <c r="H785" s="3"/>
      <c r="U785" s="3"/>
      <c r="AA785" s="3"/>
      <c r="AI785" s="39"/>
      <c r="AJ785" s="39"/>
      <c r="AK785" s="39"/>
    </row>
    <row r="786" spans="8:37" ht="15" customHeight="1" x14ac:dyDescent="0.4">
      <c r="H786" s="3"/>
      <c r="U786" s="3"/>
      <c r="AA786" s="3"/>
      <c r="AI786" s="39"/>
      <c r="AJ786" s="39"/>
      <c r="AK786" s="39"/>
    </row>
    <row r="787" spans="8:37" ht="15" customHeight="1" x14ac:dyDescent="0.4">
      <c r="H787" s="3"/>
      <c r="U787" s="3"/>
      <c r="AA787" s="3"/>
      <c r="AI787" s="39"/>
      <c r="AJ787" s="39"/>
      <c r="AK787" s="39"/>
    </row>
    <row r="788" spans="8:37" ht="15" customHeight="1" x14ac:dyDescent="0.4">
      <c r="H788" s="3"/>
      <c r="U788" s="3"/>
      <c r="AA788" s="3"/>
      <c r="AI788" s="39"/>
      <c r="AJ788" s="39"/>
      <c r="AK788" s="39"/>
    </row>
    <row r="789" spans="8:37" ht="15" customHeight="1" x14ac:dyDescent="0.4">
      <c r="H789" s="3"/>
      <c r="U789" s="3"/>
      <c r="AA789" s="3"/>
      <c r="AI789" s="39"/>
      <c r="AJ789" s="39"/>
      <c r="AK789" s="39"/>
    </row>
    <row r="790" spans="8:37" ht="15" customHeight="1" x14ac:dyDescent="0.4">
      <c r="H790" s="3"/>
      <c r="U790" s="3"/>
      <c r="AA790" s="3"/>
      <c r="AI790" s="39"/>
      <c r="AJ790" s="39"/>
      <c r="AK790" s="39"/>
    </row>
    <row r="791" spans="8:37" ht="15" customHeight="1" x14ac:dyDescent="0.4">
      <c r="H791" s="3"/>
      <c r="U791" s="3"/>
      <c r="AA791" s="3"/>
      <c r="AI791" s="39"/>
      <c r="AJ791" s="39"/>
      <c r="AK791" s="39"/>
    </row>
    <row r="792" spans="8:37" ht="15" customHeight="1" x14ac:dyDescent="0.4">
      <c r="H792" s="3"/>
      <c r="U792" s="3"/>
      <c r="AA792" s="3"/>
      <c r="AI792" s="39"/>
      <c r="AJ792" s="39"/>
      <c r="AK792" s="39"/>
    </row>
    <row r="793" spans="8:37" ht="15" customHeight="1" x14ac:dyDescent="0.4">
      <c r="H793" s="3"/>
      <c r="U793" s="3"/>
      <c r="AA793" s="3"/>
      <c r="AI793" s="39"/>
      <c r="AJ793" s="39"/>
      <c r="AK793" s="39"/>
    </row>
    <row r="794" spans="8:37" ht="15" customHeight="1" x14ac:dyDescent="0.4">
      <c r="H794" s="3"/>
      <c r="U794" s="3"/>
      <c r="AA794" s="3"/>
      <c r="AI794" s="39"/>
      <c r="AJ794" s="39"/>
      <c r="AK794" s="39"/>
    </row>
    <row r="795" spans="8:37" ht="15" customHeight="1" x14ac:dyDescent="0.4">
      <c r="H795" s="3"/>
      <c r="U795" s="3"/>
      <c r="AA795" s="3"/>
      <c r="AI795" s="39"/>
      <c r="AJ795" s="39"/>
      <c r="AK795" s="39"/>
    </row>
    <row r="796" spans="8:37" ht="15" customHeight="1" x14ac:dyDescent="0.4">
      <c r="H796" s="3"/>
      <c r="U796" s="3"/>
      <c r="AA796" s="3"/>
      <c r="AI796" s="39"/>
      <c r="AJ796" s="39"/>
      <c r="AK796" s="39"/>
    </row>
    <row r="797" spans="8:37" ht="15" customHeight="1" x14ac:dyDescent="0.4">
      <c r="H797" s="3"/>
      <c r="U797" s="3"/>
      <c r="AA797" s="3"/>
      <c r="AI797" s="39"/>
      <c r="AJ797" s="39"/>
      <c r="AK797" s="39"/>
    </row>
    <row r="798" spans="8:37" ht="15" customHeight="1" x14ac:dyDescent="0.4">
      <c r="H798" s="3"/>
      <c r="U798" s="3"/>
      <c r="AA798" s="3"/>
      <c r="AI798" s="39"/>
      <c r="AJ798" s="39"/>
      <c r="AK798" s="39"/>
    </row>
    <row r="799" spans="8:37" ht="15" customHeight="1" x14ac:dyDescent="0.4">
      <c r="H799" s="3"/>
      <c r="U799" s="3"/>
      <c r="AA799" s="3"/>
      <c r="AI799" s="39"/>
      <c r="AJ799" s="39"/>
      <c r="AK799" s="39"/>
    </row>
    <row r="800" spans="8:37" ht="15" customHeight="1" x14ac:dyDescent="0.4">
      <c r="H800" s="3"/>
      <c r="U800" s="3"/>
      <c r="AA800" s="3"/>
      <c r="AI800" s="39"/>
      <c r="AJ800" s="39"/>
      <c r="AK800" s="39"/>
    </row>
    <row r="801" spans="8:37" ht="15" customHeight="1" x14ac:dyDescent="0.4">
      <c r="H801" s="3"/>
      <c r="U801" s="3"/>
      <c r="AA801" s="3"/>
      <c r="AI801" s="39"/>
      <c r="AJ801" s="39"/>
      <c r="AK801" s="39"/>
    </row>
    <row r="802" spans="8:37" ht="15" customHeight="1" x14ac:dyDescent="0.4">
      <c r="H802" s="3"/>
      <c r="U802" s="3"/>
      <c r="AA802" s="3"/>
      <c r="AI802" s="9"/>
      <c r="AJ802" s="9"/>
      <c r="AK802" s="9"/>
    </row>
    <row r="803" spans="8:37" ht="15" customHeight="1" x14ac:dyDescent="0.4">
      <c r="H803" s="3"/>
      <c r="U803" s="3"/>
      <c r="AA803" s="3"/>
      <c r="AI803" s="39"/>
      <c r="AJ803" s="39"/>
      <c r="AK803" s="39"/>
    </row>
    <row r="804" spans="8:37" ht="15" customHeight="1" x14ac:dyDescent="0.4">
      <c r="H804" s="3"/>
      <c r="U804" s="3"/>
      <c r="AA804" s="3"/>
      <c r="AI804" s="39"/>
      <c r="AJ804" s="39"/>
      <c r="AK804" s="39"/>
    </row>
    <row r="805" spans="8:37" ht="15" customHeight="1" x14ac:dyDescent="0.4">
      <c r="H805" s="3"/>
      <c r="U805" s="3"/>
      <c r="AA805" s="3"/>
      <c r="AI805" s="477"/>
      <c r="AJ805" s="477"/>
      <c r="AK805" s="477"/>
    </row>
    <row r="806" spans="8:37" ht="15" customHeight="1" x14ac:dyDescent="0.4">
      <c r="H806" s="3"/>
      <c r="U806" s="3"/>
      <c r="AA806" s="3"/>
      <c r="AI806" s="477"/>
      <c r="AJ806" s="477"/>
      <c r="AK806" s="477"/>
    </row>
    <row r="807" spans="8:37" ht="15" customHeight="1" x14ac:dyDescent="0.4">
      <c r="H807" s="3"/>
      <c r="U807" s="3"/>
      <c r="AA807" s="3"/>
      <c r="AI807" s="477"/>
      <c r="AJ807" s="477"/>
      <c r="AK807" s="477"/>
    </row>
    <row r="808" spans="8:37" ht="15" customHeight="1" x14ac:dyDescent="0.4">
      <c r="H808" s="3"/>
      <c r="U808" s="3"/>
      <c r="AA808" s="3"/>
      <c r="AI808" s="39"/>
      <c r="AJ808" s="39"/>
      <c r="AK808" s="39"/>
    </row>
    <row r="809" spans="8:37" ht="15" customHeight="1" x14ac:dyDescent="0.4">
      <c r="H809" s="3"/>
      <c r="U809" s="3"/>
      <c r="AA809" s="3"/>
      <c r="AI809" s="477"/>
      <c r="AJ809" s="477"/>
      <c r="AK809" s="477"/>
    </row>
    <row r="810" spans="8:37" ht="15" customHeight="1" x14ac:dyDescent="0.4">
      <c r="H810" s="3"/>
      <c r="U810" s="3"/>
      <c r="AA810" s="3"/>
      <c r="AI810" s="477"/>
      <c r="AJ810" s="477"/>
      <c r="AK810" s="477"/>
    </row>
    <row r="811" spans="8:37" ht="15" customHeight="1" x14ac:dyDescent="0.4">
      <c r="H811" s="3"/>
      <c r="U811" s="3"/>
      <c r="AA811" s="3"/>
      <c r="AI811" s="477"/>
      <c r="AJ811" s="477"/>
      <c r="AK811" s="477"/>
    </row>
    <row r="812" spans="8:37" ht="15" customHeight="1" x14ac:dyDescent="0.4">
      <c r="H812" s="3"/>
      <c r="U812" s="3"/>
      <c r="AA812" s="3"/>
      <c r="AI812" s="477"/>
      <c r="AJ812" s="477"/>
      <c r="AK812" s="477"/>
    </row>
    <row r="813" spans="8:37" ht="15" customHeight="1" x14ac:dyDescent="0.4">
      <c r="H813" s="3"/>
      <c r="U813" s="3"/>
      <c r="AA813" s="3"/>
      <c r="AI813" s="39"/>
      <c r="AJ813" s="39"/>
      <c r="AK813" s="39"/>
    </row>
    <row r="814" spans="8:37" ht="15" customHeight="1" x14ac:dyDescent="0.4">
      <c r="H814" s="3"/>
      <c r="U814" s="3"/>
      <c r="AA814" s="3"/>
      <c r="AI814" s="39"/>
      <c r="AJ814" s="39"/>
      <c r="AK814" s="39"/>
    </row>
    <row r="815" spans="8:37" ht="15" customHeight="1" x14ac:dyDescent="0.4">
      <c r="H815" s="3"/>
      <c r="U815" s="3"/>
      <c r="AA815" s="3"/>
      <c r="AI815" s="477"/>
      <c r="AJ815" s="477"/>
      <c r="AK815" s="477"/>
    </row>
    <row r="816" spans="8:37" ht="15" customHeight="1" x14ac:dyDescent="0.4">
      <c r="H816" s="3"/>
      <c r="U816" s="3"/>
      <c r="AA816" s="3"/>
      <c r="AI816" s="477"/>
      <c r="AJ816" s="477"/>
      <c r="AK816" s="477"/>
    </row>
    <row r="817" spans="8:37" ht="15" customHeight="1" x14ac:dyDescent="0.4">
      <c r="H817" s="3"/>
      <c r="U817" s="3"/>
      <c r="AA817" s="3"/>
      <c r="AI817" s="477"/>
      <c r="AJ817" s="477"/>
      <c r="AK817" s="477"/>
    </row>
    <row r="818" spans="8:37" ht="15" customHeight="1" x14ac:dyDescent="0.4">
      <c r="H818" s="3"/>
      <c r="U818" s="3"/>
      <c r="AA818" s="3"/>
      <c r="AI818" s="39"/>
      <c r="AJ818" s="39"/>
      <c r="AK818" s="39"/>
    </row>
    <row r="819" spans="8:37" ht="15" customHeight="1" x14ac:dyDescent="0.4">
      <c r="H819" s="3"/>
      <c r="U819" s="3"/>
      <c r="AA819" s="3"/>
      <c r="AI819" s="477"/>
      <c r="AJ819" s="477"/>
      <c r="AK819" s="477"/>
    </row>
    <row r="820" spans="8:37" ht="15" customHeight="1" x14ac:dyDescent="0.4">
      <c r="H820" s="3"/>
      <c r="U820" s="3"/>
      <c r="AA820" s="3"/>
      <c r="AI820" s="477"/>
      <c r="AJ820" s="477"/>
      <c r="AK820" s="477"/>
    </row>
    <row r="821" spans="8:37" ht="15" customHeight="1" x14ac:dyDescent="0.4">
      <c r="H821" s="3"/>
      <c r="U821" s="3"/>
      <c r="AA821" s="3"/>
      <c r="AI821" s="477"/>
      <c r="AJ821" s="477"/>
      <c r="AK821" s="477"/>
    </row>
    <row r="822" spans="8:37" ht="15" customHeight="1" x14ac:dyDescent="0.4">
      <c r="H822" s="3"/>
      <c r="U822" s="3"/>
      <c r="AA822" s="3"/>
      <c r="AI822" s="477"/>
      <c r="AJ822" s="477"/>
      <c r="AK822" s="477"/>
    </row>
    <row r="823" spans="8:37" ht="15" customHeight="1" x14ac:dyDescent="0.4">
      <c r="H823" s="3"/>
      <c r="U823" s="3"/>
      <c r="AA823" s="3"/>
      <c r="AI823" s="39"/>
      <c r="AJ823" s="39"/>
      <c r="AK823" s="39"/>
    </row>
    <row r="824" spans="8:37" ht="15" customHeight="1" x14ac:dyDescent="0.4">
      <c r="H824" s="3"/>
      <c r="U824" s="3"/>
      <c r="AA824" s="3"/>
      <c r="AI824" s="39"/>
      <c r="AJ824" s="39"/>
      <c r="AK824" s="39"/>
    </row>
    <row r="825" spans="8:37" ht="15" customHeight="1" x14ac:dyDescent="0.4">
      <c r="H825" s="3"/>
      <c r="U825" s="3"/>
      <c r="AA825" s="3"/>
      <c r="AI825" s="39"/>
      <c r="AJ825" s="39"/>
      <c r="AK825" s="39"/>
    </row>
    <row r="826" spans="8:37" ht="15" customHeight="1" x14ac:dyDescent="0.4">
      <c r="H826" s="3"/>
      <c r="U826" s="3"/>
      <c r="AA826" s="3"/>
      <c r="AI826" s="39"/>
      <c r="AJ826" s="39"/>
      <c r="AK826" s="39"/>
    </row>
    <row r="827" spans="8:37" ht="15" customHeight="1" x14ac:dyDescent="0.4">
      <c r="H827" s="3"/>
      <c r="U827" s="3"/>
      <c r="AA827" s="3"/>
    </row>
    <row r="828" spans="8:37" ht="15" customHeight="1" x14ac:dyDescent="0.4">
      <c r="H828" s="3"/>
      <c r="U828" s="3"/>
      <c r="AA828" s="3"/>
      <c r="AI828" s="39"/>
      <c r="AJ828" s="39"/>
      <c r="AK828" s="39"/>
    </row>
    <row r="829" spans="8:37" ht="15" customHeight="1" x14ac:dyDescent="0.4">
      <c r="H829" s="3"/>
      <c r="U829" s="3"/>
      <c r="AA829" s="3"/>
      <c r="AI829" s="477"/>
      <c r="AJ829" s="477"/>
      <c r="AK829" s="477"/>
    </row>
    <row r="830" spans="8:37" ht="15" customHeight="1" x14ac:dyDescent="0.4">
      <c r="H830" s="3"/>
      <c r="U830" s="3"/>
      <c r="AA830" s="3"/>
      <c r="AI830" s="477"/>
      <c r="AJ830" s="477"/>
      <c r="AK830" s="477"/>
    </row>
    <row r="831" spans="8:37" ht="15" customHeight="1" x14ac:dyDescent="0.4">
      <c r="H831" s="3"/>
      <c r="U831" s="3"/>
      <c r="AA831" s="3"/>
      <c r="AI831" s="477"/>
      <c r="AJ831" s="477"/>
      <c r="AK831" s="477"/>
    </row>
    <row r="832" spans="8:37" ht="15" customHeight="1" x14ac:dyDescent="0.4">
      <c r="H832" s="3"/>
      <c r="U832" s="3"/>
      <c r="AA832" s="3"/>
      <c r="AI832" s="39"/>
      <c r="AJ832" s="39"/>
      <c r="AK832" s="39"/>
    </row>
    <row r="833" spans="8:37" ht="15" customHeight="1" x14ac:dyDescent="0.4">
      <c r="H833" s="3"/>
      <c r="U833" s="3"/>
      <c r="AA833" s="3"/>
      <c r="AI833" s="39"/>
      <c r="AJ833" s="39"/>
      <c r="AK833" s="39"/>
    </row>
    <row r="834" spans="8:37" ht="15" customHeight="1" x14ac:dyDescent="0.4">
      <c r="H834" s="3"/>
      <c r="U834" s="3"/>
      <c r="AA834" s="3"/>
      <c r="AI834" s="39"/>
      <c r="AJ834" s="39"/>
      <c r="AK834" s="39"/>
    </row>
    <row r="835" spans="8:37" ht="15" customHeight="1" x14ac:dyDescent="0.4">
      <c r="H835" s="3"/>
      <c r="U835" s="3"/>
      <c r="AA835" s="3"/>
      <c r="AI835" s="39"/>
      <c r="AJ835" s="39"/>
      <c r="AK835" s="39"/>
    </row>
    <row r="836" spans="8:37" ht="15" customHeight="1" x14ac:dyDescent="0.4">
      <c r="H836" s="3"/>
      <c r="U836" s="3"/>
      <c r="AA836" s="3"/>
      <c r="AI836" s="477"/>
      <c r="AJ836" s="477"/>
      <c r="AK836" s="477"/>
    </row>
    <row r="837" spans="8:37" ht="15" customHeight="1" x14ac:dyDescent="0.4">
      <c r="H837" s="3"/>
      <c r="U837" s="3"/>
      <c r="AA837" s="3"/>
      <c r="AI837" s="477"/>
      <c r="AJ837" s="477"/>
      <c r="AK837" s="477"/>
    </row>
    <row r="838" spans="8:37" ht="15" customHeight="1" x14ac:dyDescent="0.4">
      <c r="H838" s="3"/>
      <c r="U838" s="3"/>
      <c r="AA838" s="3"/>
      <c r="AI838" s="477"/>
      <c r="AJ838" s="477"/>
      <c r="AK838" s="477"/>
    </row>
    <row r="839" spans="8:37" ht="15" customHeight="1" x14ac:dyDescent="0.4">
      <c r="H839" s="3"/>
      <c r="U839" s="3"/>
      <c r="AA839" s="3"/>
      <c r="AI839" s="39"/>
      <c r="AJ839" s="39"/>
      <c r="AK839" s="39"/>
    </row>
    <row r="840" spans="8:37" ht="15" customHeight="1" x14ac:dyDescent="0.4">
      <c r="H840" s="3"/>
      <c r="U840" s="3"/>
      <c r="AA840" s="3"/>
      <c r="AI840" s="39"/>
      <c r="AJ840" s="39"/>
      <c r="AK840" s="39"/>
    </row>
    <row r="841" spans="8:37" ht="15" customHeight="1" x14ac:dyDescent="0.4">
      <c r="H841" s="3"/>
      <c r="U841" s="3"/>
      <c r="AA841" s="3"/>
      <c r="AI841" s="39"/>
      <c r="AJ841" s="39"/>
      <c r="AK841" s="39"/>
    </row>
    <row r="842" spans="8:37" ht="15" customHeight="1" x14ac:dyDescent="0.4">
      <c r="H842" s="3"/>
      <c r="U842" s="3"/>
      <c r="AA842" s="3"/>
      <c r="AI842" s="39"/>
      <c r="AJ842" s="39"/>
      <c r="AK842" s="39"/>
    </row>
    <row r="843" spans="8:37" ht="15" customHeight="1" x14ac:dyDescent="0.4">
      <c r="H843" s="3"/>
      <c r="U843" s="3"/>
      <c r="AA843" s="3"/>
      <c r="AI843" s="39"/>
      <c r="AJ843" s="39"/>
      <c r="AK843" s="39"/>
    </row>
    <row r="844" spans="8:37" ht="15" customHeight="1" x14ac:dyDescent="0.4">
      <c r="H844" s="3"/>
      <c r="U844" s="3"/>
      <c r="AA844" s="3"/>
      <c r="AI844" s="39"/>
      <c r="AJ844" s="39"/>
      <c r="AK844" s="39"/>
    </row>
    <row r="845" spans="8:37" ht="15" customHeight="1" x14ac:dyDescent="0.4">
      <c r="H845" s="3"/>
      <c r="U845" s="3"/>
      <c r="AA845" s="3"/>
      <c r="AI845" s="39"/>
      <c r="AJ845" s="39"/>
      <c r="AK845" s="39"/>
    </row>
    <row r="846" spans="8:37" ht="15" customHeight="1" x14ac:dyDescent="0.4">
      <c r="H846" s="3"/>
      <c r="U846" s="3"/>
      <c r="AA846" s="3"/>
      <c r="AI846" s="39"/>
      <c r="AJ846" s="39"/>
      <c r="AK846" s="39"/>
    </row>
    <row r="847" spans="8:37" ht="15" customHeight="1" x14ac:dyDescent="0.4">
      <c r="H847" s="3"/>
      <c r="U847" s="3"/>
      <c r="AA847" s="3"/>
      <c r="AI847" s="39"/>
      <c r="AJ847" s="39"/>
      <c r="AK847" s="39"/>
    </row>
    <row r="848" spans="8:37" ht="15" customHeight="1" x14ac:dyDescent="0.4">
      <c r="H848" s="3"/>
      <c r="U848" s="3"/>
      <c r="AA848" s="3"/>
      <c r="AI848" s="39"/>
      <c r="AJ848" s="39"/>
      <c r="AK848" s="39"/>
    </row>
    <row r="849" spans="8:37" ht="15" customHeight="1" x14ac:dyDescent="0.4">
      <c r="H849" s="3"/>
      <c r="U849" s="3"/>
      <c r="AA849" s="3"/>
      <c r="AI849" s="39"/>
      <c r="AJ849" s="39"/>
      <c r="AK849" s="39"/>
    </row>
    <row r="850" spans="8:37" ht="15" customHeight="1" x14ac:dyDescent="0.4">
      <c r="H850" s="3"/>
      <c r="U850" s="3"/>
      <c r="AA850" s="3"/>
      <c r="AI850" s="39"/>
      <c r="AJ850" s="39"/>
      <c r="AK850" s="39"/>
    </row>
    <row r="851" spans="8:37" ht="15" customHeight="1" x14ac:dyDescent="0.4">
      <c r="H851" s="3"/>
      <c r="U851" s="3"/>
      <c r="AA851" s="3"/>
      <c r="AI851" s="9"/>
      <c r="AJ851" s="9"/>
      <c r="AK851" s="9"/>
    </row>
    <row r="852" spans="8:37" ht="15" customHeight="1" x14ac:dyDescent="0.4">
      <c r="H852" s="3"/>
      <c r="U852" s="3"/>
      <c r="AA852" s="3"/>
      <c r="AI852" s="477"/>
      <c r="AJ852" s="477"/>
      <c r="AK852" s="477"/>
    </row>
    <row r="853" spans="8:37" ht="15" customHeight="1" x14ac:dyDescent="0.4">
      <c r="H853" s="3"/>
      <c r="U853" s="3"/>
      <c r="AA853" s="3"/>
      <c r="AI853" s="477"/>
      <c r="AJ853" s="477"/>
      <c r="AK853" s="477"/>
    </row>
    <row r="854" spans="8:37" ht="15" customHeight="1" x14ac:dyDescent="0.4">
      <c r="H854" s="3"/>
      <c r="U854" s="3"/>
      <c r="AA854" s="3"/>
      <c r="AI854" s="477"/>
      <c r="AJ854" s="477"/>
      <c r="AK854" s="477"/>
    </row>
    <row r="855" spans="8:37" ht="15" customHeight="1" x14ac:dyDescent="0.4">
      <c r="H855" s="3"/>
      <c r="U855" s="3"/>
      <c r="AA855" s="3"/>
      <c r="AI855" s="477"/>
      <c r="AJ855" s="477"/>
      <c r="AK855" s="477"/>
    </row>
    <row r="856" spans="8:37" ht="15" customHeight="1" x14ac:dyDescent="0.4">
      <c r="H856" s="3"/>
      <c r="U856" s="3"/>
      <c r="AA856" s="3"/>
      <c r="AI856" s="477"/>
      <c r="AJ856" s="477"/>
      <c r="AK856" s="477"/>
    </row>
    <row r="857" spans="8:37" ht="15" customHeight="1" x14ac:dyDescent="0.4">
      <c r="H857" s="3"/>
      <c r="U857" s="3"/>
      <c r="AA857" s="3"/>
      <c r="AI857" s="477"/>
      <c r="AJ857" s="477"/>
      <c r="AK857" s="477"/>
    </row>
    <row r="858" spans="8:37" ht="15" customHeight="1" x14ac:dyDescent="0.4">
      <c r="H858" s="3"/>
      <c r="U858" s="3"/>
      <c r="AA858" s="3"/>
      <c r="AI858" s="477"/>
      <c r="AJ858" s="477"/>
      <c r="AK858" s="477"/>
    </row>
    <row r="859" spans="8:37" ht="15" customHeight="1" x14ac:dyDescent="0.4">
      <c r="H859" s="3"/>
      <c r="U859" s="3"/>
      <c r="AA859" s="3"/>
      <c r="AI859" s="477"/>
      <c r="AJ859" s="477"/>
      <c r="AK859" s="477"/>
    </row>
    <row r="860" spans="8:37" ht="15" customHeight="1" x14ac:dyDescent="0.4">
      <c r="H860" s="3"/>
      <c r="U860" s="3"/>
      <c r="AA860" s="3"/>
      <c r="AI860" s="477"/>
      <c r="AJ860" s="477"/>
      <c r="AK860" s="477"/>
    </row>
    <row r="861" spans="8:37" ht="15" customHeight="1" x14ac:dyDescent="0.4">
      <c r="H861" s="3"/>
      <c r="U861" s="3"/>
      <c r="AA861" s="3"/>
      <c r="AI861" s="9"/>
      <c r="AJ861" s="9"/>
      <c r="AK861" s="9"/>
    </row>
    <row r="862" spans="8:37" ht="15" customHeight="1" x14ac:dyDescent="0.4">
      <c r="H862" s="3"/>
      <c r="U862" s="3"/>
      <c r="AA862" s="3"/>
      <c r="AI862" s="477"/>
      <c r="AJ862" s="477"/>
      <c r="AK862" s="477"/>
    </row>
    <row r="863" spans="8:37" ht="15" customHeight="1" x14ac:dyDescent="0.4">
      <c r="H863" s="3"/>
      <c r="U863" s="3"/>
      <c r="AA863" s="3"/>
      <c r="AI863" s="477"/>
      <c r="AJ863" s="477"/>
      <c r="AK863" s="477"/>
    </row>
    <row r="864" spans="8:37" ht="15" customHeight="1" x14ac:dyDescent="0.4">
      <c r="H864" s="3"/>
      <c r="U864" s="3"/>
      <c r="AA864" s="3"/>
      <c r="AI864" s="477"/>
      <c r="AJ864" s="477"/>
      <c r="AK864" s="477"/>
    </row>
    <row r="865" spans="8:37" ht="15" customHeight="1" x14ac:dyDescent="0.4">
      <c r="H865" s="3"/>
      <c r="U865" s="3"/>
      <c r="AA865" s="3"/>
      <c r="AI865" s="477"/>
      <c r="AJ865" s="477"/>
      <c r="AK865" s="477"/>
    </row>
    <row r="866" spans="8:37" ht="15" customHeight="1" x14ac:dyDescent="0.4">
      <c r="H866" s="3"/>
      <c r="U866" s="3"/>
      <c r="AA866" s="3"/>
      <c r="AI866" s="477"/>
      <c r="AJ866" s="477"/>
      <c r="AK866" s="477"/>
    </row>
    <row r="867" spans="8:37" ht="15" customHeight="1" x14ac:dyDescent="0.4">
      <c r="H867" s="3"/>
      <c r="U867" s="3"/>
      <c r="AA867" s="3"/>
      <c r="AI867" s="477"/>
      <c r="AJ867" s="477"/>
      <c r="AK867" s="477"/>
    </row>
    <row r="868" spans="8:37" ht="15" customHeight="1" x14ac:dyDescent="0.4">
      <c r="H868" s="3"/>
      <c r="U868" s="3"/>
      <c r="AA868" s="3"/>
      <c r="AI868" s="5"/>
      <c r="AJ868" s="5"/>
      <c r="AK868" s="5"/>
    </row>
    <row r="869" spans="8:37" ht="15" customHeight="1" x14ac:dyDescent="0.4">
      <c r="H869" s="3"/>
      <c r="U869" s="3"/>
      <c r="AA869" s="3"/>
      <c r="AI869" s="5"/>
      <c r="AJ869" s="5"/>
      <c r="AK869" s="5"/>
    </row>
    <row r="870" spans="8:37" ht="15" customHeight="1" x14ac:dyDescent="0.4">
      <c r="H870" s="3"/>
      <c r="U870" s="3"/>
      <c r="AA870" s="3"/>
      <c r="AI870" s="5"/>
      <c r="AJ870" s="5"/>
      <c r="AK870" s="5"/>
    </row>
    <row r="871" spans="8:37" ht="15" customHeight="1" x14ac:dyDescent="0.4">
      <c r="H871" s="3"/>
      <c r="U871" s="3"/>
      <c r="AA871" s="3"/>
      <c r="AI871" s="5"/>
      <c r="AJ871" s="5"/>
      <c r="AK871" s="5"/>
    </row>
    <row r="872" spans="8:37" ht="15" customHeight="1" x14ac:dyDescent="0.4">
      <c r="H872" s="3"/>
      <c r="U872" s="3"/>
      <c r="AA872" s="3"/>
      <c r="AI872" s="5"/>
      <c r="AJ872" s="5"/>
      <c r="AK872" s="5"/>
    </row>
    <row r="873" spans="8:37" ht="15" customHeight="1" x14ac:dyDescent="0.4">
      <c r="H873" s="3"/>
      <c r="U873" s="3"/>
      <c r="AA873" s="3"/>
      <c r="AI873" s="5"/>
      <c r="AJ873" s="5"/>
      <c r="AK873" s="5"/>
    </row>
    <row r="874" spans="8:37" ht="15" customHeight="1" x14ac:dyDescent="0.4">
      <c r="H874" s="3"/>
      <c r="U874" s="3"/>
      <c r="AA874" s="3"/>
      <c r="AI874" s="3"/>
      <c r="AJ874" s="3"/>
      <c r="AK874" s="3"/>
    </row>
    <row r="875" spans="8:37" ht="15" customHeight="1" x14ac:dyDescent="0.4">
      <c r="H875" s="3"/>
      <c r="U875" s="3"/>
      <c r="AA875" s="3"/>
      <c r="AI875" s="548"/>
      <c r="AJ875" s="548"/>
      <c r="AK875" s="548"/>
    </row>
    <row r="876" spans="8:37" ht="15" customHeight="1" x14ac:dyDescent="0.4">
      <c r="H876" s="3"/>
      <c r="U876" s="3"/>
      <c r="AA876" s="3"/>
      <c r="AI876" s="519"/>
      <c r="AJ876" s="519"/>
      <c r="AK876" s="519"/>
    </row>
    <row r="877" spans="8:37" ht="15" customHeight="1" x14ac:dyDescent="0.4">
      <c r="H877" s="3"/>
      <c r="U877" s="3"/>
      <c r="AA877" s="3"/>
    </row>
    <row r="878" spans="8:37" ht="15" customHeight="1" x14ac:dyDescent="0.4">
      <c r="H878" s="3"/>
      <c r="U878" s="3"/>
      <c r="AA878" s="3"/>
    </row>
    <row r="879" spans="8:37" ht="15" customHeight="1" x14ac:dyDescent="0.4">
      <c r="H879" s="3"/>
      <c r="U879" s="3"/>
      <c r="AA879" s="3"/>
    </row>
    <row r="880" spans="8:37" ht="15" customHeight="1" x14ac:dyDescent="0.4">
      <c r="H880" s="3"/>
      <c r="U880" s="3"/>
      <c r="AA880" s="3"/>
    </row>
    <row r="881" spans="8:37" ht="15" customHeight="1" x14ac:dyDescent="0.4">
      <c r="H881" s="3"/>
      <c r="U881" s="3"/>
      <c r="AA881" s="3"/>
    </row>
    <row r="882" spans="8:37" ht="15" customHeight="1" x14ac:dyDescent="0.4">
      <c r="H882" s="3"/>
      <c r="U882" s="3"/>
      <c r="AA882" s="3"/>
    </row>
    <row r="883" spans="8:37" ht="15" customHeight="1" x14ac:dyDescent="0.4">
      <c r="H883" s="3"/>
      <c r="U883" s="3"/>
      <c r="AA883" s="3"/>
    </row>
    <row r="884" spans="8:37" ht="15" customHeight="1" x14ac:dyDescent="0.4">
      <c r="H884" s="3"/>
      <c r="U884" s="3"/>
      <c r="AA884" s="3"/>
    </row>
    <row r="885" spans="8:37" ht="15" customHeight="1" x14ac:dyDescent="0.4">
      <c r="H885" s="3"/>
      <c r="U885" s="3"/>
      <c r="AA885" s="3"/>
      <c r="AI885" s="519"/>
      <c r="AJ885" s="519"/>
      <c r="AK885" s="519"/>
    </row>
    <row r="886" spans="8:37" ht="15" customHeight="1" x14ac:dyDescent="0.4">
      <c r="H886" s="3"/>
      <c r="U886" s="3"/>
      <c r="AA886" s="3"/>
    </row>
    <row r="887" spans="8:37" ht="15" customHeight="1" x14ac:dyDescent="0.4">
      <c r="H887" s="3"/>
      <c r="U887" s="3"/>
      <c r="AA887" s="3"/>
    </row>
    <row r="888" spans="8:37" ht="15" customHeight="1" x14ac:dyDescent="0.4">
      <c r="H888" s="3"/>
      <c r="U888" s="3"/>
      <c r="AA888" s="3"/>
    </row>
    <row r="889" spans="8:37" ht="15" customHeight="1" x14ac:dyDescent="0.4">
      <c r="H889" s="3"/>
      <c r="U889" s="3"/>
      <c r="AA889" s="3"/>
    </row>
    <row r="890" spans="8:37" ht="15" customHeight="1" x14ac:dyDescent="0.4">
      <c r="H890" s="3"/>
      <c r="U890" s="3"/>
      <c r="AA890" s="3"/>
    </row>
    <row r="891" spans="8:37" ht="15" customHeight="1" x14ac:dyDescent="0.4">
      <c r="H891" s="3"/>
      <c r="U891" s="3"/>
      <c r="AA891" s="3"/>
    </row>
    <row r="892" spans="8:37" ht="15" customHeight="1" x14ac:dyDescent="0.4">
      <c r="H892" s="3"/>
      <c r="U892" s="3"/>
      <c r="AA892" s="3"/>
    </row>
    <row r="893" spans="8:37" ht="15" customHeight="1" x14ac:dyDescent="0.4">
      <c r="H893" s="3"/>
      <c r="U893" s="3"/>
      <c r="AA893" s="3"/>
    </row>
    <row r="894" spans="8:37" ht="15" customHeight="1" x14ac:dyDescent="0.4">
      <c r="H894" s="3"/>
      <c r="U894" s="3"/>
      <c r="AA894" s="3"/>
    </row>
    <row r="895" spans="8:37" ht="15" customHeight="1" x14ac:dyDescent="0.4">
      <c r="H895" s="3"/>
      <c r="U895" s="3"/>
      <c r="AA895" s="3"/>
    </row>
    <row r="896" spans="8:37" ht="15" customHeight="1" x14ac:dyDescent="0.4">
      <c r="H896" s="3"/>
      <c r="U896" s="3"/>
      <c r="AA896" s="3"/>
    </row>
    <row r="897" spans="8:37" ht="15" customHeight="1" x14ac:dyDescent="0.4">
      <c r="H897" s="3"/>
      <c r="U897" s="3"/>
      <c r="AA897" s="3"/>
    </row>
    <row r="898" spans="8:37" ht="15" customHeight="1" x14ac:dyDescent="0.4">
      <c r="H898" s="3"/>
      <c r="U898" s="3"/>
      <c r="AA898" s="3"/>
    </row>
    <row r="899" spans="8:37" ht="15" customHeight="1" x14ac:dyDescent="0.4">
      <c r="H899" s="3"/>
      <c r="U899" s="3"/>
      <c r="AA899" s="3"/>
    </row>
    <row r="900" spans="8:37" ht="15" customHeight="1" x14ac:dyDescent="0.4">
      <c r="H900" s="3"/>
      <c r="U900" s="3"/>
      <c r="AA900" s="3"/>
    </row>
    <row r="901" spans="8:37" ht="15" customHeight="1" x14ac:dyDescent="0.4">
      <c r="H901" s="3"/>
      <c r="U901" s="3"/>
      <c r="AA901" s="3"/>
    </row>
    <row r="902" spans="8:37" ht="15" customHeight="1" x14ac:dyDescent="0.4">
      <c r="H902" s="3"/>
      <c r="U902" s="3"/>
      <c r="AA902" s="3"/>
    </row>
    <row r="903" spans="8:37" ht="15" customHeight="1" x14ac:dyDescent="0.4">
      <c r="H903" s="3"/>
      <c r="U903" s="3"/>
      <c r="AA903" s="3"/>
    </row>
    <row r="904" spans="8:37" ht="15" customHeight="1" x14ac:dyDescent="0.4">
      <c r="H904" s="3"/>
      <c r="U904" s="3"/>
      <c r="AA904" s="3"/>
    </row>
    <row r="905" spans="8:37" ht="15" customHeight="1" x14ac:dyDescent="0.4">
      <c r="H905" s="3"/>
      <c r="U905" s="3"/>
      <c r="AA905" s="3"/>
    </row>
    <row r="906" spans="8:37" ht="15" customHeight="1" x14ac:dyDescent="0.4">
      <c r="H906" s="3"/>
      <c r="U906" s="3"/>
      <c r="AA906" s="3"/>
    </row>
    <row r="907" spans="8:37" ht="15" customHeight="1" x14ac:dyDescent="0.4">
      <c r="H907" s="3"/>
      <c r="U907" s="3"/>
      <c r="AA907" s="3"/>
      <c r="AI907" s="54"/>
      <c r="AJ907" s="54"/>
      <c r="AK907" s="54"/>
    </row>
    <row r="908" spans="8:37" ht="15" customHeight="1" x14ac:dyDescent="0.4">
      <c r="H908" s="3"/>
      <c r="U908" s="3"/>
      <c r="AA908" s="3"/>
    </row>
    <row r="909" spans="8:37" ht="15" customHeight="1" x14ac:dyDescent="0.4">
      <c r="H909" s="3"/>
      <c r="U909" s="3"/>
      <c r="AA909" s="3"/>
    </row>
    <row r="910" spans="8:37" ht="15" customHeight="1" x14ac:dyDescent="0.4">
      <c r="H910" s="3"/>
      <c r="U910" s="3"/>
      <c r="AA910" s="3"/>
    </row>
    <row r="911" spans="8:37" ht="15" customHeight="1" x14ac:dyDescent="0.4">
      <c r="H911" s="3"/>
      <c r="U911" s="3"/>
      <c r="AA911" s="3"/>
    </row>
    <row r="912" spans="8:37" ht="15" customHeight="1" x14ac:dyDescent="0.4">
      <c r="H912" s="3"/>
      <c r="U912" s="3"/>
      <c r="AA912" s="3"/>
    </row>
    <row r="913" spans="8:37" ht="15" customHeight="1" x14ac:dyDescent="0.4">
      <c r="H913" s="3"/>
      <c r="U913" s="3"/>
      <c r="AA913" s="3"/>
    </row>
    <row r="914" spans="8:37" ht="15" customHeight="1" x14ac:dyDescent="0.4">
      <c r="H914" s="3"/>
      <c r="U914" s="3"/>
      <c r="AA914" s="3"/>
    </row>
    <row r="915" spans="8:37" ht="15" customHeight="1" x14ac:dyDescent="0.4">
      <c r="H915" s="3"/>
      <c r="U915" s="3"/>
      <c r="AA915" s="3"/>
    </row>
    <row r="916" spans="8:37" ht="15" customHeight="1" x14ac:dyDescent="0.4">
      <c r="H916" s="3"/>
      <c r="U916" s="3"/>
      <c r="AA916" s="3"/>
      <c r="AI916" s="492"/>
      <c r="AJ916" s="492"/>
      <c r="AK916" s="492"/>
    </row>
    <row r="917" spans="8:37" ht="15" customHeight="1" x14ac:dyDescent="0.4">
      <c r="H917" s="3"/>
      <c r="U917" s="3"/>
      <c r="AA917" s="3"/>
    </row>
    <row r="918" spans="8:37" ht="15" customHeight="1" x14ac:dyDescent="0.4">
      <c r="H918" s="3"/>
      <c r="U918" s="3"/>
      <c r="AA918" s="3"/>
    </row>
    <row r="919" spans="8:37" ht="15" customHeight="1" x14ac:dyDescent="0.4">
      <c r="H919" s="3"/>
      <c r="U919" s="3"/>
      <c r="AA919" s="3"/>
    </row>
    <row r="920" spans="8:37" ht="15" customHeight="1" x14ac:dyDescent="0.4">
      <c r="H920" s="3"/>
      <c r="U920" s="3"/>
      <c r="AA920" s="3"/>
    </row>
    <row r="921" spans="8:37" ht="15" customHeight="1" x14ac:dyDescent="0.4">
      <c r="H921" s="3"/>
      <c r="U921" s="3"/>
      <c r="AA921" s="3"/>
    </row>
    <row r="922" spans="8:37" ht="15" customHeight="1" x14ac:dyDescent="0.4">
      <c r="H922" s="3"/>
      <c r="U922" s="3"/>
      <c r="AA922" s="3"/>
    </row>
    <row r="923" spans="8:37" ht="15" customHeight="1" x14ac:dyDescent="0.4">
      <c r="H923" s="3"/>
      <c r="U923" s="3"/>
      <c r="AA923" s="3"/>
      <c r="AI923" s="492"/>
      <c r="AJ923" s="492"/>
      <c r="AK923" s="492"/>
    </row>
    <row r="924" spans="8:37" ht="15" customHeight="1" x14ac:dyDescent="0.4">
      <c r="H924" s="3"/>
      <c r="U924" s="3"/>
      <c r="AA924" s="3"/>
    </row>
    <row r="925" spans="8:37" ht="15" customHeight="1" x14ac:dyDescent="0.4">
      <c r="H925" s="3"/>
      <c r="U925" s="3"/>
      <c r="AA925" s="3"/>
    </row>
    <row r="926" spans="8:37" ht="15" customHeight="1" x14ac:dyDescent="0.4">
      <c r="H926" s="3"/>
      <c r="U926" s="3"/>
      <c r="AA926" s="3"/>
    </row>
    <row r="927" spans="8:37" ht="15" customHeight="1" x14ac:dyDescent="0.4">
      <c r="H927" s="3"/>
      <c r="U927" s="3"/>
      <c r="AA927" s="3"/>
    </row>
    <row r="928" spans="8:37" ht="15" customHeight="1" x14ac:dyDescent="0.4">
      <c r="H928" s="3"/>
      <c r="U928" s="3"/>
      <c r="AA928" s="3"/>
    </row>
    <row r="929" spans="8:27" ht="15" customHeight="1" x14ac:dyDescent="0.4">
      <c r="H929" s="3"/>
      <c r="U929" s="3"/>
      <c r="AA929" s="3"/>
    </row>
    <row r="930" spans="8:27" ht="15" customHeight="1" x14ac:dyDescent="0.4">
      <c r="H930" s="3"/>
      <c r="U930" s="3"/>
      <c r="AA930" s="3"/>
    </row>
    <row r="931" spans="8:27" ht="15" customHeight="1" x14ac:dyDescent="0.4">
      <c r="H931" s="3"/>
      <c r="U931" s="3"/>
      <c r="AA931" s="3"/>
    </row>
    <row r="932" spans="8:27" ht="15" customHeight="1" x14ac:dyDescent="0.4">
      <c r="H932" s="3"/>
      <c r="U932" s="3"/>
      <c r="AA932" s="3"/>
    </row>
    <row r="933" spans="8:27" ht="15" customHeight="1" x14ac:dyDescent="0.4">
      <c r="H933" s="3"/>
      <c r="U933" s="3"/>
      <c r="AA933" s="3"/>
    </row>
    <row r="934" spans="8:27" ht="15" customHeight="1" x14ac:dyDescent="0.4">
      <c r="H934" s="3"/>
      <c r="U934" s="3"/>
      <c r="AA934" s="3"/>
    </row>
    <row r="935" spans="8:27" ht="15" customHeight="1" x14ac:dyDescent="0.4">
      <c r="H935" s="3"/>
      <c r="U935" s="3"/>
      <c r="AA935" s="3"/>
    </row>
    <row r="936" spans="8:27" ht="15" customHeight="1" x14ac:dyDescent="0.4">
      <c r="H936" s="3"/>
      <c r="U936" s="3"/>
      <c r="AA936" s="3"/>
    </row>
    <row r="937" spans="8:27" ht="15" customHeight="1" x14ac:dyDescent="0.4">
      <c r="H937" s="3"/>
      <c r="U937" s="3"/>
      <c r="AA937" s="3"/>
    </row>
    <row r="938" spans="8:27" ht="15" customHeight="1" x14ac:dyDescent="0.4">
      <c r="H938" s="3"/>
      <c r="U938" s="3"/>
      <c r="AA938" s="3"/>
    </row>
    <row r="939" spans="8:27" ht="15" customHeight="1" x14ac:dyDescent="0.4">
      <c r="H939" s="3"/>
      <c r="U939" s="3"/>
      <c r="AA939" s="3"/>
    </row>
    <row r="940" spans="8:27" ht="15" customHeight="1" x14ac:dyDescent="0.4">
      <c r="H940" s="3"/>
      <c r="U940" s="3"/>
      <c r="AA940" s="3"/>
    </row>
    <row r="941" spans="8:27" ht="15" customHeight="1" x14ac:dyDescent="0.4">
      <c r="H941" s="3"/>
      <c r="U941" s="3"/>
      <c r="AA941" s="3"/>
    </row>
    <row r="942" spans="8:27" ht="15" customHeight="1" x14ac:dyDescent="0.4">
      <c r="H942" s="3"/>
      <c r="U942" s="3"/>
      <c r="AA942" s="3"/>
    </row>
    <row r="943" spans="8:27" ht="15" customHeight="1" x14ac:dyDescent="0.4">
      <c r="H943" s="3"/>
      <c r="U943" s="3"/>
      <c r="AA943" s="3"/>
    </row>
    <row r="944" spans="8:27" ht="15" customHeight="1" x14ac:dyDescent="0.4">
      <c r="H944" s="3"/>
      <c r="U944" s="3"/>
      <c r="AA944" s="3"/>
    </row>
    <row r="945" spans="8:27" ht="15" customHeight="1" x14ac:dyDescent="0.4">
      <c r="H945" s="3"/>
      <c r="U945" s="3"/>
      <c r="AA945" s="3"/>
    </row>
    <row r="946" spans="8:27" ht="15" customHeight="1" x14ac:dyDescent="0.4">
      <c r="H946" s="3"/>
      <c r="U946" s="3"/>
      <c r="AA946" s="3"/>
    </row>
    <row r="947" spans="8:27" ht="15" customHeight="1" x14ac:dyDescent="0.4">
      <c r="H947" s="3"/>
      <c r="U947" s="3"/>
      <c r="AA947" s="3"/>
    </row>
    <row r="948" spans="8:27" ht="15" customHeight="1" x14ac:dyDescent="0.4">
      <c r="H948" s="3"/>
      <c r="U948" s="3"/>
      <c r="AA948" s="3"/>
    </row>
    <row r="949" spans="8:27" ht="15" customHeight="1" x14ac:dyDescent="0.4">
      <c r="H949" s="3"/>
      <c r="U949" s="3"/>
      <c r="AA949" s="3"/>
    </row>
    <row r="950" spans="8:27" ht="15" customHeight="1" x14ac:dyDescent="0.4">
      <c r="H950" s="3"/>
      <c r="U950" s="3"/>
      <c r="AA950" s="3"/>
    </row>
    <row r="951" spans="8:27" ht="15" customHeight="1" x14ac:dyDescent="0.4">
      <c r="H951" s="3"/>
      <c r="U951" s="3"/>
      <c r="AA951" s="3"/>
    </row>
    <row r="952" spans="8:27" ht="15" customHeight="1" x14ac:dyDescent="0.4">
      <c r="H952" s="3"/>
      <c r="U952" s="3"/>
      <c r="AA952" s="3"/>
    </row>
    <row r="953" spans="8:27" ht="15" customHeight="1" x14ac:dyDescent="0.4">
      <c r="H953" s="3"/>
      <c r="U953" s="3"/>
      <c r="AA953" s="3"/>
    </row>
    <row r="954" spans="8:27" ht="15" customHeight="1" x14ac:dyDescent="0.4">
      <c r="H954" s="3"/>
      <c r="U954" s="3"/>
      <c r="AA954" s="3"/>
    </row>
    <row r="955" spans="8:27" ht="15" customHeight="1" x14ac:dyDescent="0.4">
      <c r="H955" s="3"/>
      <c r="U955" s="3"/>
      <c r="AA955" s="3"/>
    </row>
    <row r="956" spans="8:27" ht="15" customHeight="1" x14ac:dyDescent="0.4">
      <c r="H956" s="3"/>
      <c r="U956" s="3"/>
      <c r="AA956" s="3"/>
    </row>
    <row r="957" spans="8:27" ht="15" customHeight="1" x14ac:dyDescent="0.4">
      <c r="H957" s="3"/>
      <c r="U957" s="3"/>
      <c r="AA957" s="3"/>
    </row>
    <row r="958" spans="8:27" ht="15" customHeight="1" x14ac:dyDescent="0.4">
      <c r="H958" s="3"/>
      <c r="U958" s="3"/>
      <c r="AA958" s="3"/>
    </row>
    <row r="959" spans="8:27" ht="15" customHeight="1" x14ac:dyDescent="0.4">
      <c r="H959" s="3"/>
      <c r="U959" s="3"/>
      <c r="AA959" s="3"/>
    </row>
    <row r="960" spans="8:27" ht="15" customHeight="1" x14ac:dyDescent="0.4">
      <c r="H960" s="3"/>
      <c r="U960" s="3"/>
      <c r="AA960" s="3"/>
    </row>
    <row r="961" spans="8:37" ht="15" customHeight="1" x14ac:dyDescent="0.4">
      <c r="H961" s="3"/>
      <c r="U961" s="3"/>
      <c r="AA961" s="3"/>
    </row>
    <row r="962" spans="8:37" ht="15" customHeight="1" x14ac:dyDescent="0.4">
      <c r="H962" s="3"/>
      <c r="U962" s="3"/>
      <c r="AA962" s="3"/>
    </row>
    <row r="963" spans="8:37" ht="15" customHeight="1" x14ac:dyDescent="0.4">
      <c r="H963" s="3"/>
      <c r="U963" s="3"/>
      <c r="AA963" s="3"/>
    </row>
    <row r="964" spans="8:37" ht="15" customHeight="1" x14ac:dyDescent="0.4">
      <c r="H964" s="3"/>
      <c r="U964" s="3"/>
      <c r="AA964" s="3"/>
    </row>
    <row r="965" spans="8:37" ht="15" customHeight="1" x14ac:dyDescent="0.4">
      <c r="H965" s="3"/>
      <c r="U965" s="3"/>
      <c r="AA965" s="3"/>
    </row>
    <row r="966" spans="8:37" ht="15" customHeight="1" x14ac:dyDescent="0.4">
      <c r="H966" s="3"/>
      <c r="U966" s="3"/>
      <c r="AA966" s="3"/>
    </row>
    <row r="967" spans="8:37" ht="15" customHeight="1" x14ac:dyDescent="0.4">
      <c r="H967" s="3"/>
      <c r="U967" s="3"/>
      <c r="AA967" s="3"/>
    </row>
    <row r="968" spans="8:37" ht="15" customHeight="1" x14ac:dyDescent="0.4">
      <c r="H968" s="3"/>
      <c r="U968" s="3"/>
      <c r="AA968" s="3"/>
    </row>
    <row r="969" spans="8:37" ht="15" customHeight="1" x14ac:dyDescent="0.4">
      <c r="H969" s="3"/>
      <c r="U969" s="3"/>
      <c r="AA969" s="3"/>
    </row>
    <row r="970" spans="8:37" ht="15" customHeight="1" x14ac:dyDescent="0.4">
      <c r="H970" s="3"/>
      <c r="U970" s="3"/>
      <c r="AA970" s="3"/>
    </row>
    <row r="971" spans="8:37" ht="15" customHeight="1" x14ac:dyDescent="0.4">
      <c r="H971" s="3"/>
      <c r="U971" s="3"/>
      <c r="AA971" s="3"/>
      <c r="AI971" s="5"/>
      <c r="AJ971" s="5"/>
      <c r="AK971" s="5"/>
    </row>
    <row r="972" spans="8:37" ht="15" customHeight="1" x14ac:dyDescent="0.4">
      <c r="H972" s="3"/>
      <c r="U972" s="3"/>
      <c r="AA972" s="3"/>
      <c r="AI972" s="5"/>
      <c r="AJ972" s="5"/>
      <c r="AK972" s="5"/>
    </row>
    <row r="973" spans="8:37" ht="15" customHeight="1" x14ac:dyDescent="0.4">
      <c r="H973" s="3"/>
      <c r="U973" s="3"/>
      <c r="AA973" s="3"/>
      <c r="AI973" s="5"/>
      <c r="AJ973" s="5"/>
      <c r="AK973" s="5"/>
    </row>
    <row r="974" spans="8:37" ht="15" customHeight="1" x14ac:dyDescent="0.4">
      <c r="H974" s="3"/>
      <c r="U974" s="3"/>
      <c r="AA974" s="3"/>
      <c r="AI974" s="5"/>
      <c r="AJ974" s="5"/>
      <c r="AK974" s="5"/>
    </row>
    <row r="975" spans="8:37" ht="15" customHeight="1" x14ac:dyDescent="0.4">
      <c r="H975" s="3"/>
      <c r="U975" s="3"/>
      <c r="AA975" s="3"/>
      <c r="AI975" s="5"/>
      <c r="AJ975" s="5"/>
      <c r="AK975" s="5"/>
    </row>
    <row r="976" spans="8:37" ht="15" customHeight="1" x14ac:dyDescent="0.4">
      <c r="H976" s="3"/>
      <c r="U976" s="3"/>
      <c r="AA976" s="3"/>
      <c r="AI976" s="5"/>
      <c r="AJ976" s="5"/>
      <c r="AK976" s="5"/>
    </row>
    <row r="977" spans="8:37" ht="15" customHeight="1" x14ac:dyDescent="0.4">
      <c r="H977" s="3"/>
      <c r="U977" s="3"/>
      <c r="AA977" s="3"/>
      <c r="AI977" s="5"/>
      <c r="AJ977" s="5"/>
      <c r="AK977" s="5"/>
    </row>
    <row r="978" spans="8:37" ht="15" customHeight="1" x14ac:dyDescent="0.4">
      <c r="H978" s="3"/>
      <c r="U978" s="3"/>
      <c r="AA978" s="3"/>
      <c r="AI978" s="5"/>
      <c r="AJ978" s="5"/>
      <c r="AK978" s="5"/>
    </row>
    <row r="979" spans="8:37" ht="15" customHeight="1" x14ac:dyDescent="0.4">
      <c r="H979" s="3"/>
      <c r="U979" s="3"/>
      <c r="AA979" s="3"/>
      <c r="AI979" s="5"/>
      <c r="AJ979" s="5"/>
      <c r="AK979" s="5"/>
    </row>
    <row r="980" spans="8:37" ht="15" customHeight="1" x14ac:dyDescent="0.4">
      <c r="H980" s="3"/>
      <c r="U980" s="3"/>
      <c r="AA980" s="3"/>
      <c r="AI980" s="5"/>
      <c r="AJ980" s="5"/>
      <c r="AK980" s="5"/>
    </row>
    <row r="981" spans="8:37" ht="15" customHeight="1" x14ac:dyDescent="0.4">
      <c r="H981" s="3"/>
      <c r="U981" s="3"/>
      <c r="AA981" s="3"/>
      <c r="AI981" s="5"/>
      <c r="AJ981" s="5"/>
      <c r="AK981" s="5"/>
    </row>
    <row r="982" spans="8:37" ht="15" customHeight="1" x14ac:dyDescent="0.4">
      <c r="H982" s="3"/>
      <c r="U982" s="3"/>
      <c r="AA982" s="3"/>
      <c r="AI982" s="5"/>
      <c r="AJ982" s="5"/>
      <c r="AK982" s="5"/>
    </row>
    <row r="983" spans="8:37" ht="15" customHeight="1" x14ac:dyDescent="0.4">
      <c r="H983" s="3"/>
      <c r="U983" s="3"/>
      <c r="AA983" s="3"/>
      <c r="AI983" s="5"/>
      <c r="AJ983" s="5"/>
      <c r="AK983" s="5"/>
    </row>
    <row r="984" spans="8:37" ht="15" customHeight="1" x14ac:dyDescent="0.4">
      <c r="H984" s="3"/>
      <c r="U984" s="3"/>
      <c r="AA984" s="3"/>
      <c r="AI984" s="5"/>
      <c r="AJ984" s="5"/>
      <c r="AK984" s="5"/>
    </row>
    <row r="985" spans="8:37" ht="15" customHeight="1" x14ac:dyDescent="0.4">
      <c r="H985" s="3"/>
      <c r="U985" s="3"/>
      <c r="AA985" s="3"/>
      <c r="AI985" s="5"/>
      <c r="AJ985" s="5"/>
      <c r="AK985" s="5"/>
    </row>
    <row r="986" spans="8:37" ht="15" customHeight="1" x14ac:dyDescent="0.4">
      <c r="H986" s="3"/>
      <c r="U986" s="3"/>
      <c r="AA986" s="3"/>
      <c r="AI986" s="5"/>
      <c r="AJ986" s="5"/>
      <c r="AK986" s="5"/>
    </row>
    <row r="987" spans="8:37" ht="15" customHeight="1" x14ac:dyDescent="0.4">
      <c r="H987" s="3"/>
      <c r="U987" s="3"/>
      <c r="AA987" s="3"/>
      <c r="AI987" s="5"/>
      <c r="AJ987" s="5"/>
      <c r="AK987" s="5"/>
    </row>
    <row r="988" spans="8:37" ht="15" customHeight="1" x14ac:dyDescent="0.4">
      <c r="H988" s="3"/>
      <c r="U988" s="3"/>
      <c r="AA988" s="3"/>
      <c r="AI988" s="5"/>
      <c r="AJ988" s="5"/>
      <c r="AK988" s="5"/>
    </row>
    <row r="989" spans="8:37" ht="15" customHeight="1" x14ac:dyDescent="0.4">
      <c r="H989" s="3"/>
      <c r="U989" s="3"/>
      <c r="AA989" s="3"/>
      <c r="AI989" s="5"/>
      <c r="AJ989" s="5"/>
      <c r="AK989" s="5"/>
    </row>
    <row r="990" spans="8:37" ht="15" customHeight="1" x14ac:dyDescent="0.4">
      <c r="H990" s="3"/>
      <c r="U990" s="3"/>
      <c r="AA990" s="3"/>
      <c r="AI990" s="5"/>
      <c r="AJ990" s="5"/>
      <c r="AK990" s="5"/>
    </row>
    <row r="991" spans="8:37" ht="15" customHeight="1" x14ac:dyDescent="0.4">
      <c r="H991" s="3"/>
      <c r="U991" s="3"/>
      <c r="AA991" s="3"/>
    </row>
    <row r="992" spans="8:37" ht="15" customHeight="1" x14ac:dyDescent="0.4">
      <c r="H992" s="3"/>
      <c r="U992" s="3"/>
      <c r="AA992" s="3"/>
    </row>
    <row r="993" spans="8:27" ht="15" customHeight="1" x14ac:dyDescent="0.4">
      <c r="H993" s="3"/>
      <c r="U993" s="3"/>
      <c r="AA993" s="3"/>
    </row>
    <row r="994" spans="8:27" ht="15" customHeight="1" x14ac:dyDescent="0.4">
      <c r="H994" s="3"/>
      <c r="U994" s="3"/>
      <c r="AA994" s="3"/>
    </row>
    <row r="995" spans="8:27" ht="15" customHeight="1" x14ac:dyDescent="0.4">
      <c r="H995" s="3"/>
      <c r="U995" s="3"/>
      <c r="AA995" s="3"/>
    </row>
    <row r="996" spans="8:27" ht="15" customHeight="1" x14ac:dyDescent="0.4">
      <c r="H996" s="3"/>
      <c r="U996" s="3"/>
      <c r="AA996" s="3"/>
    </row>
    <row r="997" spans="8:27" ht="15" customHeight="1" x14ac:dyDescent="0.4">
      <c r="H997" s="3"/>
      <c r="U997" s="3"/>
      <c r="AA997" s="3"/>
    </row>
  </sheetData>
  <sheetProtection algorithmName="SHA-512" hashValue="F18wP3P4nTGXvrdjrqKRTIsNArTdGcuXnGvtWE+8rg04yDLYM/RYDo3+AXeyWKPDDeE9sD/RDLDxD0edsXY/Hw==" saltValue="ApvbOWbfoGoqHzoKg6AgwQ==" spinCount="100000" sheet="1" objects="1" scenarios="1"/>
  <dataConsolidate/>
  <mergeCells count="52">
    <mergeCell ref="B2:G2"/>
    <mergeCell ref="E3:G3"/>
    <mergeCell ref="C692:F692"/>
    <mergeCell ref="C705:F705"/>
    <mergeCell ref="C699:F699"/>
    <mergeCell ref="C695:F695"/>
    <mergeCell ref="C697:F697"/>
    <mergeCell ref="C698:F698"/>
    <mergeCell ref="B4:D4"/>
    <mergeCell ref="B5:D5"/>
    <mergeCell ref="C694:F694"/>
    <mergeCell ref="E6:G6"/>
    <mergeCell ref="E4:G4"/>
    <mergeCell ref="C701:F701"/>
    <mergeCell ref="C703:F703"/>
    <mergeCell ref="J3:M3"/>
    <mergeCell ref="J4:M4"/>
    <mergeCell ref="C696:F696"/>
    <mergeCell ref="E7:G7"/>
    <mergeCell ref="C712:F712"/>
    <mergeCell ref="C704:F704"/>
    <mergeCell ref="J6:M6"/>
    <mergeCell ref="J5:M5"/>
    <mergeCell ref="J7:M7"/>
    <mergeCell ref="N3:Q3"/>
    <mergeCell ref="N4:Q4"/>
    <mergeCell ref="V3:Y3"/>
    <mergeCell ref="V4:Y4"/>
    <mergeCell ref="AN7:AP7"/>
    <mergeCell ref="N5:Q5"/>
    <mergeCell ref="N6:Q6"/>
    <mergeCell ref="V5:Y5"/>
    <mergeCell ref="N7:Q7"/>
    <mergeCell ref="W8:X8"/>
    <mergeCell ref="S673:T673"/>
    <mergeCell ref="J8:L8"/>
    <mergeCell ref="C700:F700"/>
    <mergeCell ref="B11:G11"/>
    <mergeCell ref="I11:M11"/>
    <mergeCell ref="S672:T672"/>
    <mergeCell ref="C693:F693"/>
    <mergeCell ref="AM11:AN11"/>
    <mergeCell ref="C713:F713"/>
    <mergeCell ref="C714:F714"/>
    <mergeCell ref="C711:F711"/>
    <mergeCell ref="C706:F706"/>
    <mergeCell ref="V11:X11"/>
    <mergeCell ref="B716:G717"/>
    <mergeCell ref="C710:F710"/>
    <mergeCell ref="C709:F709"/>
    <mergeCell ref="C708:F708"/>
    <mergeCell ref="C707:F707"/>
  </mergeCells>
  <phoneticPr fontId="27" type="noConversion"/>
  <conditionalFormatting sqref="AB675 AB551:AB570 AB545:AB546 AB572:AB603 AB605:AB606 AB623 AB341 AA484:AA520 AB74:AB79 AB82:AB87 AB89:AB97 AB99:AB103 AB110:AB115 AB117:AB122 AB124:AB129 AB131:AB136 AB138:AB143 AB145:AB149 AB151:AB166 AB329:AB330 AB451:AB461 AB463:AB479 AB526:AB531 AB533:AB538 AB644:AB662 AB343:AB393 AB420:AB449 AB335:AB339 AB403:AB406 AB169:AB170 AB178:AB179 AB207:AB208 AB232:AB233 AB198:AB199 AB223:AB224 AB191:AB195 AB216:AB220 AB241:AB249 AB14:AB22 AB64:AB67 AB24:AB27 AB35:AB41 AB55:AB62 AB43:AB53 AB608:AB621 AB625:AB642 AB260:AB261 AB540:AB542 AB481:AB524 AB29:AB33 AB69:AB72 AB105:AB108 AB172:AB175 AB181:AB188 AB201:AB204 AB210:AB213 AB226:AB229 AB235:AB238 AB263:AB327">
    <cfRule type="cellIs" dxfId="276" priority="209" stopIfTrue="1" operator="lessThan">
      <formula>42</formula>
    </cfRule>
    <cfRule type="cellIs" dxfId="275" priority="210" stopIfTrue="1" operator="lessThan">
      <formula>45</formula>
    </cfRule>
  </conditionalFormatting>
  <conditionalFormatting sqref="E8">
    <cfRule type="expression" dxfId="274" priority="234" stopIfTrue="1">
      <formula>ISERR(FIND("DIM",$E$7))</formula>
    </cfRule>
  </conditionalFormatting>
  <conditionalFormatting sqref="AB376:AB379">
    <cfRule type="cellIs" dxfId="273" priority="125" stopIfTrue="1" operator="lessThan">
      <formula>42</formula>
    </cfRule>
    <cfRule type="cellIs" dxfId="272" priority="126" stopIfTrue="1" operator="lessThan">
      <formula>45</formula>
    </cfRule>
  </conditionalFormatting>
  <conditionalFormatting sqref="AB376:AB379">
    <cfRule type="cellIs" dxfId="271" priority="123" stopIfTrue="1" operator="lessThan">
      <formula>42</formula>
    </cfRule>
    <cfRule type="cellIs" dxfId="270" priority="124" stopIfTrue="1" operator="lessThan">
      <formula>45</formula>
    </cfRule>
  </conditionalFormatting>
  <conditionalFormatting sqref="AB23">
    <cfRule type="cellIs" dxfId="269" priority="119" stopIfTrue="1" operator="lessThan">
      <formula>42</formula>
    </cfRule>
    <cfRule type="cellIs" dxfId="268" priority="120" stopIfTrue="1" operator="lessThan">
      <formula>45</formula>
    </cfRule>
  </conditionalFormatting>
  <conditionalFormatting sqref="AB34">
    <cfRule type="cellIs" dxfId="267" priority="117" stopIfTrue="1" operator="lessThan">
      <formula>42</formula>
    </cfRule>
    <cfRule type="cellIs" dxfId="266" priority="118" stopIfTrue="1" operator="lessThan">
      <formula>45</formula>
    </cfRule>
  </conditionalFormatting>
  <conditionalFormatting sqref="AB42">
    <cfRule type="cellIs" dxfId="265" priority="115" stopIfTrue="1" operator="lessThan">
      <formula>42</formula>
    </cfRule>
    <cfRule type="cellIs" dxfId="264" priority="116" stopIfTrue="1" operator="lessThan">
      <formula>45</formula>
    </cfRule>
  </conditionalFormatting>
  <conditionalFormatting sqref="AB54">
    <cfRule type="cellIs" dxfId="263" priority="113" stopIfTrue="1" operator="lessThan">
      <formula>42</formula>
    </cfRule>
    <cfRule type="cellIs" dxfId="262" priority="114" stopIfTrue="1" operator="lessThan">
      <formula>45</formula>
    </cfRule>
  </conditionalFormatting>
  <conditionalFormatting sqref="AB63">
    <cfRule type="cellIs" dxfId="261" priority="111" stopIfTrue="1" operator="lessThan">
      <formula>42</formula>
    </cfRule>
    <cfRule type="cellIs" dxfId="260" priority="112" stopIfTrue="1" operator="lessThan">
      <formula>45</formula>
    </cfRule>
  </conditionalFormatting>
  <conditionalFormatting sqref="AB73">
    <cfRule type="cellIs" dxfId="259" priority="109" stopIfTrue="1" operator="lessThan">
      <formula>42</formula>
    </cfRule>
    <cfRule type="cellIs" dxfId="258" priority="110" stopIfTrue="1" operator="lessThan">
      <formula>45</formula>
    </cfRule>
  </conditionalFormatting>
  <conditionalFormatting sqref="AB80:AB81">
    <cfRule type="cellIs" dxfId="257" priority="107" stopIfTrue="1" operator="lessThan">
      <formula>42</formula>
    </cfRule>
    <cfRule type="cellIs" dxfId="256" priority="108" stopIfTrue="1" operator="lessThan">
      <formula>45</formula>
    </cfRule>
  </conditionalFormatting>
  <conditionalFormatting sqref="AB88">
    <cfRule type="cellIs" dxfId="255" priority="105" stopIfTrue="1" operator="lessThan">
      <formula>42</formula>
    </cfRule>
    <cfRule type="cellIs" dxfId="254" priority="106" stopIfTrue="1" operator="lessThan">
      <formula>45</formula>
    </cfRule>
  </conditionalFormatting>
  <conditionalFormatting sqref="AB98">
    <cfRule type="cellIs" dxfId="253" priority="103" stopIfTrue="1" operator="lessThan">
      <formula>42</formula>
    </cfRule>
    <cfRule type="cellIs" dxfId="252" priority="104" stopIfTrue="1" operator="lessThan">
      <formula>45</formula>
    </cfRule>
  </conditionalFormatting>
  <conditionalFormatting sqref="AB109">
    <cfRule type="cellIs" dxfId="251" priority="101" stopIfTrue="1" operator="lessThan">
      <formula>42</formula>
    </cfRule>
    <cfRule type="cellIs" dxfId="250" priority="102" stopIfTrue="1" operator="lessThan">
      <formula>45</formula>
    </cfRule>
  </conditionalFormatting>
  <conditionalFormatting sqref="AB116">
    <cfRule type="cellIs" dxfId="249" priority="99" stopIfTrue="1" operator="lessThan">
      <formula>42</formula>
    </cfRule>
    <cfRule type="cellIs" dxfId="248" priority="100" stopIfTrue="1" operator="lessThan">
      <formula>45</formula>
    </cfRule>
  </conditionalFormatting>
  <conditionalFormatting sqref="AB123">
    <cfRule type="cellIs" dxfId="247" priority="97" stopIfTrue="1" operator="lessThan">
      <formula>42</formula>
    </cfRule>
    <cfRule type="cellIs" dxfId="246" priority="98" stopIfTrue="1" operator="lessThan">
      <formula>45</formula>
    </cfRule>
  </conditionalFormatting>
  <conditionalFormatting sqref="AB130">
    <cfRule type="cellIs" dxfId="245" priority="95" stopIfTrue="1" operator="lessThan">
      <formula>42</formula>
    </cfRule>
    <cfRule type="cellIs" dxfId="244" priority="96" stopIfTrue="1" operator="lessThan">
      <formula>45</formula>
    </cfRule>
  </conditionalFormatting>
  <conditionalFormatting sqref="AB137">
    <cfRule type="cellIs" dxfId="243" priority="93" stopIfTrue="1" operator="lessThan">
      <formula>42</formula>
    </cfRule>
    <cfRule type="cellIs" dxfId="242" priority="94" stopIfTrue="1" operator="lessThan">
      <formula>45</formula>
    </cfRule>
  </conditionalFormatting>
  <conditionalFormatting sqref="AB144">
    <cfRule type="cellIs" dxfId="241" priority="91" stopIfTrue="1" operator="lessThan">
      <formula>42</formula>
    </cfRule>
    <cfRule type="cellIs" dxfId="240" priority="92" stopIfTrue="1" operator="lessThan">
      <formula>45</formula>
    </cfRule>
  </conditionalFormatting>
  <conditionalFormatting sqref="AB150">
    <cfRule type="cellIs" dxfId="239" priority="89" stopIfTrue="1" operator="lessThan">
      <formula>42</formula>
    </cfRule>
    <cfRule type="cellIs" dxfId="238" priority="90" stopIfTrue="1" operator="lessThan">
      <formula>45</formula>
    </cfRule>
  </conditionalFormatting>
  <conditionalFormatting sqref="AB450">
    <cfRule type="cellIs" dxfId="237" priority="83" stopIfTrue="1" operator="lessThan">
      <formula>42</formula>
    </cfRule>
    <cfRule type="cellIs" dxfId="236" priority="84" stopIfTrue="1" operator="lessThan">
      <formula>45</formula>
    </cfRule>
  </conditionalFormatting>
  <conditionalFormatting sqref="AB328">
    <cfRule type="cellIs" dxfId="235" priority="85" stopIfTrue="1" operator="lessThan">
      <formula>42</formula>
    </cfRule>
    <cfRule type="cellIs" dxfId="234" priority="86" stopIfTrue="1" operator="lessThan">
      <formula>45</formula>
    </cfRule>
  </conditionalFormatting>
  <conditionalFormatting sqref="AB462">
    <cfRule type="cellIs" dxfId="233" priority="81" stopIfTrue="1" operator="lessThan">
      <formula>42</formula>
    </cfRule>
    <cfRule type="cellIs" dxfId="232" priority="82" stopIfTrue="1" operator="lessThan">
      <formula>45</formula>
    </cfRule>
  </conditionalFormatting>
  <conditionalFormatting sqref="AB480">
    <cfRule type="cellIs" dxfId="231" priority="79" stopIfTrue="1" operator="lessThan">
      <formula>42</formula>
    </cfRule>
    <cfRule type="cellIs" dxfId="230" priority="80" stopIfTrue="1" operator="lessThan">
      <formula>45</formula>
    </cfRule>
  </conditionalFormatting>
  <conditionalFormatting sqref="AB525">
    <cfRule type="cellIs" dxfId="229" priority="77" stopIfTrue="1" operator="lessThan">
      <formula>42</formula>
    </cfRule>
    <cfRule type="cellIs" dxfId="228" priority="78" stopIfTrue="1" operator="lessThan">
      <formula>45</formula>
    </cfRule>
  </conditionalFormatting>
  <conditionalFormatting sqref="AB532">
    <cfRule type="cellIs" dxfId="227" priority="75" stopIfTrue="1" operator="lessThan">
      <formula>42</formula>
    </cfRule>
    <cfRule type="cellIs" dxfId="226" priority="76" stopIfTrue="1" operator="lessThan">
      <formula>45</formula>
    </cfRule>
  </conditionalFormatting>
  <conditionalFormatting sqref="AB539">
    <cfRule type="cellIs" dxfId="225" priority="73" stopIfTrue="1" operator="lessThan">
      <formula>42</formula>
    </cfRule>
    <cfRule type="cellIs" dxfId="224" priority="74" stopIfTrue="1" operator="lessThan">
      <formula>45</formula>
    </cfRule>
  </conditionalFormatting>
  <conditionalFormatting sqref="AB490">
    <cfRule type="cellIs" dxfId="223" priority="71" stopIfTrue="1" operator="lessThan">
      <formula>42</formula>
    </cfRule>
    <cfRule type="cellIs" dxfId="222" priority="72" stopIfTrue="1" operator="lessThan">
      <formula>45</formula>
    </cfRule>
  </conditionalFormatting>
  <conditionalFormatting sqref="AB497">
    <cfRule type="cellIs" dxfId="221" priority="69" stopIfTrue="1" operator="lessThan">
      <formula>42</formula>
    </cfRule>
    <cfRule type="cellIs" dxfId="220" priority="70" stopIfTrue="1" operator="lessThan">
      <formula>45</formula>
    </cfRule>
  </conditionalFormatting>
  <conditionalFormatting sqref="AB504">
    <cfRule type="cellIs" dxfId="219" priority="67" stopIfTrue="1" operator="lessThan">
      <formula>42</formula>
    </cfRule>
    <cfRule type="cellIs" dxfId="218" priority="68" stopIfTrue="1" operator="lessThan">
      <formula>45</formula>
    </cfRule>
  </conditionalFormatting>
  <conditionalFormatting sqref="AB511">
    <cfRule type="cellIs" dxfId="217" priority="65" stopIfTrue="1" operator="lessThan">
      <formula>42</formula>
    </cfRule>
    <cfRule type="cellIs" dxfId="216" priority="66" stopIfTrue="1" operator="lessThan">
      <formula>45</formula>
    </cfRule>
  </conditionalFormatting>
  <conditionalFormatting sqref="AB518">
    <cfRule type="cellIs" dxfId="215" priority="63" stopIfTrue="1" operator="lessThan">
      <formula>42</formula>
    </cfRule>
    <cfRule type="cellIs" dxfId="214" priority="64" stopIfTrue="1" operator="lessThan">
      <formula>45</formula>
    </cfRule>
  </conditionalFormatting>
  <conditionalFormatting sqref="AB643">
    <cfRule type="cellIs" dxfId="213" priority="61" stopIfTrue="1" operator="lessThan">
      <formula>42</formula>
    </cfRule>
    <cfRule type="cellIs" dxfId="212" priority="62" stopIfTrue="1" operator="lessThan">
      <formula>45</formula>
    </cfRule>
  </conditionalFormatting>
  <conditionalFormatting sqref="AB250:AB255 AB257:AB259">
    <cfRule type="cellIs" dxfId="211" priority="59" stopIfTrue="1" operator="lessThan">
      <formula>42</formula>
    </cfRule>
    <cfRule type="cellIs" dxfId="210" priority="60" stopIfTrue="1" operator="lessThan">
      <formula>45</formula>
    </cfRule>
  </conditionalFormatting>
  <conditionalFormatting sqref="AB256">
    <cfRule type="cellIs" dxfId="209" priority="57" stopIfTrue="1" operator="lessThan">
      <formula>42</formula>
    </cfRule>
    <cfRule type="cellIs" dxfId="208" priority="58" stopIfTrue="1" operator="lessThan">
      <formula>45</formula>
    </cfRule>
  </conditionalFormatting>
  <conditionalFormatting sqref="AB412:AB413">
    <cfRule type="cellIs" dxfId="207" priority="55" stopIfTrue="1" operator="lessThan">
      <formula>42</formula>
    </cfRule>
    <cfRule type="cellIs" dxfId="206" priority="56" stopIfTrue="1" operator="lessThan">
      <formula>45</formula>
    </cfRule>
  </conditionalFormatting>
  <conditionalFormatting sqref="AB414:AB418">
    <cfRule type="cellIs" dxfId="205" priority="53" stopIfTrue="1" operator="lessThan">
      <formula>42</formula>
    </cfRule>
    <cfRule type="cellIs" dxfId="204" priority="54" stopIfTrue="1" operator="lessThan">
      <formula>45</formula>
    </cfRule>
  </conditionalFormatting>
  <conditionalFormatting sqref="AB419">
    <cfRule type="cellIs" dxfId="203" priority="51" stopIfTrue="1" operator="lessThan">
      <formula>42</formula>
    </cfRule>
    <cfRule type="cellIs" dxfId="202" priority="52" stopIfTrue="1" operator="lessThan">
      <formula>45</formula>
    </cfRule>
  </conditionalFormatting>
  <conditionalFormatting sqref="AB407:AB411">
    <cfRule type="cellIs" dxfId="201" priority="49" stopIfTrue="1" operator="lessThan">
      <formula>42</formula>
    </cfRule>
    <cfRule type="cellIs" dxfId="200" priority="50" stopIfTrue="1" operator="lessThan">
      <formula>45</formula>
    </cfRule>
  </conditionalFormatting>
  <conditionalFormatting sqref="AB331:AB334">
    <cfRule type="cellIs" dxfId="199" priority="47" stopIfTrue="1" operator="lessThan">
      <formula>42</formula>
    </cfRule>
    <cfRule type="cellIs" dxfId="198" priority="48" stopIfTrue="1" operator="lessThan">
      <formula>45</formula>
    </cfRule>
  </conditionalFormatting>
  <conditionalFormatting sqref="AB399:AB402">
    <cfRule type="cellIs" dxfId="197" priority="45" stopIfTrue="1" operator="lessThan">
      <formula>42</formula>
    </cfRule>
    <cfRule type="cellIs" dxfId="196" priority="46" stopIfTrue="1" operator="lessThan">
      <formula>45</formula>
    </cfRule>
  </conditionalFormatting>
  <conditionalFormatting sqref="AB167:AB168">
    <cfRule type="cellIs" dxfId="195" priority="39" stopIfTrue="1" operator="lessThan">
      <formula>42</formula>
    </cfRule>
    <cfRule type="cellIs" dxfId="194" priority="40" stopIfTrue="1" operator="lessThan">
      <formula>45</formula>
    </cfRule>
  </conditionalFormatting>
  <conditionalFormatting sqref="AB176:AB177">
    <cfRule type="cellIs" dxfId="193" priority="37" stopIfTrue="1" operator="lessThan">
      <formula>42</formula>
    </cfRule>
    <cfRule type="cellIs" dxfId="192" priority="38" stopIfTrue="1" operator="lessThan">
      <formula>45</formula>
    </cfRule>
  </conditionalFormatting>
  <conditionalFormatting sqref="AB205:AB206">
    <cfRule type="cellIs" dxfId="191" priority="35" stopIfTrue="1" operator="lessThan">
      <formula>42</formula>
    </cfRule>
    <cfRule type="cellIs" dxfId="190" priority="36" stopIfTrue="1" operator="lessThan">
      <formula>45</formula>
    </cfRule>
  </conditionalFormatting>
  <conditionalFormatting sqref="AB230:AB231">
    <cfRule type="cellIs" dxfId="189" priority="33" stopIfTrue="1" operator="lessThan">
      <formula>42</formula>
    </cfRule>
    <cfRule type="cellIs" dxfId="188" priority="34" stopIfTrue="1" operator="lessThan">
      <formula>45</formula>
    </cfRule>
  </conditionalFormatting>
  <conditionalFormatting sqref="AB196:AB197">
    <cfRule type="cellIs" dxfId="187" priority="31" stopIfTrue="1" operator="lessThan">
      <formula>42</formula>
    </cfRule>
    <cfRule type="cellIs" dxfId="186" priority="32" stopIfTrue="1" operator="lessThan">
      <formula>45</formula>
    </cfRule>
  </conditionalFormatting>
  <conditionalFormatting sqref="AB221:AB222">
    <cfRule type="cellIs" dxfId="185" priority="29" stopIfTrue="1" operator="lessThan">
      <formula>42</formula>
    </cfRule>
    <cfRule type="cellIs" dxfId="184" priority="30" stopIfTrue="1" operator="lessThan">
      <formula>45</formula>
    </cfRule>
  </conditionalFormatting>
  <conditionalFormatting sqref="AB189:AB190">
    <cfRule type="cellIs" dxfId="183" priority="27" stopIfTrue="1" operator="lessThan">
      <formula>42</formula>
    </cfRule>
    <cfRule type="cellIs" dxfId="182" priority="28" stopIfTrue="1" operator="lessThan">
      <formula>45</formula>
    </cfRule>
  </conditionalFormatting>
  <conditionalFormatting sqref="AB214:AB215">
    <cfRule type="cellIs" dxfId="181" priority="25" stopIfTrue="1" operator="lessThan">
      <formula>42</formula>
    </cfRule>
    <cfRule type="cellIs" dxfId="180" priority="26" stopIfTrue="1" operator="lessThan">
      <formula>45</formula>
    </cfRule>
  </conditionalFormatting>
  <conditionalFormatting sqref="AB239:AB240">
    <cfRule type="cellIs" dxfId="179" priority="23" stopIfTrue="1" operator="lessThan">
      <formula>42</formula>
    </cfRule>
    <cfRule type="cellIs" dxfId="178" priority="24" stopIfTrue="1" operator="lessThan">
      <formula>45</formula>
    </cfRule>
  </conditionalFormatting>
  <conditionalFormatting sqref="AB28">
    <cfRule type="cellIs" dxfId="177" priority="21" stopIfTrue="1" operator="lessThan">
      <formula>42</formula>
    </cfRule>
    <cfRule type="cellIs" dxfId="176" priority="22" stopIfTrue="1" operator="lessThan">
      <formula>45</formula>
    </cfRule>
  </conditionalFormatting>
  <conditionalFormatting sqref="AB68">
    <cfRule type="cellIs" dxfId="175" priority="19" stopIfTrue="1" operator="lessThan">
      <formula>42</formula>
    </cfRule>
    <cfRule type="cellIs" dxfId="174" priority="20" stopIfTrue="1" operator="lessThan">
      <formula>45</formula>
    </cfRule>
  </conditionalFormatting>
  <conditionalFormatting sqref="AB104">
    <cfRule type="cellIs" dxfId="173" priority="17" stopIfTrue="1" operator="lessThan">
      <formula>42</formula>
    </cfRule>
    <cfRule type="cellIs" dxfId="172" priority="18" stopIfTrue="1" operator="lessThan">
      <formula>45</formula>
    </cfRule>
  </conditionalFormatting>
  <conditionalFormatting sqref="AB171">
    <cfRule type="cellIs" dxfId="171" priority="15" stopIfTrue="1" operator="lessThan">
      <formula>42</formula>
    </cfRule>
    <cfRule type="cellIs" dxfId="170" priority="16" stopIfTrue="1" operator="lessThan">
      <formula>45</formula>
    </cfRule>
  </conditionalFormatting>
  <conditionalFormatting sqref="AB180">
    <cfRule type="cellIs" dxfId="169" priority="13" stopIfTrue="1" operator="lessThan">
      <formula>42</formula>
    </cfRule>
    <cfRule type="cellIs" dxfId="168" priority="14" stopIfTrue="1" operator="lessThan">
      <formula>45</formula>
    </cfRule>
  </conditionalFormatting>
  <conditionalFormatting sqref="AB200">
    <cfRule type="cellIs" dxfId="167" priority="11" stopIfTrue="1" operator="lessThan">
      <formula>42</formula>
    </cfRule>
    <cfRule type="cellIs" dxfId="166" priority="12" stopIfTrue="1" operator="lessThan">
      <formula>45</formula>
    </cfRule>
  </conditionalFormatting>
  <conditionalFormatting sqref="AB209">
    <cfRule type="cellIs" dxfId="165" priority="9" stopIfTrue="1" operator="lessThan">
      <formula>42</formula>
    </cfRule>
    <cfRule type="cellIs" dxfId="164" priority="10" stopIfTrue="1" operator="lessThan">
      <formula>45</formula>
    </cfRule>
  </conditionalFormatting>
  <conditionalFormatting sqref="AB225">
    <cfRule type="cellIs" dxfId="163" priority="7" stopIfTrue="1" operator="lessThan">
      <formula>42</formula>
    </cfRule>
    <cfRule type="cellIs" dxfId="162" priority="8" stopIfTrue="1" operator="lessThan">
      <formula>45</formula>
    </cfRule>
  </conditionalFormatting>
  <conditionalFormatting sqref="AB234">
    <cfRule type="cellIs" dxfId="161" priority="5" stopIfTrue="1" operator="lessThan">
      <formula>42</formula>
    </cfRule>
    <cfRule type="cellIs" dxfId="160" priority="6" stopIfTrue="1" operator="lessThan">
      <formula>45</formula>
    </cfRule>
  </conditionalFormatting>
  <conditionalFormatting sqref="AB262">
    <cfRule type="cellIs" dxfId="159" priority="3" stopIfTrue="1" operator="lessThan">
      <formula>42</formula>
    </cfRule>
    <cfRule type="cellIs" dxfId="158" priority="4" stopIfTrue="1" operator="lessThan">
      <formula>45</formula>
    </cfRule>
  </conditionalFormatting>
  <conditionalFormatting sqref="AB394:AB398">
    <cfRule type="cellIs" dxfId="157" priority="1" stopIfTrue="1" operator="lessThan">
      <formula>42</formula>
    </cfRule>
    <cfRule type="cellIs" dxfId="156" priority="2" stopIfTrue="1" operator="lessThan">
      <formula>45</formula>
    </cfRule>
  </conditionalFormatting>
  <dataValidations disablePrompts="1" count="5">
    <dataValidation type="list" allowBlank="1" showInputMessage="1" showErrorMessage="1" sqref="E6:G6" xr:uid="{00000000-0002-0000-0400-000000000000}">
      <formula1>$D$725:$D$744</formula1>
    </dataValidation>
    <dataValidation showDropDown="1" showInputMessage="1" showErrorMessage="1" sqref="W8 I8" xr:uid="{00000000-0002-0000-0400-000001000000}"/>
    <dataValidation type="list" allowBlank="1" showInputMessage="1" showErrorMessage="1" sqref="E3" xr:uid="{00000000-0002-0000-0400-000002000000}">
      <formula1>$AM$11:$BF$11</formula1>
    </dataValidation>
    <dataValidation type="list" showInputMessage="1" showErrorMessage="1" sqref="E4" xr:uid="{00000000-0002-0000-0400-000003000000}">
      <formula1>$AN$3:$AN$6</formula1>
    </dataValidation>
    <dataValidation type="list" allowBlank="1" showInputMessage="1" showErrorMessage="1" sqref="E7:G7" xr:uid="{00000000-0002-0000-0400-000004000000}">
      <formula1>$B$718:$B$719</formula1>
    </dataValidation>
  </dataValidations>
  <pageMargins left="0.125" right="0.125" top="0.25" bottom="0.375" header="0" footer="0"/>
  <pageSetup scale="44" fitToHeight="10" orientation="landscape" horizontalDpi="4294967292" r:id="rId1"/>
  <headerFooter alignWithMargins="0">
    <oddFooter>&amp;L&amp;8&amp;Z&amp;F</oddFooter>
  </headerFooter>
  <ignoredErrors>
    <ignoredError sqref="Y403 Y542:Y582 Y613:Y614 Y622:Y623 Y631 Y649:Y655 Y335:Y340 Y140 Y146 Y241:Y242 Y324 Y440:Y444 Y456 Y467:Y474 Y521 Y528 Y535 Y342:Y371 Y373:Y375 Y427 Y263:Y264 Y312:Y313 Y318:Y319 Y420:Y421 Y380:Y381 Y153 Y172:Y173 Y201:Y202 Y226:Y227 Y191:Y193 Y216:Y218 Y181:Y185 Y210 Y235 Y166 Y175 Y195 Y204 Y220 Y229 Y244:Y250 Y306:Y307 Y309 Y315 Y321 Y385:Y386 Y390:Y391 Y423:Y424 Y608 Y616 Y636 Y159:Y164 Y639:Y642 Y269:Y275 Y169:Y170 Y178:Y179 Y198:Y199 Y207:Y208 Y223:Y224 Y232:Y233 Y266 Y383 Y388 Y633:Y634"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A1:BF992"/>
  <sheetViews>
    <sheetView showGridLines="0" showOutlineSymbols="0" zoomScale="70" zoomScaleNormal="70" zoomScaleSheetLayoutView="85" workbookViewId="0">
      <pane ySplit="13" topLeftCell="A14" activePane="bottomLeft" state="frozen"/>
      <selection pane="bottomLeft"/>
    </sheetView>
  </sheetViews>
  <sheetFormatPr defaultColWidth="20.59765625" defaultRowHeight="15" customHeight="1" x14ac:dyDescent="0.4"/>
  <cols>
    <col min="1" max="1" width="15.59765625" style="3" bestFit="1" customWidth="1"/>
    <col min="2" max="2" width="7.59765625" style="4" customWidth="1"/>
    <col min="3" max="3" width="4.09765625" style="8" customWidth="1"/>
    <col min="4" max="4" width="3.59765625" style="4" customWidth="1"/>
    <col min="5" max="5" width="10.59765625" style="4" customWidth="1"/>
    <col min="6" max="6" width="12.09765625" style="4" customWidth="1"/>
    <col min="7" max="7" width="9" style="4" customWidth="1"/>
    <col min="8" max="8" width="3.09765625" style="14" customWidth="1"/>
    <col min="9" max="9" width="5.59765625" style="3" customWidth="1"/>
    <col min="10" max="10" width="2.59765625" style="3" customWidth="1"/>
    <col min="11" max="11" width="5.3984375" style="3" customWidth="1"/>
    <col min="12" max="12" width="2.59765625" style="3" customWidth="1"/>
    <col min="13" max="13" width="7.09765625" style="5" customWidth="1"/>
    <col min="14" max="14" width="2.59765625" style="5" customWidth="1"/>
    <col min="15" max="15" width="5.59765625" style="5" bestFit="1" customWidth="1"/>
    <col min="16" max="16" width="7.59765625" style="5" customWidth="1"/>
    <col min="17" max="17" width="11.59765625" style="5" customWidth="1"/>
    <col min="18" max="18" width="2.59765625" style="3" customWidth="1"/>
    <col min="19" max="19" width="8.5" style="5" customWidth="1"/>
    <col min="20" max="20" width="7.59765625" style="3" customWidth="1"/>
    <col min="21" max="21" width="5.09765625" style="14" customWidth="1"/>
    <col min="22" max="22" width="6.09765625" style="3" customWidth="1"/>
    <col min="23" max="23" width="5.09765625" style="3" customWidth="1"/>
    <col min="24" max="24" width="5.8984375" style="3" customWidth="1"/>
    <col min="25" max="26" width="12.59765625" style="3" customWidth="1"/>
    <col min="27" max="27" width="0.8984375" style="14" customWidth="1"/>
    <col min="28" max="28" width="7.3984375" style="3" customWidth="1"/>
    <col min="29" max="29" width="6.3984375" style="3" customWidth="1"/>
    <col min="30" max="30" width="7.59765625" style="5" customWidth="1"/>
    <col min="31" max="31" width="4.59765625" style="5" customWidth="1"/>
    <col min="32" max="32" width="6.59765625" style="5" customWidth="1"/>
    <col min="33" max="33" width="9.09765625" style="5" customWidth="1"/>
    <col min="34" max="37" width="11" style="51" customWidth="1"/>
    <col min="38" max="38" width="8" style="39" customWidth="1"/>
    <col min="39" max="42" width="8.59765625" style="3" customWidth="1"/>
    <col min="43" max="47" width="5.5" style="3" customWidth="1"/>
    <col min="48" max="16384" width="20.59765625" style="3"/>
  </cols>
  <sheetData>
    <row r="1" spans="1:48" s="290" customFormat="1" ht="30.6" thickBot="1" x14ac:dyDescent="0.3">
      <c r="A1" s="456" t="s">
        <v>1405</v>
      </c>
      <c r="B1" s="129"/>
      <c r="E1" s="4"/>
      <c r="K1" s="3"/>
      <c r="P1" s="8"/>
    </row>
    <row r="2" spans="1:48" s="2" customFormat="1" ht="23.4" thickBot="1" x14ac:dyDescent="0.3">
      <c r="B2" s="2013" t="s">
        <v>297</v>
      </c>
      <c r="C2" s="2014"/>
      <c r="D2" s="2014"/>
      <c r="E2" s="2014"/>
      <c r="F2" s="2014"/>
      <c r="G2" s="2015"/>
      <c r="H2" s="500"/>
      <c r="I2" s="1"/>
      <c r="J2" s="817"/>
      <c r="K2" s="549"/>
      <c r="L2" s="818"/>
      <c r="M2" s="549"/>
      <c r="N2" s="549"/>
      <c r="O2" s="549"/>
      <c r="P2" s="819"/>
      <c r="Q2" s="819"/>
      <c r="R2" s="820" t="s">
        <v>298</v>
      </c>
      <c r="S2" s="549"/>
      <c r="T2" s="549"/>
      <c r="U2" s="549"/>
      <c r="V2" s="549"/>
      <c r="W2" s="549"/>
      <c r="X2" s="549"/>
      <c r="Y2" s="550"/>
      <c r="Z2" s="290"/>
      <c r="AB2" s="1"/>
      <c r="AC2" s="5"/>
      <c r="AF2" s="3"/>
      <c r="AG2" s="457"/>
      <c r="AL2" s="3"/>
      <c r="AO2" s="452" t="s">
        <v>299</v>
      </c>
      <c r="AP2" s="118">
        <f>MATCH(E4,AN3:AN6,0)</f>
        <v>1</v>
      </c>
    </row>
    <row r="3" spans="1:48" s="2" customFormat="1" ht="20.25" customHeight="1" thickBot="1" x14ac:dyDescent="0.3">
      <c r="B3" s="458"/>
      <c r="C3" s="459"/>
      <c r="D3" s="459" t="s">
        <v>299</v>
      </c>
      <c r="E3" s="2072" t="s">
        <v>1339</v>
      </c>
      <c r="F3" s="2073"/>
      <c r="G3" s="2074"/>
      <c r="H3" s="500"/>
      <c r="J3" s="2040" t="s">
        <v>300</v>
      </c>
      <c r="K3" s="2041"/>
      <c r="L3" s="2041"/>
      <c r="M3" s="2041" t="s">
        <v>300</v>
      </c>
      <c r="N3" s="2066" t="str">
        <f>FIXED(SLQHQwidth,3)&amp;" W x "&amp;FIXED(SLQHQheight,3)&amp;" H"</f>
        <v>71.500 W x 47.500 H</v>
      </c>
      <c r="O3" s="2066"/>
      <c r="P3" s="2066"/>
      <c r="Q3" s="2066"/>
      <c r="R3" s="821"/>
      <c r="S3" s="821"/>
      <c r="T3" s="821"/>
      <c r="U3" s="822" t="s">
        <v>1211</v>
      </c>
      <c r="V3" s="2068" t="str">
        <f>FIXED(S678,3)&amp;" W x "&amp;FIXED(S679,3)&amp;" H = "&amp;FIXED(S680,1)&amp;" "&amp;T680</f>
        <v>33.688 W x 42.375 H = 9.9 Sq Ft</v>
      </c>
      <c r="W3" s="2068"/>
      <c r="X3" s="2068"/>
      <c r="Y3" s="2069"/>
      <c r="Z3" s="290"/>
      <c r="AA3" s="317"/>
      <c r="AE3" s="5"/>
      <c r="AF3" s="5"/>
      <c r="AG3" s="457"/>
      <c r="AL3" s="3"/>
      <c r="AN3" s="119" t="s">
        <v>302</v>
      </c>
      <c r="AO3" s="116"/>
      <c r="AP3" s="66"/>
    </row>
    <row r="4" spans="1:48" s="2" customFormat="1" ht="20.25" customHeight="1" thickBot="1" x14ac:dyDescent="0.3">
      <c r="B4" s="2020" t="s">
        <v>304</v>
      </c>
      <c r="C4" s="2021"/>
      <c r="D4" s="2021"/>
      <c r="E4" s="2017" t="s">
        <v>302</v>
      </c>
      <c r="F4" s="2018"/>
      <c r="G4" s="2019"/>
      <c r="H4" s="500"/>
      <c r="I4" s="36"/>
      <c r="J4" s="1959" t="s">
        <v>1212</v>
      </c>
      <c r="K4" s="1960"/>
      <c r="L4" s="1960"/>
      <c r="M4" s="1960"/>
      <c r="N4" s="2067" t="str">
        <f>FIXED(SLQHQFGW,3)&amp;" W x "&amp;FIXED(SLQHQFGH,3)&amp;" H"</f>
        <v>34.563 W x 43.250 H</v>
      </c>
      <c r="O4" s="2067"/>
      <c r="P4" s="2067"/>
      <c r="Q4" s="2067"/>
      <c r="R4" s="460"/>
      <c r="S4" s="284"/>
      <c r="T4" s="283"/>
      <c r="U4" s="121" t="s">
        <v>1213</v>
      </c>
      <c r="V4" s="2070" t="str">
        <f>FIXED(S684,3)&amp;" W x "&amp;FIXED(S685,3)&amp;" H = "&amp;FIXED(S686,1)&amp;" "&amp;T686</f>
        <v>12.847 W x 41.062 H = 3.7 Sq Ft</v>
      </c>
      <c r="W4" s="2070"/>
      <c r="X4" s="2070"/>
      <c r="Y4" s="2071"/>
      <c r="Z4" s="290"/>
      <c r="AB4" s="1144"/>
      <c r="AD4" s="5"/>
      <c r="AE4" s="5"/>
      <c r="AF4" s="461"/>
      <c r="AG4" s="462"/>
      <c r="AH4" s="462"/>
      <c r="AI4" s="462"/>
      <c r="AJ4" s="462"/>
      <c r="AK4" s="462"/>
      <c r="AL4" s="3"/>
      <c r="AN4" s="120" t="s">
        <v>307</v>
      </c>
      <c r="AO4" s="3"/>
      <c r="AP4" s="64"/>
    </row>
    <row r="5" spans="1:48" ht="20.25" customHeight="1" thickBot="1" x14ac:dyDescent="0.3">
      <c r="B5" s="2020" t="s">
        <v>1406</v>
      </c>
      <c r="C5" s="2021"/>
      <c r="D5" s="2021"/>
      <c r="E5" s="1826">
        <v>50</v>
      </c>
      <c r="F5" s="1622"/>
      <c r="G5" s="463"/>
      <c r="H5" s="500"/>
      <c r="J5" s="1959" t="s">
        <v>1214</v>
      </c>
      <c r="K5" s="1965"/>
      <c r="L5" s="1965"/>
      <c r="M5" s="1965"/>
      <c r="N5" s="2067" t="str">
        <f>FIXED(SLQHQSGW,3)&amp;" W x "&amp;FIXED(SLQHQSGH,3)&amp;" H"</f>
        <v>13.875 W x 42.125 H</v>
      </c>
      <c r="O5" s="2067"/>
      <c r="P5" s="2067"/>
      <c r="Q5" s="2067"/>
      <c r="R5" s="460"/>
      <c r="S5" s="285"/>
      <c r="T5" s="284"/>
      <c r="U5" s="1497" t="s">
        <v>321</v>
      </c>
      <c r="V5" s="2070" t="str">
        <f>FIXED($S$669,3)&amp;" x "&amp;FIXED($S$670,3)&amp;" = "&amp;FIXED($S$671,2)&amp;"  Sq Ft"</f>
        <v>14.320 x 42.386 = 4.22  Sq Ft</v>
      </c>
      <c r="W5" s="2070"/>
      <c r="X5" s="2070"/>
      <c r="Y5" s="2071"/>
      <c r="Z5" s="290"/>
      <c r="AA5" s="155"/>
      <c r="AB5" s="291"/>
      <c r="AC5" s="461"/>
      <c r="AF5" s="461"/>
      <c r="AG5" s="457"/>
      <c r="AH5" s="462"/>
      <c r="AI5" s="462"/>
      <c r="AJ5" s="462"/>
      <c r="AK5" s="462"/>
      <c r="AL5" s="3"/>
      <c r="AN5" s="117" t="s">
        <v>1122</v>
      </c>
      <c r="AP5" s="64"/>
    </row>
    <row r="6" spans="1:48" ht="20.25" customHeight="1" thickBot="1" x14ac:dyDescent="0.3">
      <c r="B6" s="2020" t="s">
        <v>308</v>
      </c>
      <c r="C6" s="2021"/>
      <c r="D6" s="2021"/>
      <c r="E6" s="542">
        <v>71.5</v>
      </c>
      <c r="F6" s="464" t="s">
        <v>309</v>
      </c>
      <c r="G6" s="543">
        <v>47.5</v>
      </c>
      <c r="H6" s="500"/>
      <c r="J6" s="1992" t="s">
        <v>1340</v>
      </c>
      <c r="K6" s="1960"/>
      <c r="L6" s="1960"/>
      <c r="M6" s="1960"/>
      <c r="N6" s="2067" t="str">
        <f>FIXED(SLQHQSW,3)&amp;" W x "&amp;FIXED(SLQHQSH,3)&amp;" H"</f>
        <v>16.375 W x 44.625 H</v>
      </c>
      <c r="O6" s="2067"/>
      <c r="P6" s="2067"/>
      <c r="Q6" s="2067"/>
      <c r="R6" s="465"/>
      <c r="S6" s="286"/>
      <c r="T6" s="284"/>
      <c r="U6" s="284"/>
      <c r="V6" s="284"/>
      <c r="W6" s="284"/>
      <c r="X6" s="284"/>
      <c r="Y6" s="471"/>
      <c r="Z6" s="290"/>
      <c r="AA6" s="155"/>
      <c r="AB6" s="291"/>
      <c r="AC6" s="461"/>
      <c r="AG6" s="457"/>
      <c r="AH6" s="462"/>
      <c r="AI6" s="462"/>
      <c r="AJ6" s="462"/>
      <c r="AK6" s="462"/>
      <c r="AL6" s="3"/>
      <c r="AN6" s="939" t="s">
        <v>317</v>
      </c>
      <c r="AO6" s="889"/>
      <c r="AP6" s="940"/>
    </row>
    <row r="7" spans="1:48" ht="20.25" customHeight="1" thickBot="1" x14ac:dyDescent="0.3">
      <c r="B7" s="466"/>
      <c r="C7" s="467"/>
      <c r="D7" s="468" t="s">
        <v>313</v>
      </c>
      <c r="E7" s="2042" t="s">
        <v>314</v>
      </c>
      <c r="F7" s="2043"/>
      <c r="G7" s="2044"/>
      <c r="H7" s="500"/>
      <c r="J7" s="1992" t="s">
        <v>320</v>
      </c>
      <c r="K7" s="1960"/>
      <c r="L7" s="1960"/>
      <c r="M7" s="1960"/>
      <c r="N7" s="2067" t="str">
        <f>FIXED($S$658,3)&amp;" W x "&amp;FIXED($S$659,3)&amp;" H"</f>
        <v>15.063 W x 43.000 H</v>
      </c>
      <c r="O7" s="2067"/>
      <c r="P7" s="2067"/>
      <c r="Q7" s="2067"/>
      <c r="R7" s="287"/>
      <c r="S7" s="286"/>
      <c r="T7" s="284"/>
      <c r="U7" s="284"/>
      <c r="V7" s="284"/>
      <c r="W7" s="284"/>
      <c r="X7" s="284"/>
      <c r="Y7" s="471"/>
      <c r="Z7" s="290"/>
      <c r="AA7" s="155"/>
      <c r="AB7" s="291"/>
      <c r="AC7" s="437"/>
      <c r="AG7" s="457"/>
      <c r="AH7" s="462"/>
      <c r="AI7" s="462"/>
      <c r="AJ7" s="462"/>
      <c r="AK7" s="462"/>
      <c r="AL7" s="3"/>
      <c r="AN7" s="2001"/>
      <c r="AO7" s="2002"/>
      <c r="AP7" s="2002"/>
    </row>
    <row r="8" spans="1:48" ht="20.25" customHeight="1" thickBot="1" x14ac:dyDescent="0.3">
      <c r="B8" s="1235"/>
      <c r="C8" s="1502"/>
      <c r="D8" s="1254" t="s">
        <v>318</v>
      </c>
      <c r="E8" s="2045" t="s">
        <v>319</v>
      </c>
      <c r="F8" s="2046"/>
      <c r="G8" s="2047"/>
      <c r="H8" s="500"/>
      <c r="I8" s="470"/>
      <c r="J8" s="1255"/>
      <c r="K8" s="1183"/>
      <c r="L8" s="1241"/>
      <c r="M8" s="1256"/>
      <c r="N8" s="1256"/>
      <c r="O8" s="1256"/>
      <c r="P8" s="1256"/>
      <c r="Q8" s="1256"/>
      <c r="R8" s="1256"/>
      <c r="S8" s="1182"/>
      <c r="T8" s="1241"/>
      <c r="U8" s="1241"/>
      <c r="V8" s="1241"/>
      <c r="W8" s="1241"/>
      <c r="X8" s="1241"/>
      <c r="Y8" s="1242"/>
      <c r="Z8" s="290"/>
      <c r="AA8" s="3"/>
      <c r="AB8" s="24"/>
      <c r="AG8" s="462"/>
      <c r="AH8" s="462"/>
      <c r="AI8" s="462"/>
      <c r="AJ8" s="462"/>
      <c r="AK8" s="462"/>
      <c r="AL8" s="318"/>
    </row>
    <row r="9" spans="1:48" ht="13.2" x14ac:dyDescent="0.25">
      <c r="C9" s="201"/>
      <c r="G9" s="201"/>
      <c r="H9" s="500"/>
      <c r="I9" s="470"/>
      <c r="J9" s="2075"/>
      <c r="K9" s="2075"/>
      <c r="L9" s="2075"/>
      <c r="P9" s="315"/>
      <c r="Q9" s="315"/>
      <c r="R9" s="317"/>
      <c r="U9" s="461"/>
      <c r="V9" s="215"/>
      <c r="W9" s="2034"/>
      <c r="X9" s="2034"/>
      <c r="Y9" s="472"/>
      <c r="Z9" s="290"/>
      <c r="AA9" s="472"/>
      <c r="AB9" s="472"/>
      <c r="AC9" s="473"/>
      <c r="AD9" s="473"/>
      <c r="AE9" s="473"/>
      <c r="AF9" s="474" t="s">
        <v>1342</v>
      </c>
      <c r="AG9" s="457">
        <v>0.91</v>
      </c>
      <c r="AH9" s="473"/>
      <c r="AI9" s="473"/>
      <c r="AJ9" s="473"/>
      <c r="AK9" s="473"/>
      <c r="AL9" s="473"/>
      <c r="AM9" s="7" t="s">
        <v>1125</v>
      </c>
      <c r="AN9" s="7"/>
      <c r="AO9" s="7"/>
      <c r="AP9" s="7"/>
    </row>
    <row r="10" spans="1:48" s="14" customFormat="1" ht="6" customHeight="1" x14ac:dyDescent="0.4">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48.75" customHeight="1" x14ac:dyDescent="0.25">
      <c r="B11" s="1991" t="s">
        <v>328</v>
      </c>
      <c r="C11" s="1991"/>
      <c r="D11" s="1991"/>
      <c r="E11" s="1991"/>
      <c r="F11" s="1991"/>
      <c r="G11" s="1991"/>
      <c r="H11" s="20"/>
      <c r="I11" s="1969" t="s">
        <v>329</v>
      </c>
      <c r="J11" s="1969"/>
      <c r="K11" s="1969"/>
      <c r="L11" s="1969"/>
      <c r="M11" s="1969"/>
      <c r="N11" s="500"/>
      <c r="O11" s="500"/>
      <c r="P11" s="500"/>
      <c r="Q11" s="500"/>
      <c r="R11" s="500"/>
      <c r="S11" s="21" t="s">
        <v>330</v>
      </c>
      <c r="T11" s="22" t="s">
        <v>1126</v>
      </c>
      <c r="U11" s="82"/>
      <c r="V11" s="1969" t="s">
        <v>332</v>
      </c>
      <c r="W11" s="1969"/>
      <c r="X11" s="1969"/>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2061" t="s">
        <v>1339</v>
      </c>
      <c r="AN11" s="2061"/>
      <c r="AO11" s="85"/>
      <c r="AP11" s="85"/>
      <c r="AQ11" s="31"/>
      <c r="AR11" s="31"/>
      <c r="AS11" s="31"/>
      <c r="AT11" s="31"/>
      <c r="AU11" s="31"/>
      <c r="AV11" s="31"/>
    </row>
    <row r="12" spans="1:48" s="23" customFormat="1" ht="12" x14ac:dyDescent="0.25">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1135</v>
      </c>
      <c r="AM12" s="84"/>
      <c r="AN12" s="33"/>
      <c r="AO12" s="33"/>
      <c r="AP12" s="33"/>
    </row>
    <row r="13" spans="1:48" s="14" customFormat="1" ht="6" customHeight="1" x14ac:dyDescent="0.4">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5" customHeight="1" thickBot="1" x14ac:dyDescent="0.45">
      <c r="B14" s="90" t="s">
        <v>1343</v>
      </c>
      <c r="C14" s="34"/>
      <c r="D14" s="35"/>
      <c r="E14" s="35"/>
      <c r="F14" s="35"/>
      <c r="G14" s="35"/>
      <c r="H14" s="61"/>
      <c r="I14" s="61"/>
      <c r="J14" s="61"/>
      <c r="K14" s="61"/>
      <c r="L14" s="61"/>
      <c r="M14" s="62"/>
      <c r="N14" s="62"/>
      <c r="O14" s="62"/>
      <c r="P14" s="62"/>
      <c r="Q14" s="62"/>
      <c r="R14" s="61"/>
      <c r="S14" s="62"/>
      <c r="T14" s="61"/>
      <c r="U14" s="61"/>
      <c r="V14" s="35"/>
      <c r="W14" s="35"/>
      <c r="X14" s="35"/>
      <c r="Y14" s="58"/>
      <c r="Z14" s="58"/>
      <c r="AA14" s="61"/>
      <c r="AB14" s="57"/>
      <c r="AC14" s="61"/>
      <c r="AD14" s="62"/>
      <c r="AE14" s="61"/>
      <c r="AF14" s="61"/>
      <c r="AG14" s="61"/>
      <c r="AH14" s="63"/>
      <c r="AI14" s="63"/>
      <c r="AJ14" s="63"/>
      <c r="AK14" s="63"/>
      <c r="AL14" s="113"/>
      <c r="AM14" s="113"/>
      <c r="AN14" s="113"/>
      <c r="AO14" s="113"/>
      <c r="AP14" s="113"/>
    </row>
    <row r="15" spans="1:48" ht="15" customHeight="1" thickBot="1" x14ac:dyDescent="0.45">
      <c r="B15" s="146" t="s">
        <v>449</v>
      </c>
      <c r="C15" s="147"/>
      <c r="D15" s="147"/>
      <c r="E15" s="147"/>
      <c r="F15" s="147"/>
      <c r="G15" s="147"/>
      <c r="H15" s="148"/>
      <c r="I15" s="148"/>
      <c r="J15" s="148"/>
      <c r="K15" s="148"/>
      <c r="L15" s="148"/>
      <c r="M15" s="149"/>
      <c r="N15" s="149"/>
      <c r="O15" s="149"/>
      <c r="P15" s="149"/>
      <c r="Q15" s="149"/>
      <c r="R15" s="148"/>
      <c r="S15" s="149"/>
      <c r="T15" s="148"/>
      <c r="U15" s="148"/>
      <c r="V15" s="147"/>
      <c r="W15" s="147"/>
      <c r="X15" s="147"/>
      <c r="Y15" s="150"/>
      <c r="Z15" s="150"/>
      <c r="AA15" s="148"/>
      <c r="AB15" s="151"/>
      <c r="AC15" s="148"/>
      <c r="AD15" s="149"/>
      <c r="AE15" s="148"/>
      <c r="AF15" s="148"/>
      <c r="AG15" s="148"/>
      <c r="AH15" s="152"/>
      <c r="AI15" s="152"/>
      <c r="AJ15" s="152"/>
      <c r="AK15" s="152"/>
      <c r="AL15" s="153"/>
      <c r="AM15" s="153"/>
      <c r="AN15" s="153"/>
      <c r="AO15" s="153"/>
      <c r="AP15" s="153"/>
    </row>
    <row r="16" spans="1:48" ht="15" customHeight="1" thickBot="1" x14ac:dyDescent="0.45">
      <c r="B16" s="173" t="s">
        <v>361</v>
      </c>
      <c r="C16" s="173"/>
      <c r="D16" s="116"/>
      <c r="E16" s="116"/>
      <c r="F16" s="174"/>
      <c r="G16" s="173"/>
      <c r="H16" s="175"/>
      <c r="I16" s="116"/>
      <c r="J16" s="116"/>
      <c r="K16" s="116"/>
      <c r="L16" s="116"/>
      <c r="M16" s="177"/>
      <c r="N16" s="177"/>
      <c r="O16" s="177"/>
      <c r="P16" s="177"/>
      <c r="Q16" s="177"/>
      <c r="R16" s="116"/>
      <c r="S16" s="177"/>
      <c r="T16" s="116"/>
      <c r="U16" s="175"/>
      <c r="V16" s="173"/>
      <c r="W16" s="173"/>
      <c r="X16" s="173"/>
      <c r="Y16" s="116"/>
      <c r="Z16" s="116"/>
      <c r="AA16" s="175"/>
      <c r="AB16" s="116"/>
      <c r="AC16" s="116"/>
      <c r="AD16" s="177"/>
      <c r="AE16" s="116"/>
      <c r="AF16" s="179"/>
      <c r="AG16" s="177"/>
      <c r="AH16" s="185"/>
      <c r="AI16" s="185"/>
      <c r="AJ16" s="185"/>
      <c r="AK16" s="185"/>
      <c r="AL16" s="180"/>
      <c r="AM16" s="180"/>
      <c r="AN16" s="180"/>
      <c r="AO16" s="180"/>
      <c r="AP16" s="180"/>
      <c r="AQ16" s="139"/>
      <c r="AR16" s="139"/>
      <c r="AS16" s="139"/>
      <c r="AT16" s="139"/>
      <c r="AU16" s="139"/>
    </row>
    <row r="17" spans="1:47" ht="15" customHeight="1" x14ac:dyDescent="0.4">
      <c r="A17" s="3" t="s">
        <v>362</v>
      </c>
      <c r="B17" s="173"/>
      <c r="C17" s="173" t="s">
        <v>363</v>
      </c>
      <c r="D17" s="116"/>
      <c r="E17" s="174" t="s">
        <v>364</v>
      </c>
      <c r="F17" s="116"/>
      <c r="G17" s="173"/>
      <c r="H17" s="175"/>
      <c r="I17" s="116" t="s">
        <v>365</v>
      </c>
      <c r="J17" s="116"/>
      <c r="K17" s="116"/>
      <c r="L17" s="116" t="s">
        <v>348</v>
      </c>
      <c r="M17" s="177">
        <f>1.375*2</f>
        <v>2.75</v>
      </c>
      <c r="N17" s="177" t="s">
        <v>348</v>
      </c>
      <c r="O17" s="177">
        <f>0.25</f>
        <v>0.25</v>
      </c>
      <c r="P17" s="177"/>
      <c r="Q17" s="177"/>
      <c r="R17" s="116" t="s">
        <v>352</v>
      </c>
      <c r="S17" s="177">
        <f>SLQHQheight+M17+O17</f>
        <v>50.5</v>
      </c>
      <c r="T17" s="116" t="s">
        <v>366</v>
      </c>
      <c r="U17" s="175"/>
      <c r="V17" s="173"/>
      <c r="W17" s="173"/>
      <c r="X17" s="173"/>
      <c r="Y17" s="116"/>
      <c r="Z17" s="116"/>
      <c r="AA17" s="175"/>
      <c r="AB17" s="116">
        <v>42</v>
      </c>
      <c r="AC17" s="116">
        <v>2</v>
      </c>
      <c r="AD17" s="177">
        <f>AC17*S17/12</f>
        <v>8.4166666666666661</v>
      </c>
      <c r="AE17" s="116" t="s">
        <v>367</v>
      </c>
      <c r="AF17" s="179">
        <v>1.1200000000000001</v>
      </c>
      <c r="AG17" s="177">
        <f>AF17*AtolbperftQHQ</f>
        <v>0.70840000000000003</v>
      </c>
      <c r="AH17" s="185"/>
      <c r="AI17" s="185"/>
      <c r="AJ17" s="185"/>
      <c r="AK17" s="185"/>
      <c r="AL17" s="180"/>
      <c r="AM17" s="180"/>
      <c r="AN17" s="180"/>
      <c r="AO17" s="180"/>
      <c r="AP17" s="180"/>
    </row>
    <row r="18" spans="1:47" ht="15" customHeight="1" x14ac:dyDescent="0.4">
      <c r="B18" s="36"/>
      <c r="C18" s="36"/>
      <c r="D18" s="155"/>
      <c r="E18" s="47" t="s">
        <v>393</v>
      </c>
      <c r="F18" s="155"/>
      <c r="G18" s="7"/>
      <c r="H18" s="20"/>
      <c r="I18" s="3" t="s">
        <v>365</v>
      </c>
      <c r="L18" s="3" t="s">
        <v>348</v>
      </c>
      <c r="M18" s="5">
        <v>0</v>
      </c>
      <c r="N18" s="5" t="s">
        <v>348</v>
      </c>
      <c r="O18" s="5">
        <f>0.25</f>
        <v>0.25</v>
      </c>
      <c r="P18" s="24"/>
      <c r="Q18" s="24"/>
      <c r="R18" s="3" t="s">
        <v>352</v>
      </c>
      <c r="S18" s="5">
        <f>SLQHQheight+M18+O18</f>
        <v>47.75</v>
      </c>
      <c r="T18" s="3" t="s">
        <v>366</v>
      </c>
      <c r="U18" s="20"/>
      <c r="V18" s="38" t="s">
        <v>369</v>
      </c>
      <c r="W18" s="3" t="s">
        <v>370</v>
      </c>
      <c r="X18" s="38" t="s">
        <v>369</v>
      </c>
      <c r="Y18" s="1443">
        <v>200153003</v>
      </c>
      <c r="Z18" s="41"/>
      <c r="AA18" s="20"/>
      <c r="AE18" s="3"/>
      <c r="AF18" s="38"/>
      <c r="AH18" s="39">
        <f>$AG$9*AG17</f>
        <v>0.64464399999999999</v>
      </c>
      <c r="AI18" s="39"/>
      <c r="AJ18" s="39"/>
      <c r="AK18" s="39"/>
      <c r="AL18" s="39">
        <f>AH18*AD17</f>
        <v>5.4257536666666661</v>
      </c>
      <c r="AQ18" s="139"/>
      <c r="AR18" s="139"/>
      <c r="AS18" s="139"/>
      <c r="AT18" s="139"/>
      <c r="AU18" s="139"/>
    </row>
    <row r="19" spans="1:47" ht="15" customHeight="1" x14ac:dyDescent="0.4">
      <c r="B19" s="36"/>
      <c r="C19" s="36"/>
      <c r="D19" s="155"/>
      <c r="E19" s="155"/>
      <c r="F19" s="155"/>
      <c r="G19" s="7"/>
      <c r="H19" s="20"/>
      <c r="P19" s="24"/>
      <c r="Q19" s="24"/>
      <c r="U19" s="20"/>
      <c r="V19" s="38" t="s">
        <v>369</v>
      </c>
      <c r="W19" s="3" t="s">
        <v>372</v>
      </c>
      <c r="X19" s="38" t="s">
        <v>369</v>
      </c>
      <c r="Y19" s="1443">
        <v>200153021</v>
      </c>
      <c r="Z19" s="41"/>
      <c r="AA19" s="20"/>
      <c r="AE19" s="3"/>
      <c r="AF19" s="3"/>
      <c r="AH19" s="39">
        <f>1*AG17</f>
        <v>0.70840000000000003</v>
      </c>
      <c r="AI19" s="39"/>
      <c r="AJ19" s="39"/>
      <c r="AK19" s="39"/>
      <c r="AL19" s="39">
        <f>AH19*AD17</f>
        <v>5.9623666666666661</v>
      </c>
      <c r="AQ19" s="139"/>
      <c r="AR19" s="139"/>
      <c r="AS19" s="139"/>
      <c r="AT19" s="139"/>
      <c r="AU19" s="139"/>
    </row>
    <row r="20" spans="1:47" ht="15.75" customHeight="1" x14ac:dyDescent="0.4">
      <c r="B20" s="3"/>
      <c r="C20" s="36"/>
      <c r="D20" s="155"/>
      <c r="E20" s="155"/>
      <c r="F20" s="155"/>
      <c r="G20" s="7"/>
      <c r="H20" s="20"/>
      <c r="P20" s="24"/>
      <c r="Q20" s="24"/>
      <c r="U20" s="20"/>
      <c r="V20" s="38" t="s">
        <v>369</v>
      </c>
      <c r="W20" s="3" t="s">
        <v>373</v>
      </c>
      <c r="X20" s="38" t="s">
        <v>369</v>
      </c>
      <c r="Y20" s="1443">
        <v>200153033</v>
      </c>
      <c r="Z20" s="41"/>
      <c r="AA20" s="20"/>
      <c r="AE20" s="3"/>
      <c r="AF20" s="3"/>
      <c r="AH20" s="39">
        <f>1*AG17</f>
        <v>0.70840000000000003</v>
      </c>
      <c r="AI20" s="39"/>
      <c r="AJ20" s="39"/>
      <c r="AK20" s="39"/>
      <c r="AL20" s="39">
        <f>AH20*AD17</f>
        <v>5.9623666666666661</v>
      </c>
      <c r="AQ20" s="139"/>
      <c r="AR20" s="139"/>
      <c r="AS20" s="139"/>
      <c r="AT20" s="139"/>
      <c r="AU20" s="139"/>
    </row>
    <row r="21" spans="1:47" ht="15.75" customHeight="1" x14ac:dyDescent="0.4">
      <c r="B21" s="3"/>
      <c r="C21" s="36"/>
      <c r="D21" s="155"/>
      <c r="E21" s="155"/>
      <c r="F21" s="155"/>
      <c r="G21" s="7"/>
      <c r="H21" s="20"/>
      <c r="P21" s="24"/>
      <c r="Q21" s="24"/>
      <c r="U21" s="20"/>
      <c r="V21" s="3" t="s">
        <v>2363</v>
      </c>
      <c r="W21" s="3" t="s">
        <v>370</v>
      </c>
      <c r="X21" s="38" t="s">
        <v>369</v>
      </c>
      <c r="Y21" s="1443">
        <v>200153127</v>
      </c>
      <c r="Z21" s="41"/>
      <c r="AA21" s="20"/>
      <c r="AE21" s="3"/>
      <c r="AF21" s="3"/>
      <c r="AH21" s="39"/>
      <c r="AI21" s="39"/>
      <c r="AJ21" s="39"/>
      <c r="AK21" s="39"/>
      <c r="AQ21" s="139"/>
      <c r="AR21" s="139"/>
      <c r="AS21" s="139"/>
      <c r="AT21" s="139"/>
      <c r="AU21" s="139"/>
    </row>
    <row r="22" spans="1:47" ht="15.75" customHeight="1" x14ac:dyDescent="0.4">
      <c r="B22" s="3"/>
      <c r="C22" s="36"/>
      <c r="D22" s="155"/>
      <c r="E22" s="155"/>
      <c r="F22" s="155"/>
      <c r="G22" s="7"/>
      <c r="H22" s="20"/>
      <c r="P22" s="24"/>
      <c r="Q22" s="24"/>
      <c r="U22" s="20"/>
      <c r="V22" s="112" t="s">
        <v>2366</v>
      </c>
      <c r="W22" s="112" t="s">
        <v>370</v>
      </c>
      <c r="X22" s="279" t="s">
        <v>369</v>
      </c>
      <c r="Y22" s="1871">
        <v>200153128</v>
      </c>
      <c r="Z22" s="1900"/>
      <c r="AA22" s="20"/>
      <c r="AE22" s="3"/>
      <c r="AF22" s="3"/>
      <c r="AH22" s="39"/>
      <c r="AI22" s="39"/>
      <c r="AJ22" s="39"/>
      <c r="AK22" s="39"/>
      <c r="AQ22" s="139"/>
      <c r="AR22" s="139"/>
      <c r="AS22" s="139"/>
      <c r="AT22" s="139"/>
      <c r="AU22" s="139"/>
    </row>
    <row r="23" spans="1:47" ht="15.75" customHeight="1" x14ac:dyDescent="0.4">
      <c r="B23" s="3"/>
      <c r="C23" s="36"/>
      <c r="D23" s="155"/>
      <c r="E23" s="155"/>
      <c r="F23" s="155"/>
      <c r="G23" s="7"/>
      <c r="H23" s="20"/>
      <c r="P23" s="24"/>
      <c r="Q23" s="24"/>
      <c r="U23" s="20"/>
      <c r="V23" s="3" t="s">
        <v>2364</v>
      </c>
      <c r="W23" s="3" t="s">
        <v>370</v>
      </c>
      <c r="X23" s="38" t="s">
        <v>369</v>
      </c>
      <c r="Y23" s="1443">
        <v>200153129</v>
      </c>
      <c r="Z23" s="41"/>
      <c r="AA23" s="20"/>
      <c r="AE23" s="3"/>
      <c r="AF23" s="3"/>
      <c r="AH23" s="39">
        <v>0</v>
      </c>
      <c r="AI23" s="39"/>
      <c r="AJ23" s="39"/>
      <c r="AK23" s="39"/>
      <c r="AL23" s="39">
        <f>AH23*AD20</f>
        <v>0</v>
      </c>
      <c r="AQ23" s="139"/>
      <c r="AR23" s="139"/>
      <c r="AS23" s="139"/>
      <c r="AT23" s="139"/>
      <c r="AU23" s="139"/>
    </row>
    <row r="24" spans="1:47" ht="15.75" customHeight="1" x14ac:dyDescent="0.4">
      <c r="B24" s="3"/>
      <c r="C24" s="36"/>
      <c r="D24" s="155"/>
      <c r="E24" s="155"/>
      <c r="F24" s="155"/>
      <c r="G24" s="7"/>
      <c r="H24" s="20"/>
      <c r="P24" s="24"/>
      <c r="Q24" s="24"/>
      <c r="U24" s="20"/>
      <c r="V24" s="3" t="s">
        <v>2365</v>
      </c>
      <c r="W24" s="3" t="s">
        <v>370</v>
      </c>
      <c r="X24" s="38" t="s">
        <v>369</v>
      </c>
      <c r="Y24" s="1443">
        <v>200153180</v>
      </c>
      <c r="Z24" s="41"/>
      <c r="AA24" s="20"/>
      <c r="AE24" s="3"/>
      <c r="AF24" s="3"/>
      <c r="AH24" s="39"/>
      <c r="AI24" s="39"/>
      <c r="AJ24" s="39"/>
      <c r="AK24" s="39"/>
      <c r="AQ24" s="139"/>
      <c r="AR24" s="139"/>
      <c r="AS24" s="139"/>
      <c r="AT24" s="139"/>
      <c r="AU24" s="139"/>
    </row>
    <row r="25" spans="1:47" ht="15.75" customHeight="1" x14ac:dyDescent="0.4">
      <c r="B25" s="3"/>
      <c r="C25" s="36"/>
      <c r="D25" s="155"/>
      <c r="E25" s="155"/>
      <c r="F25" s="155"/>
      <c r="G25" s="7"/>
      <c r="H25" s="20"/>
      <c r="P25" s="24"/>
      <c r="Q25" s="24"/>
      <c r="U25" s="20"/>
      <c r="V25" s="112" t="s">
        <v>2367</v>
      </c>
      <c r="W25" s="112" t="s">
        <v>370</v>
      </c>
      <c r="X25" s="279" t="s">
        <v>369</v>
      </c>
      <c r="Y25" s="1871">
        <v>200153152</v>
      </c>
      <c r="Z25" s="41"/>
      <c r="AA25" s="20"/>
      <c r="AE25" s="3"/>
      <c r="AF25" s="3"/>
      <c r="AH25" s="39">
        <v>0</v>
      </c>
      <c r="AI25" s="39"/>
      <c r="AJ25" s="39"/>
      <c r="AK25" s="39"/>
      <c r="AL25" s="39">
        <f t="shared" ref="AL25" si="0">AH25*AD22</f>
        <v>0</v>
      </c>
      <c r="AQ25" s="139"/>
      <c r="AR25" s="139"/>
      <c r="AS25" s="139"/>
      <c r="AT25" s="139"/>
      <c r="AU25" s="139"/>
    </row>
    <row r="26" spans="1:47" ht="15.75" customHeight="1" x14ac:dyDescent="0.4">
      <c r="B26" s="3"/>
      <c r="C26" s="36"/>
      <c r="D26" s="155"/>
      <c r="E26" s="623"/>
      <c r="F26" s="623"/>
      <c r="G26" s="221"/>
      <c r="H26" s="624"/>
      <c r="I26" s="577"/>
      <c r="J26" s="577"/>
      <c r="K26" s="577"/>
      <c r="L26" s="577"/>
      <c r="M26" s="575"/>
      <c r="N26" s="575"/>
      <c r="O26" s="575"/>
      <c r="P26" s="625"/>
      <c r="Q26" s="625"/>
      <c r="R26" s="577"/>
      <c r="S26" s="575"/>
      <c r="T26" s="577"/>
      <c r="U26" s="624"/>
      <c r="V26" s="577" t="s">
        <v>2365</v>
      </c>
      <c r="W26" s="577" t="s">
        <v>370</v>
      </c>
      <c r="X26" s="579" t="s">
        <v>2365</v>
      </c>
      <c r="Y26" s="1446">
        <v>20153181</v>
      </c>
      <c r="Z26" s="864"/>
      <c r="AA26" s="624"/>
      <c r="AB26" s="577"/>
      <c r="AC26" s="577"/>
      <c r="AD26" s="575"/>
      <c r="AE26" s="577"/>
      <c r="AF26" s="577"/>
      <c r="AG26" s="575"/>
      <c r="AH26" s="581"/>
      <c r="AI26" s="581"/>
      <c r="AJ26" s="581"/>
      <c r="AK26" s="581"/>
      <c r="AL26" s="581"/>
      <c r="AM26" s="577"/>
      <c r="AN26" s="577"/>
      <c r="AO26" s="577"/>
      <c r="AP26" s="577"/>
      <c r="AQ26" s="139"/>
      <c r="AR26" s="139"/>
      <c r="AS26" s="139"/>
      <c r="AT26" s="139"/>
      <c r="AU26" s="139"/>
    </row>
    <row r="27" spans="1:47" ht="15" customHeight="1" x14ac:dyDescent="0.4">
      <c r="C27" s="36"/>
      <c r="D27" s="36"/>
      <c r="E27" s="447" t="s">
        <v>1220</v>
      </c>
      <c r="F27" s="155"/>
      <c r="G27" s="7"/>
      <c r="H27" s="20"/>
      <c r="I27" s="500"/>
      <c r="J27" s="500"/>
      <c r="K27" s="500"/>
      <c r="L27" s="500"/>
      <c r="M27" s="24"/>
      <c r="N27" s="24"/>
      <c r="O27" s="24"/>
      <c r="P27" s="24"/>
      <c r="Q27" s="24"/>
      <c r="R27" s="500"/>
      <c r="S27" s="24"/>
      <c r="T27" s="500"/>
      <c r="U27" s="20"/>
      <c r="V27" s="38" t="s">
        <v>369</v>
      </c>
      <c r="W27" s="3" t="s">
        <v>405</v>
      </c>
      <c r="X27" s="38" t="s">
        <v>369</v>
      </c>
      <c r="Y27" s="1443">
        <v>600042010</v>
      </c>
      <c r="Z27" s="41"/>
      <c r="AA27" s="20"/>
      <c r="AE27" s="3"/>
      <c r="AF27" s="3"/>
      <c r="AG27" s="3"/>
      <c r="AH27" s="39"/>
      <c r="AI27" s="39"/>
      <c r="AJ27" s="39"/>
      <c r="AK27" s="39"/>
      <c r="AM27" s="39"/>
      <c r="AN27" s="39"/>
      <c r="AO27" s="39"/>
      <c r="AP27" s="39"/>
      <c r="AQ27" s="140"/>
      <c r="AR27" s="140"/>
      <c r="AS27" s="139"/>
      <c r="AT27" s="139"/>
      <c r="AU27" s="139"/>
    </row>
    <row r="28" spans="1:47" ht="15" customHeight="1" x14ac:dyDescent="0.4">
      <c r="C28" s="36"/>
      <c r="D28" s="36"/>
      <c r="E28" s="447" t="s">
        <v>1407</v>
      </c>
      <c r="F28" s="155"/>
      <c r="G28" s="7"/>
      <c r="H28" s="20"/>
      <c r="I28" s="3" t="s">
        <v>365</v>
      </c>
      <c r="L28" s="3" t="s">
        <v>348</v>
      </c>
      <c r="M28" s="5">
        <v>0</v>
      </c>
      <c r="R28" s="3" t="s">
        <v>352</v>
      </c>
      <c r="S28" s="5">
        <f>SLQHQheight+M28+O28</f>
        <v>47.5</v>
      </c>
      <c r="T28" s="3" t="s">
        <v>366</v>
      </c>
      <c r="U28" s="20"/>
      <c r="V28" s="38" t="s">
        <v>369</v>
      </c>
      <c r="W28" s="3" t="s">
        <v>405</v>
      </c>
      <c r="X28" s="38" t="s">
        <v>369</v>
      </c>
      <c r="Y28" s="1443">
        <v>600050010</v>
      </c>
      <c r="Z28" s="41"/>
      <c r="AA28" s="20"/>
      <c r="AB28" s="3">
        <v>42</v>
      </c>
      <c r="AC28" s="3">
        <v>1</v>
      </c>
      <c r="AD28" s="5">
        <f>AC28*S28/12</f>
        <v>3.9583333333333335</v>
      </c>
      <c r="AE28" s="3" t="s">
        <v>367</v>
      </c>
      <c r="AF28" s="3"/>
      <c r="AG28" s="3"/>
      <c r="AH28" s="39">
        <v>0</v>
      </c>
      <c r="AI28" s="39"/>
      <c r="AJ28" s="39"/>
      <c r="AK28" s="39"/>
      <c r="AM28" s="39"/>
      <c r="AN28" s="39"/>
      <c r="AO28" s="39"/>
      <c r="AP28" s="39"/>
      <c r="AQ28" s="140"/>
      <c r="AR28" s="140"/>
      <c r="AS28" s="139"/>
      <c r="AT28" s="139"/>
      <c r="AU28" s="139"/>
    </row>
    <row r="29" spans="1:47" ht="15" customHeight="1" thickBot="1" x14ac:dyDescent="0.25">
      <c r="C29" s="1849"/>
      <c r="D29" s="1849"/>
      <c r="E29" s="1850" t="s">
        <v>2352</v>
      </c>
      <c r="F29" s="1851"/>
      <c r="G29" s="1852"/>
      <c r="H29" s="1853"/>
      <c r="I29" s="1854" t="s">
        <v>365</v>
      </c>
      <c r="J29" s="1854"/>
      <c r="K29" s="1854"/>
      <c r="L29" s="1854"/>
      <c r="M29" s="1855"/>
      <c r="N29" s="1855"/>
      <c r="O29" s="1855"/>
      <c r="P29" s="1855"/>
      <c r="Q29" s="1855"/>
      <c r="R29" s="1854" t="s">
        <v>352</v>
      </c>
      <c r="S29" s="945">
        <f>SLQHQheight+M29+O29</f>
        <v>47.5</v>
      </c>
      <c r="T29" s="1854" t="s">
        <v>366</v>
      </c>
      <c r="U29" s="1853"/>
      <c r="V29" s="1856" t="s">
        <v>369</v>
      </c>
      <c r="W29" s="1854" t="s">
        <v>370</v>
      </c>
      <c r="X29" s="1856" t="s">
        <v>369</v>
      </c>
      <c r="Y29" s="1916" t="s">
        <v>2355</v>
      </c>
      <c r="Z29" s="1858"/>
      <c r="AA29" s="1853"/>
      <c r="AB29" s="1854"/>
      <c r="AC29" s="1854">
        <v>2</v>
      </c>
      <c r="AD29" s="1855">
        <f>AC29*S29/12</f>
        <v>7.916666666666667</v>
      </c>
      <c r="AE29" s="1854" t="s">
        <v>367</v>
      </c>
      <c r="AF29" s="1856"/>
      <c r="AG29" s="1856"/>
      <c r="AH29" s="1864">
        <f>0.018669</f>
        <v>1.8669000000000002E-2</v>
      </c>
      <c r="AI29" s="1860"/>
      <c r="AJ29" s="1860"/>
      <c r="AK29" s="1860"/>
      <c r="AL29" s="1860">
        <f>AH29*AD29</f>
        <v>0.14779625000000002</v>
      </c>
      <c r="AM29" s="1854"/>
      <c r="AN29" s="1854"/>
      <c r="AO29" s="1854"/>
      <c r="AP29" s="1854"/>
      <c r="AR29" s="140"/>
      <c r="AS29" s="139"/>
      <c r="AT29" s="139"/>
      <c r="AU29" s="139"/>
    </row>
    <row r="30" spans="1:47" ht="15" customHeight="1" x14ac:dyDescent="0.4">
      <c r="A30" s="3" t="s">
        <v>376</v>
      </c>
      <c r="B30" s="3"/>
      <c r="C30" s="173" t="s">
        <v>377</v>
      </c>
      <c r="D30" s="116"/>
      <c r="E30" s="116"/>
      <c r="F30" s="174" t="s">
        <v>364</v>
      </c>
      <c r="G30" s="173"/>
      <c r="H30" s="175"/>
      <c r="I30" s="116" t="s">
        <v>365</v>
      </c>
      <c r="J30" s="116"/>
      <c r="K30" s="116"/>
      <c r="L30" s="116" t="s">
        <v>348</v>
      </c>
      <c r="M30" s="177">
        <v>5.3129999999999997</v>
      </c>
      <c r="N30" s="177" t="s">
        <v>348</v>
      </c>
      <c r="O30" s="177">
        <v>0.125</v>
      </c>
      <c r="P30" s="178"/>
      <c r="Q30" s="178"/>
      <c r="R30" s="116" t="s">
        <v>352</v>
      </c>
      <c r="S30" s="177">
        <f>SLQHQheight+M30+O30</f>
        <v>52.938000000000002</v>
      </c>
      <c r="T30" s="116" t="s">
        <v>366</v>
      </c>
      <c r="U30" s="175"/>
      <c r="V30" s="173"/>
      <c r="W30" s="173"/>
      <c r="X30" s="173"/>
      <c r="Y30" s="1449"/>
      <c r="Z30" s="116"/>
      <c r="AA30" s="175"/>
      <c r="AB30" s="116">
        <v>42</v>
      </c>
      <c r="AC30" s="116">
        <v>2</v>
      </c>
      <c r="AD30" s="177">
        <f>AC30*S30/12</f>
        <v>8.8230000000000004</v>
      </c>
      <c r="AE30" s="116" t="s">
        <v>367</v>
      </c>
      <c r="AF30" s="179">
        <v>0</v>
      </c>
      <c r="AG30" s="177">
        <f>AF30*AtolbperftQHQ</f>
        <v>0</v>
      </c>
      <c r="AH30" s="180"/>
      <c r="AI30" s="39"/>
      <c r="AJ30" s="39"/>
      <c r="AK30" s="39"/>
      <c r="AL30" s="180"/>
      <c r="AQ30" s="139"/>
      <c r="AR30" s="139"/>
      <c r="AS30" s="139"/>
      <c r="AT30" s="139"/>
      <c r="AU30" s="139"/>
    </row>
    <row r="31" spans="1:47" ht="15" customHeight="1" x14ac:dyDescent="0.4">
      <c r="A31" s="3" t="s">
        <v>378</v>
      </c>
      <c r="B31" s="3"/>
      <c r="C31" s="36"/>
      <c r="D31" s="7"/>
      <c r="E31" s="3"/>
      <c r="F31" s="47" t="s">
        <v>379</v>
      </c>
      <c r="G31" s="7"/>
      <c r="H31" s="20"/>
      <c r="I31" s="3" t="s">
        <v>365</v>
      </c>
      <c r="L31" s="3" t="s">
        <v>348</v>
      </c>
      <c r="M31" s="5">
        <v>1.5629999999999999</v>
      </c>
      <c r="N31" s="5" t="s">
        <v>348</v>
      </c>
      <c r="O31" s="5">
        <v>0.125</v>
      </c>
      <c r="R31" s="3" t="s">
        <v>352</v>
      </c>
      <c r="S31" s="5">
        <f>SLQHQheight+M31+O31</f>
        <v>49.188000000000002</v>
      </c>
      <c r="T31" s="3" t="s">
        <v>366</v>
      </c>
      <c r="U31" s="20"/>
      <c r="V31" s="38" t="s">
        <v>369</v>
      </c>
      <c r="W31" s="3" t="s">
        <v>370</v>
      </c>
      <c r="X31" s="38" t="s">
        <v>369</v>
      </c>
      <c r="Y31" s="1443">
        <v>200175003</v>
      </c>
      <c r="Z31" s="41"/>
      <c r="AA31" s="20"/>
      <c r="AE31" s="3"/>
      <c r="AF31" s="38"/>
      <c r="AH31" s="39">
        <f>1*AG30</f>
        <v>0</v>
      </c>
      <c r="AL31" s="39">
        <f>AH31*AD30</f>
        <v>0</v>
      </c>
      <c r="AQ31" s="139"/>
      <c r="AR31" s="139"/>
      <c r="AS31" s="139"/>
      <c r="AT31" s="139"/>
      <c r="AU31" s="139"/>
    </row>
    <row r="32" spans="1:47" ht="15" customHeight="1" x14ac:dyDescent="0.4">
      <c r="B32" s="3"/>
      <c r="C32" s="36"/>
      <c r="D32" s="36"/>
      <c r="E32" s="155"/>
      <c r="F32" s="155" t="s">
        <v>380</v>
      </c>
      <c r="G32" s="7"/>
      <c r="H32" s="20"/>
      <c r="I32" s="3" t="s">
        <v>365</v>
      </c>
      <c r="L32" s="3" t="s">
        <v>348</v>
      </c>
      <c r="M32" s="5">
        <f>M31</f>
        <v>1.5629999999999999</v>
      </c>
      <c r="N32" s="5" t="s">
        <v>348</v>
      </c>
      <c r="O32" s="5">
        <v>0</v>
      </c>
      <c r="P32" s="24"/>
      <c r="Q32" s="24"/>
      <c r="R32" s="3" t="s">
        <v>352</v>
      </c>
      <c r="S32" s="5">
        <f>SLQHQheight+M32+O32</f>
        <v>49.063000000000002</v>
      </c>
      <c r="T32" s="3" t="s">
        <v>366</v>
      </c>
      <c r="U32" s="20"/>
      <c r="V32" s="38" t="s">
        <v>369</v>
      </c>
      <c r="W32" s="3" t="s">
        <v>372</v>
      </c>
      <c r="X32" s="38" t="s">
        <v>369</v>
      </c>
      <c r="Y32" s="1443">
        <v>200175021</v>
      </c>
      <c r="Z32" s="41"/>
      <c r="AA32" s="20"/>
      <c r="AE32" s="3"/>
      <c r="AF32" s="3"/>
      <c r="AH32" s="39">
        <f>1*AG30</f>
        <v>0</v>
      </c>
      <c r="AL32" s="39">
        <f>AH32*AD30</f>
        <v>0</v>
      </c>
      <c r="AQ32" s="139"/>
      <c r="AR32" s="139"/>
      <c r="AS32" s="139"/>
      <c r="AT32" s="139"/>
      <c r="AU32" s="139"/>
    </row>
    <row r="33" spans="2:47" ht="15" customHeight="1" x14ac:dyDescent="0.4">
      <c r="B33" s="3"/>
      <c r="C33" s="36"/>
      <c r="D33" s="36"/>
      <c r="E33" s="155"/>
      <c r="F33" s="155"/>
      <c r="G33" s="7"/>
      <c r="H33" s="20"/>
      <c r="P33" s="24"/>
      <c r="Q33" s="24"/>
      <c r="U33" s="20"/>
      <c r="V33" s="38" t="s">
        <v>369</v>
      </c>
      <c r="W33" s="3" t="s">
        <v>373</v>
      </c>
      <c r="X33" s="38" t="s">
        <v>369</v>
      </c>
      <c r="Y33" s="1443">
        <v>200175033</v>
      </c>
      <c r="Z33" s="41"/>
      <c r="AA33" s="20"/>
      <c r="AE33" s="3"/>
      <c r="AF33" s="3"/>
      <c r="AH33" s="39">
        <f>1*AG30</f>
        <v>0</v>
      </c>
      <c r="AI33" s="39"/>
      <c r="AJ33" s="39"/>
      <c r="AK33" s="39"/>
      <c r="AL33" s="39">
        <f>AH33*AD30</f>
        <v>0</v>
      </c>
      <c r="AQ33" s="139"/>
      <c r="AR33" s="139"/>
      <c r="AS33" s="139"/>
      <c r="AT33" s="139"/>
      <c r="AU33" s="139"/>
    </row>
    <row r="34" spans="2:47" ht="15" customHeight="1" x14ac:dyDescent="0.4">
      <c r="B34" s="3"/>
      <c r="C34" s="36"/>
      <c r="D34" s="36"/>
      <c r="E34" s="155"/>
      <c r="F34" s="155"/>
      <c r="G34" s="7"/>
      <c r="H34" s="20"/>
      <c r="P34" s="24"/>
      <c r="Q34" s="24"/>
      <c r="U34" s="20"/>
      <c r="V34" s="3" t="s">
        <v>2363</v>
      </c>
      <c r="W34" s="3" t="s">
        <v>370</v>
      </c>
      <c r="X34" s="38" t="s">
        <v>369</v>
      </c>
      <c r="Y34" s="1443">
        <v>200175127</v>
      </c>
      <c r="Z34" s="41"/>
      <c r="AA34" s="20"/>
      <c r="AE34" s="3"/>
      <c r="AF34" s="3"/>
      <c r="AH34" s="39">
        <f>1*AG31</f>
        <v>0</v>
      </c>
      <c r="AI34" s="39"/>
      <c r="AJ34" s="39"/>
      <c r="AK34" s="39"/>
      <c r="AL34" s="39">
        <f>AH34*AD31</f>
        <v>0</v>
      </c>
      <c r="AQ34" s="139"/>
      <c r="AR34" s="139"/>
      <c r="AS34" s="139"/>
      <c r="AT34" s="139"/>
      <c r="AU34" s="139"/>
    </row>
    <row r="35" spans="2:47" ht="15" customHeight="1" x14ac:dyDescent="0.4">
      <c r="B35" s="3"/>
      <c r="C35" s="36"/>
      <c r="D35" s="36"/>
      <c r="E35" s="155"/>
      <c r="F35" s="155"/>
      <c r="G35" s="7"/>
      <c r="H35" s="20"/>
      <c r="P35" s="24"/>
      <c r="Q35" s="24"/>
      <c r="U35" s="20"/>
      <c r="V35" s="38" t="s">
        <v>2365</v>
      </c>
      <c r="W35" s="3" t="s">
        <v>370</v>
      </c>
      <c r="X35" s="38" t="s">
        <v>369</v>
      </c>
      <c r="Y35" s="1443">
        <v>200175180</v>
      </c>
      <c r="Z35" s="41"/>
      <c r="AA35" s="20"/>
      <c r="AE35" s="3"/>
      <c r="AF35" s="3"/>
      <c r="AH35" s="39"/>
      <c r="AI35" s="39"/>
      <c r="AJ35" s="39"/>
      <c r="AK35" s="39"/>
      <c r="AQ35" s="139"/>
      <c r="AR35" s="139"/>
      <c r="AS35" s="139"/>
      <c r="AT35" s="139"/>
      <c r="AU35" s="139"/>
    </row>
    <row r="36" spans="2:47" ht="15" customHeight="1" x14ac:dyDescent="0.4">
      <c r="B36" s="3"/>
      <c r="C36" s="36"/>
      <c r="D36" s="36"/>
      <c r="E36" s="155"/>
      <c r="F36" s="155"/>
      <c r="G36" s="7"/>
      <c r="H36" s="20"/>
      <c r="P36" s="24"/>
      <c r="Q36" s="24"/>
      <c r="U36" s="20"/>
      <c r="V36" s="1873" t="s">
        <v>2367</v>
      </c>
      <c r="W36" s="1873" t="s">
        <v>370</v>
      </c>
      <c r="X36" s="1874" t="s">
        <v>369</v>
      </c>
      <c r="Y36" s="1875">
        <v>200175152</v>
      </c>
      <c r="Z36" s="864"/>
      <c r="AA36" s="20"/>
      <c r="AE36" s="3"/>
      <c r="AF36" s="3"/>
      <c r="AH36" s="39">
        <v>0</v>
      </c>
      <c r="AI36" s="39"/>
      <c r="AJ36" s="39"/>
      <c r="AK36" s="39"/>
      <c r="AL36" s="39">
        <f t="shared" ref="AL36" si="1">AH36*AD33</f>
        <v>0</v>
      </c>
      <c r="AQ36" s="139"/>
      <c r="AR36" s="139"/>
      <c r="AS36" s="139"/>
      <c r="AT36" s="139"/>
      <c r="AU36" s="139"/>
    </row>
    <row r="37" spans="2:47" ht="15" customHeight="1" thickBot="1" x14ac:dyDescent="0.45">
      <c r="B37" s="3"/>
      <c r="C37" s="36"/>
      <c r="D37" s="1037" t="s">
        <v>381</v>
      </c>
      <c r="E37" s="1038"/>
      <c r="F37" s="1038"/>
      <c r="G37" s="1039"/>
      <c r="H37" s="1040"/>
      <c r="I37" s="710" t="s">
        <v>365</v>
      </c>
      <c r="J37" s="710"/>
      <c r="K37" s="710"/>
      <c r="L37" s="710" t="s">
        <v>348</v>
      </c>
      <c r="M37" s="1041">
        <f>M30</f>
        <v>5.3129999999999997</v>
      </c>
      <c r="N37" s="1041" t="s">
        <v>348</v>
      </c>
      <c r="O37" s="1041">
        <f>O30</f>
        <v>0.125</v>
      </c>
      <c r="P37" s="1042"/>
      <c r="Q37" s="1042"/>
      <c r="R37" s="710" t="s">
        <v>352</v>
      </c>
      <c r="S37" s="1041">
        <f>SLQHQheight+M37+O37</f>
        <v>52.938000000000002</v>
      </c>
      <c r="T37" s="710" t="s">
        <v>366</v>
      </c>
      <c r="U37" s="1040"/>
      <c r="V37" s="1043"/>
      <c r="W37" s="710"/>
      <c r="X37" s="1043"/>
      <c r="Y37" s="1443">
        <v>610025061</v>
      </c>
      <c r="Z37" s="41">
        <v>251882</v>
      </c>
      <c r="AA37" s="1040"/>
      <c r="AB37" s="710"/>
      <c r="AC37" s="710">
        <v>2</v>
      </c>
      <c r="AD37" s="1041">
        <f>AC37*S37/12</f>
        <v>8.8230000000000004</v>
      </c>
      <c r="AE37" s="710" t="s">
        <v>367</v>
      </c>
      <c r="AF37" s="710"/>
      <c r="AG37" s="1041"/>
      <c r="AH37" s="1044"/>
      <c r="AI37" s="1044"/>
      <c r="AJ37" s="1044"/>
      <c r="AK37" s="1044"/>
      <c r="AL37" s="1044"/>
      <c r="AM37" s="1044"/>
      <c r="AN37" s="1044"/>
      <c r="AO37" s="1044"/>
      <c r="AP37" s="1044"/>
      <c r="AQ37" s="139"/>
      <c r="AR37" s="139"/>
      <c r="AS37" s="139"/>
      <c r="AT37" s="139"/>
      <c r="AU37" s="139"/>
    </row>
    <row r="38" spans="2:47" ht="15" customHeight="1" x14ac:dyDescent="0.4">
      <c r="B38" s="3"/>
      <c r="C38" s="173" t="s">
        <v>382</v>
      </c>
      <c r="D38" s="181"/>
      <c r="E38" s="182"/>
      <c r="F38" s="182"/>
      <c r="G38" s="430" t="s">
        <v>383</v>
      </c>
      <c r="H38" s="175"/>
      <c r="I38" s="116" t="s">
        <v>365</v>
      </c>
      <c r="J38" s="116"/>
      <c r="K38" s="116"/>
      <c r="L38" s="116" t="s">
        <v>348</v>
      </c>
      <c r="M38" s="177">
        <v>3</v>
      </c>
      <c r="N38" s="177" t="s">
        <v>348</v>
      </c>
      <c r="O38" s="177">
        <f>0.25</f>
        <v>0.25</v>
      </c>
      <c r="P38" s="178"/>
      <c r="Q38" s="178"/>
      <c r="R38" s="116" t="s">
        <v>352</v>
      </c>
      <c r="S38" s="177">
        <f>SLQHQheight+M38+O38</f>
        <v>50.75</v>
      </c>
      <c r="T38" s="116" t="s">
        <v>366</v>
      </c>
      <c r="U38" s="175"/>
      <c r="V38" s="179"/>
      <c r="W38" s="116"/>
      <c r="X38" s="179"/>
      <c r="Y38" s="1449"/>
      <c r="Z38" s="184"/>
      <c r="AA38" s="175"/>
      <c r="AB38" s="116">
        <v>42</v>
      </c>
      <c r="AC38" s="116">
        <v>2</v>
      </c>
      <c r="AD38" s="177">
        <f>AC38*S38/12</f>
        <v>8.4583333333333339</v>
      </c>
      <c r="AE38" s="116" t="s">
        <v>367</v>
      </c>
      <c r="AF38" s="116">
        <v>0</v>
      </c>
      <c r="AG38" s="177">
        <f>AF38*AtolbperftQHQ</f>
        <v>0</v>
      </c>
      <c r="AH38" s="185"/>
      <c r="AI38" s="39"/>
      <c r="AJ38" s="39"/>
      <c r="AK38" s="39"/>
      <c r="AL38" s="180"/>
      <c r="AQ38" s="139"/>
      <c r="AR38" s="139"/>
      <c r="AS38" s="139"/>
      <c r="AT38" s="139"/>
      <c r="AU38" s="139"/>
    </row>
    <row r="39" spans="2:47" ht="15" customHeight="1" x14ac:dyDescent="0.4">
      <c r="B39" s="36"/>
      <c r="C39" s="36"/>
      <c r="D39" s="155"/>
      <c r="E39" s="155"/>
      <c r="F39" s="155"/>
      <c r="G39" s="7"/>
      <c r="H39" s="20"/>
      <c r="P39" s="24"/>
      <c r="Q39" s="24"/>
      <c r="U39" s="20"/>
      <c r="V39" s="38" t="s">
        <v>369</v>
      </c>
      <c r="W39" s="3" t="s">
        <v>370</v>
      </c>
      <c r="X39" s="38" t="s">
        <v>369</v>
      </c>
      <c r="Y39" s="1443">
        <v>200169003</v>
      </c>
      <c r="Z39" s="41"/>
      <c r="AA39" s="20"/>
      <c r="AE39" s="3"/>
      <c r="AF39" s="38"/>
      <c r="AH39" s="39">
        <f>1*AG38</f>
        <v>0</v>
      </c>
      <c r="AI39" s="39"/>
      <c r="AJ39" s="39"/>
      <c r="AK39" s="39"/>
      <c r="AL39" s="39">
        <f>AH39*AD38</f>
        <v>0</v>
      </c>
      <c r="AQ39" s="139"/>
      <c r="AR39" s="139"/>
      <c r="AS39" s="139"/>
      <c r="AT39" s="139"/>
      <c r="AU39" s="139"/>
    </row>
    <row r="40" spans="2:47" ht="15" customHeight="1" x14ac:dyDescent="0.4">
      <c r="B40" s="36"/>
      <c r="C40" s="36"/>
      <c r="D40" s="155"/>
      <c r="E40" s="155"/>
      <c r="F40" s="155"/>
      <c r="G40" s="7"/>
      <c r="H40" s="20"/>
      <c r="P40" s="24"/>
      <c r="Q40" s="24"/>
      <c r="U40" s="20"/>
      <c r="V40" s="38" t="s">
        <v>369</v>
      </c>
      <c r="W40" s="3" t="s">
        <v>372</v>
      </c>
      <c r="X40" s="38" t="s">
        <v>369</v>
      </c>
      <c r="Y40" s="1443">
        <v>200169021</v>
      </c>
      <c r="Z40" s="41"/>
      <c r="AA40" s="20"/>
      <c r="AE40" s="3"/>
      <c r="AF40" s="3"/>
      <c r="AH40" s="39">
        <f>1*AG38</f>
        <v>0</v>
      </c>
      <c r="AL40" s="39">
        <f>AH40*AD38</f>
        <v>0</v>
      </c>
      <c r="AQ40" s="139"/>
      <c r="AR40" s="139"/>
      <c r="AS40" s="139"/>
      <c r="AT40" s="139"/>
      <c r="AU40" s="139"/>
    </row>
    <row r="41" spans="2:47" ht="15" customHeight="1" x14ac:dyDescent="0.4">
      <c r="B41" s="36"/>
      <c r="C41" s="36"/>
      <c r="D41" s="155"/>
      <c r="E41" s="155"/>
      <c r="F41" s="155"/>
      <c r="G41" s="7"/>
      <c r="H41" s="20"/>
      <c r="P41" s="24"/>
      <c r="Q41" s="24"/>
      <c r="U41" s="20"/>
      <c r="V41" s="38" t="s">
        <v>369</v>
      </c>
      <c r="W41" s="3" t="s">
        <v>373</v>
      </c>
      <c r="X41" s="38" t="s">
        <v>369</v>
      </c>
      <c r="Y41" s="1443">
        <v>200169033</v>
      </c>
      <c r="Z41" s="41"/>
      <c r="AA41" s="20"/>
      <c r="AE41" s="3"/>
      <c r="AF41" s="3"/>
      <c r="AH41" s="39">
        <f>1*AG38</f>
        <v>0</v>
      </c>
      <c r="AI41" s="39"/>
      <c r="AJ41" s="39"/>
      <c r="AK41" s="39"/>
      <c r="AL41" s="39">
        <f>AH41*AD38</f>
        <v>0</v>
      </c>
      <c r="AQ41" s="139"/>
      <c r="AR41" s="139"/>
      <c r="AS41" s="139"/>
      <c r="AT41" s="139"/>
      <c r="AU41" s="139"/>
    </row>
    <row r="42" spans="2:47" ht="15" customHeight="1" x14ac:dyDescent="0.4">
      <c r="B42" s="36"/>
      <c r="C42" s="36"/>
      <c r="D42" s="155"/>
      <c r="E42" s="155"/>
      <c r="F42" s="155"/>
      <c r="G42" s="7"/>
      <c r="H42" s="20"/>
      <c r="P42" s="24"/>
      <c r="Q42" s="24"/>
      <c r="U42" s="20"/>
      <c r="V42" s="38" t="s">
        <v>369</v>
      </c>
      <c r="W42" s="3" t="s">
        <v>374</v>
      </c>
      <c r="X42" s="38" t="s">
        <v>369</v>
      </c>
      <c r="Y42" s="1443">
        <v>200169090</v>
      </c>
      <c r="Z42" s="41"/>
      <c r="AA42" s="20"/>
      <c r="AE42" s="3"/>
      <c r="AF42" s="3"/>
      <c r="AH42" s="39">
        <f>1*AG39</f>
        <v>0</v>
      </c>
      <c r="AI42" s="39"/>
      <c r="AJ42" s="39"/>
      <c r="AK42" s="39"/>
      <c r="AL42" s="39">
        <f>AH42*AD39</f>
        <v>0</v>
      </c>
      <c r="AQ42" s="139"/>
      <c r="AR42" s="139"/>
      <c r="AS42" s="139"/>
      <c r="AT42" s="139"/>
      <c r="AU42" s="139"/>
    </row>
    <row r="43" spans="2:47" ht="15" customHeight="1" x14ac:dyDescent="0.4">
      <c r="B43" s="36"/>
      <c r="C43" s="36"/>
      <c r="D43" s="155"/>
      <c r="E43" s="155"/>
      <c r="F43" s="155"/>
      <c r="G43" s="7"/>
      <c r="H43" s="20"/>
      <c r="P43" s="24"/>
      <c r="Q43" s="24"/>
      <c r="U43" s="20"/>
      <c r="V43" s="38" t="s">
        <v>369</v>
      </c>
      <c r="W43" s="3" t="s">
        <v>375</v>
      </c>
      <c r="X43" s="38" t="s">
        <v>369</v>
      </c>
      <c r="Y43" s="1443">
        <v>200169133</v>
      </c>
      <c r="Z43" s="41"/>
      <c r="AA43" s="20"/>
      <c r="AE43" s="3"/>
      <c r="AF43" s="3"/>
      <c r="AH43" s="39"/>
      <c r="AI43" s="39"/>
      <c r="AJ43" s="39"/>
      <c r="AK43" s="39"/>
      <c r="AQ43" s="139"/>
      <c r="AR43" s="139"/>
      <c r="AS43" s="139"/>
      <c r="AT43" s="139"/>
      <c r="AU43" s="139"/>
    </row>
    <row r="44" spans="2:47" ht="15" customHeight="1" thickBot="1" x14ac:dyDescent="0.45">
      <c r="B44" s="36"/>
      <c r="C44" s="36"/>
      <c r="D44" s="155"/>
      <c r="E44" s="155"/>
      <c r="F44" s="155"/>
      <c r="G44" s="7"/>
      <c r="H44" s="20"/>
      <c r="P44" s="24"/>
      <c r="Q44" s="24"/>
      <c r="U44" s="20"/>
      <c r="V44" s="279" t="s">
        <v>369</v>
      </c>
      <c r="W44" s="112" t="s">
        <v>1849</v>
      </c>
      <c r="X44" s="279" t="s">
        <v>369</v>
      </c>
      <c r="Y44" s="1871">
        <v>200169148</v>
      </c>
      <c r="Z44" s="41"/>
      <c r="AA44" s="20"/>
      <c r="AE44" s="3"/>
      <c r="AF44" s="3"/>
      <c r="AH44" s="39">
        <v>0</v>
      </c>
      <c r="AI44" s="947"/>
      <c r="AJ44" s="947"/>
      <c r="AK44" s="947"/>
      <c r="AL44" s="39">
        <f t="shared" ref="AL44" si="2">AH44*AD41</f>
        <v>0</v>
      </c>
      <c r="AM44" s="889"/>
      <c r="AN44" s="889"/>
      <c r="AO44" s="889"/>
      <c r="AP44" s="889"/>
      <c r="AQ44" s="139"/>
      <c r="AR44" s="139"/>
      <c r="AS44" s="139"/>
      <c r="AT44" s="139"/>
      <c r="AU44" s="139"/>
    </row>
    <row r="45" spans="2:47" ht="15" customHeight="1" x14ac:dyDescent="0.4">
      <c r="B45" s="3"/>
      <c r="C45" s="173" t="s">
        <v>384</v>
      </c>
      <c r="D45" s="181"/>
      <c r="E45" s="182"/>
      <c r="F45" s="182"/>
      <c r="G45" s="173"/>
      <c r="H45" s="175"/>
      <c r="I45" s="116"/>
      <c r="J45" s="116"/>
      <c r="K45" s="116"/>
      <c r="L45" s="116"/>
      <c r="M45" s="177"/>
      <c r="N45" s="177"/>
      <c r="O45" s="177"/>
      <c r="P45" s="178"/>
      <c r="Q45" s="178"/>
      <c r="R45" s="116"/>
      <c r="S45" s="198">
        <v>1</v>
      </c>
      <c r="T45" s="116" t="s">
        <v>385</v>
      </c>
      <c r="U45" s="175"/>
      <c r="V45" s="179"/>
      <c r="W45" s="116"/>
      <c r="X45" s="179"/>
      <c r="Y45" s="1449"/>
      <c r="Z45" s="184"/>
      <c r="AA45" s="175"/>
      <c r="AB45" s="116">
        <v>42</v>
      </c>
      <c r="AC45" s="116">
        <v>2</v>
      </c>
      <c r="AD45" s="198">
        <f>AC45*S45</f>
        <v>2</v>
      </c>
      <c r="AE45" s="116" t="s">
        <v>385</v>
      </c>
      <c r="AF45" s="116">
        <v>0</v>
      </c>
      <c r="AG45" s="177">
        <f>AF45*AtolbperftQHQ</f>
        <v>0</v>
      </c>
      <c r="AH45" s="185"/>
      <c r="AI45" s="185"/>
      <c r="AJ45" s="185"/>
      <c r="AK45" s="185"/>
      <c r="AL45" s="180"/>
      <c r="AQ45" s="139"/>
      <c r="AR45" s="139"/>
      <c r="AS45" s="139"/>
      <c r="AT45" s="139"/>
    </row>
    <row r="46" spans="2:47" ht="15" customHeight="1" x14ac:dyDescent="0.4">
      <c r="B46" s="36"/>
      <c r="C46" s="36"/>
      <c r="D46" s="155"/>
      <c r="E46" s="155"/>
      <c r="F46" s="155"/>
      <c r="G46" s="7"/>
      <c r="H46" s="20"/>
      <c r="P46" s="24"/>
      <c r="Q46" s="24"/>
      <c r="U46" s="20"/>
      <c r="V46" s="38" t="s">
        <v>369</v>
      </c>
      <c r="W46" s="3" t="s">
        <v>386</v>
      </c>
      <c r="X46" s="38" t="s">
        <v>369</v>
      </c>
      <c r="Y46" s="1443">
        <v>200162008</v>
      </c>
      <c r="Z46" s="41"/>
      <c r="AA46" s="20"/>
      <c r="AE46" s="3"/>
      <c r="AF46" s="38"/>
      <c r="AH46" s="39">
        <v>0</v>
      </c>
      <c r="AI46" s="39"/>
      <c r="AJ46" s="39"/>
      <c r="AK46" s="39"/>
      <c r="AL46" s="39">
        <f>AH46*AD45</f>
        <v>0</v>
      </c>
      <c r="AQ46" s="139"/>
      <c r="AR46" s="139"/>
      <c r="AS46" s="139"/>
      <c r="AT46" s="139"/>
    </row>
    <row r="47" spans="2:47" ht="15" customHeight="1" x14ac:dyDescent="0.4">
      <c r="B47" s="36"/>
      <c r="C47" s="36"/>
      <c r="D47" s="155"/>
      <c r="E47" s="155"/>
      <c r="F47" s="155"/>
      <c r="G47" s="7"/>
      <c r="H47" s="20"/>
      <c r="P47" s="24"/>
      <c r="Q47" s="24"/>
      <c r="U47" s="20"/>
      <c r="V47" s="38"/>
      <c r="X47" s="38"/>
      <c r="Y47" s="1443"/>
      <c r="Z47" s="41"/>
      <c r="AA47" s="20"/>
      <c r="AE47" s="3"/>
      <c r="AF47" s="3"/>
      <c r="AH47" s="39">
        <v>0</v>
      </c>
      <c r="AI47" s="39"/>
      <c r="AJ47" s="39"/>
      <c r="AK47" s="39"/>
      <c r="AL47" s="39">
        <f>AH47*AD45</f>
        <v>0</v>
      </c>
      <c r="AQ47" s="139"/>
      <c r="AR47" s="139"/>
      <c r="AS47" s="139"/>
      <c r="AT47" s="139"/>
    </row>
    <row r="48" spans="2:47" ht="15" customHeight="1" thickBot="1" x14ac:dyDescent="0.45">
      <c r="B48" s="943"/>
      <c r="C48" s="943"/>
      <c r="D48" s="925"/>
      <c r="E48" s="925"/>
      <c r="F48" s="925"/>
      <c r="G48" s="924"/>
      <c r="H48" s="887"/>
      <c r="I48" s="889"/>
      <c r="J48" s="889"/>
      <c r="K48" s="889"/>
      <c r="L48" s="889"/>
      <c r="M48" s="945"/>
      <c r="N48" s="945"/>
      <c r="O48" s="945"/>
      <c r="P48" s="1020"/>
      <c r="Q48" s="1020"/>
      <c r="R48" s="889"/>
      <c r="S48" s="945"/>
      <c r="T48" s="889"/>
      <c r="U48" s="887"/>
      <c r="V48" s="888"/>
      <c r="W48" s="889"/>
      <c r="X48" s="888"/>
      <c r="Y48" s="1444"/>
      <c r="Z48" s="946"/>
      <c r="AA48" s="887"/>
      <c r="AB48" s="889"/>
      <c r="AC48" s="889"/>
      <c r="AD48" s="945"/>
      <c r="AE48" s="889"/>
      <c r="AF48" s="889"/>
      <c r="AG48" s="945"/>
      <c r="AH48" s="947">
        <v>0</v>
      </c>
      <c r="AI48" s="947"/>
      <c r="AJ48" s="947"/>
      <c r="AK48" s="947"/>
      <c r="AL48" s="947">
        <f>AH48*AD45</f>
        <v>0</v>
      </c>
      <c r="AM48" s="889"/>
      <c r="AN48" s="889"/>
      <c r="AO48" s="889"/>
      <c r="AP48" s="889"/>
      <c r="AQ48" s="139"/>
      <c r="AR48" s="139"/>
      <c r="AS48" s="139"/>
      <c r="AT48" s="139"/>
    </row>
    <row r="49" spans="1:47" ht="15" customHeight="1" x14ac:dyDescent="0.4">
      <c r="B49" s="3"/>
      <c r="C49" s="173" t="s">
        <v>387</v>
      </c>
      <c r="D49" s="181"/>
      <c r="E49" s="182"/>
      <c r="F49" s="182"/>
      <c r="G49" s="173"/>
      <c r="H49" s="175"/>
      <c r="I49" s="116" t="s">
        <v>365</v>
      </c>
      <c r="J49" s="116"/>
      <c r="K49" s="116"/>
      <c r="L49" s="116" t="s">
        <v>348</v>
      </c>
      <c r="M49" s="177">
        <v>0.438</v>
      </c>
      <c r="N49" s="177"/>
      <c r="O49" s="177"/>
      <c r="P49" s="178"/>
      <c r="Q49" s="178"/>
      <c r="R49" s="116" t="s">
        <v>352</v>
      </c>
      <c r="S49" s="177">
        <f>SLQHQheight+M49+O49</f>
        <v>47.938000000000002</v>
      </c>
      <c r="T49" s="116" t="s">
        <v>366</v>
      </c>
      <c r="U49" s="175"/>
      <c r="V49" s="179"/>
      <c r="W49" s="116"/>
      <c r="X49" s="179"/>
      <c r="Y49" s="1449"/>
      <c r="Z49" s="184"/>
      <c r="AA49" s="175"/>
      <c r="AB49" s="116">
        <v>42</v>
      </c>
      <c r="AC49" s="116">
        <v>2</v>
      </c>
      <c r="AD49" s="177">
        <f>AC49*S49/12</f>
        <v>7.9896666666666674</v>
      </c>
      <c r="AE49" s="116" t="s">
        <v>367</v>
      </c>
      <c r="AF49" s="116">
        <v>0</v>
      </c>
      <c r="AG49" s="177">
        <f>AF49*AtolbperftQHQ</f>
        <v>0</v>
      </c>
      <c r="AH49" s="185"/>
      <c r="AI49" s="39"/>
      <c r="AJ49" s="39"/>
      <c r="AK49" s="39"/>
      <c r="AL49" s="180"/>
      <c r="AQ49" s="139"/>
      <c r="AR49" s="139"/>
      <c r="AS49" s="139"/>
      <c r="AT49" s="139"/>
    </row>
    <row r="50" spans="1:47" ht="15" customHeight="1" x14ac:dyDescent="0.4">
      <c r="B50" s="36"/>
      <c r="C50" s="36"/>
      <c r="D50" s="155"/>
      <c r="E50" s="155"/>
      <c r="F50" s="155"/>
      <c r="G50" s="7"/>
      <c r="H50" s="20"/>
      <c r="P50" s="24"/>
      <c r="Q50" s="24"/>
      <c r="U50" s="20"/>
      <c r="V50" s="38" t="s">
        <v>369</v>
      </c>
      <c r="W50" s="3" t="s">
        <v>370</v>
      </c>
      <c r="X50" s="38" t="s">
        <v>369</v>
      </c>
      <c r="Y50" s="1443">
        <v>200178003</v>
      </c>
      <c r="Z50" s="41"/>
      <c r="AA50" s="20"/>
      <c r="AE50" s="3"/>
      <c r="AF50" s="38"/>
      <c r="AH50" s="39">
        <v>0</v>
      </c>
      <c r="AI50" s="39"/>
      <c r="AJ50" s="39"/>
      <c r="AK50" s="39"/>
      <c r="AL50" s="39">
        <f>AH50*AD49</f>
        <v>0</v>
      </c>
      <c r="AQ50" s="139"/>
      <c r="AR50" s="139"/>
      <c r="AS50" s="139"/>
      <c r="AT50" s="139"/>
    </row>
    <row r="51" spans="1:47" ht="15" customHeight="1" x14ac:dyDescent="0.4">
      <c r="B51" s="36"/>
      <c r="C51" s="36"/>
      <c r="D51" s="155"/>
      <c r="E51" s="155"/>
      <c r="F51" s="155"/>
      <c r="G51" s="7"/>
      <c r="H51" s="20"/>
      <c r="P51" s="24"/>
      <c r="Q51" s="24"/>
      <c r="U51" s="20"/>
      <c r="V51" s="38" t="s">
        <v>369</v>
      </c>
      <c r="W51" s="3" t="s">
        <v>372</v>
      </c>
      <c r="X51" s="38" t="s">
        <v>369</v>
      </c>
      <c r="Y51" s="1443">
        <v>200178021</v>
      </c>
      <c r="Z51" s="41"/>
      <c r="AA51" s="20"/>
      <c r="AE51" s="3"/>
      <c r="AF51" s="3"/>
      <c r="AH51" s="39">
        <v>0</v>
      </c>
      <c r="AL51" s="39">
        <f>AH51*AD49</f>
        <v>0</v>
      </c>
      <c r="AQ51" s="139"/>
      <c r="AR51" s="139"/>
      <c r="AS51" s="139"/>
      <c r="AT51" s="139"/>
    </row>
    <row r="52" spans="1:47" ht="15" customHeight="1" x14ac:dyDescent="0.4">
      <c r="B52" s="36"/>
      <c r="C52" s="36"/>
      <c r="D52" s="155"/>
      <c r="E52" s="155"/>
      <c r="F52" s="155"/>
      <c r="G52" s="7"/>
      <c r="H52" s="20"/>
      <c r="P52" s="24"/>
      <c r="Q52" s="24"/>
      <c r="U52" s="20"/>
      <c r="V52" s="38" t="s">
        <v>369</v>
      </c>
      <c r="W52" s="3" t="s">
        <v>373</v>
      </c>
      <c r="X52" s="38" t="s">
        <v>369</v>
      </c>
      <c r="Y52" s="1443">
        <v>200178033</v>
      </c>
      <c r="Z52" s="41"/>
      <c r="AA52" s="20"/>
      <c r="AE52" s="3"/>
      <c r="AF52" s="3"/>
      <c r="AH52" s="39">
        <v>0</v>
      </c>
      <c r="AI52" s="39"/>
      <c r="AJ52" s="39"/>
      <c r="AK52" s="39"/>
      <c r="AL52" s="39">
        <f>AH52*AD49</f>
        <v>0</v>
      </c>
      <c r="AQ52" s="139"/>
      <c r="AR52" s="139"/>
      <c r="AS52" s="139"/>
      <c r="AT52" s="139"/>
    </row>
    <row r="53" spans="1:47" ht="15" customHeight="1" x14ac:dyDescent="0.4">
      <c r="B53" s="36"/>
      <c r="C53" s="36"/>
      <c r="D53" s="155"/>
      <c r="E53" s="155"/>
      <c r="F53" s="155"/>
      <c r="G53" s="7"/>
      <c r="H53" s="20"/>
      <c r="P53" s="24"/>
      <c r="Q53" s="24"/>
      <c r="U53" s="20"/>
      <c r="V53" s="38" t="s">
        <v>369</v>
      </c>
      <c r="W53" s="3" t="s">
        <v>374</v>
      </c>
      <c r="X53" s="38" t="s">
        <v>369</v>
      </c>
      <c r="Y53" s="1443">
        <v>200178090</v>
      </c>
      <c r="Z53" s="41"/>
      <c r="AA53" s="20"/>
      <c r="AE53" s="3"/>
      <c r="AF53" s="3"/>
      <c r="AH53" s="39">
        <v>0</v>
      </c>
      <c r="AI53" s="39"/>
      <c r="AJ53" s="39"/>
      <c r="AK53" s="39"/>
      <c r="AL53" s="39">
        <f>AH53*AD50</f>
        <v>0</v>
      </c>
      <c r="AQ53" s="139"/>
      <c r="AR53" s="139"/>
      <c r="AS53" s="139"/>
      <c r="AT53" s="139"/>
    </row>
    <row r="54" spans="1:47" ht="15" customHeight="1" x14ac:dyDescent="0.4">
      <c r="B54" s="36"/>
      <c r="C54" s="36"/>
      <c r="D54" s="155"/>
      <c r="E54" s="155"/>
      <c r="F54" s="155"/>
      <c r="G54" s="7"/>
      <c r="H54" s="20"/>
      <c r="P54" s="24"/>
      <c r="Q54" s="24"/>
      <c r="U54" s="20"/>
      <c r="V54" s="38" t="s">
        <v>369</v>
      </c>
      <c r="W54" s="3" t="s">
        <v>375</v>
      </c>
      <c r="X54" s="38" t="s">
        <v>369</v>
      </c>
      <c r="Y54" s="1443">
        <v>200178133</v>
      </c>
      <c r="Z54" s="41"/>
      <c r="AA54" s="20"/>
      <c r="AE54" s="3"/>
      <c r="AF54" s="3"/>
      <c r="AH54" s="39"/>
      <c r="AI54" s="39"/>
      <c r="AJ54" s="39"/>
      <c r="AK54" s="39"/>
      <c r="AQ54" s="139"/>
      <c r="AR54" s="139"/>
      <c r="AS54" s="139"/>
      <c r="AT54" s="139"/>
    </row>
    <row r="55" spans="1:47" ht="15" customHeight="1" thickBot="1" x14ac:dyDescent="0.45">
      <c r="B55" s="36"/>
      <c r="C55" s="36"/>
      <c r="D55" s="155"/>
      <c r="E55" s="155"/>
      <c r="F55" s="155"/>
      <c r="G55" s="7"/>
      <c r="H55" s="20"/>
      <c r="P55" s="24"/>
      <c r="Q55" s="24"/>
      <c r="U55" s="20"/>
      <c r="V55" s="279" t="s">
        <v>369</v>
      </c>
      <c r="W55" s="112" t="s">
        <v>1849</v>
      </c>
      <c r="X55" s="279" t="s">
        <v>369</v>
      </c>
      <c r="Y55" s="1871">
        <v>200178148</v>
      </c>
      <c r="Z55" s="41"/>
      <c r="AA55" s="20"/>
      <c r="AE55" s="3"/>
      <c r="AF55" s="3"/>
      <c r="AH55" s="39">
        <v>0</v>
      </c>
      <c r="AI55" s="947"/>
      <c r="AJ55" s="947"/>
      <c r="AK55" s="947"/>
      <c r="AL55" s="39">
        <f t="shared" ref="AL55" si="3">AH55*AD52</f>
        <v>0</v>
      </c>
      <c r="AQ55" s="139"/>
      <c r="AR55" s="139"/>
      <c r="AS55" s="139"/>
      <c r="AT55" s="139"/>
    </row>
    <row r="56" spans="1:47" ht="15" customHeight="1" thickBot="1" x14ac:dyDescent="0.45">
      <c r="B56" s="173" t="s">
        <v>388</v>
      </c>
      <c r="C56" s="173"/>
      <c r="D56" s="116"/>
      <c r="E56" s="116"/>
      <c r="F56" s="174"/>
      <c r="G56" s="173"/>
      <c r="H56" s="175"/>
      <c r="I56" s="116"/>
      <c r="J56" s="116"/>
      <c r="K56" s="116"/>
      <c r="L56" s="116"/>
      <c r="M56" s="116"/>
      <c r="N56" s="177"/>
      <c r="O56" s="177"/>
      <c r="P56" s="177"/>
      <c r="Q56" s="177"/>
      <c r="R56" s="116"/>
      <c r="S56" s="177"/>
      <c r="T56" s="116"/>
      <c r="U56" s="175"/>
      <c r="V56" s="173"/>
      <c r="W56" s="173"/>
      <c r="X56" s="173"/>
      <c r="Y56" s="1449"/>
      <c r="Z56" s="116"/>
      <c r="AA56" s="175"/>
      <c r="AB56" s="116"/>
      <c r="AC56" s="116"/>
      <c r="AD56" s="177"/>
      <c r="AE56" s="116"/>
      <c r="AF56" s="179"/>
      <c r="AG56" s="177"/>
      <c r="AH56" s="185"/>
      <c r="AI56" s="947"/>
      <c r="AJ56" s="947"/>
      <c r="AK56" s="947"/>
      <c r="AL56" s="180"/>
      <c r="AM56" s="137"/>
      <c r="AN56" s="137"/>
      <c r="AO56" s="137"/>
      <c r="AP56" s="137"/>
      <c r="AQ56" s="139"/>
      <c r="AR56" s="139"/>
      <c r="AS56" s="139"/>
      <c r="AT56" s="139"/>
      <c r="AU56" s="139"/>
    </row>
    <row r="57" spans="1:47" ht="15" customHeight="1" x14ac:dyDescent="0.4">
      <c r="A57" s="3" t="s">
        <v>389</v>
      </c>
      <c r="B57" s="173"/>
      <c r="C57" s="173" t="s">
        <v>390</v>
      </c>
      <c r="D57" s="116"/>
      <c r="E57" s="182"/>
      <c r="F57" s="182" t="s">
        <v>438</v>
      </c>
      <c r="G57" s="173"/>
      <c r="H57" s="175"/>
      <c r="I57" s="116" t="s">
        <v>392</v>
      </c>
      <c r="J57" s="116"/>
      <c r="K57" s="116"/>
      <c r="L57" s="116" t="s">
        <v>348</v>
      </c>
      <c r="M57" s="177">
        <f>1.375*2</f>
        <v>2.75</v>
      </c>
      <c r="N57" s="177" t="s">
        <v>348</v>
      </c>
      <c r="O57" s="177">
        <f>0.25</f>
        <v>0.25</v>
      </c>
      <c r="P57" s="177"/>
      <c r="Q57" s="177"/>
      <c r="R57" s="116" t="s">
        <v>352</v>
      </c>
      <c r="S57" s="177">
        <f>SLQHQwidth+M57+O57</f>
        <v>74.5</v>
      </c>
      <c r="T57" s="116" t="s">
        <v>366</v>
      </c>
      <c r="U57" s="175"/>
      <c r="V57" s="179"/>
      <c r="W57" s="116"/>
      <c r="X57" s="179"/>
      <c r="Y57" s="1449"/>
      <c r="Z57" s="116"/>
      <c r="AA57" s="175"/>
      <c r="AB57" s="116">
        <v>42</v>
      </c>
      <c r="AC57" s="116">
        <v>1</v>
      </c>
      <c r="AD57" s="177">
        <f>AC57*S57/12</f>
        <v>6.208333333333333</v>
      </c>
      <c r="AE57" s="116" t="s">
        <v>367</v>
      </c>
      <c r="AF57" s="179">
        <f>AF17</f>
        <v>1.1200000000000001</v>
      </c>
      <c r="AG57" s="177">
        <f>AF57*AtolbperftQHQ</f>
        <v>0.70840000000000003</v>
      </c>
      <c r="AH57" s="185"/>
      <c r="AI57" s="39"/>
      <c r="AJ57" s="39"/>
      <c r="AK57" s="39"/>
      <c r="AL57" s="180"/>
      <c r="AQ57" s="139"/>
      <c r="AR57" s="139"/>
      <c r="AS57" s="139"/>
      <c r="AT57" s="139"/>
      <c r="AU57" s="139"/>
    </row>
    <row r="58" spans="1:47" ht="15" customHeight="1" x14ac:dyDescent="0.4">
      <c r="B58" s="3"/>
      <c r="C58" s="36"/>
      <c r="D58" s="155"/>
      <c r="E58" s="155"/>
      <c r="F58" s="47" t="s">
        <v>393</v>
      </c>
      <c r="G58" s="7"/>
      <c r="H58" s="20"/>
      <c r="I58" s="3" t="s">
        <v>392</v>
      </c>
      <c r="L58" s="3" t="s">
        <v>348</v>
      </c>
      <c r="M58" s="5">
        <v>0</v>
      </c>
      <c r="N58" s="5" t="s">
        <v>348</v>
      </c>
      <c r="O58" s="5">
        <v>0.25</v>
      </c>
      <c r="R58" s="3" t="s">
        <v>352</v>
      </c>
      <c r="S58" s="5">
        <f>SLQHQwidth+M58+O58</f>
        <v>71.75</v>
      </c>
      <c r="T58" s="3" t="s">
        <v>366</v>
      </c>
      <c r="U58" s="20"/>
      <c r="V58" s="38" t="s">
        <v>369</v>
      </c>
      <c r="W58" s="3" t="s">
        <v>370</v>
      </c>
      <c r="X58" s="38" t="s">
        <v>369</v>
      </c>
      <c r="Y58" s="1443">
        <v>200153003</v>
      </c>
      <c r="Z58" s="41"/>
      <c r="AA58" s="20"/>
      <c r="AE58" s="3"/>
      <c r="AF58" s="38"/>
      <c r="AH58" s="39">
        <f>$AG$9*AG57</f>
        <v>0.64464399999999999</v>
      </c>
      <c r="AL58" s="39">
        <f>AH58*AD57</f>
        <v>4.0021648333333335</v>
      </c>
      <c r="AQ58" s="139"/>
      <c r="AR58" s="139"/>
      <c r="AS58" s="139"/>
      <c r="AT58" s="139"/>
      <c r="AU58" s="139"/>
    </row>
    <row r="59" spans="1:47" ht="15" customHeight="1" x14ac:dyDescent="0.4">
      <c r="B59" s="3"/>
      <c r="C59" s="36"/>
      <c r="D59" s="155"/>
      <c r="E59" s="155"/>
      <c r="F59" s="155"/>
      <c r="G59" s="7"/>
      <c r="H59" s="20"/>
      <c r="U59" s="20"/>
      <c r="V59" s="38" t="s">
        <v>369</v>
      </c>
      <c r="W59" s="3" t="s">
        <v>372</v>
      </c>
      <c r="X59" s="38" t="s">
        <v>369</v>
      </c>
      <c r="Y59" s="1443">
        <v>200153021</v>
      </c>
      <c r="Z59" s="41"/>
      <c r="AA59" s="20"/>
      <c r="AE59" s="3"/>
      <c r="AF59" s="38"/>
      <c r="AH59" s="39">
        <f>1*AG57</f>
        <v>0.70840000000000003</v>
      </c>
      <c r="AI59" s="39"/>
      <c r="AJ59" s="39"/>
      <c r="AK59" s="39"/>
      <c r="AL59" s="39">
        <f>AH59*AD57</f>
        <v>4.3979833333333334</v>
      </c>
      <c r="AQ59" s="139"/>
      <c r="AR59" s="139"/>
      <c r="AS59" s="139"/>
      <c r="AT59" s="139"/>
      <c r="AU59" s="139"/>
    </row>
    <row r="60" spans="1:47" ht="15" customHeight="1" x14ac:dyDescent="0.4">
      <c r="B60" s="3"/>
      <c r="C60" s="36"/>
      <c r="D60" s="155"/>
      <c r="E60" s="155"/>
      <c r="F60" s="155"/>
      <c r="G60" s="7"/>
      <c r="H60" s="20"/>
      <c r="U60" s="20"/>
      <c r="V60" s="38" t="s">
        <v>369</v>
      </c>
      <c r="W60" s="3" t="s">
        <v>373</v>
      </c>
      <c r="X60" s="38" t="s">
        <v>369</v>
      </c>
      <c r="Y60" s="1443">
        <v>200153033</v>
      </c>
      <c r="Z60" s="41"/>
      <c r="AA60" s="20"/>
      <c r="AE60" s="3"/>
      <c r="AF60" s="38"/>
      <c r="AH60" s="39">
        <f>1*AG57</f>
        <v>0.70840000000000003</v>
      </c>
      <c r="AI60" s="39"/>
      <c r="AJ60" s="39"/>
      <c r="AK60" s="39"/>
      <c r="AL60" s="39">
        <f>AH60*AD57</f>
        <v>4.3979833333333334</v>
      </c>
      <c r="AQ60" s="139"/>
      <c r="AR60" s="139"/>
      <c r="AS60" s="139"/>
      <c r="AT60" s="139"/>
      <c r="AU60" s="139"/>
    </row>
    <row r="61" spans="1:47" ht="15" customHeight="1" x14ac:dyDescent="0.4">
      <c r="B61" s="3"/>
      <c r="C61" s="36"/>
      <c r="D61" s="155"/>
      <c r="E61" s="155"/>
      <c r="F61" s="155"/>
      <c r="G61" s="7"/>
      <c r="H61" s="20"/>
      <c r="U61" s="20"/>
      <c r="V61" s="3" t="s">
        <v>2363</v>
      </c>
      <c r="W61" s="3" t="s">
        <v>370</v>
      </c>
      <c r="X61" s="38" t="s">
        <v>369</v>
      </c>
      <c r="Y61" s="1443">
        <v>200153127</v>
      </c>
      <c r="Z61" s="41"/>
      <c r="AA61" s="20"/>
      <c r="AE61" s="3"/>
      <c r="AF61" s="38"/>
      <c r="AH61" s="39"/>
      <c r="AI61" s="39"/>
      <c r="AJ61" s="39"/>
      <c r="AK61" s="39"/>
      <c r="AQ61" s="139"/>
      <c r="AR61" s="139"/>
      <c r="AS61" s="139"/>
      <c r="AT61" s="139"/>
      <c r="AU61" s="139"/>
    </row>
    <row r="62" spans="1:47" ht="15" customHeight="1" x14ac:dyDescent="0.4">
      <c r="B62" s="3"/>
      <c r="C62" s="36"/>
      <c r="D62" s="155"/>
      <c r="E62" s="155"/>
      <c r="F62" s="155"/>
      <c r="G62" s="7"/>
      <c r="H62" s="20"/>
      <c r="U62" s="20"/>
      <c r="V62" s="112" t="s">
        <v>2366</v>
      </c>
      <c r="W62" s="112" t="s">
        <v>370</v>
      </c>
      <c r="X62" s="279" t="s">
        <v>369</v>
      </c>
      <c r="Y62" s="1871">
        <v>200153128</v>
      </c>
      <c r="Z62" s="41"/>
      <c r="AA62" s="20"/>
      <c r="AE62" s="3"/>
      <c r="AF62" s="38"/>
      <c r="AH62" s="39"/>
      <c r="AI62" s="39"/>
      <c r="AJ62" s="39"/>
      <c r="AK62" s="39"/>
      <c r="AQ62" s="139"/>
      <c r="AR62" s="139"/>
      <c r="AS62" s="139"/>
      <c r="AT62" s="139"/>
      <c r="AU62" s="139"/>
    </row>
    <row r="63" spans="1:47" ht="15" customHeight="1" x14ac:dyDescent="0.4">
      <c r="B63" s="3"/>
      <c r="C63" s="36"/>
      <c r="D63" s="155"/>
      <c r="E63" s="155"/>
      <c r="F63" s="155"/>
      <c r="G63" s="7"/>
      <c r="H63" s="20"/>
      <c r="U63" s="20"/>
      <c r="V63" s="3" t="s">
        <v>2364</v>
      </c>
      <c r="W63" s="3" t="s">
        <v>370</v>
      </c>
      <c r="X63" s="38" t="s">
        <v>369</v>
      </c>
      <c r="Y63" s="1443">
        <v>200153129</v>
      </c>
      <c r="Z63" s="41"/>
      <c r="AA63" s="20"/>
      <c r="AE63" s="3"/>
      <c r="AF63" s="38"/>
      <c r="AH63" s="39">
        <v>0</v>
      </c>
      <c r="AI63" s="39"/>
      <c r="AJ63" s="39"/>
      <c r="AK63" s="39"/>
      <c r="AL63" s="39">
        <f>AH63*AD60</f>
        <v>0</v>
      </c>
      <c r="AQ63" s="139"/>
      <c r="AR63" s="139"/>
      <c r="AS63" s="139"/>
      <c r="AT63" s="139"/>
      <c r="AU63" s="139"/>
    </row>
    <row r="64" spans="1:47" ht="15" customHeight="1" x14ac:dyDescent="0.4">
      <c r="B64" s="3"/>
      <c r="C64" s="36"/>
      <c r="D64" s="155"/>
      <c r="E64" s="155"/>
      <c r="F64" s="155"/>
      <c r="G64" s="7"/>
      <c r="H64" s="20"/>
      <c r="U64" s="20"/>
      <c r="V64" s="3" t="s">
        <v>2365</v>
      </c>
      <c r="W64" s="3" t="s">
        <v>370</v>
      </c>
      <c r="X64" s="38" t="s">
        <v>369</v>
      </c>
      <c r="Y64" s="1443">
        <v>200153180</v>
      </c>
      <c r="Z64" s="41"/>
      <c r="AA64" s="20"/>
      <c r="AE64" s="3"/>
      <c r="AF64" s="38"/>
      <c r="AH64" s="39"/>
      <c r="AI64" s="39"/>
      <c r="AJ64" s="39"/>
      <c r="AK64" s="39"/>
      <c r="AQ64" s="139"/>
      <c r="AR64" s="139"/>
      <c r="AS64" s="139"/>
      <c r="AT64" s="139"/>
      <c r="AU64" s="139"/>
    </row>
    <row r="65" spans="1:47" ht="15" customHeight="1" x14ac:dyDescent="0.4">
      <c r="B65" s="3"/>
      <c r="C65" s="36"/>
      <c r="D65" s="155"/>
      <c r="E65" s="155"/>
      <c r="F65" s="155"/>
      <c r="G65" s="7"/>
      <c r="H65" s="20"/>
      <c r="U65" s="20"/>
      <c r="V65" s="112" t="s">
        <v>2367</v>
      </c>
      <c r="W65" s="112" t="s">
        <v>370</v>
      </c>
      <c r="X65" s="279" t="s">
        <v>369</v>
      </c>
      <c r="Y65" s="1871">
        <v>200153152</v>
      </c>
      <c r="Z65" s="41"/>
      <c r="AA65" s="20"/>
      <c r="AE65" s="3"/>
      <c r="AF65" s="38"/>
      <c r="AH65" s="39">
        <v>0</v>
      </c>
      <c r="AI65" s="39"/>
      <c r="AJ65" s="39"/>
      <c r="AK65" s="39"/>
      <c r="AL65" s="39">
        <f t="shared" ref="AL65" si="4">AH65*AD62</f>
        <v>0</v>
      </c>
      <c r="AQ65" s="139"/>
      <c r="AR65" s="139"/>
      <c r="AS65" s="139"/>
      <c r="AT65" s="139"/>
      <c r="AU65" s="139"/>
    </row>
    <row r="66" spans="1:47" ht="15" customHeight="1" x14ac:dyDescent="0.4">
      <c r="B66" s="3"/>
      <c r="C66" s="36"/>
      <c r="D66" s="155"/>
      <c r="E66" s="623"/>
      <c r="F66" s="623"/>
      <c r="G66" s="221"/>
      <c r="H66" s="624"/>
      <c r="I66" s="577"/>
      <c r="J66" s="577"/>
      <c r="K66" s="577"/>
      <c r="L66" s="577"/>
      <c r="M66" s="575"/>
      <c r="N66" s="575"/>
      <c r="O66" s="575"/>
      <c r="P66" s="575"/>
      <c r="Q66" s="575"/>
      <c r="R66" s="577"/>
      <c r="S66" s="575"/>
      <c r="T66" s="577"/>
      <c r="U66" s="624"/>
      <c r="V66" s="577" t="s">
        <v>2365</v>
      </c>
      <c r="W66" s="577" t="s">
        <v>370</v>
      </c>
      <c r="X66" s="579" t="s">
        <v>2365</v>
      </c>
      <c r="Y66" s="1446">
        <v>200153181</v>
      </c>
      <c r="Z66" s="864"/>
      <c r="AA66" s="624"/>
      <c r="AB66" s="577"/>
      <c r="AC66" s="577"/>
      <c r="AD66" s="575"/>
      <c r="AE66" s="577"/>
      <c r="AF66" s="579"/>
      <c r="AG66" s="575"/>
      <c r="AH66" s="581"/>
      <c r="AI66" s="581"/>
      <c r="AJ66" s="581"/>
      <c r="AK66" s="581"/>
      <c r="AL66" s="581"/>
      <c r="AM66" s="577"/>
      <c r="AN66" s="577"/>
      <c r="AO66" s="577"/>
      <c r="AP66" s="577"/>
      <c r="AQ66" s="139"/>
      <c r="AR66" s="139"/>
      <c r="AS66" s="139"/>
      <c r="AT66" s="139"/>
      <c r="AU66" s="139"/>
    </row>
    <row r="67" spans="1:47" ht="15" customHeight="1" x14ac:dyDescent="0.4">
      <c r="C67" s="36"/>
      <c r="D67" s="36"/>
      <c r="E67" s="447" t="s">
        <v>1220</v>
      </c>
      <c r="F67" s="155"/>
      <c r="G67" s="7"/>
      <c r="H67" s="20"/>
      <c r="I67" s="500"/>
      <c r="J67" s="500"/>
      <c r="K67" s="500"/>
      <c r="L67" s="500"/>
      <c r="M67" s="24"/>
      <c r="N67" s="24"/>
      <c r="O67" s="24"/>
      <c r="P67" s="24"/>
      <c r="Q67" s="24"/>
      <c r="R67" s="500"/>
      <c r="S67" s="24"/>
      <c r="T67" s="500"/>
      <c r="U67" s="20"/>
      <c r="V67" s="38" t="s">
        <v>369</v>
      </c>
      <c r="W67" s="3" t="s">
        <v>405</v>
      </c>
      <c r="X67" s="38" t="s">
        <v>369</v>
      </c>
      <c r="Y67" s="1443">
        <v>600042010</v>
      </c>
      <c r="Z67" s="41"/>
      <c r="AA67" s="20"/>
      <c r="AE67" s="3"/>
      <c r="AF67" s="3"/>
      <c r="AG67" s="3"/>
      <c r="AH67" s="39"/>
      <c r="AI67" s="39"/>
      <c r="AJ67" s="39"/>
      <c r="AK67" s="39"/>
      <c r="AM67" s="39"/>
      <c r="AN67" s="39"/>
      <c r="AO67" s="39"/>
      <c r="AP67" s="39"/>
      <c r="AQ67" s="140"/>
      <c r="AR67" s="140"/>
      <c r="AS67" s="139"/>
      <c r="AT67" s="139"/>
      <c r="AU67" s="139"/>
    </row>
    <row r="68" spans="1:47" ht="15" customHeight="1" x14ac:dyDescent="0.4">
      <c r="C68" s="36"/>
      <c r="D68" s="36"/>
      <c r="E68" s="447" t="s">
        <v>1407</v>
      </c>
      <c r="F68" s="155"/>
      <c r="G68" s="7"/>
      <c r="H68" s="20"/>
      <c r="I68" s="3" t="s">
        <v>392</v>
      </c>
      <c r="L68" s="3" t="s">
        <v>348</v>
      </c>
      <c r="M68" s="5">
        <v>0</v>
      </c>
      <c r="R68" s="3" t="s">
        <v>352</v>
      </c>
      <c r="S68" s="5">
        <f>SLQHQwidth+M68+O68</f>
        <v>71.5</v>
      </c>
      <c r="T68" s="3" t="s">
        <v>366</v>
      </c>
      <c r="U68" s="20"/>
      <c r="V68" s="38" t="s">
        <v>369</v>
      </c>
      <c r="W68" s="3" t="s">
        <v>405</v>
      </c>
      <c r="X68" s="38" t="s">
        <v>369</v>
      </c>
      <c r="Y68" s="1443">
        <v>600050010</v>
      </c>
      <c r="Z68" s="41"/>
      <c r="AA68" s="20"/>
      <c r="AB68" s="3">
        <v>42</v>
      </c>
      <c r="AC68" s="3">
        <v>1</v>
      </c>
      <c r="AD68" s="5">
        <f>AC68*S68/12</f>
        <v>5.958333333333333</v>
      </c>
      <c r="AE68" s="3" t="s">
        <v>367</v>
      </c>
      <c r="AF68" s="3"/>
      <c r="AG68" s="3"/>
      <c r="AH68" s="39">
        <v>0</v>
      </c>
      <c r="AM68" s="39"/>
      <c r="AN68" s="39"/>
      <c r="AO68" s="39"/>
      <c r="AP68" s="39"/>
      <c r="AQ68" s="140"/>
      <c r="AR68" s="140"/>
      <c r="AS68" s="139"/>
      <c r="AT68" s="139"/>
      <c r="AU68" s="139"/>
    </row>
    <row r="69" spans="1:47" ht="15" customHeight="1" thickBot="1" x14ac:dyDescent="0.25">
      <c r="C69" s="1849"/>
      <c r="D69" s="1849"/>
      <c r="E69" s="1850" t="s">
        <v>2352</v>
      </c>
      <c r="F69" s="1851"/>
      <c r="G69" s="1852"/>
      <c r="H69" s="1853"/>
      <c r="I69" s="1854" t="s">
        <v>392</v>
      </c>
      <c r="J69" s="1854"/>
      <c r="K69" s="1854"/>
      <c r="L69" s="1854"/>
      <c r="M69" s="1855"/>
      <c r="N69" s="1855"/>
      <c r="O69" s="1855"/>
      <c r="P69" s="1855"/>
      <c r="Q69" s="1855"/>
      <c r="R69" s="1854" t="s">
        <v>352</v>
      </c>
      <c r="S69" s="945">
        <f>SLQHQwidth+M69+O69</f>
        <v>71.5</v>
      </c>
      <c r="T69" s="1854" t="s">
        <v>366</v>
      </c>
      <c r="U69" s="1853"/>
      <c r="V69" s="1856" t="s">
        <v>369</v>
      </c>
      <c r="W69" s="1854" t="s">
        <v>370</v>
      </c>
      <c r="X69" s="1856" t="s">
        <v>369</v>
      </c>
      <c r="Y69" s="1916" t="s">
        <v>2355</v>
      </c>
      <c r="Z69" s="1858"/>
      <c r="AA69" s="1853"/>
      <c r="AB69" s="1854"/>
      <c r="AC69" s="1854">
        <v>1</v>
      </c>
      <c r="AD69" s="1855">
        <f>AC69*S69/12</f>
        <v>5.958333333333333</v>
      </c>
      <c r="AE69" s="1854" t="s">
        <v>367</v>
      </c>
      <c r="AF69" s="1856"/>
      <c r="AG69" s="1856"/>
      <c r="AH69" s="1864">
        <f>0.018669</f>
        <v>1.8669000000000002E-2</v>
      </c>
      <c r="AI69" s="1860"/>
      <c r="AJ69" s="1860"/>
      <c r="AK69" s="1860"/>
      <c r="AL69" s="1860">
        <f>AH69*AD69</f>
        <v>0.11123612500000001</v>
      </c>
      <c r="AM69" s="1854"/>
      <c r="AN69" s="1854"/>
      <c r="AO69" s="1854"/>
      <c r="AP69" s="1854"/>
      <c r="AR69" s="140"/>
      <c r="AS69" s="139"/>
      <c r="AT69" s="139"/>
      <c r="AU69" s="139"/>
    </row>
    <row r="70" spans="1:47" ht="15" customHeight="1" x14ac:dyDescent="0.4">
      <c r="A70" s="3" t="s">
        <v>394</v>
      </c>
      <c r="B70" s="3"/>
      <c r="C70" s="173" t="s">
        <v>395</v>
      </c>
      <c r="D70" s="116"/>
      <c r="E70" s="116"/>
      <c r="F70" s="174" t="s">
        <v>391</v>
      </c>
      <c r="G70" s="173"/>
      <c r="H70" s="175"/>
      <c r="I70" s="116" t="s">
        <v>392</v>
      </c>
      <c r="J70" s="116"/>
      <c r="K70" s="116"/>
      <c r="L70" s="116" t="s">
        <v>348</v>
      </c>
      <c r="M70" s="177">
        <v>6.1879999999999997</v>
      </c>
      <c r="N70" s="177" t="s">
        <v>348</v>
      </c>
      <c r="O70" s="177">
        <f>0.125*2</f>
        <v>0.25</v>
      </c>
      <c r="P70" s="177"/>
      <c r="Q70" s="177"/>
      <c r="R70" s="116" t="s">
        <v>352</v>
      </c>
      <c r="S70" s="177">
        <f>SLQHQwidth+M70+O70</f>
        <v>77.938000000000002</v>
      </c>
      <c r="T70" s="116" t="s">
        <v>366</v>
      </c>
      <c r="U70" s="175"/>
      <c r="V70" s="173"/>
      <c r="W70" s="173"/>
      <c r="X70" s="173"/>
      <c r="Y70" s="1449"/>
      <c r="Z70" s="116"/>
      <c r="AA70" s="175"/>
      <c r="AB70" s="116">
        <v>42</v>
      </c>
      <c r="AC70" s="116">
        <v>1</v>
      </c>
      <c r="AD70" s="177">
        <f>AC70*S70/12</f>
        <v>6.4948333333333332</v>
      </c>
      <c r="AE70" s="116" t="s">
        <v>367</v>
      </c>
      <c r="AF70" s="179">
        <v>0</v>
      </c>
      <c r="AG70" s="177">
        <f>AF70*AtolbperftQHQ</f>
        <v>0</v>
      </c>
      <c r="AH70" s="185"/>
      <c r="AI70" s="185"/>
      <c r="AJ70" s="185"/>
      <c r="AK70" s="185"/>
      <c r="AL70" s="180"/>
      <c r="AQ70" s="139"/>
      <c r="AR70" s="139"/>
      <c r="AS70" s="139"/>
      <c r="AT70" s="139"/>
      <c r="AU70" s="139"/>
    </row>
    <row r="71" spans="1:47" ht="15" customHeight="1" x14ac:dyDescent="0.4">
      <c r="B71" s="3"/>
      <c r="C71" s="36"/>
      <c r="D71" s="36"/>
      <c r="E71" s="155"/>
      <c r="F71" s="155" t="s">
        <v>396</v>
      </c>
      <c r="G71" s="7"/>
      <c r="H71" s="20"/>
      <c r="I71" s="3" t="s">
        <v>392</v>
      </c>
      <c r="L71" s="3" t="s">
        <v>348</v>
      </c>
      <c r="M71" s="5">
        <f>M70-1.125*2</f>
        <v>3.9379999999999997</v>
      </c>
      <c r="N71" s="5" t="s">
        <v>348</v>
      </c>
      <c r="O71" s="5">
        <f>0.125*2</f>
        <v>0.25</v>
      </c>
      <c r="P71" s="24"/>
      <c r="Q71" s="24"/>
      <c r="R71" s="3" t="s">
        <v>352</v>
      </c>
      <c r="S71" s="5">
        <f>SLQHQwidth+M71+O71</f>
        <v>75.688000000000002</v>
      </c>
      <c r="T71" s="3" t="s">
        <v>366</v>
      </c>
      <c r="U71" s="20"/>
      <c r="V71" s="38" t="s">
        <v>369</v>
      </c>
      <c r="W71" s="3" t="s">
        <v>370</v>
      </c>
      <c r="X71" s="38" t="s">
        <v>369</v>
      </c>
      <c r="Y71" s="1443">
        <v>200175003</v>
      </c>
      <c r="Z71" s="41"/>
      <c r="AA71" s="20"/>
      <c r="AE71" s="3"/>
      <c r="AF71" s="38"/>
      <c r="AH71" s="39">
        <f>1*AG70</f>
        <v>0</v>
      </c>
      <c r="AI71" s="39"/>
      <c r="AJ71" s="39"/>
      <c r="AK71" s="39"/>
      <c r="AL71" s="39">
        <f>AH71*AD70</f>
        <v>0</v>
      </c>
      <c r="AQ71" s="139"/>
      <c r="AR71" s="139"/>
      <c r="AS71" s="139"/>
      <c r="AT71" s="139"/>
      <c r="AU71" s="139"/>
    </row>
    <row r="72" spans="1:47" ht="15" customHeight="1" x14ac:dyDescent="0.4">
      <c r="B72" s="3"/>
      <c r="C72" s="36"/>
      <c r="D72" s="36"/>
      <c r="E72" s="155"/>
      <c r="F72" s="155" t="s">
        <v>380</v>
      </c>
      <c r="G72" s="7"/>
      <c r="H72" s="20"/>
      <c r="I72" s="3" t="s">
        <v>392</v>
      </c>
      <c r="L72" s="3" t="s">
        <v>348</v>
      </c>
      <c r="M72" s="5">
        <f>M71</f>
        <v>3.9379999999999997</v>
      </c>
      <c r="N72" s="5" t="s">
        <v>348</v>
      </c>
      <c r="O72" s="5">
        <v>0</v>
      </c>
      <c r="P72" s="24"/>
      <c r="Q72" s="24"/>
      <c r="R72" s="3" t="s">
        <v>352</v>
      </c>
      <c r="S72" s="5">
        <f>SLQHQwidth+M72+O72</f>
        <v>75.438000000000002</v>
      </c>
      <c r="T72" s="3" t="s">
        <v>366</v>
      </c>
      <c r="U72" s="20"/>
      <c r="V72" s="38" t="s">
        <v>369</v>
      </c>
      <c r="W72" s="3" t="s">
        <v>372</v>
      </c>
      <c r="X72" s="38" t="s">
        <v>369</v>
      </c>
      <c r="Y72" s="1443">
        <v>200175021</v>
      </c>
      <c r="Z72" s="41"/>
      <c r="AA72" s="20"/>
      <c r="AE72" s="3"/>
      <c r="AF72" s="3"/>
      <c r="AH72" s="39">
        <f>1*AG70</f>
        <v>0</v>
      </c>
      <c r="AI72" s="39"/>
      <c r="AJ72" s="39"/>
      <c r="AK72" s="39"/>
      <c r="AL72" s="39">
        <f>AH72*AD70</f>
        <v>0</v>
      </c>
      <c r="AQ72" s="139"/>
      <c r="AR72" s="139"/>
      <c r="AS72" s="139"/>
      <c r="AT72" s="139"/>
      <c r="AU72" s="139"/>
    </row>
    <row r="73" spans="1:47" ht="15" customHeight="1" x14ac:dyDescent="0.4">
      <c r="B73" s="3"/>
      <c r="C73" s="36"/>
      <c r="D73" s="36"/>
      <c r="E73" s="155"/>
      <c r="F73" s="155"/>
      <c r="G73" s="7"/>
      <c r="H73" s="20"/>
      <c r="P73" s="24"/>
      <c r="Q73" s="24"/>
      <c r="U73" s="20"/>
      <c r="V73" s="38" t="s">
        <v>369</v>
      </c>
      <c r="W73" s="3" t="s">
        <v>373</v>
      </c>
      <c r="X73" s="38" t="s">
        <v>369</v>
      </c>
      <c r="Y73" s="1443">
        <v>200175033</v>
      </c>
      <c r="Z73" s="41"/>
      <c r="AA73" s="20"/>
      <c r="AE73" s="3"/>
      <c r="AF73" s="3"/>
      <c r="AH73" s="39">
        <f>1*AG70</f>
        <v>0</v>
      </c>
      <c r="AI73" s="39"/>
      <c r="AJ73" s="39"/>
      <c r="AK73" s="39"/>
      <c r="AL73" s="39">
        <f>AH73*AD70</f>
        <v>0</v>
      </c>
      <c r="AQ73" s="139"/>
      <c r="AR73" s="139"/>
      <c r="AS73" s="139"/>
      <c r="AT73" s="139"/>
      <c r="AU73" s="139"/>
    </row>
    <row r="74" spans="1:47" ht="15" customHeight="1" x14ac:dyDescent="0.4">
      <c r="B74" s="3"/>
      <c r="C74" s="36"/>
      <c r="D74" s="36"/>
      <c r="E74" s="155"/>
      <c r="F74" s="155"/>
      <c r="G74" s="7"/>
      <c r="H74" s="20"/>
      <c r="P74" s="24"/>
      <c r="Q74" s="24"/>
      <c r="U74" s="20"/>
      <c r="V74" s="38" t="s">
        <v>2365</v>
      </c>
      <c r="W74" s="3" t="s">
        <v>370</v>
      </c>
      <c r="X74" s="38" t="s">
        <v>369</v>
      </c>
      <c r="Y74" s="1443">
        <v>200175180</v>
      </c>
      <c r="Z74" s="41"/>
      <c r="AA74" s="20"/>
      <c r="AE74" s="3"/>
      <c r="AF74" s="3"/>
      <c r="AH74" s="39">
        <f>1*AG71</f>
        <v>0</v>
      </c>
      <c r="AI74" s="39"/>
      <c r="AJ74" s="39"/>
      <c r="AK74" s="39"/>
      <c r="AL74" s="39">
        <f>AH74*AD71</f>
        <v>0</v>
      </c>
      <c r="AQ74" s="139"/>
      <c r="AR74" s="139"/>
      <c r="AS74" s="139"/>
      <c r="AT74" s="139"/>
      <c r="AU74" s="139"/>
    </row>
    <row r="75" spans="1:47" ht="15" customHeight="1" x14ac:dyDescent="0.4">
      <c r="B75" s="3"/>
      <c r="C75" s="36"/>
      <c r="D75" s="36"/>
      <c r="E75" s="155"/>
      <c r="F75" s="155"/>
      <c r="G75" s="7"/>
      <c r="H75" s="20"/>
      <c r="P75" s="24"/>
      <c r="Q75" s="24"/>
      <c r="U75" s="20"/>
      <c r="V75" s="3" t="s">
        <v>2363</v>
      </c>
      <c r="W75" s="3" t="s">
        <v>370</v>
      </c>
      <c r="X75" s="38" t="s">
        <v>369</v>
      </c>
      <c r="Y75" s="1443">
        <v>200175127</v>
      </c>
      <c r="Z75" s="41"/>
      <c r="AA75" s="20"/>
      <c r="AE75" s="3"/>
      <c r="AF75" s="3"/>
      <c r="AH75" s="39"/>
      <c r="AI75" s="39"/>
      <c r="AJ75" s="39"/>
      <c r="AK75" s="39"/>
      <c r="AQ75" s="139"/>
      <c r="AR75" s="139"/>
      <c r="AS75" s="139"/>
      <c r="AT75" s="139"/>
      <c r="AU75" s="139"/>
    </row>
    <row r="76" spans="1:47" ht="15" customHeight="1" x14ac:dyDescent="0.4">
      <c r="B76" s="3"/>
      <c r="C76" s="36"/>
      <c r="D76" s="36"/>
      <c r="E76" s="155"/>
      <c r="F76" s="155"/>
      <c r="G76" s="7"/>
      <c r="H76" s="20"/>
      <c r="P76" s="24"/>
      <c r="Q76" s="24"/>
      <c r="U76" s="20"/>
      <c r="V76" s="112" t="s">
        <v>2367</v>
      </c>
      <c r="W76" s="112" t="s">
        <v>370</v>
      </c>
      <c r="X76" s="279" t="s">
        <v>369</v>
      </c>
      <c r="Y76" s="1875">
        <v>200175152</v>
      </c>
      <c r="Z76" s="864"/>
      <c r="AA76" s="20"/>
      <c r="AE76" s="3"/>
      <c r="AF76" s="3"/>
      <c r="AH76" s="39">
        <v>0</v>
      </c>
      <c r="AI76" s="39"/>
      <c r="AJ76" s="39"/>
      <c r="AK76" s="39"/>
      <c r="AL76" s="39">
        <f t="shared" ref="AL76" si="5">AH76*AD73</f>
        <v>0</v>
      </c>
      <c r="AQ76" s="139"/>
      <c r="AR76" s="139"/>
      <c r="AS76" s="139"/>
      <c r="AT76" s="139"/>
      <c r="AU76" s="139"/>
    </row>
    <row r="77" spans="1:47" ht="15" customHeight="1" thickBot="1" x14ac:dyDescent="0.45">
      <c r="B77" s="3"/>
      <c r="C77" s="36"/>
      <c r="D77" s="1037" t="s">
        <v>381</v>
      </c>
      <c r="E77" s="1038"/>
      <c r="F77" s="1038"/>
      <c r="G77" s="1039"/>
      <c r="H77" s="1040"/>
      <c r="I77" s="710" t="s">
        <v>392</v>
      </c>
      <c r="J77" s="710"/>
      <c r="K77" s="710"/>
      <c r="L77" s="710" t="s">
        <v>348</v>
      </c>
      <c r="M77" s="1041">
        <f>M70</f>
        <v>6.1879999999999997</v>
      </c>
      <c r="N77" s="1041" t="s">
        <v>348</v>
      </c>
      <c r="O77" s="1041">
        <f>O70</f>
        <v>0.25</v>
      </c>
      <c r="P77" s="1042"/>
      <c r="Q77" s="1042"/>
      <c r="R77" s="710" t="s">
        <v>352</v>
      </c>
      <c r="S77" s="1041">
        <f>SLQHQwidth+M77+O77</f>
        <v>77.938000000000002</v>
      </c>
      <c r="T77" s="710" t="s">
        <v>366</v>
      </c>
      <c r="U77" s="1040"/>
      <c r="V77" s="1043"/>
      <c r="W77" s="710"/>
      <c r="X77" s="1043"/>
      <c r="Y77" s="1443">
        <v>610025061</v>
      </c>
      <c r="Z77" s="41">
        <v>251882</v>
      </c>
      <c r="AA77" s="1040"/>
      <c r="AB77" s="710"/>
      <c r="AC77" s="710">
        <v>2</v>
      </c>
      <c r="AD77" s="1041">
        <f>AC77*S77/12</f>
        <v>12.989666666666666</v>
      </c>
      <c r="AE77" s="710" t="s">
        <v>367</v>
      </c>
      <c r="AF77" s="710"/>
      <c r="AG77" s="1041"/>
      <c r="AH77" s="1044"/>
      <c r="AI77" s="1044"/>
      <c r="AJ77" s="1044"/>
      <c r="AK77" s="1044"/>
      <c r="AL77" s="1044"/>
      <c r="AM77" s="1044"/>
      <c r="AN77" s="1044"/>
      <c r="AO77" s="1044"/>
      <c r="AP77" s="1044"/>
      <c r="AQ77" s="139"/>
      <c r="AR77" s="139"/>
      <c r="AS77" s="139"/>
      <c r="AT77" s="139"/>
      <c r="AU77" s="139"/>
    </row>
    <row r="78" spans="1:47" ht="15" customHeight="1" x14ac:dyDescent="0.4">
      <c r="B78" s="3"/>
      <c r="C78" s="173" t="s">
        <v>397</v>
      </c>
      <c r="D78" s="181"/>
      <c r="E78" s="182"/>
      <c r="F78" s="182"/>
      <c r="G78" s="430" t="s">
        <v>383</v>
      </c>
      <c r="H78" s="175"/>
      <c r="I78" s="116" t="s">
        <v>392</v>
      </c>
      <c r="J78" s="116"/>
      <c r="K78" s="116"/>
      <c r="L78" s="116" t="s">
        <v>348</v>
      </c>
      <c r="M78" s="177">
        <v>3</v>
      </c>
      <c r="N78" s="177" t="s">
        <v>348</v>
      </c>
      <c r="O78" s="177">
        <f>0.25</f>
        <v>0.25</v>
      </c>
      <c r="P78" s="178"/>
      <c r="Q78" s="178"/>
      <c r="R78" s="116" t="s">
        <v>352</v>
      </c>
      <c r="S78" s="177">
        <f>SLQHQheight+M78+O78</f>
        <v>50.75</v>
      </c>
      <c r="T78" s="116" t="s">
        <v>366</v>
      </c>
      <c r="U78" s="175"/>
      <c r="V78" s="179"/>
      <c r="W78" s="116"/>
      <c r="X78" s="179"/>
      <c r="Y78" s="1449"/>
      <c r="Z78" s="184"/>
      <c r="AA78" s="175"/>
      <c r="AB78" s="116">
        <v>42</v>
      </c>
      <c r="AC78" s="116">
        <v>1</v>
      </c>
      <c r="AD78" s="177">
        <f>AC78*S78/12</f>
        <v>4.229166666666667</v>
      </c>
      <c r="AE78" s="116" t="s">
        <v>367</v>
      </c>
      <c r="AF78" s="116">
        <v>0</v>
      </c>
      <c r="AG78" s="177">
        <f>AF78*AtolbperftQHQ</f>
        <v>0</v>
      </c>
      <c r="AH78" s="185"/>
      <c r="AI78" s="185"/>
      <c r="AJ78" s="185"/>
      <c r="AK78" s="185"/>
      <c r="AL78" s="180"/>
      <c r="AQ78" s="139"/>
      <c r="AR78" s="139"/>
      <c r="AS78" s="139"/>
      <c r="AT78" s="139"/>
      <c r="AU78" s="139"/>
    </row>
    <row r="79" spans="1:47" ht="15" customHeight="1" x14ac:dyDescent="0.4">
      <c r="B79" s="36"/>
      <c r="C79" s="155"/>
      <c r="D79" s="155"/>
      <c r="E79" s="155"/>
      <c r="F79" s="155"/>
      <c r="G79" s="7"/>
      <c r="H79" s="20"/>
      <c r="P79" s="24"/>
      <c r="Q79" s="24"/>
      <c r="U79" s="20"/>
      <c r="V79" s="38" t="s">
        <v>369</v>
      </c>
      <c r="W79" s="3" t="s">
        <v>370</v>
      </c>
      <c r="X79" s="38" t="s">
        <v>369</v>
      </c>
      <c r="Y79" s="1443">
        <v>200169003</v>
      </c>
      <c r="Z79" s="41"/>
      <c r="AA79" s="20"/>
      <c r="AE79" s="3"/>
      <c r="AF79" s="38"/>
      <c r="AH79" s="39">
        <f>1*AG78</f>
        <v>0</v>
      </c>
      <c r="AI79" s="39"/>
      <c r="AJ79" s="39"/>
      <c r="AK79" s="39"/>
      <c r="AL79" s="39">
        <f>AH79*AD78</f>
        <v>0</v>
      </c>
      <c r="AQ79" s="139"/>
      <c r="AR79" s="139"/>
      <c r="AS79" s="139"/>
      <c r="AT79" s="139"/>
      <c r="AU79" s="139"/>
    </row>
    <row r="80" spans="1:47" ht="15" customHeight="1" x14ac:dyDescent="0.4">
      <c r="B80" s="36"/>
      <c r="C80" s="155"/>
      <c r="D80" s="155"/>
      <c r="E80" s="155"/>
      <c r="F80" s="155"/>
      <c r="G80" s="7"/>
      <c r="H80" s="20"/>
      <c r="P80" s="24"/>
      <c r="Q80" s="24"/>
      <c r="U80" s="20"/>
      <c r="V80" s="38" t="s">
        <v>369</v>
      </c>
      <c r="W80" s="3" t="s">
        <v>372</v>
      </c>
      <c r="X80" s="38" t="s">
        <v>369</v>
      </c>
      <c r="Y80" s="1443">
        <v>200169021</v>
      </c>
      <c r="Z80" s="41"/>
      <c r="AA80" s="20"/>
      <c r="AE80" s="3"/>
      <c r="AF80" s="3"/>
      <c r="AH80" s="39">
        <f>1*AG78</f>
        <v>0</v>
      </c>
      <c r="AI80" s="39"/>
      <c r="AJ80" s="39"/>
      <c r="AK80" s="39"/>
      <c r="AL80" s="39">
        <f>AH80*AD78</f>
        <v>0</v>
      </c>
      <c r="AQ80" s="139"/>
      <c r="AR80" s="139"/>
      <c r="AS80" s="139"/>
      <c r="AT80" s="139"/>
      <c r="AU80" s="139"/>
    </row>
    <row r="81" spans="1:47" ht="15" customHeight="1" x14ac:dyDescent="0.4">
      <c r="B81" s="36"/>
      <c r="C81" s="155"/>
      <c r="D81" s="155"/>
      <c r="E81" s="155"/>
      <c r="F81" s="155"/>
      <c r="G81" s="7"/>
      <c r="H81" s="20"/>
      <c r="P81" s="24"/>
      <c r="Q81" s="24"/>
      <c r="U81" s="20"/>
      <c r="V81" s="38" t="s">
        <v>369</v>
      </c>
      <c r="W81" s="3" t="s">
        <v>373</v>
      </c>
      <c r="X81" s="38" t="s">
        <v>369</v>
      </c>
      <c r="Y81" s="1443">
        <v>200169033</v>
      </c>
      <c r="Z81" s="41"/>
      <c r="AA81" s="20"/>
      <c r="AE81" s="3"/>
      <c r="AF81" s="3"/>
      <c r="AH81" s="39">
        <f>1*AG78</f>
        <v>0</v>
      </c>
      <c r="AI81" s="39"/>
      <c r="AJ81" s="39"/>
      <c r="AK81" s="39"/>
      <c r="AL81" s="39">
        <f>AH81*AD78</f>
        <v>0</v>
      </c>
      <c r="AQ81" s="139"/>
      <c r="AR81" s="139"/>
      <c r="AS81" s="139"/>
      <c r="AT81" s="139"/>
      <c r="AU81" s="139"/>
    </row>
    <row r="82" spans="1:47" ht="15" customHeight="1" x14ac:dyDescent="0.4">
      <c r="B82" s="36"/>
      <c r="C82" s="155"/>
      <c r="D82" s="155"/>
      <c r="E82" s="155"/>
      <c r="F82" s="155"/>
      <c r="G82" s="7"/>
      <c r="H82" s="20"/>
      <c r="P82" s="24"/>
      <c r="Q82" s="24"/>
      <c r="U82" s="20"/>
      <c r="V82" s="38" t="s">
        <v>369</v>
      </c>
      <c r="W82" s="3" t="s">
        <v>374</v>
      </c>
      <c r="X82" s="38" t="s">
        <v>369</v>
      </c>
      <c r="Y82" s="1443">
        <v>200169090</v>
      </c>
      <c r="Z82" s="41"/>
      <c r="AA82" s="20"/>
      <c r="AE82" s="3"/>
      <c r="AF82" s="3"/>
      <c r="AH82" s="39">
        <f>1*AG79</f>
        <v>0</v>
      </c>
      <c r="AI82" s="39"/>
      <c r="AJ82" s="39"/>
      <c r="AK82" s="39"/>
      <c r="AL82" s="39">
        <f>AH82*AD79</f>
        <v>0</v>
      </c>
      <c r="AQ82" s="139"/>
      <c r="AR82" s="139"/>
      <c r="AS82" s="139"/>
      <c r="AT82" s="139"/>
      <c r="AU82" s="139"/>
    </row>
    <row r="83" spans="1:47" ht="15" customHeight="1" x14ac:dyDescent="0.4">
      <c r="B83" s="36"/>
      <c r="C83" s="155"/>
      <c r="D83" s="155"/>
      <c r="E83" s="155"/>
      <c r="F83" s="155"/>
      <c r="G83" s="7"/>
      <c r="H83" s="20"/>
      <c r="P83" s="24"/>
      <c r="Q83" s="24"/>
      <c r="U83" s="20"/>
      <c r="V83" s="38" t="s">
        <v>369</v>
      </c>
      <c r="W83" s="3" t="s">
        <v>375</v>
      </c>
      <c r="X83" s="38" t="s">
        <v>369</v>
      </c>
      <c r="Y83" s="1443">
        <v>200169133</v>
      </c>
      <c r="Z83" s="41"/>
      <c r="AA83" s="20"/>
      <c r="AE83" s="3"/>
      <c r="AF83" s="3"/>
      <c r="AH83" s="39"/>
      <c r="AI83" s="39"/>
      <c r="AJ83" s="39"/>
      <c r="AK83" s="39"/>
      <c r="AL83" s="39">
        <f t="shared" ref="AL83:AL84" si="6">AH83*AD80</f>
        <v>0</v>
      </c>
      <c r="AQ83" s="139"/>
      <c r="AR83" s="139"/>
      <c r="AS83" s="139"/>
      <c r="AT83" s="139"/>
      <c r="AU83" s="139"/>
    </row>
    <row r="84" spans="1:47" ht="15" customHeight="1" thickBot="1" x14ac:dyDescent="0.45">
      <c r="B84" s="36"/>
      <c r="C84" s="155"/>
      <c r="D84" s="155"/>
      <c r="E84" s="155"/>
      <c r="F84" s="155"/>
      <c r="G84" s="7"/>
      <c r="H84" s="20"/>
      <c r="P84" s="24"/>
      <c r="Q84" s="24"/>
      <c r="U84" s="20"/>
      <c r="V84" s="279" t="s">
        <v>369</v>
      </c>
      <c r="W84" s="112" t="s">
        <v>1849</v>
      </c>
      <c r="X84" s="279" t="s">
        <v>369</v>
      </c>
      <c r="Y84" s="1871">
        <v>200169148</v>
      </c>
      <c r="Z84" s="41"/>
      <c r="AA84" s="20"/>
      <c r="AE84" s="3"/>
      <c r="AF84" s="3"/>
      <c r="AH84" s="39">
        <v>0</v>
      </c>
      <c r="AI84" s="947"/>
      <c r="AJ84" s="947"/>
      <c r="AK84" s="947"/>
      <c r="AL84" s="39">
        <f t="shared" si="6"/>
        <v>0</v>
      </c>
      <c r="AM84" s="889"/>
      <c r="AN84" s="889"/>
      <c r="AO84" s="889"/>
      <c r="AP84" s="889"/>
      <c r="AQ84" s="139"/>
      <c r="AR84" s="139"/>
      <c r="AS84" s="139"/>
      <c r="AT84" s="139"/>
      <c r="AU84" s="139"/>
    </row>
    <row r="85" spans="1:47" ht="15" customHeight="1" x14ac:dyDescent="0.4">
      <c r="B85" s="3"/>
      <c r="C85" s="173" t="s">
        <v>398</v>
      </c>
      <c r="D85" s="181"/>
      <c r="E85" s="182"/>
      <c r="F85" s="182"/>
      <c r="G85" s="173"/>
      <c r="H85" s="175"/>
      <c r="I85" s="116" t="s">
        <v>392</v>
      </c>
      <c r="J85" s="116"/>
      <c r="K85" s="116"/>
      <c r="L85" s="116" t="s">
        <v>348</v>
      </c>
      <c r="M85" s="177">
        <v>0.438</v>
      </c>
      <c r="N85" s="177"/>
      <c r="O85" s="177"/>
      <c r="P85" s="178"/>
      <c r="Q85" s="178"/>
      <c r="R85" s="116" t="s">
        <v>352</v>
      </c>
      <c r="S85" s="177">
        <f>SLQHQwidth+M85+O85</f>
        <v>71.938000000000002</v>
      </c>
      <c r="T85" s="116" t="s">
        <v>366</v>
      </c>
      <c r="U85" s="175"/>
      <c r="V85" s="179"/>
      <c r="W85" s="116"/>
      <c r="X85" s="179"/>
      <c r="Y85" s="1449"/>
      <c r="Z85" s="184"/>
      <c r="AA85" s="175"/>
      <c r="AB85" s="116">
        <v>42</v>
      </c>
      <c r="AC85" s="116">
        <v>1</v>
      </c>
      <c r="AD85" s="177">
        <f>AC85*S85/12</f>
        <v>5.9948333333333332</v>
      </c>
      <c r="AE85" s="116" t="s">
        <v>367</v>
      </c>
      <c r="AF85" s="116">
        <v>0</v>
      </c>
      <c r="AG85" s="177">
        <f>AF85*AtolbperftQHQ</f>
        <v>0</v>
      </c>
      <c r="AH85" s="185"/>
      <c r="AI85" s="185"/>
      <c r="AJ85" s="185"/>
      <c r="AK85" s="185"/>
      <c r="AL85" s="180"/>
      <c r="AQ85" s="139"/>
      <c r="AR85" s="139"/>
      <c r="AS85" s="139"/>
      <c r="AT85" s="139"/>
    </row>
    <row r="86" spans="1:47" ht="15" customHeight="1" x14ac:dyDescent="0.4">
      <c r="B86" s="36"/>
      <c r="C86" s="36"/>
      <c r="D86" s="155"/>
      <c r="E86" s="155"/>
      <c r="F86" s="155"/>
      <c r="G86" s="7"/>
      <c r="H86" s="20"/>
      <c r="P86" s="24"/>
      <c r="Q86" s="24"/>
      <c r="U86" s="20"/>
      <c r="V86" s="38" t="s">
        <v>369</v>
      </c>
      <c r="W86" s="3" t="s">
        <v>370</v>
      </c>
      <c r="X86" s="38" t="s">
        <v>369</v>
      </c>
      <c r="Y86" s="1443">
        <v>200178003</v>
      </c>
      <c r="Z86" s="41"/>
      <c r="AA86" s="20"/>
      <c r="AE86" s="3"/>
      <c r="AF86" s="38"/>
      <c r="AH86" s="39">
        <v>0</v>
      </c>
      <c r="AI86" s="39"/>
      <c r="AJ86" s="39"/>
      <c r="AK86" s="39"/>
      <c r="AL86" s="39">
        <f>AH86*AD85</f>
        <v>0</v>
      </c>
      <c r="AQ86" s="139"/>
      <c r="AR86" s="139"/>
      <c r="AS86" s="139"/>
      <c r="AT86" s="139"/>
    </row>
    <row r="87" spans="1:47" ht="15" customHeight="1" x14ac:dyDescent="0.4">
      <c r="B87" s="36"/>
      <c r="C87" s="36"/>
      <c r="D87" s="155"/>
      <c r="E87" s="155"/>
      <c r="F87" s="155"/>
      <c r="G87" s="7"/>
      <c r="H87" s="20"/>
      <c r="P87" s="24"/>
      <c r="Q87" s="24"/>
      <c r="U87" s="20"/>
      <c r="V87" s="38" t="s">
        <v>369</v>
      </c>
      <c r="W87" s="3" t="s">
        <v>372</v>
      </c>
      <c r="X87" s="38" t="s">
        <v>369</v>
      </c>
      <c r="Y87" s="1443">
        <v>200178021</v>
      </c>
      <c r="Z87" s="41"/>
      <c r="AA87" s="20"/>
      <c r="AE87" s="3"/>
      <c r="AF87" s="3"/>
      <c r="AH87" s="39">
        <v>0</v>
      </c>
      <c r="AI87" s="39"/>
      <c r="AJ87" s="39"/>
      <c r="AK87" s="39"/>
      <c r="AL87" s="39">
        <f>AH87*AD85</f>
        <v>0</v>
      </c>
      <c r="AQ87" s="139"/>
      <c r="AR87" s="139"/>
      <c r="AS87" s="139"/>
      <c r="AT87" s="139"/>
    </row>
    <row r="88" spans="1:47" ht="15" customHeight="1" x14ac:dyDescent="0.4">
      <c r="B88" s="36"/>
      <c r="C88" s="36"/>
      <c r="D88" s="155"/>
      <c r="E88" s="155"/>
      <c r="F88" s="155"/>
      <c r="G88" s="7"/>
      <c r="H88" s="20"/>
      <c r="P88" s="24"/>
      <c r="Q88" s="24"/>
      <c r="U88" s="20"/>
      <c r="V88" s="38" t="s">
        <v>369</v>
      </c>
      <c r="W88" s="3" t="s">
        <v>373</v>
      </c>
      <c r="X88" s="38" t="s">
        <v>369</v>
      </c>
      <c r="Y88" s="1443">
        <v>200178033</v>
      </c>
      <c r="Z88" s="41"/>
      <c r="AA88" s="20"/>
      <c r="AE88" s="3"/>
      <c r="AF88" s="3"/>
      <c r="AH88" s="39">
        <v>0</v>
      </c>
      <c r="AI88" s="39"/>
      <c r="AJ88" s="39"/>
      <c r="AK88" s="39"/>
      <c r="AL88" s="39">
        <f>AH88*AD85</f>
        <v>0</v>
      </c>
      <c r="AQ88" s="139"/>
      <c r="AR88" s="139"/>
      <c r="AS88" s="139"/>
      <c r="AT88" s="139"/>
    </row>
    <row r="89" spans="1:47" ht="15" customHeight="1" x14ac:dyDescent="0.4">
      <c r="B89" s="36"/>
      <c r="C89" s="36"/>
      <c r="D89" s="155"/>
      <c r="E89" s="155"/>
      <c r="F89" s="155"/>
      <c r="G89" s="7"/>
      <c r="H89" s="20"/>
      <c r="P89" s="24"/>
      <c r="Q89" s="24"/>
      <c r="U89" s="20"/>
      <c r="V89" s="38" t="s">
        <v>369</v>
      </c>
      <c r="W89" s="3" t="s">
        <v>375</v>
      </c>
      <c r="X89" s="38" t="s">
        <v>369</v>
      </c>
      <c r="Y89" s="1443">
        <v>200178133</v>
      </c>
      <c r="Z89" s="41"/>
      <c r="AA89" s="20"/>
      <c r="AE89" s="3"/>
      <c r="AF89" s="3"/>
      <c r="AH89" s="39">
        <v>0</v>
      </c>
      <c r="AI89" s="39"/>
      <c r="AJ89" s="39"/>
      <c r="AK89" s="39"/>
      <c r="AL89" s="39">
        <f>AH89*AD86</f>
        <v>0</v>
      </c>
      <c r="AQ89" s="139"/>
      <c r="AR89" s="139"/>
      <c r="AS89" s="139"/>
      <c r="AT89" s="139"/>
    </row>
    <row r="90" spans="1:47" ht="15" customHeight="1" x14ac:dyDescent="0.4">
      <c r="B90" s="36"/>
      <c r="C90" s="36"/>
      <c r="D90" s="155"/>
      <c r="E90" s="155"/>
      <c r="F90" s="155"/>
      <c r="G90" s="7"/>
      <c r="H90" s="20"/>
      <c r="P90" s="24"/>
      <c r="Q90" s="24"/>
      <c r="U90" s="20"/>
      <c r="V90" s="38" t="s">
        <v>369</v>
      </c>
      <c r="W90" s="3" t="s">
        <v>374</v>
      </c>
      <c r="X90" s="38" t="s">
        <v>369</v>
      </c>
      <c r="Y90" s="1443">
        <v>200178090</v>
      </c>
      <c r="Z90" s="41"/>
      <c r="AA90" s="20"/>
      <c r="AE90" s="3"/>
      <c r="AF90" s="3"/>
      <c r="AH90" s="39"/>
      <c r="AI90" s="39"/>
      <c r="AJ90" s="39"/>
      <c r="AK90" s="39"/>
      <c r="AQ90" s="139"/>
      <c r="AR90" s="139"/>
      <c r="AS90" s="139"/>
      <c r="AT90" s="139"/>
    </row>
    <row r="91" spans="1:47" ht="15" customHeight="1" thickBot="1" x14ac:dyDescent="0.45">
      <c r="B91" s="36"/>
      <c r="C91" s="36"/>
      <c r="D91" s="155"/>
      <c r="E91" s="155"/>
      <c r="F91" s="155"/>
      <c r="G91" s="7"/>
      <c r="H91" s="20"/>
      <c r="P91" s="24"/>
      <c r="Q91" s="24"/>
      <c r="U91" s="20"/>
      <c r="V91" s="279" t="s">
        <v>369</v>
      </c>
      <c r="W91" s="112" t="s">
        <v>1849</v>
      </c>
      <c r="X91" s="279" t="s">
        <v>369</v>
      </c>
      <c r="Y91" s="1871">
        <v>200178148</v>
      </c>
      <c r="Z91" s="41"/>
      <c r="AA91" s="20"/>
      <c r="AE91" s="3"/>
      <c r="AF91" s="3"/>
      <c r="AH91" s="39">
        <v>0</v>
      </c>
      <c r="AI91" s="39"/>
      <c r="AJ91" s="39"/>
      <c r="AK91" s="39"/>
      <c r="AL91" s="39">
        <f t="shared" ref="AL91" si="7">AH91*AD88</f>
        <v>0</v>
      </c>
      <c r="AQ91" s="139"/>
      <c r="AR91" s="139"/>
      <c r="AS91" s="139"/>
      <c r="AT91" s="139"/>
    </row>
    <row r="92" spans="1:47" ht="15" customHeight="1" thickBot="1" x14ac:dyDescent="0.45">
      <c r="B92" s="7" t="s">
        <v>401</v>
      </c>
      <c r="C92" s="173"/>
      <c r="D92" s="116"/>
      <c r="E92" s="116"/>
      <c r="F92" s="174"/>
      <c r="G92" s="173"/>
      <c r="H92" s="175"/>
      <c r="I92" s="116"/>
      <c r="J92" s="116"/>
      <c r="K92" s="116"/>
      <c r="L92" s="116"/>
      <c r="M92" s="116"/>
      <c r="N92" s="177"/>
      <c r="O92" s="177"/>
      <c r="P92" s="177"/>
      <c r="Q92" s="177"/>
      <c r="R92" s="116"/>
      <c r="S92" s="177"/>
      <c r="T92" s="116"/>
      <c r="U92" s="175"/>
      <c r="V92" s="173"/>
      <c r="W92" s="173"/>
      <c r="X92" s="173"/>
      <c r="Y92" s="1449"/>
      <c r="Z92" s="116"/>
      <c r="AA92" s="175"/>
      <c r="AB92" s="116"/>
      <c r="AC92" s="116"/>
      <c r="AD92" s="177"/>
      <c r="AE92" s="116"/>
      <c r="AF92" s="179"/>
      <c r="AG92" s="177"/>
      <c r="AH92" s="185"/>
      <c r="AI92" s="475"/>
      <c r="AJ92" s="475"/>
      <c r="AK92" s="475"/>
      <c r="AL92" s="180"/>
      <c r="AM92" s="137"/>
      <c r="AN92" s="137"/>
      <c r="AO92" s="137"/>
      <c r="AP92" s="137"/>
      <c r="AQ92" s="139"/>
      <c r="AR92" s="139"/>
      <c r="AS92" s="139"/>
      <c r="AT92" s="139"/>
      <c r="AU92" s="139"/>
    </row>
    <row r="93" spans="1:47" ht="15" customHeight="1" x14ac:dyDescent="0.4">
      <c r="A93" s="3" t="s">
        <v>402</v>
      </c>
      <c r="B93" s="173"/>
      <c r="C93" s="173" t="s">
        <v>403</v>
      </c>
      <c r="D93" s="182"/>
      <c r="E93" s="182" t="s">
        <v>1222</v>
      </c>
      <c r="F93" s="173"/>
      <c r="G93" s="173"/>
      <c r="H93" s="175"/>
      <c r="I93" s="116" t="s">
        <v>392</v>
      </c>
      <c r="J93" s="116"/>
      <c r="K93" s="116"/>
      <c r="L93" s="116" t="s">
        <v>348</v>
      </c>
      <c r="M93" s="177">
        <f>1.375*2</f>
        <v>2.75</v>
      </c>
      <c r="N93" s="177" t="s">
        <v>348</v>
      </c>
      <c r="O93" s="177">
        <f>0.25</f>
        <v>0.25</v>
      </c>
      <c r="P93" s="177"/>
      <c r="Q93" s="177"/>
      <c r="R93" s="116" t="s">
        <v>352</v>
      </c>
      <c r="S93" s="177">
        <f>SLQHQwidth+M93+O93</f>
        <v>74.5</v>
      </c>
      <c r="T93" s="116" t="s">
        <v>366</v>
      </c>
      <c r="U93" s="175"/>
      <c r="V93" s="179"/>
      <c r="W93" s="116"/>
      <c r="X93" s="179"/>
      <c r="Y93" s="1449"/>
      <c r="Z93" s="116"/>
      <c r="AA93" s="175"/>
      <c r="AB93" s="116">
        <v>42</v>
      </c>
      <c r="AC93" s="116">
        <v>1</v>
      </c>
      <c r="AD93" s="177">
        <f>AC93*S93/12</f>
        <v>6.208333333333333</v>
      </c>
      <c r="AE93" s="116" t="s">
        <v>367</v>
      </c>
      <c r="AF93" s="179">
        <v>0.88200000000000001</v>
      </c>
      <c r="AG93" s="177">
        <f>AF93*AtolbperftQHQ</f>
        <v>0.55786499999999994</v>
      </c>
      <c r="AH93" s="185"/>
      <c r="AI93" s="39"/>
      <c r="AJ93" s="39"/>
      <c r="AK93" s="39"/>
      <c r="AL93" s="180"/>
      <c r="AQ93" s="139"/>
      <c r="AR93" s="139"/>
      <c r="AS93" s="139"/>
      <c r="AT93" s="139"/>
      <c r="AU93" s="139"/>
    </row>
    <row r="94" spans="1:47" ht="15" customHeight="1" x14ac:dyDescent="0.4">
      <c r="C94" s="36"/>
      <c r="D94" s="7"/>
      <c r="E94" s="47" t="s">
        <v>393</v>
      </c>
      <c r="F94" s="3"/>
      <c r="G94" s="7"/>
      <c r="H94" s="20"/>
      <c r="I94" s="3" t="s">
        <v>392</v>
      </c>
      <c r="L94" s="3" t="s">
        <v>348</v>
      </c>
      <c r="M94" s="5">
        <v>0</v>
      </c>
      <c r="N94" s="5" t="s">
        <v>348</v>
      </c>
      <c r="O94" s="5">
        <v>0.25</v>
      </c>
      <c r="R94" s="3" t="s">
        <v>352</v>
      </c>
      <c r="S94" s="5">
        <f>SLQHQwidth+M94+O94</f>
        <v>71.75</v>
      </c>
      <c r="T94" s="3" t="s">
        <v>366</v>
      </c>
      <c r="U94" s="20"/>
      <c r="V94" s="38" t="s">
        <v>369</v>
      </c>
      <c r="W94" s="3" t="s">
        <v>370</v>
      </c>
      <c r="X94" s="38" t="s">
        <v>369</v>
      </c>
      <c r="Y94" s="1443">
        <v>200153003</v>
      </c>
      <c r="Z94" s="41"/>
      <c r="AA94" s="20"/>
      <c r="AE94" s="3"/>
      <c r="AF94" s="38"/>
      <c r="AH94" s="39">
        <f>$AG$9*AG93</f>
        <v>0.50765715</v>
      </c>
      <c r="AI94" s="39"/>
      <c r="AJ94" s="39"/>
      <c r="AK94" s="39"/>
      <c r="AL94" s="39">
        <f>AH94*AD93</f>
        <v>3.1517048062499997</v>
      </c>
      <c r="AQ94" s="139"/>
      <c r="AR94" s="444"/>
      <c r="AS94" s="139"/>
      <c r="AT94" s="139"/>
      <c r="AU94" s="139"/>
    </row>
    <row r="95" spans="1:47" ht="15" customHeight="1" x14ac:dyDescent="0.4">
      <c r="C95" s="36"/>
      <c r="D95" s="7"/>
      <c r="E95" s="155"/>
      <c r="F95" s="155"/>
      <c r="G95" s="7"/>
      <c r="H95" s="20"/>
      <c r="U95" s="20"/>
      <c r="V95" s="38" t="s">
        <v>369</v>
      </c>
      <c r="W95" s="3" t="s">
        <v>372</v>
      </c>
      <c r="X95" s="38" t="s">
        <v>369</v>
      </c>
      <c r="Y95" s="1443">
        <v>200153021</v>
      </c>
      <c r="Z95" s="41"/>
      <c r="AA95" s="20"/>
      <c r="AE95" s="3"/>
      <c r="AF95" s="38"/>
      <c r="AH95" s="39">
        <f>1*AG93</f>
        <v>0.55786499999999994</v>
      </c>
      <c r="AI95" s="39"/>
      <c r="AJ95" s="39"/>
      <c r="AK95" s="39"/>
      <c r="AL95" s="39">
        <f>AH95*AD93</f>
        <v>3.4634118749999994</v>
      </c>
      <c r="AQ95" s="139"/>
      <c r="AR95" s="444"/>
      <c r="AS95" s="139"/>
      <c r="AT95" s="139"/>
      <c r="AU95" s="139"/>
    </row>
    <row r="96" spans="1:47" ht="15" customHeight="1" x14ac:dyDescent="0.4">
      <c r="C96" s="36"/>
      <c r="D96" s="7"/>
      <c r="E96" s="155"/>
      <c r="F96" s="155"/>
      <c r="G96" s="7"/>
      <c r="H96" s="20"/>
      <c r="U96" s="20"/>
      <c r="V96" s="38" t="s">
        <v>369</v>
      </c>
      <c r="W96" s="3" t="s">
        <v>373</v>
      </c>
      <c r="X96" s="38" t="s">
        <v>369</v>
      </c>
      <c r="Y96" s="1443">
        <v>200153033</v>
      </c>
      <c r="Z96" s="41"/>
      <c r="AA96" s="20"/>
      <c r="AE96" s="3"/>
      <c r="AF96" s="38"/>
      <c r="AH96" s="39">
        <f>1*AG93</f>
        <v>0.55786499999999994</v>
      </c>
      <c r="AL96" s="39">
        <f>AH96*AD93</f>
        <v>3.4634118749999994</v>
      </c>
      <c r="AQ96" s="445"/>
      <c r="AR96" s="446"/>
      <c r="AS96" s="139"/>
      <c r="AT96" s="139"/>
      <c r="AU96" s="139"/>
    </row>
    <row r="97" spans="2:47" ht="15" customHeight="1" x14ac:dyDescent="0.4">
      <c r="C97" s="36"/>
      <c r="D97" s="7"/>
      <c r="E97" s="155"/>
      <c r="F97" s="155"/>
      <c r="G97" s="7"/>
      <c r="H97" s="20"/>
      <c r="U97" s="20"/>
      <c r="V97" s="3" t="s">
        <v>2363</v>
      </c>
      <c r="W97" s="3" t="s">
        <v>370</v>
      </c>
      <c r="X97" s="38" t="s">
        <v>369</v>
      </c>
      <c r="Y97" s="1443">
        <v>200153127</v>
      </c>
      <c r="Z97" s="41"/>
      <c r="AA97" s="20"/>
      <c r="AE97" s="3"/>
      <c r="AF97" s="38"/>
      <c r="AH97" s="39"/>
      <c r="AQ97" s="445"/>
      <c r="AR97" s="446"/>
      <c r="AS97" s="139"/>
      <c r="AT97" s="139"/>
      <c r="AU97" s="139"/>
    </row>
    <row r="98" spans="2:47" ht="15" customHeight="1" x14ac:dyDescent="0.4">
      <c r="C98" s="36"/>
      <c r="D98" s="7"/>
      <c r="E98" s="155"/>
      <c r="F98" s="155"/>
      <c r="G98" s="7"/>
      <c r="H98" s="20"/>
      <c r="U98" s="20"/>
      <c r="V98" s="112" t="s">
        <v>2366</v>
      </c>
      <c r="W98" s="112" t="s">
        <v>370</v>
      </c>
      <c r="X98" s="279" t="s">
        <v>369</v>
      </c>
      <c r="Y98" s="1871">
        <v>200153128</v>
      </c>
      <c r="Z98" s="41"/>
      <c r="AA98" s="20"/>
      <c r="AE98" s="3"/>
      <c r="AF98" s="38"/>
      <c r="AH98" s="39"/>
      <c r="AQ98" s="445"/>
      <c r="AR98" s="446"/>
      <c r="AS98" s="139"/>
      <c r="AT98" s="139"/>
      <c r="AU98" s="139"/>
    </row>
    <row r="99" spans="2:47" ht="15" customHeight="1" x14ac:dyDescent="0.4">
      <c r="C99" s="36"/>
      <c r="D99" s="7"/>
      <c r="E99" s="155"/>
      <c r="F99" s="155"/>
      <c r="G99" s="7"/>
      <c r="H99" s="20"/>
      <c r="U99" s="20"/>
      <c r="V99" s="3" t="s">
        <v>2364</v>
      </c>
      <c r="W99" s="3" t="s">
        <v>370</v>
      </c>
      <c r="X99" s="38" t="s">
        <v>369</v>
      </c>
      <c r="Y99" s="1443">
        <v>200153129</v>
      </c>
      <c r="Z99" s="41"/>
      <c r="AA99" s="20"/>
      <c r="AE99" s="3"/>
      <c r="AF99" s="38"/>
      <c r="AH99" s="39">
        <v>0</v>
      </c>
      <c r="AL99" s="39">
        <f>AH99*AD96</f>
        <v>0</v>
      </c>
      <c r="AQ99" s="445"/>
      <c r="AR99" s="446"/>
      <c r="AS99" s="139"/>
      <c r="AT99" s="139"/>
      <c r="AU99" s="139"/>
    </row>
    <row r="100" spans="2:47" ht="15" customHeight="1" x14ac:dyDescent="0.4">
      <c r="C100" s="36"/>
      <c r="D100" s="7"/>
      <c r="E100" s="155"/>
      <c r="F100" s="155"/>
      <c r="G100" s="7"/>
      <c r="H100" s="20"/>
      <c r="U100" s="20"/>
      <c r="V100" s="3" t="s">
        <v>2365</v>
      </c>
      <c r="W100" s="3" t="s">
        <v>370</v>
      </c>
      <c r="X100" s="38" t="s">
        <v>369</v>
      </c>
      <c r="Y100" s="1443">
        <v>200153180</v>
      </c>
      <c r="Z100" s="41"/>
      <c r="AA100" s="20"/>
      <c r="AE100" s="3"/>
      <c r="AF100" s="38"/>
      <c r="AH100" s="39"/>
      <c r="AQ100" s="445"/>
      <c r="AR100" s="446"/>
      <c r="AS100" s="139"/>
      <c r="AT100" s="139"/>
      <c r="AU100" s="139"/>
    </row>
    <row r="101" spans="2:47" ht="15" customHeight="1" x14ac:dyDescent="0.4">
      <c r="C101" s="36"/>
      <c r="D101" s="7"/>
      <c r="E101" s="155"/>
      <c r="F101" s="155"/>
      <c r="G101" s="7"/>
      <c r="H101" s="20"/>
      <c r="U101" s="20"/>
      <c r="V101" s="112" t="s">
        <v>2367</v>
      </c>
      <c r="W101" s="112" t="s">
        <v>370</v>
      </c>
      <c r="X101" s="279" t="s">
        <v>369</v>
      </c>
      <c r="Y101" s="1871">
        <v>200153152</v>
      </c>
      <c r="Z101" s="41"/>
      <c r="AA101" s="20"/>
      <c r="AE101" s="3"/>
      <c r="AF101" s="38"/>
      <c r="AH101" s="39">
        <v>0</v>
      </c>
      <c r="AL101" s="39">
        <f t="shared" ref="AL101" si="8">AH101*AD98</f>
        <v>0</v>
      </c>
      <c r="AQ101" s="445"/>
      <c r="AR101" s="446"/>
      <c r="AS101" s="139"/>
      <c r="AT101" s="139"/>
      <c r="AU101" s="139"/>
    </row>
    <row r="102" spans="2:47" ht="15" customHeight="1" x14ac:dyDescent="0.4">
      <c r="C102" s="36"/>
      <c r="D102" s="7"/>
      <c r="E102" s="623"/>
      <c r="F102" s="623"/>
      <c r="G102" s="221"/>
      <c r="H102" s="624"/>
      <c r="I102" s="577"/>
      <c r="J102" s="577"/>
      <c r="K102" s="577"/>
      <c r="L102" s="577"/>
      <c r="M102" s="575"/>
      <c r="N102" s="575"/>
      <c r="O102" s="575"/>
      <c r="P102" s="575"/>
      <c r="Q102" s="575"/>
      <c r="R102" s="577"/>
      <c r="S102" s="575"/>
      <c r="T102" s="577"/>
      <c r="U102" s="624"/>
      <c r="V102" s="577" t="s">
        <v>2365</v>
      </c>
      <c r="W102" s="577" t="s">
        <v>370</v>
      </c>
      <c r="X102" s="579" t="s">
        <v>2365</v>
      </c>
      <c r="Y102" s="1446">
        <v>200153181</v>
      </c>
      <c r="Z102" s="864"/>
      <c r="AA102" s="624"/>
      <c r="AB102" s="577"/>
      <c r="AC102" s="577"/>
      <c r="AD102" s="575"/>
      <c r="AE102" s="577"/>
      <c r="AF102" s="579"/>
      <c r="AG102" s="575"/>
      <c r="AH102" s="581"/>
      <c r="AI102" s="626"/>
      <c r="AJ102" s="626"/>
      <c r="AK102" s="626"/>
      <c r="AL102" s="581"/>
      <c r="AM102" s="577"/>
      <c r="AN102" s="577"/>
      <c r="AO102" s="577"/>
      <c r="AP102" s="577"/>
      <c r="AQ102" s="445"/>
      <c r="AR102" s="446"/>
      <c r="AS102" s="139"/>
      <c r="AT102" s="139"/>
      <c r="AU102" s="139"/>
    </row>
    <row r="103" spans="2:47" ht="15" customHeight="1" x14ac:dyDescent="0.4">
      <c r="C103" s="36"/>
      <c r="D103" s="36"/>
      <c r="E103" s="447" t="s">
        <v>1220</v>
      </c>
      <c r="F103" s="155"/>
      <c r="G103" s="7"/>
      <c r="H103" s="20"/>
      <c r="I103" s="500"/>
      <c r="J103" s="500"/>
      <c r="K103" s="500"/>
      <c r="L103" s="500"/>
      <c r="M103" s="24"/>
      <c r="N103" s="24"/>
      <c r="O103" s="24"/>
      <c r="P103" s="24"/>
      <c r="Q103" s="24"/>
      <c r="R103" s="500"/>
      <c r="S103" s="24"/>
      <c r="T103" s="500"/>
      <c r="U103" s="20"/>
      <c r="V103" s="38" t="s">
        <v>369</v>
      </c>
      <c r="W103" s="3" t="s">
        <v>405</v>
      </c>
      <c r="X103" s="38" t="s">
        <v>369</v>
      </c>
      <c r="Y103" s="1443">
        <v>600042010</v>
      </c>
      <c r="Z103" s="41"/>
      <c r="AA103" s="20"/>
      <c r="AE103" s="3"/>
      <c r="AF103" s="3"/>
      <c r="AG103" s="3"/>
      <c r="AH103" s="39"/>
      <c r="AI103" s="39"/>
      <c r="AJ103" s="39"/>
      <c r="AK103" s="39"/>
      <c r="AM103" s="39"/>
      <c r="AN103" s="39"/>
      <c r="AO103" s="39"/>
      <c r="AP103" s="39"/>
      <c r="AQ103" s="140"/>
      <c r="AR103" s="140"/>
      <c r="AS103" s="139"/>
      <c r="AT103" s="139"/>
      <c r="AU103" s="139"/>
    </row>
    <row r="104" spans="2:47" ht="15" customHeight="1" x14ac:dyDescent="0.4">
      <c r="C104" s="36"/>
      <c r="D104" s="36"/>
      <c r="E104" s="447" t="s">
        <v>1407</v>
      </c>
      <c r="F104" s="155"/>
      <c r="G104" s="7"/>
      <c r="H104" s="20"/>
      <c r="I104" s="3" t="s">
        <v>392</v>
      </c>
      <c r="L104" s="3" t="s">
        <v>348</v>
      </c>
      <c r="M104" s="5">
        <v>0</v>
      </c>
      <c r="R104" s="3" t="s">
        <v>352</v>
      </c>
      <c r="S104" s="5">
        <f>SLQHQwidth+M104+O104</f>
        <v>71.5</v>
      </c>
      <c r="T104" s="3" t="s">
        <v>366</v>
      </c>
      <c r="U104" s="20"/>
      <c r="V104" s="38" t="s">
        <v>369</v>
      </c>
      <c r="W104" s="3" t="s">
        <v>405</v>
      </c>
      <c r="X104" s="38" t="s">
        <v>369</v>
      </c>
      <c r="Y104" s="1443">
        <v>600050010</v>
      </c>
      <c r="Z104" s="41"/>
      <c r="AA104" s="20"/>
      <c r="AB104" s="3">
        <v>42</v>
      </c>
      <c r="AC104" s="3">
        <v>1</v>
      </c>
      <c r="AD104" s="5">
        <f>AC104*S104/12</f>
        <v>5.958333333333333</v>
      </c>
      <c r="AE104" s="3" t="s">
        <v>367</v>
      </c>
      <c r="AF104" s="3"/>
      <c r="AG104" s="3"/>
      <c r="AH104" s="39">
        <v>0</v>
      </c>
      <c r="AI104" s="39"/>
      <c r="AJ104" s="39"/>
      <c r="AK104" s="39"/>
      <c r="AM104" s="39"/>
      <c r="AN104" s="39"/>
      <c r="AO104" s="39"/>
      <c r="AP104" s="39"/>
      <c r="AQ104" s="140"/>
      <c r="AR104" s="140"/>
      <c r="AS104" s="139"/>
      <c r="AT104" s="139"/>
      <c r="AU104" s="139"/>
    </row>
    <row r="105" spans="2:47" ht="15" customHeight="1" thickBot="1" x14ac:dyDescent="0.25">
      <c r="C105" s="1849"/>
      <c r="D105" s="1849"/>
      <c r="E105" s="1850" t="s">
        <v>2352</v>
      </c>
      <c r="F105" s="1851"/>
      <c r="G105" s="1852"/>
      <c r="H105" s="1853"/>
      <c r="I105" s="1854" t="s">
        <v>392</v>
      </c>
      <c r="J105" s="1854"/>
      <c r="K105" s="1854"/>
      <c r="L105" s="1854"/>
      <c r="M105" s="1855"/>
      <c r="N105" s="1855"/>
      <c r="O105" s="1855"/>
      <c r="P105" s="1855"/>
      <c r="Q105" s="1855"/>
      <c r="R105" s="1854" t="s">
        <v>352</v>
      </c>
      <c r="S105" s="945">
        <f>SLQHQwidth+M105+O105</f>
        <v>71.5</v>
      </c>
      <c r="T105" s="1854" t="s">
        <v>366</v>
      </c>
      <c r="U105" s="1853"/>
      <c r="V105" s="1856" t="s">
        <v>369</v>
      </c>
      <c r="W105" s="1854" t="s">
        <v>370</v>
      </c>
      <c r="X105" s="1856" t="s">
        <v>369</v>
      </c>
      <c r="Y105" s="1916" t="s">
        <v>2355</v>
      </c>
      <c r="Z105" s="1858"/>
      <c r="AA105" s="1853"/>
      <c r="AB105" s="1854"/>
      <c r="AC105" s="1854">
        <v>1</v>
      </c>
      <c r="AD105" s="1855">
        <f>AC105*S105/12</f>
        <v>5.958333333333333</v>
      </c>
      <c r="AE105" s="1854" t="s">
        <v>367</v>
      </c>
      <c r="AF105" s="1856"/>
      <c r="AG105" s="1856"/>
      <c r="AH105" s="1864">
        <f>0.018669</f>
        <v>1.8669000000000002E-2</v>
      </c>
      <c r="AI105" s="1860"/>
      <c r="AJ105" s="1860"/>
      <c r="AK105" s="1860"/>
      <c r="AL105" s="1860">
        <f>AH105*AD105</f>
        <v>0.11123612500000001</v>
      </c>
      <c r="AM105" s="1854"/>
      <c r="AN105" s="1854"/>
      <c r="AO105" s="1854"/>
      <c r="AP105" s="1854"/>
      <c r="AR105" s="140"/>
      <c r="AS105" s="139"/>
      <c r="AT105" s="139"/>
      <c r="AU105" s="139"/>
    </row>
    <row r="106" spans="2:47" ht="15" customHeight="1" x14ac:dyDescent="0.4">
      <c r="B106" s="3"/>
      <c r="C106" s="173" t="s">
        <v>407</v>
      </c>
      <c r="D106" s="181"/>
      <c r="E106" s="182"/>
      <c r="F106" s="182"/>
      <c r="G106" s="430" t="s">
        <v>383</v>
      </c>
      <c r="H106" s="175"/>
      <c r="I106" s="116" t="s">
        <v>392</v>
      </c>
      <c r="J106" s="116"/>
      <c r="K106" s="116"/>
      <c r="L106" s="116" t="s">
        <v>348</v>
      </c>
      <c r="M106" s="177">
        <v>3</v>
      </c>
      <c r="N106" s="177" t="s">
        <v>348</v>
      </c>
      <c r="O106" s="177">
        <f>0.25</f>
        <v>0.25</v>
      </c>
      <c r="P106" s="178"/>
      <c r="Q106" s="178"/>
      <c r="R106" s="116" t="s">
        <v>352</v>
      </c>
      <c r="S106" s="177">
        <f>SLQHQheight+M106+O106</f>
        <v>50.75</v>
      </c>
      <c r="T106" s="116" t="s">
        <v>366</v>
      </c>
      <c r="U106" s="175"/>
      <c r="V106" s="179"/>
      <c r="W106" s="116"/>
      <c r="X106" s="179"/>
      <c r="Y106" s="1449"/>
      <c r="Z106" s="184"/>
      <c r="AA106" s="175"/>
      <c r="AB106" s="116">
        <v>42</v>
      </c>
      <c r="AC106" s="116">
        <v>1</v>
      </c>
      <c r="AD106" s="177">
        <f>AC106*S106/12</f>
        <v>4.229166666666667</v>
      </c>
      <c r="AE106" s="116" t="s">
        <v>367</v>
      </c>
      <c r="AF106" s="116">
        <v>0</v>
      </c>
      <c r="AG106" s="177">
        <f>AF106*AtolbperftQHQ</f>
        <v>0</v>
      </c>
      <c r="AH106" s="185"/>
      <c r="AI106" s="39"/>
      <c r="AJ106" s="39"/>
      <c r="AK106" s="39"/>
      <c r="AL106" s="180"/>
      <c r="AQ106" s="139"/>
      <c r="AR106" s="139"/>
      <c r="AS106" s="139"/>
      <c r="AT106" s="139"/>
      <c r="AU106" s="139"/>
    </row>
    <row r="107" spans="2:47" ht="15" customHeight="1" x14ac:dyDescent="0.4">
      <c r="B107" s="36"/>
      <c r="C107" s="155"/>
      <c r="D107" s="155"/>
      <c r="E107" s="155"/>
      <c r="F107" s="155"/>
      <c r="G107" s="7"/>
      <c r="H107" s="20"/>
      <c r="P107" s="24"/>
      <c r="Q107" s="24"/>
      <c r="U107" s="20"/>
      <c r="V107" s="38" t="s">
        <v>369</v>
      </c>
      <c r="W107" s="3" t="s">
        <v>370</v>
      </c>
      <c r="X107" s="38" t="s">
        <v>369</v>
      </c>
      <c r="Y107" s="1443">
        <v>200169003</v>
      </c>
      <c r="Z107" s="41"/>
      <c r="AA107" s="20"/>
      <c r="AE107" s="3"/>
      <c r="AF107" s="38"/>
      <c r="AH107" s="39">
        <f>1*AG106</f>
        <v>0</v>
      </c>
      <c r="AL107" s="39">
        <f>AH107*AD106</f>
        <v>0</v>
      </c>
      <c r="AQ107" s="139"/>
      <c r="AR107" s="139"/>
      <c r="AS107" s="139"/>
      <c r="AT107" s="139"/>
      <c r="AU107" s="139"/>
    </row>
    <row r="108" spans="2:47" ht="15" customHeight="1" x14ac:dyDescent="0.4">
      <c r="B108" s="36"/>
      <c r="C108" s="155"/>
      <c r="D108" s="155"/>
      <c r="E108" s="155"/>
      <c r="F108" s="155"/>
      <c r="G108" s="7"/>
      <c r="H108" s="20"/>
      <c r="P108" s="24"/>
      <c r="Q108" s="24"/>
      <c r="U108" s="20"/>
      <c r="V108" s="38" t="s">
        <v>369</v>
      </c>
      <c r="W108" s="3" t="s">
        <v>372</v>
      </c>
      <c r="X108" s="38" t="s">
        <v>369</v>
      </c>
      <c r="Y108" s="1443">
        <v>200169021</v>
      </c>
      <c r="Z108" s="41"/>
      <c r="AA108" s="20"/>
      <c r="AE108" s="3"/>
      <c r="AF108" s="3"/>
      <c r="AH108" s="39">
        <f>1*AG106</f>
        <v>0</v>
      </c>
      <c r="AL108" s="39">
        <f>AH108*AD106</f>
        <v>0</v>
      </c>
      <c r="AQ108" s="139"/>
      <c r="AR108" s="139"/>
      <c r="AS108" s="139"/>
      <c r="AT108" s="139"/>
      <c r="AU108" s="139"/>
    </row>
    <row r="109" spans="2:47" ht="15" customHeight="1" x14ac:dyDescent="0.4">
      <c r="B109" s="36"/>
      <c r="C109" s="155"/>
      <c r="D109" s="155"/>
      <c r="E109" s="155"/>
      <c r="F109" s="155"/>
      <c r="G109" s="7"/>
      <c r="H109" s="20"/>
      <c r="P109" s="24"/>
      <c r="Q109" s="24"/>
      <c r="U109" s="20"/>
      <c r="V109" s="38" t="s">
        <v>369</v>
      </c>
      <c r="W109" s="3" t="s">
        <v>373</v>
      </c>
      <c r="X109" s="38" t="s">
        <v>369</v>
      </c>
      <c r="Y109" s="1443">
        <v>200169033</v>
      </c>
      <c r="Z109" s="41"/>
      <c r="AA109" s="20"/>
      <c r="AE109" s="3"/>
      <c r="AF109" s="3"/>
      <c r="AH109" s="39">
        <f>1*AG106</f>
        <v>0</v>
      </c>
      <c r="AI109" s="39"/>
      <c r="AJ109" s="39"/>
      <c r="AK109" s="39"/>
      <c r="AL109" s="39">
        <f>AH109*AD106</f>
        <v>0</v>
      </c>
      <c r="AQ109" s="139"/>
      <c r="AR109" s="139"/>
      <c r="AS109" s="139"/>
      <c r="AT109" s="139"/>
      <c r="AU109" s="139"/>
    </row>
    <row r="110" spans="2:47" ht="15" customHeight="1" x14ac:dyDescent="0.4">
      <c r="B110" s="36"/>
      <c r="C110" s="155"/>
      <c r="D110" s="155"/>
      <c r="E110" s="155"/>
      <c r="F110" s="155"/>
      <c r="G110" s="7"/>
      <c r="H110" s="20"/>
      <c r="P110" s="24"/>
      <c r="Q110" s="24"/>
      <c r="U110" s="20"/>
      <c r="V110" s="38" t="s">
        <v>369</v>
      </c>
      <c r="W110" s="3" t="s">
        <v>374</v>
      </c>
      <c r="X110" s="38" t="s">
        <v>369</v>
      </c>
      <c r="Y110" s="1443">
        <v>200169090</v>
      </c>
      <c r="Z110" s="41"/>
      <c r="AA110" s="20"/>
      <c r="AE110" s="3"/>
      <c r="AF110" s="3"/>
      <c r="AH110" s="39">
        <f>1*AG107</f>
        <v>0</v>
      </c>
      <c r="AI110" s="39"/>
      <c r="AJ110" s="39"/>
      <c r="AK110" s="39"/>
      <c r="AL110" s="39">
        <f>AH110*AD107</f>
        <v>0</v>
      </c>
      <c r="AQ110" s="139"/>
      <c r="AR110" s="139"/>
      <c r="AS110" s="139"/>
      <c r="AT110" s="139"/>
      <c r="AU110" s="139"/>
    </row>
    <row r="111" spans="2:47" ht="15" customHeight="1" x14ac:dyDescent="0.4">
      <c r="B111" s="36"/>
      <c r="C111" s="155"/>
      <c r="D111" s="155"/>
      <c r="E111" s="155"/>
      <c r="F111" s="155"/>
      <c r="G111" s="7"/>
      <c r="H111" s="20"/>
      <c r="P111" s="24"/>
      <c r="Q111" s="24"/>
      <c r="U111" s="20"/>
      <c r="V111" s="38" t="s">
        <v>369</v>
      </c>
      <c r="W111" s="3" t="s">
        <v>375</v>
      </c>
      <c r="X111" s="38" t="s">
        <v>369</v>
      </c>
      <c r="Y111" s="1443">
        <v>200169133</v>
      </c>
      <c r="Z111" s="41"/>
      <c r="AA111" s="20"/>
      <c r="AE111" s="3"/>
      <c r="AF111" s="3"/>
      <c r="AH111" s="39"/>
      <c r="AI111" s="39"/>
      <c r="AJ111" s="39"/>
      <c r="AK111" s="39"/>
      <c r="AQ111" s="139"/>
      <c r="AR111" s="139"/>
      <c r="AS111" s="139"/>
      <c r="AT111" s="139"/>
      <c r="AU111" s="139"/>
    </row>
    <row r="112" spans="2:47" ht="15" customHeight="1" thickBot="1" x14ac:dyDescent="0.45">
      <c r="B112" s="36"/>
      <c r="C112" s="155"/>
      <c r="D112" s="155"/>
      <c r="E112" s="155"/>
      <c r="F112" s="155"/>
      <c r="G112" s="7"/>
      <c r="H112" s="20"/>
      <c r="P112" s="24"/>
      <c r="Q112" s="24"/>
      <c r="U112" s="20"/>
      <c r="V112" s="279" t="s">
        <v>369</v>
      </c>
      <c r="W112" s="112" t="s">
        <v>1849</v>
      </c>
      <c r="X112" s="279" t="s">
        <v>369</v>
      </c>
      <c r="Y112" s="1871">
        <v>200169148</v>
      </c>
      <c r="Z112" s="41"/>
      <c r="AA112" s="20"/>
      <c r="AE112" s="3"/>
      <c r="AF112" s="3"/>
      <c r="AH112" s="39">
        <v>0</v>
      </c>
      <c r="AI112" s="39"/>
      <c r="AJ112" s="39"/>
      <c r="AK112" s="39"/>
      <c r="AL112" s="39">
        <f t="shared" ref="AL112" si="9">AH112*AD109</f>
        <v>0</v>
      </c>
      <c r="AM112" s="889"/>
      <c r="AN112" s="889"/>
      <c r="AO112" s="889"/>
      <c r="AP112" s="889"/>
      <c r="AQ112" s="139"/>
      <c r="AR112" s="139"/>
      <c r="AS112" s="139"/>
      <c r="AT112" s="139"/>
      <c r="AU112" s="139"/>
    </row>
    <row r="113" spans="1:47" ht="15" customHeight="1" x14ac:dyDescent="0.4">
      <c r="B113" s="3"/>
      <c r="C113" s="173" t="s">
        <v>408</v>
      </c>
      <c r="D113" s="181"/>
      <c r="E113" s="182"/>
      <c r="F113" s="182"/>
      <c r="G113" s="173"/>
      <c r="H113" s="175"/>
      <c r="I113" s="116" t="s">
        <v>392</v>
      </c>
      <c r="J113" s="116"/>
      <c r="K113" s="116"/>
      <c r="L113" s="116" t="s">
        <v>348</v>
      </c>
      <c r="M113" s="177">
        <v>0.438</v>
      </c>
      <c r="N113" s="177"/>
      <c r="O113" s="177"/>
      <c r="P113" s="178"/>
      <c r="Q113" s="178"/>
      <c r="R113" s="116" t="s">
        <v>352</v>
      </c>
      <c r="S113" s="177">
        <f>SLQHQwidth+M113+O113</f>
        <v>71.938000000000002</v>
      </c>
      <c r="T113" s="116" t="s">
        <v>366</v>
      </c>
      <c r="U113" s="175"/>
      <c r="V113" s="179"/>
      <c r="W113" s="116"/>
      <c r="X113" s="179"/>
      <c r="Y113" s="1449"/>
      <c r="Z113" s="184"/>
      <c r="AA113" s="175"/>
      <c r="AB113" s="116">
        <v>42</v>
      </c>
      <c r="AC113" s="116">
        <v>1</v>
      </c>
      <c r="AD113" s="177">
        <f>AC113*S113/12</f>
        <v>5.9948333333333332</v>
      </c>
      <c r="AE113" s="116" t="s">
        <v>367</v>
      </c>
      <c r="AF113" s="116">
        <v>0</v>
      </c>
      <c r="AG113" s="177">
        <f>AF113*AtolbperftQHQ</f>
        <v>0</v>
      </c>
      <c r="AH113" s="185"/>
      <c r="AI113" s="185"/>
      <c r="AJ113" s="185"/>
      <c r="AK113" s="185"/>
      <c r="AL113" s="180"/>
      <c r="AQ113" s="139"/>
      <c r="AR113" s="139"/>
      <c r="AS113" s="139"/>
      <c r="AT113" s="139"/>
    </row>
    <row r="114" spans="1:47" ht="15" customHeight="1" x14ac:dyDescent="0.4">
      <c r="B114" s="36"/>
      <c r="C114" s="36"/>
      <c r="D114" s="155"/>
      <c r="E114" s="155"/>
      <c r="F114" s="155"/>
      <c r="G114" s="7"/>
      <c r="H114" s="20"/>
      <c r="P114" s="24"/>
      <c r="Q114" s="24"/>
      <c r="U114" s="20"/>
      <c r="V114" s="38" t="s">
        <v>369</v>
      </c>
      <c r="W114" s="3" t="s">
        <v>370</v>
      </c>
      <c r="X114" s="38" t="s">
        <v>369</v>
      </c>
      <c r="Y114" s="1443">
        <v>200178003</v>
      </c>
      <c r="Z114" s="41"/>
      <c r="AA114" s="20"/>
      <c r="AE114" s="3"/>
      <c r="AF114" s="38"/>
      <c r="AH114" s="39">
        <v>0</v>
      </c>
      <c r="AI114" s="39"/>
      <c r="AJ114" s="39"/>
      <c r="AK114" s="39"/>
      <c r="AL114" s="39">
        <f>AH114*AD113</f>
        <v>0</v>
      </c>
      <c r="AQ114" s="139"/>
      <c r="AR114" s="139"/>
      <c r="AS114" s="139"/>
      <c r="AT114" s="139"/>
    </row>
    <row r="115" spans="1:47" ht="15" customHeight="1" x14ac:dyDescent="0.4">
      <c r="B115" s="36"/>
      <c r="C115" s="36"/>
      <c r="D115" s="155"/>
      <c r="E115" s="155"/>
      <c r="F115" s="155"/>
      <c r="G115" s="7"/>
      <c r="H115" s="20"/>
      <c r="P115" s="24"/>
      <c r="Q115" s="24"/>
      <c r="U115" s="20"/>
      <c r="V115" s="38" t="s">
        <v>369</v>
      </c>
      <c r="W115" s="3" t="s">
        <v>372</v>
      </c>
      <c r="X115" s="38" t="s">
        <v>369</v>
      </c>
      <c r="Y115" s="1443">
        <v>200178021</v>
      </c>
      <c r="Z115" s="41"/>
      <c r="AA115" s="20"/>
      <c r="AE115" s="3"/>
      <c r="AF115" s="3"/>
      <c r="AH115" s="39">
        <v>0</v>
      </c>
      <c r="AI115" s="39"/>
      <c r="AJ115" s="39"/>
      <c r="AK115" s="39"/>
      <c r="AL115" s="39">
        <f>AH115*AD113</f>
        <v>0</v>
      </c>
      <c r="AQ115" s="139"/>
      <c r="AR115" s="139"/>
      <c r="AS115" s="139"/>
      <c r="AT115" s="139"/>
    </row>
    <row r="116" spans="1:47" ht="15" customHeight="1" x14ac:dyDescent="0.4">
      <c r="B116" s="36"/>
      <c r="C116" s="36"/>
      <c r="D116" s="155"/>
      <c r="E116" s="155"/>
      <c r="F116" s="155"/>
      <c r="G116" s="7"/>
      <c r="H116" s="20"/>
      <c r="P116" s="24"/>
      <c r="Q116" s="24"/>
      <c r="U116" s="20"/>
      <c r="V116" s="38" t="s">
        <v>369</v>
      </c>
      <c r="W116" s="3" t="s">
        <v>373</v>
      </c>
      <c r="X116" s="38" t="s">
        <v>369</v>
      </c>
      <c r="Y116" s="1443">
        <v>200178033</v>
      </c>
      <c r="Z116" s="41"/>
      <c r="AA116" s="20"/>
      <c r="AE116" s="3"/>
      <c r="AF116" s="3"/>
      <c r="AH116" s="39">
        <v>0</v>
      </c>
      <c r="AI116" s="39"/>
      <c r="AJ116" s="39"/>
      <c r="AK116" s="39"/>
      <c r="AL116" s="39">
        <f>AH116*AD113</f>
        <v>0</v>
      </c>
      <c r="AQ116" s="139"/>
      <c r="AR116" s="139"/>
      <c r="AS116" s="139"/>
      <c r="AT116" s="139"/>
    </row>
    <row r="117" spans="1:47" ht="15" customHeight="1" x14ac:dyDescent="0.4">
      <c r="B117" s="36"/>
      <c r="C117" s="36"/>
      <c r="D117" s="155"/>
      <c r="E117" s="155"/>
      <c r="F117" s="155"/>
      <c r="G117" s="7"/>
      <c r="H117" s="20"/>
      <c r="P117" s="24"/>
      <c r="Q117" s="24"/>
      <c r="U117" s="20"/>
      <c r="V117" s="38" t="s">
        <v>369</v>
      </c>
      <c r="W117" s="3" t="s">
        <v>375</v>
      </c>
      <c r="X117" s="38" t="s">
        <v>369</v>
      </c>
      <c r="Y117" s="1443">
        <v>200178133</v>
      </c>
      <c r="Z117" s="41"/>
      <c r="AA117" s="20"/>
      <c r="AE117" s="3"/>
      <c r="AF117" s="3"/>
      <c r="AH117" s="39">
        <v>0</v>
      </c>
      <c r="AI117" s="39"/>
      <c r="AJ117" s="39"/>
      <c r="AK117" s="39"/>
      <c r="AL117" s="39">
        <f>AH117*AD114</f>
        <v>0</v>
      </c>
      <c r="AQ117" s="139"/>
      <c r="AR117" s="139"/>
      <c r="AS117" s="139"/>
      <c r="AT117" s="139"/>
    </row>
    <row r="118" spans="1:47" ht="15" customHeight="1" x14ac:dyDescent="0.4">
      <c r="B118" s="36"/>
      <c r="C118" s="36"/>
      <c r="D118" s="155"/>
      <c r="E118" s="155"/>
      <c r="F118" s="155"/>
      <c r="G118" s="7"/>
      <c r="H118" s="20"/>
      <c r="P118" s="24"/>
      <c r="Q118" s="24"/>
      <c r="U118" s="20"/>
      <c r="V118" s="38" t="s">
        <v>369</v>
      </c>
      <c r="W118" s="3" t="s">
        <v>374</v>
      </c>
      <c r="X118" s="38" t="s">
        <v>369</v>
      </c>
      <c r="Y118" s="1443">
        <v>200178090</v>
      </c>
      <c r="Z118" s="41"/>
      <c r="AA118" s="20"/>
      <c r="AE118" s="3"/>
      <c r="AF118" s="3"/>
      <c r="AH118" s="39"/>
      <c r="AI118" s="39"/>
      <c r="AJ118" s="39"/>
      <c r="AK118" s="39"/>
      <c r="AQ118" s="139"/>
      <c r="AR118" s="139"/>
      <c r="AS118" s="139"/>
      <c r="AT118" s="139"/>
    </row>
    <row r="119" spans="1:47" ht="15" customHeight="1" thickBot="1" x14ac:dyDescent="0.45">
      <c r="B119" s="36"/>
      <c r="C119" s="36"/>
      <c r="D119" s="155"/>
      <c r="E119" s="155"/>
      <c r="F119" s="155"/>
      <c r="G119" s="7"/>
      <c r="H119" s="20"/>
      <c r="P119" s="24"/>
      <c r="Q119" s="24"/>
      <c r="U119" s="20"/>
      <c r="V119" s="279" t="s">
        <v>369</v>
      </c>
      <c r="W119" s="112" t="s">
        <v>1849</v>
      </c>
      <c r="X119" s="279" t="s">
        <v>369</v>
      </c>
      <c r="Y119" s="1871">
        <v>200178148</v>
      </c>
      <c r="Z119" s="41"/>
      <c r="AA119" s="20"/>
      <c r="AE119" s="3"/>
      <c r="AF119" s="3"/>
      <c r="AH119" s="39">
        <v>0</v>
      </c>
      <c r="AI119" s="947"/>
      <c r="AJ119" s="947"/>
      <c r="AK119" s="947"/>
      <c r="AL119" s="39">
        <f t="shared" ref="AL119" si="10">AH119*AD116</f>
        <v>0</v>
      </c>
      <c r="AM119" s="889"/>
      <c r="AN119" s="889"/>
      <c r="AO119" s="889"/>
      <c r="AP119" s="889"/>
      <c r="AQ119" s="139"/>
      <c r="AR119" s="139"/>
      <c r="AS119" s="139"/>
      <c r="AT119" s="139"/>
    </row>
    <row r="120" spans="1:47" ht="15" customHeight="1" x14ac:dyDescent="0.4">
      <c r="A120" s="3" t="s">
        <v>409</v>
      </c>
      <c r="C120" s="173" t="s">
        <v>410</v>
      </c>
      <c r="D120" s="116"/>
      <c r="E120" s="116"/>
      <c r="F120" s="174"/>
      <c r="G120" s="173"/>
      <c r="H120" s="175"/>
      <c r="I120" s="116" t="s">
        <v>392</v>
      </c>
      <c r="J120" s="116"/>
      <c r="K120" s="116"/>
      <c r="L120" s="116" t="s">
        <v>348</v>
      </c>
      <c r="M120" s="177">
        <v>3.9375</v>
      </c>
      <c r="N120" s="177"/>
      <c r="O120" s="177"/>
      <c r="P120" s="177"/>
      <c r="Q120" s="177"/>
      <c r="R120" s="116" t="s">
        <v>352</v>
      </c>
      <c r="S120" s="177">
        <f>SLQHQwidth+M120+O120</f>
        <v>75.4375</v>
      </c>
      <c r="T120" s="116" t="s">
        <v>366</v>
      </c>
      <c r="U120" s="175"/>
      <c r="V120" s="173"/>
      <c r="W120" s="173"/>
      <c r="X120" s="173"/>
      <c r="Y120" s="1449"/>
      <c r="Z120" s="116"/>
      <c r="AA120" s="175"/>
      <c r="AB120" s="116">
        <v>42</v>
      </c>
      <c r="AC120" s="116">
        <v>1</v>
      </c>
      <c r="AD120" s="177">
        <f>AC120*S120/12</f>
        <v>6.286458333333333</v>
      </c>
      <c r="AE120" s="116" t="s">
        <v>367</v>
      </c>
      <c r="AF120" s="179">
        <v>0</v>
      </c>
      <c r="AG120" s="177">
        <f>AF120*AtolbperftQHQ</f>
        <v>0</v>
      </c>
      <c r="AH120" s="185"/>
      <c r="AI120" s="39"/>
      <c r="AJ120" s="39"/>
      <c r="AK120" s="39"/>
      <c r="AL120" s="180"/>
      <c r="AQ120" s="139"/>
      <c r="AR120" s="139"/>
      <c r="AS120" s="139"/>
      <c r="AT120" s="139"/>
      <c r="AU120" s="139"/>
    </row>
    <row r="121" spans="1:47" ht="15" customHeight="1" x14ac:dyDescent="0.4">
      <c r="C121" s="36"/>
      <c r="D121" s="36"/>
      <c r="E121" s="155"/>
      <c r="F121" s="155"/>
      <c r="G121" s="7"/>
      <c r="H121" s="20"/>
      <c r="P121" s="24"/>
      <c r="Q121" s="24"/>
      <c r="U121" s="20"/>
      <c r="V121" s="38" t="s">
        <v>369</v>
      </c>
      <c r="W121" s="3" t="s">
        <v>370</v>
      </c>
      <c r="X121" s="38" t="s">
        <v>369</v>
      </c>
      <c r="Y121" s="1443">
        <v>200174003</v>
      </c>
      <c r="Z121" s="41"/>
      <c r="AA121" s="20"/>
      <c r="AE121" s="3"/>
      <c r="AF121" s="38"/>
      <c r="AH121" s="39">
        <f>1*AG120</f>
        <v>0</v>
      </c>
      <c r="AI121" s="39"/>
      <c r="AJ121" s="39"/>
      <c r="AK121" s="39"/>
      <c r="AL121" s="39">
        <f>AH121*AD120</f>
        <v>0</v>
      </c>
      <c r="AQ121" s="139"/>
      <c r="AR121" s="139"/>
      <c r="AS121" s="139"/>
      <c r="AT121" s="139"/>
      <c r="AU121" s="139"/>
    </row>
    <row r="122" spans="1:47" ht="15" customHeight="1" x14ac:dyDescent="0.4">
      <c r="C122" s="36"/>
      <c r="D122" s="36"/>
      <c r="E122" s="155"/>
      <c r="F122" s="155"/>
      <c r="G122" s="7"/>
      <c r="H122" s="20"/>
      <c r="P122" s="24"/>
      <c r="Q122" s="24"/>
      <c r="U122" s="20"/>
      <c r="V122" s="38" t="s">
        <v>369</v>
      </c>
      <c r="W122" s="3" t="s">
        <v>372</v>
      </c>
      <c r="X122" s="38" t="s">
        <v>369</v>
      </c>
      <c r="Y122" s="1443">
        <v>200174021</v>
      </c>
      <c r="Z122" s="41"/>
      <c r="AA122" s="20"/>
      <c r="AE122" s="3"/>
      <c r="AF122" s="3"/>
      <c r="AH122" s="39">
        <f>1*AG120</f>
        <v>0</v>
      </c>
      <c r="AI122" s="39"/>
      <c r="AJ122" s="39"/>
      <c r="AK122" s="39"/>
      <c r="AL122" s="39">
        <f>AH122*AD120</f>
        <v>0</v>
      </c>
      <c r="AQ122" s="139"/>
      <c r="AR122" s="139"/>
      <c r="AS122" s="139"/>
      <c r="AT122" s="139"/>
      <c r="AU122" s="139"/>
    </row>
    <row r="123" spans="1:47" ht="15" customHeight="1" x14ac:dyDescent="0.4">
      <c r="C123" s="36"/>
      <c r="D123" s="36"/>
      <c r="E123" s="155"/>
      <c r="F123" s="155"/>
      <c r="G123" s="7"/>
      <c r="H123" s="20"/>
      <c r="P123" s="24"/>
      <c r="Q123" s="24"/>
      <c r="U123" s="20"/>
      <c r="V123" s="38" t="s">
        <v>369</v>
      </c>
      <c r="W123" s="3" t="s">
        <v>373</v>
      </c>
      <c r="X123" s="38" t="s">
        <v>369</v>
      </c>
      <c r="Y123" s="1443">
        <v>200174033</v>
      </c>
      <c r="Z123" s="41"/>
      <c r="AA123" s="20"/>
      <c r="AE123" s="3"/>
      <c r="AF123" s="3"/>
      <c r="AH123" s="39">
        <f>1*AG120</f>
        <v>0</v>
      </c>
      <c r="AI123" s="39"/>
      <c r="AJ123" s="39"/>
      <c r="AK123" s="39"/>
      <c r="AL123" s="39">
        <f>AH123*AD120</f>
        <v>0</v>
      </c>
      <c r="AQ123" s="139"/>
      <c r="AR123" s="139"/>
      <c r="AS123" s="139"/>
      <c r="AT123" s="139"/>
      <c r="AU123" s="139"/>
    </row>
    <row r="124" spans="1:47" ht="15" customHeight="1" x14ac:dyDescent="0.4">
      <c r="C124" s="36"/>
      <c r="D124" s="36"/>
      <c r="E124" s="155"/>
      <c r="F124" s="155"/>
      <c r="G124" s="7"/>
      <c r="H124" s="20"/>
      <c r="P124" s="24"/>
      <c r="Q124" s="24"/>
      <c r="U124" s="20"/>
      <c r="V124" s="3" t="s">
        <v>2363</v>
      </c>
      <c r="W124" s="3" t="s">
        <v>370</v>
      </c>
      <c r="X124" s="38" t="s">
        <v>369</v>
      </c>
      <c r="Y124" s="1443">
        <v>200174127</v>
      </c>
      <c r="Z124" s="41"/>
      <c r="AA124" s="20"/>
      <c r="AE124" s="3"/>
      <c r="AF124" s="3"/>
      <c r="AH124" s="39">
        <v>0</v>
      </c>
      <c r="AI124" s="39"/>
      <c r="AJ124" s="39"/>
      <c r="AK124" s="39"/>
      <c r="AL124" s="39">
        <f>AH124*AD121</f>
        <v>0</v>
      </c>
      <c r="AQ124" s="139"/>
      <c r="AR124" s="139"/>
      <c r="AS124" s="139"/>
      <c r="AT124" s="139"/>
      <c r="AU124" s="139"/>
    </row>
    <row r="125" spans="1:47" ht="15" customHeight="1" x14ac:dyDescent="0.4">
      <c r="C125" s="36"/>
      <c r="D125" s="36"/>
      <c r="E125" s="155"/>
      <c r="F125" s="155"/>
      <c r="G125" s="7"/>
      <c r="H125" s="20"/>
      <c r="P125" s="24"/>
      <c r="Q125" s="24"/>
      <c r="U125" s="20"/>
      <c r="V125" s="38" t="s">
        <v>2365</v>
      </c>
      <c r="W125" s="3" t="s">
        <v>370</v>
      </c>
      <c r="X125" s="38" t="s">
        <v>369</v>
      </c>
      <c r="Y125" s="1443">
        <v>200174180</v>
      </c>
      <c r="Z125" s="41"/>
      <c r="AA125" s="20"/>
      <c r="AE125" s="3"/>
      <c r="AF125" s="3"/>
      <c r="AH125" s="39"/>
      <c r="AI125" s="39"/>
      <c r="AJ125" s="39"/>
      <c r="AK125" s="39"/>
      <c r="AQ125" s="139"/>
      <c r="AR125" s="139"/>
      <c r="AS125" s="139"/>
      <c r="AT125" s="139"/>
      <c r="AU125" s="139"/>
    </row>
    <row r="126" spans="1:47" ht="15" customHeight="1" thickBot="1" x14ac:dyDescent="0.45">
      <c r="C126" s="943"/>
      <c r="D126" s="943"/>
      <c r="E126" s="925"/>
      <c r="F126" s="925"/>
      <c r="G126" s="924"/>
      <c r="H126" s="887"/>
      <c r="I126" s="889"/>
      <c r="J126" s="889"/>
      <c r="K126" s="889"/>
      <c r="L126" s="889"/>
      <c r="M126" s="945"/>
      <c r="N126" s="945"/>
      <c r="O126" s="945"/>
      <c r="P126" s="1020"/>
      <c r="Q126" s="1020"/>
      <c r="R126" s="889"/>
      <c r="S126" s="945"/>
      <c r="T126" s="889"/>
      <c r="U126" s="887"/>
      <c r="V126" s="112" t="s">
        <v>2367</v>
      </c>
      <c r="W126" s="112" t="s">
        <v>370</v>
      </c>
      <c r="X126" s="279" t="s">
        <v>369</v>
      </c>
      <c r="Y126" s="1871">
        <v>200174152</v>
      </c>
      <c r="Z126" s="41"/>
      <c r="AA126" s="20"/>
      <c r="AE126" s="3"/>
      <c r="AF126" s="3"/>
      <c r="AH126" s="39">
        <v>0</v>
      </c>
      <c r="AI126" s="39"/>
      <c r="AJ126" s="39"/>
      <c r="AK126" s="39"/>
      <c r="AL126" s="39">
        <f t="shared" ref="AL126" si="11">AH126*AD123</f>
        <v>0</v>
      </c>
      <c r="AM126" s="889"/>
      <c r="AN126" s="889"/>
      <c r="AO126" s="889"/>
      <c r="AP126" s="889"/>
      <c r="AQ126" s="139"/>
      <c r="AR126" s="139"/>
      <c r="AS126" s="139"/>
      <c r="AT126" s="139"/>
      <c r="AU126" s="139"/>
    </row>
    <row r="127" spans="1:47" ht="15" customHeight="1" x14ac:dyDescent="0.4">
      <c r="C127" s="36" t="s">
        <v>411</v>
      </c>
      <c r="D127" s="36"/>
      <c r="E127" s="447"/>
      <c r="F127" s="155"/>
      <c r="G127" s="7"/>
      <c r="H127" s="20"/>
      <c r="S127" s="5">
        <v>1</v>
      </c>
      <c r="T127" s="3" t="s">
        <v>385</v>
      </c>
      <c r="U127" s="20"/>
      <c r="V127" s="173"/>
      <c r="W127" s="173"/>
      <c r="X127" s="173"/>
      <c r="Y127" s="1449"/>
      <c r="Z127" s="116"/>
      <c r="AA127" s="175"/>
      <c r="AB127" s="116">
        <v>40</v>
      </c>
      <c r="AC127" s="116">
        <v>2</v>
      </c>
      <c r="AD127" s="177">
        <f>AC127*S127</f>
        <v>2</v>
      </c>
      <c r="AE127" s="116" t="s">
        <v>385</v>
      </c>
      <c r="AF127" s="179"/>
      <c r="AG127" s="177">
        <f>AF127*AtolbperftQHQ</f>
        <v>0</v>
      </c>
      <c r="AH127" s="185"/>
      <c r="AI127" s="185"/>
      <c r="AJ127" s="185"/>
      <c r="AK127" s="185"/>
      <c r="AL127" s="180"/>
      <c r="AQ127" s="140"/>
      <c r="AR127" s="140"/>
      <c r="AS127" s="139"/>
      <c r="AT127" s="139"/>
      <c r="AU127" s="139"/>
    </row>
    <row r="128" spans="1:47" ht="15" customHeight="1" x14ac:dyDescent="0.4">
      <c r="C128" s="36"/>
      <c r="D128" s="36"/>
      <c r="E128" s="447"/>
      <c r="F128" s="155"/>
      <c r="G128" s="7"/>
      <c r="H128" s="20"/>
      <c r="U128" s="20"/>
      <c r="V128" s="38" t="s">
        <v>369</v>
      </c>
      <c r="W128" s="3" t="s">
        <v>370</v>
      </c>
      <c r="X128" s="38" t="s">
        <v>369</v>
      </c>
      <c r="Y128" s="1443">
        <v>430027003</v>
      </c>
      <c r="Z128" s="41"/>
      <c r="AA128" s="20"/>
      <c r="AE128" s="3"/>
      <c r="AF128" s="38"/>
      <c r="AH128" s="39">
        <f>1*AG127</f>
        <v>0</v>
      </c>
      <c r="AI128" s="39"/>
      <c r="AJ128" s="39"/>
      <c r="AK128" s="39"/>
      <c r="AL128" s="39">
        <f>AH128*AD127</f>
        <v>0</v>
      </c>
      <c r="AQ128" s="140"/>
      <c r="AR128" s="140"/>
      <c r="AS128" s="139"/>
      <c r="AT128" s="139"/>
      <c r="AU128" s="139"/>
    </row>
    <row r="129" spans="2:47" ht="15" customHeight="1" x14ac:dyDescent="0.4">
      <c r="C129" s="36"/>
      <c r="D129" s="36"/>
      <c r="E129" s="447"/>
      <c r="F129" s="155"/>
      <c r="G129" s="7"/>
      <c r="H129" s="20"/>
      <c r="U129" s="20"/>
      <c r="V129" s="38" t="s">
        <v>369</v>
      </c>
      <c r="W129" s="3" t="s">
        <v>372</v>
      </c>
      <c r="X129" s="38" t="s">
        <v>369</v>
      </c>
      <c r="Y129" s="1443">
        <v>430027021</v>
      </c>
      <c r="Z129" s="41"/>
      <c r="AA129" s="20"/>
      <c r="AE129" s="3"/>
      <c r="AF129" s="3"/>
      <c r="AH129" s="39">
        <f>1*AG127</f>
        <v>0</v>
      </c>
      <c r="AI129" s="39"/>
      <c r="AJ129" s="39"/>
      <c r="AK129" s="39"/>
      <c r="AL129" s="39">
        <f>AH129*AD127</f>
        <v>0</v>
      </c>
      <c r="AQ129" s="140"/>
      <c r="AR129" s="140"/>
      <c r="AS129" s="139"/>
      <c r="AT129" s="139"/>
      <c r="AU129" s="139"/>
    </row>
    <row r="130" spans="2:47" ht="15" customHeight="1" x14ac:dyDescent="0.4">
      <c r="C130" s="36"/>
      <c r="D130" s="36"/>
      <c r="E130" s="447"/>
      <c r="F130" s="155"/>
      <c r="G130" s="7"/>
      <c r="H130" s="20"/>
      <c r="U130" s="20"/>
      <c r="V130" s="38" t="s">
        <v>369</v>
      </c>
      <c r="W130" s="3" t="s">
        <v>373</v>
      </c>
      <c r="X130" s="38" t="s">
        <v>369</v>
      </c>
      <c r="Y130" s="1443">
        <v>430027033</v>
      </c>
      <c r="Z130" s="41"/>
      <c r="AA130" s="20"/>
      <c r="AE130" s="3"/>
      <c r="AF130" s="3"/>
      <c r="AH130" s="39">
        <f>1*AG127</f>
        <v>0</v>
      </c>
      <c r="AI130" s="39"/>
      <c r="AJ130" s="39"/>
      <c r="AK130" s="39"/>
      <c r="AL130" s="39">
        <f>AH130*AD127</f>
        <v>0</v>
      </c>
      <c r="AQ130" s="140"/>
      <c r="AR130" s="140"/>
      <c r="AS130" s="139"/>
      <c r="AT130" s="139"/>
      <c r="AU130" s="139"/>
    </row>
    <row r="131" spans="2:47" ht="15" customHeight="1" x14ac:dyDescent="0.4">
      <c r="C131" s="36"/>
      <c r="D131" s="36"/>
      <c r="E131" s="447"/>
      <c r="F131" s="155"/>
      <c r="G131" s="7"/>
      <c r="H131" s="20"/>
      <c r="U131" s="20"/>
      <c r="V131" s="38" t="s">
        <v>369</v>
      </c>
      <c r="W131" s="3" t="s">
        <v>375</v>
      </c>
      <c r="X131" s="38" t="s">
        <v>369</v>
      </c>
      <c r="Y131" s="1443">
        <v>430027133</v>
      </c>
      <c r="Z131" s="41"/>
      <c r="AA131" s="20"/>
      <c r="AE131" s="3"/>
      <c r="AF131" s="3"/>
      <c r="AH131" s="39">
        <f>1*AG128</f>
        <v>0</v>
      </c>
      <c r="AI131" s="39"/>
      <c r="AJ131" s="39"/>
      <c r="AK131" s="39"/>
      <c r="AL131" s="39">
        <f>AH131*AD128</f>
        <v>0</v>
      </c>
      <c r="AQ131" s="140"/>
      <c r="AR131" s="140"/>
      <c r="AS131" s="139"/>
      <c r="AT131" s="139"/>
      <c r="AU131" s="139"/>
    </row>
    <row r="132" spans="2:47" ht="15" customHeight="1" thickBot="1" x14ac:dyDescent="0.45">
      <c r="C132" s="943"/>
      <c r="D132" s="943"/>
      <c r="E132" s="944"/>
      <c r="F132" s="925"/>
      <c r="G132" s="924"/>
      <c r="H132" s="887"/>
      <c r="I132" s="889"/>
      <c r="J132" s="889"/>
      <c r="K132" s="889"/>
      <c r="L132" s="889"/>
      <c r="M132" s="945"/>
      <c r="N132" s="945"/>
      <c r="O132" s="945"/>
      <c r="P132" s="945"/>
      <c r="Q132" s="945"/>
      <c r="R132" s="889"/>
      <c r="S132" s="945"/>
      <c r="T132" s="889"/>
      <c r="U132" s="887"/>
      <c r="V132" s="888" t="s">
        <v>369</v>
      </c>
      <c r="W132" s="889" t="s">
        <v>374</v>
      </c>
      <c r="X132" s="888" t="s">
        <v>369</v>
      </c>
      <c r="Y132" s="1444">
        <v>430027090</v>
      </c>
      <c r="Z132" s="946"/>
      <c r="AA132" s="887"/>
      <c r="AB132" s="889"/>
      <c r="AC132" s="889"/>
      <c r="AD132" s="945"/>
      <c r="AE132" s="889"/>
      <c r="AF132" s="889"/>
      <c r="AG132" s="945"/>
      <c r="AH132" s="947">
        <f>1*AG129</f>
        <v>0</v>
      </c>
      <c r="AI132" s="947"/>
      <c r="AJ132" s="947"/>
      <c r="AK132" s="947"/>
      <c r="AL132" s="947">
        <f>AH132*AD129</f>
        <v>0</v>
      </c>
      <c r="AM132" s="889"/>
      <c r="AN132" s="889"/>
      <c r="AO132" s="889"/>
      <c r="AP132" s="889"/>
      <c r="AQ132" s="140"/>
      <c r="AR132" s="140"/>
      <c r="AS132" s="139"/>
      <c r="AT132" s="139"/>
      <c r="AU132" s="139"/>
    </row>
    <row r="133" spans="2:47" ht="15" customHeight="1" x14ac:dyDescent="0.4">
      <c r="C133" s="509" t="s">
        <v>1140</v>
      </c>
      <c r="D133" s="3"/>
      <c r="E133" s="3"/>
      <c r="F133" s="7"/>
      <c r="G133" s="7"/>
      <c r="I133" s="8"/>
      <c r="S133" s="56">
        <v>1</v>
      </c>
      <c r="T133" s="3" t="s">
        <v>385</v>
      </c>
      <c r="V133" s="38"/>
      <c r="X133" s="38"/>
      <c r="Y133" s="1443"/>
      <c r="AB133" s="3">
        <v>42</v>
      </c>
      <c r="AC133" s="3">
        <v>2</v>
      </c>
      <c r="AD133" s="56">
        <f>AC133*S133</f>
        <v>2</v>
      </c>
      <c r="AE133" s="3" t="s">
        <v>367</v>
      </c>
      <c r="AF133" s="38"/>
      <c r="AG133" s="38"/>
      <c r="AH133" s="477">
        <v>5.0000000000000001E-3</v>
      </c>
      <c r="AI133" s="39"/>
      <c r="AJ133" s="39"/>
      <c r="AK133" s="39"/>
      <c r="AL133" s="39">
        <f>AH133*AD133</f>
        <v>0.01</v>
      </c>
      <c r="AQ133" s="139"/>
      <c r="AR133" s="139"/>
      <c r="AS133" s="139"/>
      <c r="AT133" s="139"/>
      <c r="AU133" s="139"/>
    </row>
    <row r="134" spans="2:47" ht="15" customHeight="1" x14ac:dyDescent="0.4">
      <c r="B134" s="36"/>
      <c r="C134" s="7"/>
      <c r="D134" s="7"/>
      <c r="E134" s="7"/>
      <c r="F134" s="7"/>
      <c r="G134" s="7"/>
      <c r="I134" s="8"/>
      <c r="S134" s="56"/>
      <c r="V134" s="38" t="s">
        <v>369</v>
      </c>
      <c r="W134" s="3" t="s">
        <v>370</v>
      </c>
      <c r="X134" s="38" t="s">
        <v>369</v>
      </c>
      <c r="Y134" s="1443">
        <v>440029003</v>
      </c>
      <c r="Z134" s="41"/>
      <c r="AD134" s="56"/>
      <c r="AE134" s="3"/>
      <c r="AF134" s="38"/>
      <c r="AG134" s="38"/>
      <c r="AH134" s="477"/>
      <c r="AI134" s="39"/>
      <c r="AJ134" s="39"/>
      <c r="AK134" s="39"/>
      <c r="AQ134" s="139"/>
      <c r="AR134" s="139"/>
      <c r="AS134" s="139"/>
      <c r="AT134" s="139"/>
      <c r="AU134" s="139"/>
    </row>
    <row r="135" spans="2:47" ht="15" customHeight="1" x14ac:dyDescent="0.4">
      <c r="B135" s="36"/>
      <c r="C135" s="7"/>
      <c r="D135" s="7"/>
      <c r="E135" s="7"/>
      <c r="F135" s="7"/>
      <c r="G135" s="7"/>
      <c r="I135" s="8"/>
      <c r="S135" s="56"/>
      <c r="V135" s="38" t="s">
        <v>369</v>
      </c>
      <c r="W135" s="3" t="s">
        <v>372</v>
      </c>
      <c r="X135" s="38" t="s">
        <v>369</v>
      </c>
      <c r="Y135" s="1443">
        <v>440029021</v>
      </c>
      <c r="Z135" s="41"/>
      <c r="AD135" s="56"/>
      <c r="AE135" s="3"/>
      <c r="AF135" s="38"/>
      <c r="AG135" s="38"/>
      <c r="AH135" s="477"/>
      <c r="AI135" s="39"/>
      <c r="AJ135" s="39"/>
      <c r="AK135" s="39"/>
      <c r="AQ135" s="139"/>
      <c r="AR135" s="139"/>
      <c r="AS135" s="139"/>
      <c r="AT135" s="139"/>
      <c r="AU135" s="139"/>
    </row>
    <row r="136" spans="2:47" ht="15" customHeight="1" x14ac:dyDescent="0.4">
      <c r="B136" s="36"/>
      <c r="C136" s="7"/>
      <c r="D136" s="7"/>
      <c r="E136" s="7"/>
      <c r="F136" s="7"/>
      <c r="G136" s="7"/>
      <c r="I136" s="8"/>
      <c r="S136" s="56"/>
      <c r="V136" s="38" t="s">
        <v>369</v>
      </c>
      <c r="W136" s="3" t="s">
        <v>373</v>
      </c>
      <c r="X136" s="38" t="s">
        <v>369</v>
      </c>
      <c r="Y136" s="1443">
        <v>440029033</v>
      </c>
      <c r="Z136" s="41"/>
      <c r="AD136" s="56"/>
      <c r="AE136" s="3"/>
      <c r="AF136" s="38"/>
      <c r="AG136" s="38"/>
      <c r="AH136" s="477"/>
      <c r="AI136" s="39"/>
      <c r="AJ136" s="39"/>
      <c r="AK136" s="39"/>
      <c r="AQ136" s="139"/>
      <c r="AR136" s="139"/>
      <c r="AS136" s="139"/>
      <c r="AT136" s="139"/>
      <c r="AU136" s="139"/>
    </row>
    <row r="137" spans="2:47" ht="15" customHeight="1" x14ac:dyDescent="0.4">
      <c r="B137" s="36"/>
      <c r="C137" s="7"/>
      <c r="D137" s="7"/>
      <c r="E137" s="7"/>
      <c r="F137" s="7"/>
      <c r="G137" s="7"/>
      <c r="I137" s="8"/>
      <c r="S137" s="56"/>
      <c r="V137" s="38" t="s">
        <v>369</v>
      </c>
      <c r="W137" s="3" t="s">
        <v>374</v>
      </c>
      <c r="X137" s="38" t="s">
        <v>369</v>
      </c>
      <c r="Y137" s="1443">
        <v>440029090</v>
      </c>
      <c r="Z137" s="41"/>
      <c r="AD137" s="56"/>
      <c r="AE137" s="3"/>
      <c r="AF137" s="38"/>
      <c r="AG137" s="38"/>
      <c r="AH137" s="477"/>
      <c r="AI137" s="39"/>
      <c r="AJ137" s="39"/>
      <c r="AK137" s="39"/>
      <c r="AQ137" s="139"/>
      <c r="AR137" s="139"/>
      <c r="AS137" s="139"/>
      <c r="AT137" s="139"/>
      <c r="AU137" s="139"/>
    </row>
    <row r="138" spans="2:47" ht="15" customHeight="1" x14ac:dyDescent="0.4">
      <c r="B138" s="36"/>
      <c r="C138" s="7"/>
      <c r="D138" s="7"/>
      <c r="E138" s="7"/>
      <c r="F138" s="7"/>
      <c r="G138" s="7"/>
      <c r="I138" s="8"/>
      <c r="S138" s="56"/>
      <c r="V138" s="38" t="s">
        <v>369</v>
      </c>
      <c r="W138" s="3" t="s">
        <v>375</v>
      </c>
      <c r="X138" s="38" t="s">
        <v>369</v>
      </c>
      <c r="Y138" s="1443">
        <v>440029133</v>
      </c>
      <c r="Z138" s="41"/>
      <c r="AD138" s="56"/>
      <c r="AE138" s="3"/>
      <c r="AF138" s="38"/>
      <c r="AG138" s="38"/>
      <c r="AH138" s="477"/>
      <c r="AI138" s="39"/>
      <c r="AJ138" s="39"/>
      <c r="AK138" s="39"/>
      <c r="AQ138" s="139"/>
      <c r="AR138" s="139"/>
      <c r="AS138" s="139"/>
      <c r="AT138" s="139"/>
      <c r="AU138" s="139"/>
    </row>
    <row r="139" spans="2:47" ht="15" customHeight="1" thickBot="1" x14ac:dyDescent="0.45">
      <c r="B139" s="36"/>
      <c r="C139" s="7"/>
      <c r="D139" s="7"/>
      <c r="E139" s="7"/>
      <c r="F139" s="7"/>
      <c r="G139" s="7"/>
      <c r="I139" s="8"/>
      <c r="S139" s="56"/>
      <c r="V139" s="279" t="s">
        <v>369</v>
      </c>
      <c r="W139" s="112" t="s">
        <v>1849</v>
      </c>
      <c r="X139" s="279" t="s">
        <v>369</v>
      </c>
      <c r="Y139" s="1871">
        <v>440029148</v>
      </c>
      <c r="Z139" s="41"/>
      <c r="AB139" s="889"/>
      <c r="AC139" s="889"/>
      <c r="AD139" s="1156"/>
      <c r="AE139" s="889"/>
      <c r="AF139" s="888"/>
      <c r="AG139" s="888"/>
      <c r="AH139" s="1157">
        <v>0</v>
      </c>
      <c r="AI139" s="947"/>
      <c r="AJ139" s="947"/>
      <c r="AK139" s="947"/>
      <c r="AL139" s="947"/>
      <c r="AM139" s="889"/>
      <c r="AN139" s="889"/>
      <c r="AO139" s="889"/>
      <c r="AP139" s="889"/>
      <c r="AQ139" s="139"/>
      <c r="AR139" s="139"/>
      <c r="AS139" s="139"/>
      <c r="AT139" s="139"/>
      <c r="AU139" s="139"/>
    </row>
    <row r="140" spans="2:47" ht="15" customHeight="1" x14ac:dyDescent="0.4">
      <c r="C140" s="476" t="s">
        <v>416</v>
      </c>
      <c r="D140" s="116"/>
      <c r="E140" s="116"/>
      <c r="F140" s="173"/>
      <c r="G140" s="173"/>
      <c r="H140" s="193"/>
      <c r="I140" s="114"/>
      <c r="J140" s="116"/>
      <c r="K140" s="116"/>
      <c r="L140" s="116"/>
      <c r="M140" s="177"/>
      <c r="N140" s="177"/>
      <c r="O140" s="177"/>
      <c r="P140" s="177"/>
      <c r="Q140" s="177"/>
      <c r="R140" s="116"/>
      <c r="S140" s="198">
        <v>1</v>
      </c>
      <c r="T140" s="116" t="s">
        <v>385</v>
      </c>
      <c r="U140" s="193"/>
      <c r="V140" s="179"/>
      <c r="W140" s="116"/>
      <c r="X140" s="179"/>
      <c r="Y140" s="1449"/>
      <c r="Z140" s="116"/>
      <c r="AA140" s="193"/>
      <c r="AB140" s="3">
        <v>42</v>
      </c>
      <c r="AC140" s="3">
        <v>4</v>
      </c>
      <c r="AD140" s="56">
        <f>AC140*S140</f>
        <v>4</v>
      </c>
      <c r="AE140" s="3" t="s">
        <v>385</v>
      </c>
      <c r="AF140" s="38"/>
      <c r="AG140" s="38"/>
      <c r="AH140" s="477">
        <v>7.0000000000000001E-3</v>
      </c>
      <c r="AI140" s="477"/>
      <c r="AJ140" s="477"/>
      <c r="AK140" s="477"/>
      <c r="AL140" s="39">
        <f>AH140*AD140</f>
        <v>2.8000000000000001E-2</v>
      </c>
      <c r="AQ140" s="139"/>
      <c r="AR140" s="139"/>
      <c r="AS140" s="139"/>
      <c r="AT140" s="139"/>
      <c r="AU140" s="139"/>
    </row>
    <row r="141" spans="2:47" ht="15" customHeight="1" x14ac:dyDescent="0.4">
      <c r="B141" s="36"/>
      <c r="C141" s="7"/>
      <c r="D141" s="7"/>
      <c r="E141" s="7"/>
      <c r="F141" s="7"/>
      <c r="G141" s="7"/>
      <c r="I141" s="8"/>
      <c r="S141" s="56"/>
      <c r="V141" s="38" t="s">
        <v>369</v>
      </c>
      <c r="W141" s="3" t="s">
        <v>370</v>
      </c>
      <c r="X141" s="38" t="s">
        <v>369</v>
      </c>
      <c r="Y141" s="1443">
        <v>440016006</v>
      </c>
      <c r="Z141" s="41"/>
      <c r="AD141" s="56"/>
      <c r="AE141" s="3"/>
      <c r="AF141" s="38"/>
      <c r="AG141" s="38"/>
      <c r="AH141" s="477"/>
      <c r="AI141" s="477"/>
      <c r="AJ141" s="477"/>
      <c r="AK141" s="477"/>
      <c r="AQ141" s="139"/>
      <c r="AR141" s="139"/>
      <c r="AS141" s="139"/>
      <c r="AT141" s="139"/>
      <c r="AU141" s="139"/>
    </row>
    <row r="142" spans="2:47" ht="15" customHeight="1" x14ac:dyDescent="0.4">
      <c r="B142" s="36"/>
      <c r="C142" s="7"/>
      <c r="D142" s="7"/>
      <c r="E142" s="7"/>
      <c r="F142" s="7"/>
      <c r="G142" s="7"/>
      <c r="I142" s="8"/>
      <c r="S142" s="56"/>
      <c r="V142" s="38" t="s">
        <v>369</v>
      </c>
      <c r="W142" s="3" t="s">
        <v>372</v>
      </c>
      <c r="X142" s="38" t="s">
        <v>369</v>
      </c>
      <c r="Y142" s="1443">
        <v>440016021</v>
      </c>
      <c r="Z142" s="41"/>
      <c r="AD142" s="56"/>
      <c r="AE142" s="3"/>
      <c r="AF142" s="38"/>
      <c r="AG142" s="38"/>
      <c r="AH142" s="477"/>
      <c r="AI142" s="477"/>
      <c r="AJ142" s="477"/>
      <c r="AK142" s="477"/>
      <c r="AQ142" s="139"/>
      <c r="AR142" s="139"/>
      <c r="AS142" s="139"/>
      <c r="AT142" s="139"/>
      <c r="AU142" s="139"/>
    </row>
    <row r="143" spans="2:47" ht="12.75" customHeight="1" x14ac:dyDescent="0.4">
      <c r="B143" s="36"/>
      <c r="C143" s="7"/>
      <c r="D143" s="7"/>
      <c r="E143" s="7"/>
      <c r="F143" s="7"/>
      <c r="G143" s="7"/>
      <c r="I143" s="8"/>
      <c r="S143" s="56"/>
      <c r="V143" s="38" t="s">
        <v>369</v>
      </c>
      <c r="W143" s="3" t="s">
        <v>373</v>
      </c>
      <c r="X143" s="38" t="s">
        <v>369</v>
      </c>
      <c r="Y143" s="1443">
        <v>440016033</v>
      </c>
      <c r="Z143" s="41"/>
      <c r="AD143" s="56"/>
      <c r="AE143" s="3"/>
      <c r="AF143" s="38"/>
      <c r="AG143" s="38"/>
      <c r="AH143" s="477"/>
      <c r="AI143" s="477"/>
      <c r="AJ143" s="477"/>
      <c r="AK143" s="477"/>
      <c r="AQ143" s="139"/>
      <c r="AR143" s="139"/>
      <c r="AS143" s="139"/>
      <c r="AT143" s="139"/>
      <c r="AU143" s="139"/>
    </row>
    <row r="144" spans="2:47" ht="12.75" customHeight="1" x14ac:dyDescent="0.4">
      <c r="B144" s="36"/>
      <c r="C144" s="7"/>
      <c r="D144" s="7"/>
      <c r="E144" s="7"/>
      <c r="F144" s="7"/>
      <c r="G144" s="7"/>
      <c r="I144" s="8"/>
      <c r="S144" s="56"/>
      <c r="V144" s="38" t="s">
        <v>369</v>
      </c>
      <c r="W144" s="3" t="s">
        <v>374</v>
      </c>
      <c r="X144" s="38" t="s">
        <v>369</v>
      </c>
      <c r="Y144" s="1443">
        <v>440016090</v>
      </c>
      <c r="Z144" s="41"/>
      <c r="AD144" s="56"/>
      <c r="AE144" s="3"/>
      <c r="AF144" s="38"/>
      <c r="AG144" s="38"/>
      <c r="AH144" s="477"/>
      <c r="AI144" s="477"/>
      <c r="AJ144" s="477"/>
      <c r="AK144" s="477"/>
      <c r="AQ144" s="139"/>
      <c r="AR144" s="139"/>
      <c r="AS144" s="139"/>
      <c r="AT144" s="139"/>
      <c r="AU144" s="139"/>
    </row>
    <row r="145" spans="2:47" ht="12.75" customHeight="1" thickBot="1" x14ac:dyDescent="0.45">
      <c r="B145" s="36"/>
      <c r="C145" s="7"/>
      <c r="D145" s="7"/>
      <c r="E145" s="7"/>
      <c r="F145" s="7"/>
      <c r="G145" s="7"/>
      <c r="I145" s="8"/>
      <c r="S145" s="56"/>
      <c r="V145" s="38" t="s">
        <v>369</v>
      </c>
      <c r="W145" s="3" t="s">
        <v>375</v>
      </c>
      <c r="X145" s="38" t="s">
        <v>369</v>
      </c>
      <c r="Y145" s="1443">
        <v>440016133</v>
      </c>
      <c r="Z145" s="41"/>
      <c r="AD145" s="56"/>
      <c r="AE145" s="3"/>
      <c r="AF145" s="38"/>
      <c r="AG145" s="38"/>
      <c r="AH145" s="477"/>
      <c r="AI145" s="477"/>
      <c r="AJ145" s="477"/>
      <c r="AK145" s="477"/>
      <c r="AM145" s="889"/>
      <c r="AN145" s="889"/>
      <c r="AO145" s="889"/>
      <c r="AP145" s="889"/>
      <c r="AQ145" s="139"/>
      <c r="AR145" s="139"/>
      <c r="AS145" s="139"/>
      <c r="AT145" s="139"/>
      <c r="AU145" s="139"/>
    </row>
    <row r="146" spans="2:47" ht="15" customHeight="1" x14ac:dyDescent="0.4">
      <c r="B146" s="3"/>
      <c r="C146" s="448"/>
      <c r="D146" s="449" t="s">
        <v>1141</v>
      </c>
      <c r="E146" s="182"/>
      <c r="F146" s="430" t="s">
        <v>418</v>
      </c>
      <c r="G146" s="431">
        <v>3</v>
      </c>
      <c r="H146" s="175"/>
      <c r="I146" s="432" t="str">
        <f xml:space="preserve"> "Length = INT ( ( UW - " &amp;FIXED(G147,2)&amp;") / "&amp;FIXED(G146,2)&amp;" ) *"&amp;FIXED(G146,2)</f>
        <v>Length = INT ( ( UW - 2.00) / 3.00 ) *3.00</v>
      </c>
      <c r="J146" s="116"/>
      <c r="K146" s="116"/>
      <c r="L146" s="116"/>
      <c r="M146" s="177"/>
      <c r="N146" s="177"/>
      <c r="O146" s="177"/>
      <c r="P146" s="178"/>
      <c r="Q146" s="178"/>
      <c r="R146" s="116" t="s">
        <v>352</v>
      </c>
      <c r="S146" s="177">
        <f>INT((SLQHQwidth-G147)/G146)*G146</f>
        <v>69</v>
      </c>
      <c r="T146" s="116" t="s">
        <v>366</v>
      </c>
      <c r="U146" s="175"/>
      <c r="V146" s="179"/>
      <c r="W146" s="116"/>
      <c r="X146" s="179"/>
      <c r="Y146" s="1449"/>
      <c r="Z146" s="184"/>
      <c r="AA146" s="175"/>
      <c r="AB146" s="116">
        <v>42</v>
      </c>
      <c r="AC146" s="116">
        <v>1</v>
      </c>
      <c r="AD146" s="177">
        <f>AC146*S146/12</f>
        <v>5.75</v>
      </c>
      <c r="AE146" s="116" t="s">
        <v>367</v>
      </c>
      <c r="AF146" s="116">
        <v>0</v>
      </c>
      <c r="AG146" s="177">
        <f>AF146*AtolbperftQHQ</f>
        <v>0</v>
      </c>
      <c r="AH146" s="185"/>
      <c r="AI146" s="185"/>
      <c r="AJ146" s="185"/>
      <c r="AK146" s="185"/>
      <c r="AL146" s="180"/>
      <c r="AQ146" s="139"/>
      <c r="AR146" s="139"/>
      <c r="AS146" s="139"/>
      <c r="AT146" s="139"/>
      <c r="AU146" s="139"/>
    </row>
    <row r="147" spans="2:47" ht="15" customHeight="1" x14ac:dyDescent="0.4">
      <c r="B147" s="36"/>
      <c r="C147" s="155"/>
      <c r="D147" s="155"/>
      <c r="E147" s="155"/>
      <c r="F147" s="434" t="s">
        <v>419</v>
      </c>
      <c r="G147" s="435">
        <v>2</v>
      </c>
      <c r="H147" s="20"/>
      <c r="P147" s="24"/>
      <c r="Q147" s="24"/>
      <c r="U147" s="20"/>
      <c r="V147" s="38" t="s">
        <v>369</v>
      </c>
      <c r="W147" s="3" t="s">
        <v>370</v>
      </c>
      <c r="X147" s="38" t="s">
        <v>369</v>
      </c>
      <c r="Y147" s="1443">
        <v>200143003</v>
      </c>
      <c r="Z147" s="41"/>
      <c r="AA147" s="20"/>
      <c r="AE147" s="3"/>
      <c r="AF147" s="38"/>
      <c r="AH147" s="39">
        <f>1*AG146</f>
        <v>0</v>
      </c>
      <c r="AI147" s="39"/>
      <c r="AJ147" s="39"/>
      <c r="AK147" s="39"/>
      <c r="AL147" s="39">
        <f>AH147*AD146</f>
        <v>0</v>
      </c>
      <c r="AQ147" s="139"/>
      <c r="AR147" s="139"/>
      <c r="AS147" s="139"/>
      <c r="AT147" s="139"/>
      <c r="AU147" s="139"/>
    </row>
    <row r="148" spans="2:47" ht="15" customHeight="1" x14ac:dyDescent="0.4">
      <c r="B148" s="36"/>
      <c r="C148" s="155"/>
      <c r="D148" s="155"/>
      <c r="E148" s="155"/>
      <c r="F148" s="155"/>
      <c r="G148" s="7"/>
      <c r="H148" s="20"/>
      <c r="P148" s="24"/>
      <c r="Q148" s="24"/>
      <c r="U148" s="20"/>
      <c r="V148" s="38" t="s">
        <v>369</v>
      </c>
      <c r="W148" s="3" t="s">
        <v>372</v>
      </c>
      <c r="X148" s="38" t="s">
        <v>369</v>
      </c>
      <c r="Y148" s="1443">
        <v>200143021</v>
      </c>
      <c r="Z148" s="41"/>
      <c r="AA148" s="20"/>
      <c r="AE148" s="3"/>
      <c r="AF148" s="3"/>
      <c r="AH148" s="39">
        <f>1*AG146</f>
        <v>0</v>
      </c>
      <c r="AI148" s="39"/>
      <c r="AJ148" s="39"/>
      <c r="AK148" s="39"/>
      <c r="AL148" s="39">
        <f>AH148*AD146</f>
        <v>0</v>
      </c>
      <c r="AQ148" s="139"/>
      <c r="AR148" s="139"/>
      <c r="AS148" s="139"/>
      <c r="AT148" s="139"/>
      <c r="AU148" s="139"/>
    </row>
    <row r="149" spans="2:47" ht="15" customHeight="1" x14ac:dyDescent="0.4">
      <c r="B149" s="36"/>
      <c r="C149" s="155"/>
      <c r="D149" s="155"/>
      <c r="E149" s="155"/>
      <c r="F149" s="155"/>
      <c r="G149" s="7"/>
      <c r="H149" s="20"/>
      <c r="P149" s="24"/>
      <c r="Q149" s="24"/>
      <c r="U149" s="20"/>
      <c r="V149" s="38" t="s">
        <v>369</v>
      </c>
      <c r="W149" s="3" t="s">
        <v>373</v>
      </c>
      <c r="X149" s="38" t="s">
        <v>369</v>
      </c>
      <c r="Y149" s="1443">
        <v>200143033</v>
      </c>
      <c r="Z149" s="41"/>
      <c r="AA149" s="20"/>
      <c r="AE149" s="3"/>
      <c r="AF149" s="3"/>
      <c r="AH149" s="39">
        <f>1*AG146</f>
        <v>0</v>
      </c>
      <c r="AI149" s="39"/>
      <c r="AJ149" s="39"/>
      <c r="AK149" s="39"/>
      <c r="AL149" s="39">
        <f>AH149*AD146</f>
        <v>0</v>
      </c>
      <c r="AQ149" s="139"/>
      <c r="AR149" s="139"/>
      <c r="AS149" s="139"/>
      <c r="AT149" s="139"/>
      <c r="AU149" s="139"/>
    </row>
    <row r="150" spans="2:47" ht="15" customHeight="1" x14ac:dyDescent="0.4">
      <c r="B150" s="36"/>
      <c r="C150" s="155"/>
      <c r="D150" s="155"/>
      <c r="E150" s="155"/>
      <c r="F150" s="155"/>
      <c r="G150" s="7"/>
      <c r="H150" s="20"/>
      <c r="P150" s="24"/>
      <c r="Q150" s="24"/>
      <c r="U150" s="20"/>
      <c r="V150" s="38" t="s">
        <v>369</v>
      </c>
      <c r="W150" s="3" t="s">
        <v>374</v>
      </c>
      <c r="X150" s="38" t="s">
        <v>369</v>
      </c>
      <c r="Y150" s="1443">
        <v>200143090</v>
      </c>
      <c r="Z150" s="41"/>
      <c r="AA150" s="20"/>
      <c r="AE150" s="3"/>
      <c r="AF150" s="3"/>
      <c r="AH150" s="39">
        <f>1*AG147</f>
        <v>0</v>
      </c>
      <c r="AI150" s="39"/>
      <c r="AJ150" s="39"/>
      <c r="AK150" s="39"/>
      <c r="AL150" s="39">
        <f>AH150*AD147</f>
        <v>0</v>
      </c>
      <c r="AQ150" s="139"/>
      <c r="AR150" s="139"/>
      <c r="AS150" s="139"/>
      <c r="AT150" s="139"/>
      <c r="AU150" s="139"/>
    </row>
    <row r="151" spans="2:47" ht="15" customHeight="1" x14ac:dyDescent="0.4">
      <c r="B151" s="36"/>
      <c r="C151" s="155"/>
      <c r="D151" s="155"/>
      <c r="E151" s="155"/>
      <c r="F151" s="155"/>
      <c r="G151" s="7"/>
      <c r="H151" s="20"/>
      <c r="P151" s="24"/>
      <c r="Q151" s="24"/>
      <c r="U151" s="20"/>
      <c r="V151" s="38" t="s">
        <v>369</v>
      </c>
      <c r="W151" s="3" t="s">
        <v>375</v>
      </c>
      <c r="X151" s="38" t="s">
        <v>369</v>
      </c>
      <c r="Y151" s="1443">
        <v>200143133</v>
      </c>
      <c r="Z151" s="41"/>
      <c r="AA151" s="20"/>
      <c r="AE151" s="3"/>
      <c r="AF151" s="3"/>
      <c r="AH151" s="39"/>
      <c r="AI151" s="39"/>
      <c r="AJ151" s="39"/>
      <c r="AK151" s="39"/>
      <c r="AQ151" s="139"/>
      <c r="AR151" s="139"/>
      <c r="AS151" s="139"/>
      <c r="AT151" s="139"/>
      <c r="AU151" s="139"/>
    </row>
    <row r="152" spans="2:47" ht="15" customHeight="1" thickBot="1" x14ac:dyDescent="0.45">
      <c r="B152" s="36"/>
      <c r="C152" s="155"/>
      <c r="D152" s="155"/>
      <c r="E152" s="155"/>
      <c r="F152" s="155"/>
      <c r="G152" s="7"/>
      <c r="H152" s="20"/>
      <c r="P152" s="24"/>
      <c r="Q152" s="24"/>
      <c r="U152" s="20"/>
      <c r="V152" s="1876" t="s">
        <v>369</v>
      </c>
      <c r="W152" s="1877" t="s">
        <v>1849</v>
      </c>
      <c r="X152" s="1876" t="s">
        <v>369</v>
      </c>
      <c r="Y152" s="1878">
        <v>200143148</v>
      </c>
      <c r="Z152" s="41"/>
      <c r="AA152" s="20"/>
      <c r="AE152" s="3"/>
      <c r="AF152" s="3"/>
      <c r="AH152" s="39">
        <v>0</v>
      </c>
      <c r="AI152" s="39"/>
      <c r="AJ152" s="39"/>
      <c r="AK152" s="39"/>
      <c r="AL152" s="39">
        <f t="shared" ref="AL152" si="12">AH152*AD149</f>
        <v>0</v>
      </c>
      <c r="AQ152" s="139"/>
      <c r="AR152" s="139"/>
      <c r="AS152" s="139"/>
      <c r="AT152" s="139"/>
      <c r="AU152" s="139"/>
    </row>
    <row r="153" spans="2:47" ht="15" customHeight="1" thickBot="1" x14ac:dyDescent="0.45">
      <c r="B153" s="135" t="s">
        <v>420</v>
      </c>
      <c r="C153" s="827"/>
      <c r="D153" s="827"/>
      <c r="E153" s="827"/>
      <c r="F153" s="827"/>
      <c r="G153" s="135"/>
      <c r="H153" s="828"/>
      <c r="I153" s="136"/>
      <c r="J153" s="136"/>
      <c r="K153" s="136"/>
      <c r="L153" s="136"/>
      <c r="M153" s="506"/>
      <c r="N153" s="506"/>
      <c r="O153" s="506"/>
      <c r="P153" s="496"/>
      <c r="Q153" s="496"/>
      <c r="R153" s="136"/>
      <c r="S153" s="506"/>
      <c r="T153" s="136"/>
      <c r="U153" s="828"/>
      <c r="V153" s="557"/>
      <c r="W153" s="136"/>
      <c r="X153" s="557"/>
      <c r="Y153" s="1516"/>
      <c r="Z153" s="829"/>
      <c r="AA153" s="828"/>
      <c r="AB153" s="136"/>
      <c r="AC153" s="136"/>
      <c r="AD153" s="506"/>
      <c r="AE153" s="136"/>
      <c r="AF153" s="136"/>
      <c r="AG153" s="506"/>
      <c r="AH153" s="475"/>
      <c r="AI153" s="137"/>
      <c r="AJ153" s="137"/>
      <c r="AK153" s="137"/>
      <c r="AL153" s="137"/>
      <c r="AM153" s="137"/>
      <c r="AN153" s="137"/>
      <c r="AO153" s="137"/>
      <c r="AP153" s="137"/>
      <c r="AQ153" s="139"/>
      <c r="AR153" s="139"/>
      <c r="AS153" s="139"/>
      <c r="AT153" s="139"/>
      <c r="AU153" s="139"/>
    </row>
    <row r="154" spans="2:47" ht="15" customHeight="1" x14ac:dyDescent="0.4">
      <c r="B154" s="36"/>
      <c r="C154" s="476" t="s">
        <v>421</v>
      </c>
      <c r="G154" s="7"/>
      <c r="H154" s="20"/>
      <c r="P154" s="24"/>
      <c r="Q154" s="24"/>
      <c r="S154" s="5">
        <v>1</v>
      </c>
      <c r="U154" s="20"/>
      <c r="V154" s="38" t="s">
        <v>369</v>
      </c>
      <c r="W154" s="3" t="s">
        <v>422</v>
      </c>
      <c r="X154" s="38" t="s">
        <v>369</v>
      </c>
      <c r="Y154" s="1443">
        <v>120032000</v>
      </c>
      <c r="Z154" s="41">
        <v>251334</v>
      </c>
      <c r="AA154" s="20"/>
      <c r="AB154" s="3">
        <v>45</v>
      </c>
      <c r="AC154" s="3">
        <v>1</v>
      </c>
      <c r="AD154" s="177">
        <f>S154*AC154</f>
        <v>1</v>
      </c>
      <c r="AE154" s="3"/>
      <c r="AF154" s="3"/>
      <c r="AH154" s="51">
        <v>7.7600000000000002E-2</v>
      </c>
      <c r="AI154" s="39"/>
      <c r="AJ154" s="39"/>
      <c r="AK154" s="39"/>
      <c r="AL154" s="39">
        <f>AD$154*AH154+SUM(AI154:AK154)</f>
        <v>7.7600000000000002E-2</v>
      </c>
      <c r="AQ154" s="139"/>
      <c r="AR154" s="139"/>
      <c r="AS154" s="139"/>
      <c r="AT154" s="139"/>
      <c r="AU154" s="139"/>
    </row>
    <row r="155" spans="2:47" ht="15" customHeight="1" thickBot="1" x14ac:dyDescent="0.45">
      <c r="B155" s="36"/>
      <c r="C155" s="1191"/>
      <c r="D155" s="968"/>
      <c r="E155" s="968"/>
      <c r="F155" s="968"/>
      <c r="G155" s="924"/>
      <c r="H155" s="887"/>
      <c r="I155" s="889"/>
      <c r="J155" s="889"/>
      <c r="K155" s="889"/>
      <c r="L155" s="889"/>
      <c r="M155" s="945"/>
      <c r="N155" s="945"/>
      <c r="O155" s="945"/>
      <c r="P155" s="1020"/>
      <c r="Q155" s="1020"/>
      <c r="R155" s="889"/>
      <c r="S155" s="945"/>
      <c r="T155" s="889"/>
      <c r="U155" s="887"/>
      <c r="V155" s="888"/>
      <c r="W155" s="889"/>
      <c r="X155" s="888"/>
      <c r="Y155" s="946"/>
      <c r="Z155" s="946"/>
      <c r="AA155" s="887"/>
      <c r="AB155" s="889"/>
      <c r="AC155" s="889"/>
      <c r="AD155" s="945"/>
      <c r="AE155" s="889"/>
      <c r="AF155" s="889"/>
      <c r="AG155" s="945"/>
      <c r="AH155" s="937"/>
      <c r="AI155" s="947"/>
      <c r="AJ155" s="947"/>
      <c r="AK155" s="947"/>
      <c r="AL155" s="947"/>
      <c r="AM155" s="889"/>
      <c r="AN155" s="889"/>
      <c r="AO155" s="889"/>
      <c r="AP155" s="889"/>
      <c r="AQ155" s="139"/>
      <c r="AR155" s="139"/>
      <c r="AS155" s="139"/>
      <c r="AT155" s="139"/>
      <c r="AU155" s="139"/>
    </row>
    <row r="156" spans="2:47" ht="15" customHeight="1" x14ac:dyDescent="0.4">
      <c r="B156" s="36"/>
      <c r="C156" s="7" t="s">
        <v>423</v>
      </c>
      <c r="G156" s="7"/>
      <c r="H156" s="20"/>
      <c r="P156" s="24"/>
      <c r="Q156" s="24"/>
      <c r="S156" s="5">
        <v>1</v>
      </c>
      <c r="U156" s="20"/>
      <c r="V156" s="38" t="s">
        <v>369</v>
      </c>
      <c r="X156" s="38" t="s">
        <v>369</v>
      </c>
      <c r="Y156" s="1443">
        <v>170243000</v>
      </c>
      <c r="Z156" s="41" t="s">
        <v>424</v>
      </c>
      <c r="AA156" s="20"/>
      <c r="AB156" s="3">
        <v>42</v>
      </c>
      <c r="AC156" s="3">
        <v>1</v>
      </c>
      <c r="AD156" s="5">
        <f>S156*AC156</f>
        <v>1</v>
      </c>
      <c r="AE156" s="3"/>
      <c r="AF156" s="3"/>
      <c r="AH156" s="51">
        <v>0.01</v>
      </c>
      <c r="AI156" s="39"/>
      <c r="AJ156" s="39"/>
      <c r="AK156" s="39"/>
      <c r="AL156" s="39">
        <f>AD$156*AH156+SUM(AI156:AK156)</f>
        <v>0.01</v>
      </c>
      <c r="AQ156" s="139"/>
      <c r="AR156" s="139"/>
      <c r="AS156" s="139"/>
      <c r="AT156" s="139"/>
      <c r="AU156" s="139"/>
    </row>
    <row r="157" spans="2:47" ht="15" customHeight="1" thickBot="1" x14ac:dyDescent="0.45">
      <c r="B157" s="36"/>
      <c r="C157" s="924"/>
      <c r="D157" s="968"/>
      <c r="E157" s="968"/>
      <c r="F157" s="968"/>
      <c r="G157" s="924"/>
      <c r="H157" s="887"/>
      <c r="I157" s="889"/>
      <c r="J157" s="889"/>
      <c r="K157" s="889"/>
      <c r="L157" s="889"/>
      <c r="M157" s="945"/>
      <c r="N157" s="945"/>
      <c r="O157" s="945"/>
      <c r="P157" s="1020"/>
      <c r="Q157" s="1020"/>
      <c r="R157" s="889"/>
      <c r="S157" s="945"/>
      <c r="T157" s="889"/>
      <c r="U157" s="887"/>
      <c r="V157" s="888"/>
      <c r="W157" s="889"/>
      <c r="X157" s="888"/>
      <c r="Y157" s="946"/>
      <c r="Z157" s="946"/>
      <c r="AA157" s="887"/>
      <c r="AB157" s="889"/>
      <c r="AC157" s="889"/>
      <c r="AD157" s="945"/>
      <c r="AE157" s="889"/>
      <c r="AF157" s="889"/>
      <c r="AG157" s="945"/>
      <c r="AH157" s="937"/>
      <c r="AI157" s="947"/>
      <c r="AJ157" s="947"/>
      <c r="AK157" s="947"/>
      <c r="AL157" s="947"/>
      <c r="AM157" s="889"/>
      <c r="AN157" s="889"/>
      <c r="AO157" s="889"/>
      <c r="AP157" s="889"/>
      <c r="AQ157" s="139"/>
      <c r="AR157" s="139"/>
      <c r="AS157" s="139"/>
      <c r="AT157" s="139"/>
      <c r="AU157" s="139"/>
    </row>
    <row r="158" spans="2:47" ht="15" customHeight="1" x14ac:dyDescent="0.4">
      <c r="B158" s="36"/>
      <c r="C158" s="7" t="s">
        <v>425</v>
      </c>
      <c r="G158" s="7"/>
      <c r="H158" s="20"/>
      <c r="M158" s="5" t="s">
        <v>426</v>
      </c>
      <c r="P158" s="24"/>
      <c r="Q158" s="24"/>
      <c r="S158" s="5">
        <v>1</v>
      </c>
      <c r="U158" s="20"/>
      <c r="V158" s="38" t="s">
        <v>369</v>
      </c>
      <c r="X158" s="38" t="s">
        <v>369</v>
      </c>
      <c r="Y158" s="1443">
        <v>440121000</v>
      </c>
      <c r="Z158" s="41">
        <v>254058</v>
      </c>
      <c r="AA158" s="20"/>
      <c r="AB158" s="3">
        <v>45</v>
      </c>
      <c r="AC158" s="3">
        <v>6</v>
      </c>
      <c r="AD158" s="5">
        <f>S158*AC158</f>
        <v>6</v>
      </c>
      <c r="AE158" s="3"/>
      <c r="AF158" s="3"/>
      <c r="AH158" s="51">
        <v>1.7600000000000001E-2</v>
      </c>
      <c r="AI158" s="39"/>
      <c r="AJ158" s="39"/>
      <c r="AK158" s="39"/>
      <c r="AL158" s="39">
        <f>AD$158*AH158+SUM(AI158:AK158)</f>
        <v>0.1056</v>
      </c>
      <c r="AQ158" s="139"/>
      <c r="AR158" s="139"/>
      <c r="AS158" s="139"/>
      <c r="AT158" s="139"/>
      <c r="AU158" s="139"/>
    </row>
    <row r="159" spans="2:47" ht="15" customHeight="1" x14ac:dyDescent="0.4">
      <c r="B159" s="36"/>
      <c r="C159" s="4"/>
      <c r="G159" s="7"/>
      <c r="H159" s="20"/>
      <c r="P159" s="24"/>
      <c r="Q159" s="24"/>
      <c r="U159" s="20"/>
      <c r="V159" s="38"/>
      <c r="X159" s="38"/>
      <c r="Y159" s="1443"/>
      <c r="Z159" s="41"/>
      <c r="AA159" s="20"/>
      <c r="AE159" s="3"/>
      <c r="AF159" s="3"/>
      <c r="AI159" s="39"/>
      <c r="AJ159" s="39"/>
      <c r="AK159" s="39"/>
      <c r="AQ159" s="139"/>
      <c r="AR159" s="139"/>
      <c r="AS159" s="139"/>
      <c r="AT159" s="139"/>
      <c r="AU159" s="139"/>
    </row>
    <row r="160" spans="2:47" ht="15" customHeight="1" thickBot="1" x14ac:dyDescent="0.45">
      <c r="B160" s="36"/>
      <c r="C160" s="4"/>
      <c r="G160" s="7"/>
      <c r="H160" s="20"/>
      <c r="P160" s="24"/>
      <c r="Q160" s="24"/>
      <c r="U160" s="20"/>
      <c r="V160" s="38"/>
      <c r="X160" s="38"/>
      <c r="Y160" s="1443"/>
      <c r="Z160" s="41"/>
      <c r="AA160" s="20"/>
      <c r="AE160" s="3"/>
      <c r="AF160" s="3"/>
      <c r="AI160" s="39"/>
      <c r="AJ160" s="39"/>
      <c r="AK160" s="39"/>
      <c r="AQ160" s="139"/>
      <c r="AR160" s="139"/>
      <c r="AS160" s="139"/>
      <c r="AT160" s="139"/>
      <c r="AU160" s="139"/>
    </row>
    <row r="161" spans="1:47" ht="15" customHeight="1" x14ac:dyDescent="0.4">
      <c r="B161" s="186" t="s">
        <v>427</v>
      </c>
      <c r="C161" s="128"/>
      <c r="D161" s="126"/>
      <c r="E161" s="126"/>
      <c r="F161" s="126"/>
      <c r="G161" s="126"/>
      <c r="H161" s="187"/>
      <c r="I161" s="187"/>
      <c r="J161" s="187"/>
      <c r="K161" s="187"/>
      <c r="L161" s="187"/>
      <c r="M161" s="188"/>
      <c r="N161" s="188"/>
      <c r="O161" s="188"/>
      <c r="P161" s="188"/>
      <c r="Q161" s="188"/>
      <c r="R161" s="187"/>
      <c r="S161" s="188"/>
      <c r="T161" s="187"/>
      <c r="U161" s="187"/>
      <c r="V161" s="126"/>
      <c r="W161" s="126"/>
      <c r="X161" s="126"/>
      <c r="Y161" s="1616"/>
      <c r="Z161" s="189"/>
      <c r="AA161" s="187"/>
      <c r="AB161" s="127"/>
      <c r="AC161" s="187"/>
      <c r="AD161" s="188"/>
      <c r="AE161" s="187"/>
      <c r="AF161" s="187"/>
      <c r="AG161" s="187"/>
      <c r="AH161" s="190"/>
      <c r="AI161" s="190"/>
      <c r="AJ161" s="190"/>
      <c r="AK161" s="190"/>
      <c r="AL161" s="191" t="e">
        <f>SUBTOTAL(109,AL164:AL487)</f>
        <v>#REF!</v>
      </c>
      <c r="AM161" s="190"/>
      <c r="AN161" s="190"/>
      <c r="AO161" s="190"/>
      <c r="AP161" s="190"/>
      <c r="AQ161" s="139"/>
      <c r="AR161" s="139"/>
      <c r="AS161" s="139"/>
      <c r="AT161" s="139"/>
      <c r="AU161" s="139"/>
    </row>
    <row r="162" spans="1:47" ht="15" customHeight="1" thickBot="1" x14ac:dyDescent="0.45">
      <c r="B162" s="1257" t="s">
        <v>449</v>
      </c>
      <c r="C162" s="1258"/>
      <c r="D162" s="1258"/>
      <c r="E162" s="1258"/>
      <c r="F162" s="1258"/>
      <c r="G162" s="1258"/>
      <c r="H162" s="1259"/>
      <c r="I162" s="1259"/>
      <c r="J162" s="1259"/>
      <c r="K162" s="1259"/>
      <c r="L162" s="1259"/>
      <c r="M162" s="1260"/>
      <c r="N162" s="1260"/>
      <c r="O162" s="1260"/>
      <c r="P162" s="1260"/>
      <c r="Q162" s="1260"/>
      <c r="R162" s="1259"/>
      <c r="S162" s="1260"/>
      <c r="T162" s="1259"/>
      <c r="U162" s="1259"/>
      <c r="V162" s="1258"/>
      <c r="W162" s="1258"/>
      <c r="X162" s="1258"/>
      <c r="Y162" s="1617"/>
      <c r="Z162" s="1261"/>
      <c r="AA162" s="1259"/>
      <c r="AB162" s="1262"/>
      <c r="AC162" s="1259"/>
      <c r="AD162" s="1260"/>
      <c r="AE162" s="1259"/>
      <c r="AF162" s="1259"/>
      <c r="AG162" s="1259"/>
      <c r="AH162" s="1263"/>
      <c r="AI162" s="1263"/>
      <c r="AJ162" s="1263"/>
      <c r="AK162" s="1263"/>
      <c r="AL162" s="1264"/>
      <c r="AM162" s="1263"/>
      <c r="AN162" s="1263"/>
      <c r="AO162" s="1263"/>
      <c r="AP162" s="1263"/>
      <c r="AQ162" s="139"/>
      <c r="AR162" s="139"/>
      <c r="AS162" s="139"/>
      <c r="AT162" s="139"/>
      <c r="AU162" s="139"/>
    </row>
    <row r="163" spans="1:47" ht="15" customHeight="1" thickBot="1" x14ac:dyDescent="0.45">
      <c r="B163" s="173" t="s">
        <v>429</v>
      </c>
      <c r="C163" s="173"/>
      <c r="D163" s="116"/>
      <c r="E163" s="116"/>
      <c r="F163" s="174"/>
      <c r="G163" s="173"/>
      <c r="H163" s="175"/>
      <c r="I163" s="116"/>
      <c r="J163" s="116"/>
      <c r="K163" s="116"/>
      <c r="L163" s="116"/>
      <c r="M163" s="177"/>
      <c r="N163" s="177"/>
      <c r="O163" s="177"/>
      <c r="P163" s="177"/>
      <c r="Q163" s="177"/>
      <c r="R163" s="116"/>
      <c r="S163" s="177"/>
      <c r="T163" s="116"/>
      <c r="U163" s="175"/>
      <c r="V163" s="173"/>
      <c r="W163" s="173"/>
      <c r="X163" s="173"/>
      <c r="Y163" s="1449"/>
      <c r="Z163" s="116"/>
      <c r="AA163" s="175"/>
      <c r="AB163" s="116"/>
      <c r="AC163" s="116"/>
      <c r="AD163" s="177"/>
      <c r="AE163" s="116"/>
      <c r="AF163" s="179"/>
      <c r="AG163" s="177"/>
      <c r="AH163" s="185"/>
      <c r="AI163" s="137"/>
      <c r="AJ163" s="137"/>
      <c r="AK163" s="137"/>
      <c r="AL163" s="180"/>
      <c r="AM163" s="137"/>
      <c r="AN163" s="137"/>
      <c r="AO163" s="137"/>
      <c r="AP163" s="137"/>
      <c r="AQ163" s="139"/>
      <c r="AR163" s="139"/>
      <c r="AS163" s="139"/>
      <c r="AT163" s="139"/>
      <c r="AU163" s="139"/>
    </row>
    <row r="164" spans="1:47" ht="15" customHeight="1" x14ac:dyDescent="0.4">
      <c r="A164" s="3" t="s">
        <v>362</v>
      </c>
      <c r="B164" s="173"/>
      <c r="C164" s="173" t="s">
        <v>430</v>
      </c>
      <c r="D164" s="116"/>
      <c r="E164" s="116"/>
      <c r="F164" s="174" t="s">
        <v>431</v>
      </c>
      <c r="G164" s="173"/>
      <c r="H164" s="175"/>
      <c r="I164" s="116" t="s">
        <v>365</v>
      </c>
      <c r="J164" s="116"/>
      <c r="K164" s="116"/>
      <c r="L164" s="116" t="s">
        <v>348</v>
      </c>
      <c r="M164" s="177">
        <v>3</v>
      </c>
      <c r="N164" s="177" t="s">
        <v>348</v>
      </c>
      <c r="O164" s="177">
        <f>0.25</f>
        <v>0.25</v>
      </c>
      <c r="P164" s="177"/>
      <c r="Q164" s="177"/>
      <c r="R164" s="116" t="s">
        <v>352</v>
      </c>
      <c r="S164" s="177">
        <f>SLQHQheight+M164+O164</f>
        <v>50.75</v>
      </c>
      <c r="T164" s="116" t="s">
        <v>366</v>
      </c>
      <c r="U164" s="175"/>
      <c r="V164" s="173"/>
      <c r="W164" s="173"/>
      <c r="X164" s="173"/>
      <c r="Y164" s="1449"/>
      <c r="Z164" s="116"/>
      <c r="AA164" s="175"/>
      <c r="AB164" s="116">
        <v>42</v>
      </c>
      <c r="AC164" s="116">
        <v>2</v>
      </c>
      <c r="AD164" s="177">
        <f>AC164*S164/12</f>
        <v>8.4583333333333339</v>
      </c>
      <c r="AE164" s="116" t="s">
        <v>367</v>
      </c>
      <c r="AF164" s="179">
        <v>1.1200000000000001</v>
      </c>
      <c r="AG164" s="177">
        <f>AF164*AtolbperftQHQ</f>
        <v>0.70840000000000003</v>
      </c>
      <c r="AH164" s="185"/>
      <c r="AL164" s="180"/>
      <c r="AQ164" s="139"/>
      <c r="AR164" s="139"/>
      <c r="AS164" s="139"/>
      <c r="AT164" s="139"/>
      <c r="AU164" s="139"/>
    </row>
    <row r="165" spans="1:47" ht="15" customHeight="1" x14ac:dyDescent="0.4">
      <c r="B165" s="36"/>
      <c r="C165" s="36"/>
      <c r="D165" s="155"/>
      <c r="E165" s="155" t="s">
        <v>439</v>
      </c>
      <c r="F165" s="155"/>
      <c r="G165" s="7"/>
      <c r="H165" s="20"/>
      <c r="I165" s="3" t="s">
        <v>365</v>
      </c>
      <c r="L165" s="3" t="s">
        <v>348</v>
      </c>
      <c r="M165" s="5">
        <v>0</v>
      </c>
      <c r="N165" s="5" t="s">
        <v>348</v>
      </c>
      <c r="O165" s="5">
        <f>0.25</f>
        <v>0.25</v>
      </c>
      <c r="P165" s="24"/>
      <c r="Q165" s="24"/>
      <c r="R165" s="3" t="s">
        <v>352</v>
      </c>
      <c r="S165" s="5">
        <f>SLQHQheight+M165+O165</f>
        <v>47.75</v>
      </c>
      <c r="T165" s="3" t="s">
        <v>366</v>
      </c>
      <c r="U165" s="20"/>
      <c r="V165" s="38" t="s">
        <v>369</v>
      </c>
      <c r="W165" s="3" t="s">
        <v>370</v>
      </c>
      <c r="X165" s="38" t="s">
        <v>369</v>
      </c>
      <c r="Y165" s="1443">
        <v>200152003</v>
      </c>
      <c r="Z165" s="41"/>
      <c r="AA165" s="20"/>
      <c r="AE165" s="3"/>
      <c r="AF165" s="38"/>
      <c r="AH165" s="39">
        <f>0.91*AG164</f>
        <v>0.64464399999999999</v>
      </c>
      <c r="AL165" s="39">
        <f>AH165*AD164</f>
        <v>5.4526138333333334</v>
      </c>
      <c r="AQ165" s="139"/>
      <c r="AR165" s="139"/>
      <c r="AS165" s="139"/>
      <c r="AT165" s="139"/>
      <c r="AU165" s="139"/>
    </row>
    <row r="166" spans="1:47" ht="15" customHeight="1" x14ac:dyDescent="0.4">
      <c r="B166" s="36"/>
      <c r="C166" s="36"/>
      <c r="D166" s="155"/>
      <c r="E166" s="155"/>
      <c r="F166" s="155"/>
      <c r="G166" s="7"/>
      <c r="H166" s="20"/>
      <c r="P166" s="24"/>
      <c r="Q166" s="24"/>
      <c r="U166" s="20"/>
      <c r="V166" s="38" t="s">
        <v>369</v>
      </c>
      <c r="W166" s="3" t="s">
        <v>372</v>
      </c>
      <c r="X166" s="38" t="s">
        <v>369</v>
      </c>
      <c r="Y166" s="1443">
        <v>200152021</v>
      </c>
      <c r="Z166" s="41"/>
      <c r="AA166" s="20"/>
      <c r="AE166" s="3"/>
      <c r="AF166" s="3"/>
      <c r="AH166" s="39">
        <f>1*AG164</f>
        <v>0.70840000000000003</v>
      </c>
      <c r="AI166" s="477"/>
      <c r="AJ166" s="477"/>
      <c r="AK166" s="477"/>
      <c r="AL166" s="39">
        <f>AH166*AD164</f>
        <v>5.9918833333333339</v>
      </c>
      <c r="AQ166" s="139"/>
      <c r="AR166" s="139"/>
      <c r="AS166" s="139"/>
      <c r="AT166" s="139"/>
      <c r="AU166" s="139"/>
    </row>
    <row r="167" spans="1:47" ht="15.75" customHeight="1" x14ac:dyDescent="0.4">
      <c r="C167" s="36"/>
      <c r="D167" s="155"/>
      <c r="E167" s="155"/>
      <c r="F167" s="155"/>
      <c r="G167" s="7"/>
      <c r="H167" s="20"/>
      <c r="P167" s="24"/>
      <c r="Q167" s="24"/>
      <c r="U167" s="20"/>
      <c r="V167" s="38" t="s">
        <v>369</v>
      </c>
      <c r="W167" s="3" t="s">
        <v>373</v>
      </c>
      <c r="X167" s="38" t="s">
        <v>369</v>
      </c>
      <c r="Y167" s="1443">
        <v>200152033</v>
      </c>
      <c r="Z167" s="41"/>
      <c r="AA167" s="20"/>
      <c r="AE167" s="3"/>
      <c r="AF167" s="3"/>
      <c r="AH167" s="39">
        <f>1*AG164</f>
        <v>0.70840000000000003</v>
      </c>
      <c r="AI167" s="477"/>
      <c r="AJ167" s="477"/>
      <c r="AK167" s="477"/>
      <c r="AL167" s="39">
        <f>AH167*AD164</f>
        <v>5.9918833333333339</v>
      </c>
      <c r="AQ167" s="139"/>
      <c r="AR167" s="139"/>
      <c r="AS167" s="139"/>
      <c r="AT167" s="139"/>
      <c r="AU167" s="139"/>
    </row>
    <row r="168" spans="1:47" ht="15.75" customHeight="1" x14ac:dyDescent="0.4">
      <c r="C168" s="36"/>
      <c r="D168" s="155"/>
      <c r="E168" s="155"/>
      <c r="F168" s="155"/>
      <c r="G168" s="7"/>
      <c r="H168" s="20"/>
      <c r="P168" s="24"/>
      <c r="Q168" s="24"/>
      <c r="U168" s="20"/>
      <c r="V168" s="3" t="s">
        <v>2363</v>
      </c>
      <c r="W168" s="3" t="s">
        <v>370</v>
      </c>
      <c r="X168" s="38" t="s">
        <v>369</v>
      </c>
      <c r="Y168" s="1443">
        <v>200152127</v>
      </c>
      <c r="Z168" s="41"/>
      <c r="AA168" s="20"/>
      <c r="AE168" s="3"/>
      <c r="AF168" s="3"/>
      <c r="AH168" s="51">
        <v>0.88829999999999998</v>
      </c>
      <c r="AI168" s="39"/>
      <c r="AJ168" s="39"/>
      <c r="AK168" s="39"/>
      <c r="AL168" s="39">
        <f>AH168*AD164</f>
        <v>7.5135375</v>
      </c>
      <c r="AQ168" s="139"/>
      <c r="AR168" s="139"/>
      <c r="AS168" s="139"/>
      <c r="AT168" s="139"/>
      <c r="AU168" s="139"/>
    </row>
    <row r="169" spans="1:47" ht="15.75" customHeight="1" x14ac:dyDescent="0.4">
      <c r="C169" s="36"/>
      <c r="D169" s="623"/>
      <c r="E169" s="623"/>
      <c r="F169" s="623"/>
      <c r="G169" s="221"/>
      <c r="H169" s="624"/>
      <c r="I169" s="577"/>
      <c r="J169" s="577"/>
      <c r="K169" s="577"/>
      <c r="L169" s="577"/>
      <c r="M169" s="575"/>
      <c r="N169" s="575"/>
      <c r="O169" s="575"/>
      <c r="P169" s="625"/>
      <c r="Q169" s="625"/>
      <c r="R169" s="577"/>
      <c r="S169" s="575"/>
      <c r="T169" s="577"/>
      <c r="U169" s="624"/>
      <c r="V169" s="577" t="s">
        <v>2365</v>
      </c>
      <c r="W169" s="577" t="s">
        <v>370</v>
      </c>
      <c r="X169" s="579" t="s">
        <v>369</v>
      </c>
      <c r="Y169" s="1446">
        <v>200152180</v>
      </c>
      <c r="Z169" s="864"/>
      <c r="AA169" s="624"/>
      <c r="AB169" s="577"/>
      <c r="AC169" s="577"/>
      <c r="AD169" s="575"/>
      <c r="AE169" s="577"/>
      <c r="AF169" s="577"/>
      <c r="AG169" s="575"/>
      <c r="AH169" s="626">
        <v>0.95860000000000001</v>
      </c>
      <c r="AI169" s="581"/>
      <c r="AJ169" s="581"/>
      <c r="AK169" s="581"/>
      <c r="AL169" s="581">
        <f>AH169*AD164</f>
        <v>8.1081583333333338</v>
      </c>
      <c r="AM169" s="577"/>
      <c r="AN169" s="577"/>
      <c r="AO169" s="577"/>
      <c r="AP169" s="577"/>
      <c r="AQ169" s="139"/>
      <c r="AR169" s="139"/>
      <c r="AS169" s="139"/>
      <c r="AT169" s="139"/>
      <c r="AU169" s="139"/>
    </row>
    <row r="170" spans="1:47" ht="15" customHeight="1" x14ac:dyDescent="0.4">
      <c r="B170" s="36"/>
      <c r="C170" s="36"/>
      <c r="D170" s="155" t="s">
        <v>1408</v>
      </c>
      <c r="E170" s="155"/>
      <c r="F170" s="155"/>
      <c r="G170" s="7"/>
      <c r="H170" s="20"/>
      <c r="I170" s="500"/>
      <c r="J170" s="500"/>
      <c r="K170" s="500"/>
      <c r="L170" s="500"/>
      <c r="M170" s="24"/>
      <c r="N170" s="24"/>
      <c r="O170" s="24"/>
      <c r="P170" s="24"/>
      <c r="Q170" s="24"/>
      <c r="R170" s="500"/>
      <c r="S170" s="24"/>
      <c r="T170" s="500"/>
      <c r="U170" s="20"/>
      <c r="V170" s="38" t="s">
        <v>369</v>
      </c>
      <c r="W170" s="3" t="s">
        <v>405</v>
      </c>
      <c r="X170" s="38" t="s">
        <v>369</v>
      </c>
      <c r="Y170" s="1452">
        <v>600042010</v>
      </c>
      <c r="Z170" s="41"/>
      <c r="AA170" s="20"/>
      <c r="AE170" s="3"/>
      <c r="AF170" s="3"/>
      <c r="AG170" s="3"/>
      <c r="AH170" s="39"/>
      <c r="AI170" s="39"/>
      <c r="AJ170" s="39"/>
      <c r="AK170" s="39"/>
      <c r="AM170" s="39"/>
      <c r="AN170" s="39"/>
      <c r="AO170" s="39"/>
      <c r="AP170" s="39"/>
      <c r="AQ170" s="139"/>
      <c r="AR170" s="140"/>
      <c r="AS170" s="139"/>
      <c r="AT170" s="139"/>
      <c r="AU170" s="139"/>
    </row>
    <row r="171" spans="1:47" ht="15" customHeight="1" x14ac:dyDescent="0.4">
      <c r="B171" s="3"/>
      <c r="C171" s="36"/>
      <c r="D171" s="155" t="s">
        <v>1409</v>
      </c>
      <c r="E171" s="155"/>
      <c r="F171" s="155"/>
      <c r="G171" s="7"/>
      <c r="H171" s="20"/>
      <c r="I171" s="3" t="s">
        <v>365</v>
      </c>
      <c r="L171" s="3" t="s">
        <v>348</v>
      </c>
      <c r="M171" s="5">
        <v>0</v>
      </c>
      <c r="R171" s="3" t="s">
        <v>352</v>
      </c>
      <c r="S171" s="5">
        <f>SLQHQwidth+M171+O171</f>
        <v>71.5</v>
      </c>
      <c r="T171" s="3" t="s">
        <v>366</v>
      </c>
      <c r="U171" s="20"/>
      <c r="V171" s="38" t="s">
        <v>369</v>
      </c>
      <c r="W171" s="3" t="s">
        <v>405</v>
      </c>
      <c r="X171" s="38" t="s">
        <v>369</v>
      </c>
      <c r="Y171" s="1443">
        <v>600050010</v>
      </c>
      <c r="Z171" s="41"/>
      <c r="AA171" s="20"/>
      <c r="AB171" s="3">
        <v>42</v>
      </c>
      <c r="AC171" s="3">
        <v>1</v>
      </c>
      <c r="AD171" s="5">
        <f>AC171*S171/12</f>
        <v>5.958333333333333</v>
      </c>
      <c r="AE171" s="3" t="s">
        <v>367</v>
      </c>
      <c r="AF171" s="3"/>
      <c r="AG171" s="3"/>
      <c r="AH171" s="39">
        <v>0</v>
      </c>
      <c r="AI171" s="39"/>
      <c r="AJ171" s="39"/>
      <c r="AK171" s="39"/>
      <c r="AM171" s="39"/>
      <c r="AN171" s="39"/>
      <c r="AO171" s="39"/>
      <c r="AP171" s="39"/>
      <c r="AQ171" s="139"/>
      <c r="AR171" s="140"/>
      <c r="AS171" s="139"/>
      <c r="AT171" s="139"/>
      <c r="AU171" s="139"/>
    </row>
    <row r="172" spans="1:47" ht="15" customHeight="1" thickBot="1" x14ac:dyDescent="0.25">
      <c r="C172" s="943"/>
      <c r="D172" s="1861" t="s">
        <v>2353</v>
      </c>
      <c r="E172" s="889"/>
      <c r="F172" s="925"/>
      <c r="G172" s="924"/>
      <c r="H172" s="887"/>
      <c r="I172" s="889" t="s">
        <v>365</v>
      </c>
      <c r="J172" s="889"/>
      <c r="K172" s="889"/>
      <c r="L172" s="889"/>
      <c r="M172" s="945"/>
      <c r="N172" s="945"/>
      <c r="O172" s="945"/>
      <c r="P172" s="945"/>
      <c r="Q172" s="945"/>
      <c r="R172" s="889" t="s">
        <v>352</v>
      </c>
      <c r="S172" s="945">
        <f>SLQHQheight</f>
        <v>47.5</v>
      </c>
      <c r="T172" s="889" t="s">
        <v>366</v>
      </c>
      <c r="U172" s="887"/>
      <c r="V172" s="888" t="s">
        <v>369</v>
      </c>
      <c r="W172" s="889" t="s">
        <v>370</v>
      </c>
      <c r="X172" s="888" t="s">
        <v>369</v>
      </c>
      <c r="Y172" s="1917">
        <v>120074014938</v>
      </c>
      <c r="Z172" s="1444"/>
      <c r="AA172" s="887"/>
      <c r="AB172" s="889"/>
      <c r="AC172" s="889">
        <v>2</v>
      </c>
      <c r="AD172" s="945">
        <f>AC172*S172/12</f>
        <v>7.916666666666667</v>
      </c>
      <c r="AE172" s="889" t="s">
        <v>367</v>
      </c>
      <c r="AF172" s="888"/>
      <c r="AG172" s="888"/>
      <c r="AH172" s="937">
        <f>0.00877</f>
        <v>8.77E-3</v>
      </c>
      <c r="AI172" s="947"/>
      <c r="AJ172" s="947"/>
      <c r="AK172" s="947"/>
      <c r="AL172" s="947">
        <f>AH172*AD172</f>
        <v>6.9429166666666667E-2</v>
      </c>
      <c r="AM172" s="889"/>
      <c r="AN172" s="889"/>
      <c r="AO172" s="889"/>
      <c r="AP172" s="889"/>
      <c r="AR172" s="140"/>
      <c r="AS172" s="139"/>
      <c r="AT172" s="139"/>
      <c r="AU172" s="139"/>
    </row>
    <row r="173" spans="1:47" ht="15" customHeight="1" x14ac:dyDescent="0.4">
      <c r="C173" s="173" t="s">
        <v>433</v>
      </c>
      <c r="D173" s="116"/>
      <c r="E173" s="116"/>
      <c r="F173" s="174" t="s">
        <v>431</v>
      </c>
      <c r="G173" s="173"/>
      <c r="H173" s="175"/>
      <c r="I173" s="116" t="s">
        <v>365</v>
      </c>
      <c r="J173" s="116"/>
      <c r="K173" s="116"/>
      <c r="L173" s="116" t="s">
        <v>348</v>
      </c>
      <c r="M173" s="177">
        <v>3</v>
      </c>
      <c r="N173" s="177" t="s">
        <v>348</v>
      </c>
      <c r="O173" s="177">
        <f>0.25</f>
        <v>0.25</v>
      </c>
      <c r="P173" s="177"/>
      <c r="Q173" s="177"/>
      <c r="R173" s="116" t="s">
        <v>352</v>
      </c>
      <c r="S173" s="177">
        <f>SLQHQheight+M173+O173</f>
        <v>50.75</v>
      </c>
      <c r="T173" s="116" t="s">
        <v>366</v>
      </c>
      <c r="U173" s="175"/>
      <c r="V173" s="173"/>
      <c r="W173" s="173"/>
      <c r="X173" s="173"/>
      <c r="Y173" s="1449"/>
      <c r="Z173" s="116"/>
      <c r="AA173" s="175"/>
      <c r="AB173" s="116">
        <v>42</v>
      </c>
      <c r="AC173" s="116">
        <v>2</v>
      </c>
      <c r="AD173" s="177">
        <f>AC173*S173/12</f>
        <v>8.4583333333333339</v>
      </c>
      <c r="AE173" s="116" t="s">
        <v>367</v>
      </c>
      <c r="AF173" s="179">
        <v>1.1200000000000001</v>
      </c>
      <c r="AG173" s="177">
        <f>AF173*AtolbperftQHQ</f>
        <v>0.70840000000000003</v>
      </c>
      <c r="AH173" s="185"/>
      <c r="AI173" s="477"/>
      <c r="AJ173" s="477"/>
      <c r="AK173" s="477"/>
      <c r="AL173" s="180"/>
      <c r="AQ173" s="139"/>
      <c r="AR173" s="139"/>
      <c r="AS173" s="139"/>
      <c r="AT173" s="139"/>
      <c r="AU173" s="139"/>
    </row>
    <row r="174" spans="1:47" ht="15" customHeight="1" x14ac:dyDescent="0.4">
      <c r="B174" s="36"/>
      <c r="C174" s="36"/>
      <c r="D174" s="155"/>
      <c r="E174" s="155" t="s">
        <v>439</v>
      </c>
      <c r="F174" s="155"/>
      <c r="G174" s="7"/>
      <c r="H174" s="20"/>
      <c r="I174" s="3" t="s">
        <v>365</v>
      </c>
      <c r="L174" s="3" t="s">
        <v>348</v>
      </c>
      <c r="M174" s="5">
        <v>0</v>
      </c>
      <c r="N174" s="5" t="s">
        <v>348</v>
      </c>
      <c r="O174" s="5">
        <f>0.25</f>
        <v>0.25</v>
      </c>
      <c r="P174" s="24"/>
      <c r="Q174" s="24"/>
      <c r="R174" s="3" t="s">
        <v>352</v>
      </c>
      <c r="S174" s="5">
        <f>SLQHQheight+M174+O174</f>
        <v>47.75</v>
      </c>
      <c r="T174" s="3" t="s">
        <v>366</v>
      </c>
      <c r="U174" s="20"/>
      <c r="V174" s="38" t="s">
        <v>369</v>
      </c>
      <c r="W174" s="3" t="s">
        <v>370</v>
      </c>
      <c r="X174" s="38" t="s">
        <v>369</v>
      </c>
      <c r="Y174" s="1443">
        <v>200151003</v>
      </c>
      <c r="Z174" s="41"/>
      <c r="AA174" s="20"/>
      <c r="AE174" s="3"/>
      <c r="AF174" s="38"/>
      <c r="AH174" s="39">
        <f>0.91*AG173</f>
        <v>0.64464399999999999</v>
      </c>
      <c r="AL174" s="39">
        <f>AH174*AD173</f>
        <v>5.4526138333333334</v>
      </c>
      <c r="AQ174" s="139"/>
      <c r="AR174" s="139"/>
      <c r="AS174" s="139"/>
      <c r="AT174" s="139"/>
      <c r="AU174" s="139"/>
    </row>
    <row r="175" spans="1:47" ht="15" customHeight="1" x14ac:dyDescent="0.4">
      <c r="B175" s="36"/>
      <c r="C175" s="36"/>
      <c r="D175" s="155"/>
      <c r="E175" s="155"/>
      <c r="F175" s="155"/>
      <c r="G175" s="7"/>
      <c r="H175" s="20"/>
      <c r="P175" s="24"/>
      <c r="Q175" s="24"/>
      <c r="U175" s="20"/>
      <c r="V175" s="38" t="s">
        <v>369</v>
      </c>
      <c r="W175" s="3" t="s">
        <v>372</v>
      </c>
      <c r="X175" s="38" t="s">
        <v>369</v>
      </c>
      <c r="Y175" s="1443">
        <v>200151021</v>
      </c>
      <c r="Z175" s="41"/>
      <c r="AA175" s="20"/>
      <c r="AE175" s="3"/>
      <c r="AF175" s="3"/>
      <c r="AH175" s="39">
        <f>1*AG173</f>
        <v>0.70840000000000003</v>
      </c>
      <c r="AI175" s="39"/>
      <c r="AJ175" s="39"/>
      <c r="AK175" s="39"/>
      <c r="AL175" s="39">
        <f>AH175*AD173</f>
        <v>5.9918833333333339</v>
      </c>
      <c r="AQ175" s="139"/>
      <c r="AR175" s="139"/>
      <c r="AS175" s="139"/>
      <c r="AT175" s="139"/>
      <c r="AU175" s="139"/>
    </row>
    <row r="176" spans="1:47" ht="15.75" customHeight="1" x14ac:dyDescent="0.4">
      <c r="B176" s="36"/>
      <c r="C176" s="36"/>
      <c r="D176" s="155"/>
      <c r="E176" s="155"/>
      <c r="F176" s="155"/>
      <c r="G176" s="7"/>
      <c r="H176" s="20"/>
      <c r="P176" s="24"/>
      <c r="Q176" s="24"/>
      <c r="U176" s="20"/>
      <c r="V176" s="38" t="s">
        <v>369</v>
      </c>
      <c r="W176" s="3" t="s">
        <v>373</v>
      </c>
      <c r="X176" s="38" t="s">
        <v>369</v>
      </c>
      <c r="Y176" s="1443">
        <v>200151033</v>
      </c>
      <c r="Z176" s="41"/>
      <c r="AA176" s="20"/>
      <c r="AE176" s="3"/>
      <c r="AF176" s="3"/>
      <c r="AH176" s="39">
        <f>1*AG173</f>
        <v>0.70840000000000003</v>
      </c>
      <c r="AI176" s="477"/>
      <c r="AJ176" s="477"/>
      <c r="AK176" s="477"/>
      <c r="AL176" s="39">
        <f>AH176*AD173</f>
        <v>5.9918833333333339</v>
      </c>
      <c r="AQ176" s="139"/>
      <c r="AR176" s="139"/>
      <c r="AS176" s="139"/>
      <c r="AT176" s="139"/>
      <c r="AU176" s="139"/>
    </row>
    <row r="177" spans="2:47" ht="15.75" customHeight="1" x14ac:dyDescent="0.4">
      <c r="B177" s="36"/>
      <c r="C177" s="36"/>
      <c r="D177" s="155"/>
      <c r="E177" s="155"/>
      <c r="F177" s="155"/>
      <c r="G177" s="7"/>
      <c r="H177" s="20"/>
      <c r="P177" s="24"/>
      <c r="Q177" s="24"/>
      <c r="U177" s="20"/>
      <c r="V177" s="3" t="s">
        <v>2363</v>
      </c>
      <c r="W177" s="3" t="s">
        <v>370</v>
      </c>
      <c r="X177" s="38" t="s">
        <v>369</v>
      </c>
      <c r="Y177" s="1443">
        <v>200151127</v>
      </c>
      <c r="Z177" s="41"/>
      <c r="AA177" s="20"/>
      <c r="AE177" s="3"/>
      <c r="AF177" s="3"/>
      <c r="AH177" s="51">
        <v>0.90069999999999995</v>
      </c>
      <c r="AI177" s="39"/>
      <c r="AJ177" s="39"/>
      <c r="AK177" s="39"/>
      <c r="AL177" s="39">
        <f t="shared" ref="AL177:AL178" si="13">AH177*$AD$168</f>
        <v>0</v>
      </c>
      <c r="AQ177" s="139"/>
      <c r="AR177" s="139"/>
      <c r="AS177" s="139"/>
      <c r="AT177" s="139"/>
      <c r="AU177" s="139"/>
    </row>
    <row r="178" spans="2:47" ht="15.75" customHeight="1" x14ac:dyDescent="0.4">
      <c r="B178" s="36"/>
      <c r="C178" s="36"/>
      <c r="D178" s="155"/>
      <c r="E178" s="623"/>
      <c r="F178" s="623"/>
      <c r="G178" s="221"/>
      <c r="H178" s="624"/>
      <c r="I178" s="577"/>
      <c r="J178" s="577"/>
      <c r="K178" s="577"/>
      <c r="L178" s="577"/>
      <c r="M178" s="575"/>
      <c r="N178" s="575"/>
      <c r="O178" s="575"/>
      <c r="P178" s="625"/>
      <c r="Q178" s="625"/>
      <c r="R178" s="577"/>
      <c r="S178" s="575"/>
      <c r="T178" s="577"/>
      <c r="U178" s="624"/>
      <c r="V178" s="577" t="s">
        <v>2365</v>
      </c>
      <c r="W178" s="577" t="s">
        <v>370</v>
      </c>
      <c r="X178" s="579" t="s">
        <v>369</v>
      </c>
      <c r="Y178" s="1446">
        <v>200151180</v>
      </c>
      <c r="Z178" s="864"/>
      <c r="AA178" s="624"/>
      <c r="AB178" s="577"/>
      <c r="AC178" s="577"/>
      <c r="AD178" s="575"/>
      <c r="AE178" s="577"/>
      <c r="AF178" s="577"/>
      <c r="AG178" s="575"/>
      <c r="AH178" s="626">
        <v>0.97099999999999997</v>
      </c>
      <c r="AI178" s="581"/>
      <c r="AJ178" s="581"/>
      <c r="AK178" s="581"/>
      <c r="AL178" s="581">
        <f t="shared" si="13"/>
        <v>0</v>
      </c>
      <c r="AM178" s="577"/>
      <c r="AN178" s="577"/>
      <c r="AO178" s="577"/>
      <c r="AP178" s="577"/>
      <c r="AQ178" s="139"/>
      <c r="AR178" s="139"/>
      <c r="AS178" s="139"/>
      <c r="AT178" s="139"/>
      <c r="AU178" s="139"/>
    </row>
    <row r="179" spans="2:47" ht="15" customHeight="1" x14ac:dyDescent="0.4">
      <c r="B179" s="36"/>
      <c r="C179" s="36"/>
      <c r="D179" s="155" t="s">
        <v>1408</v>
      </c>
      <c r="E179" s="155"/>
      <c r="F179" s="155"/>
      <c r="G179" s="7"/>
      <c r="H179" s="20"/>
      <c r="I179" s="500"/>
      <c r="J179" s="500"/>
      <c r="K179" s="500"/>
      <c r="L179" s="500"/>
      <c r="M179" s="24"/>
      <c r="N179" s="24"/>
      <c r="O179" s="24"/>
      <c r="P179" s="24"/>
      <c r="Q179" s="24"/>
      <c r="R179" s="500"/>
      <c r="S179" s="24"/>
      <c r="T179" s="500"/>
      <c r="U179" s="20"/>
      <c r="V179" s="38" t="s">
        <v>369</v>
      </c>
      <c r="W179" s="3" t="s">
        <v>405</v>
      </c>
      <c r="X179" s="38" t="s">
        <v>369</v>
      </c>
      <c r="Y179" s="1452">
        <v>600042010</v>
      </c>
      <c r="Z179" s="41"/>
      <c r="AA179" s="20"/>
      <c r="AE179" s="3"/>
      <c r="AF179" s="3"/>
      <c r="AG179" s="3"/>
      <c r="AH179" s="39"/>
      <c r="AI179" s="39"/>
      <c r="AJ179" s="39"/>
      <c r="AK179" s="39"/>
      <c r="AM179" s="39"/>
      <c r="AN179" s="39"/>
      <c r="AO179" s="39"/>
      <c r="AP179" s="39"/>
      <c r="AQ179" s="139"/>
      <c r="AR179" s="140"/>
      <c r="AS179" s="139"/>
      <c r="AT179" s="139"/>
      <c r="AU179" s="139"/>
    </row>
    <row r="180" spans="2:47" ht="15" customHeight="1" x14ac:dyDescent="0.4">
      <c r="B180" s="3"/>
      <c r="C180" s="36"/>
      <c r="D180" s="155" t="s">
        <v>1409</v>
      </c>
      <c r="E180" s="155"/>
      <c r="F180" s="155"/>
      <c r="G180" s="7"/>
      <c r="H180" s="20"/>
      <c r="I180" s="3" t="s">
        <v>365</v>
      </c>
      <c r="L180" s="3" t="s">
        <v>348</v>
      </c>
      <c r="M180" s="5">
        <v>0</v>
      </c>
      <c r="R180" s="3" t="s">
        <v>352</v>
      </c>
      <c r="S180" s="5">
        <f>SLQHQwidth+M180+O180</f>
        <v>71.5</v>
      </c>
      <c r="T180" s="3" t="s">
        <v>366</v>
      </c>
      <c r="U180" s="20"/>
      <c r="V180" s="38" t="s">
        <v>369</v>
      </c>
      <c r="W180" s="3" t="s">
        <v>405</v>
      </c>
      <c r="X180" s="38" t="s">
        <v>369</v>
      </c>
      <c r="Y180" s="1443">
        <v>600050010</v>
      </c>
      <c r="Z180" s="41"/>
      <c r="AA180" s="20"/>
      <c r="AB180" s="3">
        <v>42</v>
      </c>
      <c r="AC180" s="3">
        <v>1</v>
      </c>
      <c r="AD180" s="5">
        <f>AC180*S180/12</f>
        <v>5.958333333333333</v>
      </c>
      <c r="AE180" s="3" t="s">
        <v>367</v>
      </c>
      <c r="AF180" s="3"/>
      <c r="AG180" s="3"/>
      <c r="AH180" s="39">
        <v>0</v>
      </c>
      <c r="AI180" s="39"/>
      <c r="AJ180" s="39"/>
      <c r="AK180" s="39"/>
      <c r="AM180" s="39"/>
      <c r="AN180" s="39"/>
      <c r="AO180" s="39"/>
      <c r="AP180" s="39"/>
      <c r="AQ180" s="139"/>
      <c r="AR180" s="140"/>
      <c r="AS180" s="139"/>
      <c r="AT180" s="139"/>
      <c r="AU180" s="139"/>
    </row>
    <row r="181" spans="2:47" ht="15" customHeight="1" thickBot="1" x14ac:dyDescent="0.25">
      <c r="C181" s="943"/>
      <c r="D181" s="1861" t="s">
        <v>2353</v>
      </c>
      <c r="E181" s="889"/>
      <c r="F181" s="925"/>
      <c r="G181" s="924"/>
      <c r="H181" s="887"/>
      <c r="I181" s="889" t="s">
        <v>365</v>
      </c>
      <c r="J181" s="889"/>
      <c r="K181" s="889"/>
      <c r="L181" s="889"/>
      <c r="M181" s="945"/>
      <c r="N181" s="945"/>
      <c r="O181" s="945"/>
      <c r="P181" s="945"/>
      <c r="Q181" s="945"/>
      <c r="R181" s="889" t="s">
        <v>352</v>
      </c>
      <c r="S181" s="945">
        <f>SLQHQheight</f>
        <v>47.5</v>
      </c>
      <c r="T181" s="889" t="s">
        <v>366</v>
      </c>
      <c r="U181" s="887"/>
      <c r="V181" s="888" t="s">
        <v>369</v>
      </c>
      <c r="W181" s="889" t="s">
        <v>370</v>
      </c>
      <c r="X181" s="888" t="s">
        <v>369</v>
      </c>
      <c r="Y181" s="1917">
        <v>120074014938</v>
      </c>
      <c r="Z181" s="1444"/>
      <c r="AA181" s="887"/>
      <c r="AB181" s="889"/>
      <c r="AC181" s="889">
        <v>2</v>
      </c>
      <c r="AD181" s="945">
        <f>AC181*S181/12</f>
        <v>7.916666666666667</v>
      </c>
      <c r="AE181" s="889" t="s">
        <v>367</v>
      </c>
      <c r="AF181" s="888"/>
      <c r="AG181" s="888"/>
      <c r="AH181" s="937">
        <f>0.00877</f>
        <v>8.77E-3</v>
      </c>
      <c r="AI181" s="947"/>
      <c r="AJ181" s="947"/>
      <c r="AK181" s="947"/>
      <c r="AL181" s="947">
        <f>AH181*AD181</f>
        <v>6.9429166666666667E-2</v>
      </c>
      <c r="AM181" s="889"/>
      <c r="AN181" s="889"/>
      <c r="AO181" s="889"/>
      <c r="AP181" s="889"/>
      <c r="AR181" s="140"/>
      <c r="AS181" s="139"/>
      <c r="AT181" s="139"/>
      <c r="AU181" s="139"/>
    </row>
    <row r="182" spans="2:47" ht="15" customHeight="1" x14ac:dyDescent="0.4">
      <c r="B182" s="3"/>
      <c r="C182" s="173" t="s">
        <v>435</v>
      </c>
      <c r="D182" s="181"/>
      <c r="E182" s="182"/>
      <c r="F182" s="182"/>
      <c r="G182" s="173"/>
      <c r="H182" s="175"/>
      <c r="I182" s="116"/>
      <c r="J182" s="116"/>
      <c r="K182" s="116"/>
      <c r="L182" s="116"/>
      <c r="M182" s="177"/>
      <c r="N182" s="177"/>
      <c r="O182" s="177"/>
      <c r="P182" s="178"/>
      <c r="Q182" s="178"/>
      <c r="R182" s="116"/>
      <c r="S182" s="198">
        <v>1</v>
      </c>
      <c r="T182" s="116" t="s">
        <v>385</v>
      </c>
      <c r="U182" s="175"/>
      <c r="V182" s="179"/>
      <c r="W182" s="116"/>
      <c r="X182" s="179"/>
      <c r="Y182" s="1449"/>
      <c r="Z182" s="184"/>
      <c r="AA182" s="175"/>
      <c r="AB182" s="116">
        <v>42</v>
      </c>
      <c r="AC182" s="116">
        <v>2</v>
      </c>
      <c r="AD182" s="198">
        <f>AC182*S182</f>
        <v>2</v>
      </c>
      <c r="AE182" s="116" t="s">
        <v>385</v>
      </c>
      <c r="AF182" s="116">
        <v>0</v>
      </c>
      <c r="AG182" s="177">
        <f>AF182*AtolbperftQHQ</f>
        <v>0</v>
      </c>
      <c r="AH182" s="185"/>
      <c r="AI182" s="185"/>
      <c r="AJ182" s="185"/>
      <c r="AK182" s="185"/>
      <c r="AL182" s="180"/>
      <c r="AQ182" s="139"/>
      <c r="AR182" s="139"/>
      <c r="AS182" s="139"/>
      <c r="AT182" s="139"/>
    </row>
    <row r="183" spans="2:47" ht="15" customHeight="1" x14ac:dyDescent="0.4">
      <c r="B183" s="36"/>
      <c r="C183" s="36"/>
      <c r="D183" s="155"/>
      <c r="E183" s="155"/>
      <c r="F183" s="155"/>
      <c r="G183" s="7"/>
      <c r="H183" s="20"/>
      <c r="P183" s="24"/>
      <c r="Q183" s="24"/>
      <c r="U183" s="20"/>
      <c r="V183" s="38" t="s">
        <v>369</v>
      </c>
      <c r="W183" s="3" t="s">
        <v>386</v>
      </c>
      <c r="X183" s="38" t="s">
        <v>369</v>
      </c>
      <c r="Y183" s="1443">
        <v>200161008</v>
      </c>
      <c r="Z183" s="41"/>
      <c r="AA183" s="20"/>
      <c r="AE183" s="3"/>
      <c r="AF183" s="38"/>
      <c r="AH183" s="39">
        <v>0</v>
      </c>
      <c r="AI183" s="39"/>
      <c r="AJ183" s="39"/>
      <c r="AK183" s="39"/>
      <c r="AL183" s="39">
        <f>AH183*AD182</f>
        <v>0</v>
      </c>
      <c r="AQ183" s="139"/>
      <c r="AR183" s="139"/>
      <c r="AS183" s="139"/>
      <c r="AT183" s="139"/>
    </row>
    <row r="184" spans="2:47" ht="15" customHeight="1" x14ac:dyDescent="0.4">
      <c r="B184" s="36"/>
      <c r="C184" s="36"/>
      <c r="D184" s="155"/>
      <c r="E184" s="155"/>
      <c r="F184" s="155"/>
      <c r="G184" s="7"/>
      <c r="H184" s="20"/>
      <c r="P184" s="24"/>
      <c r="Q184" s="24"/>
      <c r="U184" s="20"/>
      <c r="V184" s="38"/>
      <c r="X184" s="38"/>
      <c r="Y184" s="1443"/>
      <c r="Z184" s="41"/>
      <c r="AA184" s="20"/>
      <c r="AE184" s="3"/>
      <c r="AF184" s="3"/>
      <c r="AH184" s="39">
        <v>0</v>
      </c>
      <c r="AI184" s="39"/>
      <c r="AJ184" s="39"/>
      <c r="AK184" s="39"/>
      <c r="AL184" s="39">
        <f>AH184*AD182</f>
        <v>0</v>
      </c>
      <c r="AQ184" s="139"/>
      <c r="AR184" s="139"/>
      <c r="AS184" s="139"/>
      <c r="AT184" s="139"/>
    </row>
    <row r="185" spans="2:47" ht="15" customHeight="1" thickBot="1" x14ac:dyDescent="0.45">
      <c r="B185" s="36"/>
      <c r="C185" s="943"/>
      <c r="D185" s="925"/>
      <c r="E185" s="925"/>
      <c r="F185" s="925"/>
      <c r="G185" s="924"/>
      <c r="H185" s="887"/>
      <c r="I185" s="889"/>
      <c r="J185" s="889"/>
      <c r="K185" s="889"/>
      <c r="L185" s="889"/>
      <c r="M185" s="945"/>
      <c r="N185" s="945"/>
      <c r="O185" s="945"/>
      <c r="P185" s="1020"/>
      <c r="Q185" s="1020"/>
      <c r="R185" s="889"/>
      <c r="S185" s="945"/>
      <c r="T185" s="889"/>
      <c r="U185" s="887"/>
      <c r="V185" s="888"/>
      <c r="W185" s="889"/>
      <c r="X185" s="888"/>
      <c r="Y185" s="1444"/>
      <c r="Z185" s="946"/>
      <c r="AA185" s="887"/>
      <c r="AB185" s="889"/>
      <c r="AC185" s="889"/>
      <c r="AD185" s="945"/>
      <c r="AE185" s="889"/>
      <c r="AF185" s="889"/>
      <c r="AG185" s="945"/>
      <c r="AH185" s="947">
        <v>0</v>
      </c>
      <c r="AI185" s="947"/>
      <c r="AJ185" s="947"/>
      <c r="AK185" s="947"/>
      <c r="AL185" s="947">
        <f>AH185*AD182</f>
        <v>0</v>
      </c>
      <c r="AM185" s="889"/>
      <c r="AN185" s="889"/>
      <c r="AO185" s="889"/>
      <c r="AP185" s="889"/>
      <c r="AQ185" s="139"/>
      <c r="AR185" s="139"/>
      <c r="AS185" s="139"/>
      <c r="AT185" s="139"/>
    </row>
    <row r="186" spans="2:47" ht="15" customHeight="1" x14ac:dyDescent="0.4">
      <c r="C186" s="173" t="s">
        <v>382</v>
      </c>
      <c r="D186" s="182"/>
      <c r="F186" s="182"/>
      <c r="G186" s="430" t="s">
        <v>383</v>
      </c>
      <c r="H186" s="175"/>
      <c r="I186" s="116" t="s">
        <v>365</v>
      </c>
      <c r="J186" s="116"/>
      <c r="K186" s="116"/>
      <c r="L186" s="116" t="s">
        <v>348</v>
      </c>
      <c r="M186" s="177">
        <v>3</v>
      </c>
      <c r="N186" s="177" t="s">
        <v>348</v>
      </c>
      <c r="O186" s="177">
        <f>0.25</f>
        <v>0.25</v>
      </c>
      <c r="P186" s="178"/>
      <c r="Q186" s="178"/>
      <c r="R186" s="116" t="s">
        <v>352</v>
      </c>
      <c r="S186" s="177">
        <f>SLQHQheight+M186+O186</f>
        <v>50.75</v>
      </c>
      <c r="T186" s="116" t="s">
        <v>366</v>
      </c>
      <c r="U186" s="175"/>
      <c r="V186" s="179"/>
      <c r="W186" s="116"/>
      <c r="X186" s="179"/>
      <c r="Y186" s="1449"/>
      <c r="Z186" s="184"/>
      <c r="AA186" s="175"/>
      <c r="AB186" s="116">
        <v>42</v>
      </c>
      <c r="AC186" s="116">
        <v>2</v>
      </c>
      <c r="AD186" s="177">
        <f>AC186*S186/12</f>
        <v>8.4583333333333339</v>
      </c>
      <c r="AE186" s="116" t="s">
        <v>367</v>
      </c>
      <c r="AF186" s="116">
        <v>0</v>
      </c>
      <c r="AG186" s="177">
        <f>AF186*AtolbperftQHQ</f>
        <v>0</v>
      </c>
      <c r="AH186" s="185"/>
      <c r="AI186" s="39"/>
      <c r="AJ186" s="39"/>
      <c r="AK186" s="39"/>
      <c r="AL186" s="180"/>
      <c r="AQ186" s="139"/>
      <c r="AR186" s="139"/>
      <c r="AS186" s="139"/>
      <c r="AT186" s="139"/>
      <c r="AU186" s="139"/>
    </row>
    <row r="187" spans="2:47" ht="15" customHeight="1" x14ac:dyDescent="0.4">
      <c r="B187" s="36"/>
      <c r="C187" s="36"/>
      <c r="D187" s="155"/>
      <c r="E187" s="155"/>
      <c r="F187" s="155"/>
      <c r="G187" s="7"/>
      <c r="H187" s="20"/>
      <c r="P187" s="24"/>
      <c r="Q187" s="24"/>
      <c r="U187" s="20"/>
      <c r="V187" s="38" t="s">
        <v>369</v>
      </c>
      <c r="W187" s="3" t="s">
        <v>370</v>
      </c>
      <c r="X187" s="38" t="s">
        <v>369</v>
      </c>
      <c r="Y187" s="1443">
        <v>200114003</v>
      </c>
      <c r="Z187" s="41"/>
      <c r="AA187" s="20"/>
      <c r="AE187" s="3"/>
      <c r="AF187" s="38"/>
      <c r="AH187" s="39">
        <f>1*AG186</f>
        <v>0</v>
      </c>
      <c r="AI187" s="478"/>
      <c r="AJ187" s="478"/>
      <c r="AK187" s="478"/>
      <c r="AL187" s="39">
        <f>AH187*AD186</f>
        <v>0</v>
      </c>
      <c r="AQ187" s="139"/>
      <c r="AR187" s="139"/>
      <c r="AS187" s="139"/>
      <c r="AT187" s="139"/>
      <c r="AU187" s="139"/>
    </row>
    <row r="188" spans="2:47" ht="15" customHeight="1" x14ac:dyDescent="0.4">
      <c r="B188" s="36"/>
      <c r="C188" s="36"/>
      <c r="D188" s="155"/>
      <c r="E188" s="155"/>
      <c r="F188" s="155"/>
      <c r="G188" s="7"/>
      <c r="H188" s="20"/>
      <c r="P188" s="24"/>
      <c r="Q188" s="24"/>
      <c r="U188" s="20"/>
      <c r="V188" s="38" t="s">
        <v>369</v>
      </c>
      <c r="W188" s="3" t="s">
        <v>372</v>
      </c>
      <c r="X188" s="38" t="s">
        <v>369</v>
      </c>
      <c r="Y188" s="1443">
        <v>200114021</v>
      </c>
      <c r="Z188" s="41"/>
      <c r="AA188" s="20"/>
      <c r="AE188" s="3"/>
      <c r="AF188" s="3"/>
      <c r="AH188" s="39">
        <f>1*AG186</f>
        <v>0</v>
      </c>
      <c r="AI188" s="478"/>
      <c r="AJ188" s="478"/>
      <c r="AK188" s="478"/>
      <c r="AL188" s="39">
        <f>AH188*AD186</f>
        <v>0</v>
      </c>
      <c r="AQ188" s="139"/>
      <c r="AR188" s="139"/>
      <c r="AS188" s="139"/>
      <c r="AT188" s="139"/>
      <c r="AU188" s="139"/>
    </row>
    <row r="189" spans="2:47" ht="15" customHeight="1" x14ac:dyDescent="0.4">
      <c r="B189" s="36"/>
      <c r="C189" s="36"/>
      <c r="D189" s="155"/>
      <c r="E189" s="155"/>
      <c r="F189" s="155"/>
      <c r="G189" s="7"/>
      <c r="H189" s="20"/>
      <c r="P189" s="24"/>
      <c r="Q189" s="24"/>
      <c r="U189" s="20"/>
      <c r="V189" s="38" t="s">
        <v>369</v>
      </c>
      <c r="W189" s="3" t="s">
        <v>373</v>
      </c>
      <c r="X189" s="38" t="s">
        <v>369</v>
      </c>
      <c r="Y189" s="1443">
        <v>200114033</v>
      </c>
      <c r="Z189" s="41"/>
      <c r="AA189" s="20"/>
      <c r="AE189" s="3"/>
      <c r="AF189" s="3"/>
      <c r="AH189" s="39">
        <f>1*AG186</f>
        <v>0</v>
      </c>
      <c r="AL189" s="39">
        <f>AH189*AD186</f>
        <v>0</v>
      </c>
      <c r="AQ189" s="139"/>
      <c r="AR189" s="139"/>
      <c r="AS189" s="139"/>
      <c r="AT189" s="139"/>
      <c r="AU189" s="139"/>
    </row>
    <row r="190" spans="2:47" ht="15" customHeight="1" x14ac:dyDescent="0.4">
      <c r="B190" s="36"/>
      <c r="C190" s="36"/>
      <c r="D190" s="155"/>
      <c r="E190" s="155"/>
      <c r="F190" s="155"/>
      <c r="G190" s="7"/>
      <c r="H190" s="20"/>
      <c r="P190" s="24"/>
      <c r="Q190" s="24"/>
      <c r="U190" s="20"/>
      <c r="V190" s="38" t="s">
        <v>369</v>
      </c>
      <c r="W190" s="3" t="s">
        <v>374</v>
      </c>
      <c r="X190" s="38" t="s">
        <v>369</v>
      </c>
      <c r="Y190" s="1443">
        <v>200114090</v>
      </c>
      <c r="Z190" s="1443"/>
      <c r="AA190" s="20"/>
      <c r="AE190" s="3"/>
      <c r="AF190" s="3"/>
      <c r="AH190" s="51">
        <v>0.26579999999999998</v>
      </c>
      <c r="AI190" s="39"/>
      <c r="AJ190" s="39"/>
      <c r="AK190" s="39"/>
      <c r="AL190" s="39">
        <f t="shared" ref="AL190:AL191" si="14">AH190*$AD$182</f>
        <v>0.53159999999999996</v>
      </c>
      <c r="AQ190" s="139"/>
      <c r="AR190" s="139"/>
      <c r="AS190" s="139"/>
      <c r="AT190" s="139"/>
      <c r="AU190" s="139"/>
    </row>
    <row r="191" spans="2:47" ht="15" customHeight="1" thickBot="1" x14ac:dyDescent="0.45">
      <c r="B191" s="943"/>
      <c r="C191" s="943"/>
      <c r="D191" s="925"/>
      <c r="E191" s="925"/>
      <c r="F191" s="925"/>
      <c r="G191" s="924"/>
      <c r="H191" s="887"/>
      <c r="I191" s="889"/>
      <c r="J191" s="889"/>
      <c r="K191" s="889"/>
      <c r="L191" s="889"/>
      <c r="M191" s="945"/>
      <c r="N191" s="945"/>
      <c r="O191" s="945"/>
      <c r="P191" s="1020"/>
      <c r="Q191" s="1020"/>
      <c r="R191" s="889"/>
      <c r="S191" s="945"/>
      <c r="T191" s="889"/>
      <c r="U191" s="887"/>
      <c r="V191" s="888" t="s">
        <v>369</v>
      </c>
      <c r="W191" s="889" t="s">
        <v>375</v>
      </c>
      <c r="X191" s="888" t="s">
        <v>369</v>
      </c>
      <c r="Y191" s="1444">
        <v>200114133</v>
      </c>
      <c r="Z191" s="1444"/>
      <c r="AA191" s="887"/>
      <c r="AB191" s="889"/>
      <c r="AC191" s="889"/>
      <c r="AD191" s="945"/>
      <c r="AE191" s="889"/>
      <c r="AF191" s="889"/>
      <c r="AG191" s="945"/>
      <c r="AH191" s="51">
        <v>0.28470000000000001</v>
      </c>
      <c r="AI191" s="947"/>
      <c r="AJ191" s="947"/>
      <c r="AK191" s="947"/>
      <c r="AL191" s="947">
        <f t="shared" si="14"/>
        <v>0.56940000000000002</v>
      </c>
      <c r="AQ191" s="139"/>
      <c r="AR191" s="139"/>
      <c r="AS191" s="139"/>
      <c r="AT191" s="139"/>
      <c r="AU191" s="139"/>
    </row>
    <row r="192" spans="2:47" ht="15" customHeight="1" thickBot="1" x14ac:dyDescent="0.45">
      <c r="B192" s="173" t="s">
        <v>436</v>
      </c>
      <c r="C192" s="173"/>
      <c r="D192" s="116"/>
      <c r="E192" s="116"/>
      <c r="F192" s="174"/>
      <c r="G192" s="173"/>
      <c r="H192" s="175"/>
      <c r="I192" s="116"/>
      <c r="J192" s="116"/>
      <c r="K192" s="116"/>
      <c r="L192" s="116"/>
      <c r="M192" s="116"/>
      <c r="N192" s="177"/>
      <c r="O192" s="177"/>
      <c r="P192" s="177"/>
      <c r="Q192" s="177"/>
      <c r="R192" s="116"/>
      <c r="S192" s="177"/>
      <c r="T192" s="116"/>
      <c r="U192" s="175"/>
      <c r="V192" s="173"/>
      <c r="W192" s="173"/>
      <c r="X192" s="173"/>
      <c r="Y192" s="1449"/>
      <c r="Z192" s="116"/>
      <c r="AA192" s="175"/>
      <c r="AB192" s="116"/>
      <c r="AC192" s="116"/>
      <c r="AD192" s="177"/>
      <c r="AE192" s="116"/>
      <c r="AF192" s="179"/>
      <c r="AG192" s="177"/>
      <c r="AH192" s="185"/>
      <c r="AI192" s="475"/>
      <c r="AJ192" s="475"/>
      <c r="AK192" s="475"/>
      <c r="AL192" s="180"/>
      <c r="AM192" s="137"/>
      <c r="AN192" s="137"/>
      <c r="AO192" s="137"/>
      <c r="AP192" s="137"/>
      <c r="AQ192" s="139"/>
      <c r="AR192" s="139"/>
      <c r="AS192" s="139"/>
      <c r="AT192" s="139"/>
      <c r="AU192" s="139"/>
    </row>
    <row r="193" spans="1:47" ht="15" customHeight="1" x14ac:dyDescent="0.4">
      <c r="A193" s="3" t="s">
        <v>389</v>
      </c>
      <c r="B193" s="173"/>
      <c r="C193" s="173" t="s">
        <v>437</v>
      </c>
      <c r="D193" s="116"/>
      <c r="E193" s="182"/>
      <c r="F193" s="182" t="s">
        <v>438</v>
      </c>
      <c r="G193" s="173"/>
      <c r="H193" s="175"/>
      <c r="I193" s="116" t="s">
        <v>392</v>
      </c>
      <c r="J193" s="116"/>
      <c r="K193" s="116"/>
      <c r="L193" s="116" t="s">
        <v>348</v>
      </c>
      <c r="M193" s="177">
        <v>3</v>
      </c>
      <c r="N193" s="177" t="s">
        <v>348</v>
      </c>
      <c r="O193" s="177">
        <f>0.25</f>
        <v>0.25</v>
      </c>
      <c r="P193" s="177"/>
      <c r="Q193" s="177"/>
      <c r="R193" s="116" t="s">
        <v>352</v>
      </c>
      <c r="S193" s="177">
        <f>SLQHQwidth+M193+O193</f>
        <v>74.75</v>
      </c>
      <c r="T193" s="116" t="s">
        <v>366</v>
      </c>
      <c r="U193" s="175"/>
      <c r="V193" s="179"/>
      <c r="W193" s="116"/>
      <c r="X193" s="179"/>
      <c r="Y193" s="1449"/>
      <c r="Z193" s="116"/>
      <c r="AA193" s="175"/>
      <c r="AB193" s="116">
        <v>42</v>
      </c>
      <c r="AC193" s="116">
        <v>1</v>
      </c>
      <c r="AD193" s="177">
        <f>AC193*S193/12</f>
        <v>6.229166666666667</v>
      </c>
      <c r="AE193" s="116" t="s">
        <v>367</v>
      </c>
      <c r="AF193" s="179">
        <f>AF164</f>
        <v>1.1200000000000001</v>
      </c>
      <c r="AG193" s="177">
        <f>AF193*AtolbperftQHQ</f>
        <v>0.70840000000000003</v>
      </c>
      <c r="AH193" s="185"/>
      <c r="AI193" s="39"/>
      <c r="AJ193" s="39"/>
      <c r="AK193" s="39"/>
      <c r="AL193" s="180"/>
      <c r="AQ193" s="139"/>
      <c r="AR193" s="139"/>
      <c r="AS193" s="139"/>
      <c r="AT193" s="139"/>
      <c r="AU193" s="139"/>
    </row>
    <row r="194" spans="1:47" ht="15" customHeight="1" x14ac:dyDescent="0.4">
      <c r="B194" s="36"/>
      <c r="C194" s="155"/>
      <c r="D194" s="155"/>
      <c r="E194" s="155" t="s">
        <v>439</v>
      </c>
      <c r="F194" s="155"/>
      <c r="G194" s="7"/>
      <c r="H194" s="20"/>
      <c r="I194" s="3" t="s">
        <v>392</v>
      </c>
      <c r="L194" s="3" t="s">
        <v>348</v>
      </c>
      <c r="M194" s="5">
        <v>0</v>
      </c>
      <c r="N194" s="5" t="s">
        <v>348</v>
      </c>
      <c r="O194" s="5">
        <f>0.25</f>
        <v>0.25</v>
      </c>
      <c r="P194" s="24"/>
      <c r="Q194" s="24"/>
      <c r="R194" s="3" t="s">
        <v>352</v>
      </c>
      <c r="S194" s="5">
        <f>SLQHQwidth+M194+O194</f>
        <v>71.75</v>
      </c>
      <c r="T194" s="3" t="s">
        <v>366</v>
      </c>
      <c r="U194" s="20"/>
      <c r="V194" s="38" t="s">
        <v>369</v>
      </c>
      <c r="W194" s="3" t="s">
        <v>370</v>
      </c>
      <c r="X194" s="38" t="s">
        <v>369</v>
      </c>
      <c r="Y194" s="1443">
        <v>200152003</v>
      </c>
      <c r="Z194" s="41"/>
      <c r="AA194" s="20"/>
      <c r="AE194" s="3"/>
      <c r="AF194" s="38"/>
      <c r="AH194" s="39">
        <f>0.91*AG193</f>
        <v>0.64464399999999999</v>
      </c>
      <c r="AI194" s="39"/>
      <c r="AJ194" s="39"/>
      <c r="AK194" s="39"/>
      <c r="AL194" s="39">
        <f>AH194*AD193</f>
        <v>4.0155949166666671</v>
      </c>
      <c r="AQ194" s="139"/>
      <c r="AR194" s="139"/>
      <c r="AS194" s="139"/>
      <c r="AT194" s="139"/>
      <c r="AU194" s="139"/>
    </row>
    <row r="195" spans="1:47" ht="15" customHeight="1" x14ac:dyDescent="0.4">
      <c r="B195" s="36"/>
      <c r="C195" s="155"/>
      <c r="D195" s="155"/>
      <c r="E195" s="155"/>
      <c r="F195" s="155"/>
      <c r="G195" s="7"/>
      <c r="H195" s="20"/>
      <c r="U195" s="20"/>
      <c r="V195" s="38" t="s">
        <v>369</v>
      </c>
      <c r="W195" s="3" t="s">
        <v>372</v>
      </c>
      <c r="X195" s="38" t="s">
        <v>369</v>
      </c>
      <c r="Y195" s="1443">
        <v>200152021</v>
      </c>
      <c r="Z195" s="41"/>
      <c r="AA195" s="20"/>
      <c r="AE195" s="3"/>
      <c r="AF195" s="38"/>
      <c r="AH195" s="39">
        <f>1*AG193</f>
        <v>0.70840000000000003</v>
      </c>
      <c r="AL195" s="39">
        <f>AH195*AD193</f>
        <v>4.4127416666666672</v>
      </c>
      <c r="AQ195" s="139"/>
      <c r="AR195" s="139"/>
      <c r="AS195" s="139"/>
      <c r="AT195" s="139"/>
      <c r="AU195" s="139"/>
    </row>
    <row r="196" spans="1:47" ht="15" customHeight="1" x14ac:dyDescent="0.4">
      <c r="B196" s="3"/>
      <c r="C196" s="36"/>
      <c r="D196" s="36"/>
      <c r="E196" s="155"/>
      <c r="F196" s="155"/>
      <c r="G196" s="7"/>
      <c r="H196" s="20"/>
      <c r="U196" s="20"/>
      <c r="V196" s="38" t="s">
        <v>369</v>
      </c>
      <c r="W196" s="3" t="s">
        <v>373</v>
      </c>
      <c r="X196" s="38" t="s">
        <v>369</v>
      </c>
      <c r="Y196" s="1443">
        <v>200152033</v>
      </c>
      <c r="Z196" s="41"/>
      <c r="AA196" s="20"/>
      <c r="AE196" s="3"/>
      <c r="AF196" s="38"/>
      <c r="AH196" s="39">
        <f>1*AG193</f>
        <v>0.70840000000000003</v>
      </c>
      <c r="AI196" s="39"/>
      <c r="AJ196" s="39"/>
      <c r="AK196" s="39"/>
      <c r="AL196" s="39">
        <f>AH196*AD193</f>
        <v>4.4127416666666672</v>
      </c>
      <c r="AQ196" s="139"/>
      <c r="AR196" s="139"/>
      <c r="AS196" s="139"/>
      <c r="AT196" s="139"/>
      <c r="AU196" s="139"/>
    </row>
    <row r="197" spans="1:47" ht="15.75" customHeight="1" x14ac:dyDescent="0.4">
      <c r="C197" s="3"/>
      <c r="D197" s="155"/>
      <c r="E197" s="155"/>
      <c r="F197" s="155"/>
      <c r="G197" s="7"/>
      <c r="H197" s="20"/>
      <c r="P197" s="24"/>
      <c r="Q197" s="24"/>
      <c r="U197" s="20"/>
      <c r="V197" s="3" t="s">
        <v>2363</v>
      </c>
      <c r="W197" s="3" t="s">
        <v>370</v>
      </c>
      <c r="X197" s="38" t="s">
        <v>369</v>
      </c>
      <c r="Y197" s="1443">
        <v>200152127</v>
      </c>
      <c r="Z197" s="41"/>
      <c r="AA197" s="20"/>
      <c r="AE197" s="3"/>
      <c r="AF197" s="3"/>
      <c r="AH197" s="51">
        <v>0.88829999999999998</v>
      </c>
      <c r="AI197" s="39"/>
      <c r="AJ197" s="39"/>
      <c r="AK197" s="39"/>
      <c r="AL197" s="39">
        <f>AH197*AD193</f>
        <v>5.5333687500000002</v>
      </c>
      <c r="AQ197" s="139"/>
      <c r="AR197" s="139"/>
      <c r="AS197" s="139"/>
      <c r="AT197" s="139"/>
      <c r="AU197" s="139"/>
    </row>
    <row r="198" spans="1:47" ht="15.75" customHeight="1" x14ac:dyDescent="0.4">
      <c r="C198" s="36"/>
      <c r="D198" s="623"/>
      <c r="E198" s="623"/>
      <c r="F198" s="623"/>
      <c r="G198" s="221"/>
      <c r="H198" s="624"/>
      <c r="I198" s="577"/>
      <c r="J198" s="577"/>
      <c r="K198" s="577"/>
      <c r="L198" s="577"/>
      <c r="M198" s="575"/>
      <c r="N198" s="575"/>
      <c r="O198" s="575"/>
      <c r="P198" s="625"/>
      <c r="Q198" s="625"/>
      <c r="R198" s="577"/>
      <c r="S198" s="575"/>
      <c r="T198" s="577"/>
      <c r="U198" s="624"/>
      <c r="V198" s="577" t="s">
        <v>2365</v>
      </c>
      <c r="W198" s="577" t="s">
        <v>370</v>
      </c>
      <c r="X198" s="579" t="s">
        <v>369</v>
      </c>
      <c r="Y198" s="1446">
        <v>200152180</v>
      </c>
      <c r="Z198" s="864"/>
      <c r="AA198" s="624"/>
      <c r="AB198" s="577"/>
      <c r="AC198" s="577"/>
      <c r="AD198" s="575"/>
      <c r="AE198" s="577"/>
      <c r="AF198" s="577"/>
      <c r="AG198" s="575"/>
      <c r="AH198" s="626">
        <v>0.95860000000000001</v>
      </c>
      <c r="AI198" s="581"/>
      <c r="AJ198" s="581"/>
      <c r="AK198" s="581"/>
      <c r="AL198" s="581">
        <f>AH198*AD193</f>
        <v>5.9712791666666671</v>
      </c>
      <c r="AM198" s="577"/>
      <c r="AN198" s="577"/>
      <c r="AO198" s="577"/>
      <c r="AP198" s="577"/>
      <c r="AQ198" s="139"/>
      <c r="AR198" s="139"/>
      <c r="AS198" s="139"/>
      <c r="AT198" s="139"/>
      <c r="AU198" s="139"/>
    </row>
    <row r="199" spans="1:47" ht="15" customHeight="1" x14ac:dyDescent="0.4">
      <c r="B199" s="36"/>
      <c r="C199" s="36"/>
      <c r="D199" s="155" t="s">
        <v>1408</v>
      </c>
      <c r="E199" s="155"/>
      <c r="F199" s="155"/>
      <c r="G199" s="7"/>
      <c r="H199" s="20"/>
      <c r="I199" s="500"/>
      <c r="J199" s="500"/>
      <c r="K199" s="500"/>
      <c r="L199" s="500"/>
      <c r="M199" s="24"/>
      <c r="N199" s="24"/>
      <c r="O199" s="24"/>
      <c r="P199" s="24"/>
      <c r="Q199" s="24"/>
      <c r="R199" s="500"/>
      <c r="S199" s="24"/>
      <c r="T199" s="500"/>
      <c r="U199" s="20"/>
      <c r="V199" s="38" t="s">
        <v>369</v>
      </c>
      <c r="W199" s="3" t="s">
        <v>405</v>
      </c>
      <c r="X199" s="38" t="s">
        <v>369</v>
      </c>
      <c r="Y199" s="1452">
        <v>600042010</v>
      </c>
      <c r="Z199" s="41"/>
      <c r="AA199" s="20"/>
      <c r="AE199" s="3"/>
      <c r="AF199" s="3"/>
      <c r="AG199" s="3"/>
      <c r="AH199" s="39"/>
      <c r="AI199" s="39"/>
      <c r="AJ199" s="39"/>
      <c r="AK199" s="39"/>
      <c r="AM199" s="39"/>
      <c r="AN199" s="39"/>
      <c r="AO199" s="39"/>
      <c r="AP199" s="39"/>
      <c r="AQ199" s="139"/>
      <c r="AR199" s="140"/>
      <c r="AS199" s="139"/>
      <c r="AT199" s="139"/>
      <c r="AU199" s="139"/>
    </row>
    <row r="200" spans="1:47" ht="15" customHeight="1" x14ac:dyDescent="0.4">
      <c r="B200" s="3"/>
      <c r="C200" s="36"/>
      <c r="D200" s="155" t="s">
        <v>1409</v>
      </c>
      <c r="E200" s="155"/>
      <c r="F200" s="155"/>
      <c r="G200" s="7"/>
      <c r="H200" s="20"/>
      <c r="I200" s="3" t="s">
        <v>392</v>
      </c>
      <c r="L200" s="3" t="s">
        <v>348</v>
      </c>
      <c r="M200" s="5">
        <v>0</v>
      </c>
      <c r="R200" s="3" t="s">
        <v>352</v>
      </c>
      <c r="S200" s="5">
        <f>SLQHQwidth+M200+O200</f>
        <v>71.5</v>
      </c>
      <c r="T200" s="3" t="s">
        <v>366</v>
      </c>
      <c r="U200" s="20"/>
      <c r="V200" s="38" t="s">
        <v>369</v>
      </c>
      <c r="W200" s="3" t="s">
        <v>405</v>
      </c>
      <c r="X200" s="38" t="s">
        <v>369</v>
      </c>
      <c r="Y200" s="1443">
        <v>600050010</v>
      </c>
      <c r="Z200" s="41"/>
      <c r="AA200" s="20"/>
      <c r="AB200" s="3">
        <v>42</v>
      </c>
      <c r="AC200" s="3">
        <v>1</v>
      </c>
      <c r="AD200" s="5">
        <f>AC200*S200/12</f>
        <v>5.958333333333333</v>
      </c>
      <c r="AE200" s="3" t="s">
        <v>367</v>
      </c>
      <c r="AF200" s="3"/>
      <c r="AG200" s="3"/>
      <c r="AH200" s="39">
        <v>0</v>
      </c>
      <c r="AI200" s="39"/>
      <c r="AJ200" s="39"/>
      <c r="AK200" s="39"/>
      <c r="AM200" s="39"/>
      <c r="AN200" s="39"/>
      <c r="AO200" s="39"/>
      <c r="AP200" s="39"/>
      <c r="AQ200" s="139"/>
      <c r="AR200" s="140"/>
      <c r="AS200" s="139"/>
      <c r="AT200" s="139"/>
      <c r="AU200" s="139"/>
    </row>
    <row r="201" spans="1:47" ht="15" customHeight="1" thickBot="1" x14ac:dyDescent="0.25">
      <c r="C201" s="1849"/>
      <c r="D201" s="1850" t="s">
        <v>2353</v>
      </c>
      <c r="E201" s="889"/>
      <c r="F201" s="1851"/>
      <c r="G201" s="1852"/>
      <c r="H201" s="1853"/>
      <c r="I201" s="1854" t="s">
        <v>392</v>
      </c>
      <c r="J201" s="1854"/>
      <c r="K201" s="1854"/>
      <c r="L201" s="1854"/>
      <c r="M201" s="1855"/>
      <c r="N201" s="1855"/>
      <c r="O201" s="1855"/>
      <c r="P201" s="1855"/>
      <c r="Q201" s="1855"/>
      <c r="R201" s="1854" t="s">
        <v>352</v>
      </c>
      <c r="S201" s="1855">
        <f>SLQHQwidth</f>
        <v>71.5</v>
      </c>
      <c r="T201" s="1854" t="s">
        <v>366</v>
      </c>
      <c r="U201" s="1853"/>
      <c r="V201" s="1856" t="s">
        <v>369</v>
      </c>
      <c r="W201" s="1854" t="s">
        <v>370</v>
      </c>
      <c r="X201" s="1856" t="s">
        <v>369</v>
      </c>
      <c r="Y201" s="1918">
        <v>120074014938</v>
      </c>
      <c r="Z201" s="1858"/>
      <c r="AA201" s="1853"/>
      <c r="AB201" s="1854"/>
      <c r="AC201" s="1854">
        <v>1</v>
      </c>
      <c r="AD201" s="1855">
        <f>AC201*S201/12</f>
        <v>5.958333333333333</v>
      </c>
      <c r="AE201" s="1854" t="s">
        <v>367</v>
      </c>
      <c r="AF201" s="1856"/>
      <c r="AG201" s="1856"/>
      <c r="AH201" s="1864">
        <f>0.00877</f>
        <v>8.77E-3</v>
      </c>
      <c r="AI201" s="1860"/>
      <c r="AJ201" s="1860"/>
      <c r="AK201" s="1860"/>
      <c r="AL201" s="1860">
        <f>AH201*AD201</f>
        <v>5.2254583333333333E-2</v>
      </c>
      <c r="AM201" s="1854"/>
      <c r="AN201" s="1854"/>
      <c r="AO201" s="1854"/>
      <c r="AP201" s="1854"/>
      <c r="AR201" s="140"/>
      <c r="AS201" s="139"/>
      <c r="AT201" s="139"/>
      <c r="AU201" s="139"/>
    </row>
    <row r="202" spans="1:47" ht="15" customHeight="1" x14ac:dyDescent="0.4">
      <c r="B202" s="3"/>
      <c r="C202" s="173" t="s">
        <v>440</v>
      </c>
      <c r="D202" s="116"/>
      <c r="E202" s="182"/>
      <c r="F202" s="182" t="s">
        <v>438</v>
      </c>
      <c r="G202" s="173"/>
      <c r="H202" s="175"/>
      <c r="I202" s="116" t="s">
        <v>392</v>
      </c>
      <c r="J202" s="116"/>
      <c r="K202" s="116"/>
      <c r="L202" s="116" t="s">
        <v>348</v>
      </c>
      <c r="M202" s="177">
        <v>3</v>
      </c>
      <c r="N202" s="177" t="s">
        <v>348</v>
      </c>
      <c r="O202" s="177">
        <f>0.25</f>
        <v>0.25</v>
      </c>
      <c r="P202" s="177"/>
      <c r="Q202" s="177"/>
      <c r="R202" s="116" t="s">
        <v>352</v>
      </c>
      <c r="S202" s="177">
        <f>SLQHQwidth+M202+O202</f>
        <v>74.75</v>
      </c>
      <c r="T202" s="116" t="s">
        <v>366</v>
      </c>
      <c r="U202" s="175"/>
      <c r="V202" s="179"/>
      <c r="W202" s="116"/>
      <c r="X202" s="179"/>
      <c r="Y202" s="1449"/>
      <c r="Z202" s="116"/>
      <c r="AA202" s="175"/>
      <c r="AB202" s="116">
        <v>42</v>
      </c>
      <c r="AC202" s="116">
        <v>1</v>
      </c>
      <c r="AD202" s="177">
        <f>AC202*S202/12</f>
        <v>6.229166666666667</v>
      </c>
      <c r="AE202" s="116" t="s">
        <v>367</v>
      </c>
      <c r="AF202" s="179">
        <f>AF173</f>
        <v>1.1200000000000001</v>
      </c>
      <c r="AG202" s="177">
        <f>AF202*AtolbperftQHQ</f>
        <v>0.70840000000000003</v>
      </c>
      <c r="AH202" s="185"/>
      <c r="AI202" s="39"/>
      <c r="AJ202" s="39"/>
      <c r="AK202" s="39"/>
      <c r="AL202" s="180"/>
      <c r="AQ202" s="139"/>
      <c r="AR202" s="139"/>
      <c r="AS202" s="139"/>
      <c r="AT202" s="139"/>
      <c r="AU202" s="139"/>
    </row>
    <row r="203" spans="1:47" ht="15" customHeight="1" x14ac:dyDescent="0.4">
      <c r="B203" s="36"/>
      <c r="C203" s="155"/>
      <c r="D203" s="155"/>
      <c r="E203" s="155" t="s">
        <v>439</v>
      </c>
      <c r="F203" s="155"/>
      <c r="G203" s="7"/>
      <c r="H203" s="20"/>
      <c r="I203" s="3" t="s">
        <v>392</v>
      </c>
      <c r="L203" s="3" t="s">
        <v>348</v>
      </c>
      <c r="M203" s="5">
        <v>0</v>
      </c>
      <c r="N203" s="5" t="s">
        <v>348</v>
      </c>
      <c r="O203" s="5">
        <f>0.25</f>
        <v>0.25</v>
      </c>
      <c r="P203" s="24"/>
      <c r="Q203" s="24"/>
      <c r="R203" s="3" t="s">
        <v>352</v>
      </c>
      <c r="S203" s="5">
        <f>SLQHQwidth+M203+O203</f>
        <v>71.75</v>
      </c>
      <c r="T203" s="3" t="s">
        <v>366</v>
      </c>
      <c r="U203" s="20"/>
      <c r="V203" s="38" t="s">
        <v>369</v>
      </c>
      <c r="W203" s="3" t="s">
        <v>370</v>
      </c>
      <c r="X203" s="38" t="s">
        <v>369</v>
      </c>
      <c r="Y203" s="1443">
        <v>200151003</v>
      </c>
      <c r="Z203" s="41"/>
      <c r="AA203" s="20"/>
      <c r="AE203" s="3"/>
      <c r="AF203" s="38"/>
      <c r="AH203" s="39">
        <f>0.91*AG202</f>
        <v>0.64464399999999999</v>
      </c>
      <c r="AI203" s="39"/>
      <c r="AJ203" s="39"/>
      <c r="AK203" s="39"/>
      <c r="AL203" s="39">
        <f>AH203*AD202</f>
        <v>4.0155949166666671</v>
      </c>
      <c r="AQ203" s="139"/>
      <c r="AR203" s="139"/>
      <c r="AS203" s="139"/>
      <c r="AT203" s="139"/>
      <c r="AU203" s="139"/>
    </row>
    <row r="204" spans="1:47" ht="15" customHeight="1" x14ac:dyDescent="0.4">
      <c r="B204" s="36"/>
      <c r="C204" s="155"/>
      <c r="D204" s="155"/>
      <c r="E204" s="155"/>
      <c r="F204" s="155"/>
      <c r="G204" s="7"/>
      <c r="H204" s="20"/>
      <c r="U204" s="20"/>
      <c r="V204" s="38" t="s">
        <v>369</v>
      </c>
      <c r="W204" s="3" t="s">
        <v>372</v>
      </c>
      <c r="X204" s="38" t="s">
        <v>369</v>
      </c>
      <c r="Y204" s="1443">
        <v>200151021</v>
      </c>
      <c r="Z204" s="41"/>
      <c r="AA204" s="20"/>
      <c r="AE204" s="3"/>
      <c r="AF204" s="38"/>
      <c r="AH204" s="39">
        <f>1*AG202</f>
        <v>0.70840000000000003</v>
      </c>
      <c r="AL204" s="39">
        <f>AH204*AD202</f>
        <v>4.4127416666666672</v>
      </c>
      <c r="AQ204" s="139"/>
      <c r="AR204" s="139"/>
      <c r="AS204" s="139"/>
      <c r="AT204" s="139"/>
      <c r="AU204" s="139"/>
    </row>
    <row r="205" spans="1:47" ht="15" customHeight="1" x14ac:dyDescent="0.4">
      <c r="C205" s="155"/>
      <c r="D205" s="36"/>
      <c r="E205" s="155"/>
      <c r="F205" s="155"/>
      <c r="G205" s="7"/>
      <c r="H205" s="20"/>
      <c r="U205" s="20"/>
      <c r="V205" s="38" t="s">
        <v>369</v>
      </c>
      <c r="W205" s="3" t="s">
        <v>373</v>
      </c>
      <c r="X205" s="38" t="s">
        <v>369</v>
      </c>
      <c r="Y205" s="1443">
        <v>200151033</v>
      </c>
      <c r="Z205" s="41"/>
      <c r="AA205" s="20"/>
      <c r="AE205" s="3"/>
      <c r="AF205" s="38"/>
      <c r="AH205" s="39">
        <f>1*AG202</f>
        <v>0.70840000000000003</v>
      </c>
      <c r="AI205" s="39"/>
      <c r="AJ205" s="39"/>
      <c r="AK205" s="39"/>
      <c r="AL205" s="39">
        <f>AH205*AD202</f>
        <v>4.4127416666666672</v>
      </c>
      <c r="AQ205" s="139"/>
      <c r="AR205" s="139"/>
      <c r="AS205" s="139"/>
      <c r="AT205" s="139"/>
      <c r="AU205" s="139"/>
    </row>
    <row r="206" spans="1:47" ht="15.75" customHeight="1" x14ac:dyDescent="0.4">
      <c r="B206" s="36"/>
      <c r="C206" s="36"/>
      <c r="D206" s="155"/>
      <c r="E206" s="155"/>
      <c r="F206" s="155"/>
      <c r="G206" s="7"/>
      <c r="H206" s="20"/>
      <c r="P206" s="24"/>
      <c r="Q206" s="24"/>
      <c r="U206" s="20"/>
      <c r="V206" s="3" t="s">
        <v>2363</v>
      </c>
      <c r="W206" s="3" t="s">
        <v>370</v>
      </c>
      <c r="X206" s="38" t="s">
        <v>369</v>
      </c>
      <c r="Y206" s="1443">
        <v>200151127</v>
      </c>
      <c r="Z206" s="41"/>
      <c r="AA206" s="20"/>
      <c r="AE206" s="3"/>
      <c r="AF206" s="3"/>
      <c r="AH206" s="51">
        <v>0.90069999999999995</v>
      </c>
      <c r="AI206" s="39"/>
      <c r="AJ206" s="39"/>
      <c r="AK206" s="39"/>
      <c r="AL206" s="39">
        <f t="shared" ref="AL206:AL207" si="15">AH206*$AD$168</f>
        <v>0</v>
      </c>
      <c r="AQ206" s="139"/>
      <c r="AR206" s="139"/>
      <c r="AS206" s="139"/>
      <c r="AT206" s="139"/>
      <c r="AU206" s="139"/>
    </row>
    <row r="207" spans="1:47" ht="15.75" customHeight="1" x14ac:dyDescent="0.4">
      <c r="B207" s="36"/>
      <c r="C207" s="36"/>
      <c r="D207" s="155"/>
      <c r="E207" s="623"/>
      <c r="F207" s="623"/>
      <c r="G207" s="221"/>
      <c r="H207" s="624"/>
      <c r="I207" s="577"/>
      <c r="J207" s="577"/>
      <c r="K207" s="577"/>
      <c r="L207" s="577"/>
      <c r="M207" s="575"/>
      <c r="N207" s="575"/>
      <c r="O207" s="575"/>
      <c r="P207" s="625"/>
      <c r="Q207" s="625"/>
      <c r="R207" s="577"/>
      <c r="S207" s="575"/>
      <c r="T207" s="577"/>
      <c r="U207" s="624"/>
      <c r="V207" s="577" t="s">
        <v>2365</v>
      </c>
      <c r="W207" s="577" t="s">
        <v>370</v>
      </c>
      <c r="X207" s="579" t="s">
        <v>369</v>
      </c>
      <c r="Y207" s="1446">
        <v>200151180</v>
      </c>
      <c r="Z207" s="864"/>
      <c r="AA207" s="624"/>
      <c r="AB207" s="577"/>
      <c r="AC207" s="577"/>
      <c r="AD207" s="575"/>
      <c r="AE207" s="577"/>
      <c r="AF207" s="577"/>
      <c r="AG207" s="575"/>
      <c r="AH207" s="626">
        <v>0.97099999999999997</v>
      </c>
      <c r="AI207" s="581"/>
      <c r="AJ207" s="581"/>
      <c r="AK207" s="581"/>
      <c r="AL207" s="581">
        <f t="shared" si="15"/>
        <v>0</v>
      </c>
      <c r="AM207" s="577"/>
      <c r="AN207" s="577"/>
      <c r="AO207" s="577"/>
      <c r="AP207" s="577"/>
      <c r="AQ207" s="139"/>
      <c r="AR207" s="139"/>
      <c r="AS207" s="139"/>
      <c r="AT207" s="139"/>
      <c r="AU207" s="139"/>
    </row>
    <row r="208" spans="1:47" ht="15" customHeight="1" x14ac:dyDescent="0.4">
      <c r="B208" s="36"/>
      <c r="C208" s="36"/>
      <c r="D208" s="155" t="s">
        <v>1408</v>
      </c>
      <c r="E208" s="155"/>
      <c r="F208" s="155"/>
      <c r="G208" s="7"/>
      <c r="H208" s="20"/>
      <c r="I208" s="500"/>
      <c r="J208" s="500"/>
      <c r="K208" s="500"/>
      <c r="L208" s="500"/>
      <c r="M208" s="24"/>
      <c r="N208" s="24"/>
      <c r="O208" s="24"/>
      <c r="P208" s="24"/>
      <c r="Q208" s="24"/>
      <c r="R208" s="500"/>
      <c r="S208" s="24"/>
      <c r="T208" s="500"/>
      <c r="U208" s="20"/>
      <c r="V208" s="38" t="s">
        <v>369</v>
      </c>
      <c r="W208" s="3" t="s">
        <v>405</v>
      </c>
      <c r="X208" s="38" t="s">
        <v>369</v>
      </c>
      <c r="Y208" s="1452">
        <v>600042010</v>
      </c>
      <c r="Z208" s="41"/>
      <c r="AA208" s="20"/>
      <c r="AE208" s="3"/>
      <c r="AF208" s="3"/>
      <c r="AG208" s="3"/>
      <c r="AH208" s="39"/>
      <c r="AI208" s="39"/>
      <c r="AJ208" s="39"/>
      <c r="AK208" s="39"/>
      <c r="AM208" s="39"/>
      <c r="AN208" s="39"/>
      <c r="AO208" s="39"/>
      <c r="AP208" s="39"/>
      <c r="AQ208" s="139"/>
      <c r="AR208" s="140"/>
      <c r="AS208" s="139"/>
      <c r="AT208" s="139"/>
      <c r="AU208" s="139"/>
    </row>
    <row r="209" spans="1:47" ht="15" customHeight="1" x14ac:dyDescent="0.4">
      <c r="B209" s="3"/>
      <c r="C209" s="36"/>
      <c r="D209" s="155" t="s">
        <v>1409</v>
      </c>
      <c r="E209" s="155"/>
      <c r="F209" s="155"/>
      <c r="G209" s="7"/>
      <c r="H209" s="20"/>
      <c r="I209" s="3" t="s">
        <v>392</v>
      </c>
      <c r="L209" s="3" t="s">
        <v>348</v>
      </c>
      <c r="M209" s="5">
        <v>0</v>
      </c>
      <c r="R209" s="3" t="s">
        <v>352</v>
      </c>
      <c r="S209" s="5">
        <f>SLQHQwidth+M209+O209</f>
        <v>71.5</v>
      </c>
      <c r="T209" s="3" t="s">
        <v>366</v>
      </c>
      <c r="U209" s="20"/>
      <c r="V209" s="38" t="s">
        <v>369</v>
      </c>
      <c r="W209" s="3" t="s">
        <v>405</v>
      </c>
      <c r="X209" s="38" t="s">
        <v>369</v>
      </c>
      <c r="Y209" s="1443">
        <v>600050010</v>
      </c>
      <c r="Z209" s="41"/>
      <c r="AA209" s="20"/>
      <c r="AB209" s="3">
        <v>42</v>
      </c>
      <c r="AC209" s="3">
        <v>1</v>
      </c>
      <c r="AD209" s="5">
        <f>AC209*S209/12</f>
        <v>5.958333333333333</v>
      </c>
      <c r="AE209" s="3" t="s">
        <v>367</v>
      </c>
      <c r="AF209" s="3"/>
      <c r="AG209" s="3"/>
      <c r="AH209" s="39">
        <v>0</v>
      </c>
      <c r="AI209" s="39"/>
      <c r="AJ209" s="39"/>
      <c r="AK209" s="39"/>
      <c r="AM209" s="39"/>
      <c r="AN209" s="39"/>
      <c r="AO209" s="39"/>
      <c r="AP209" s="39"/>
      <c r="AQ209" s="139"/>
      <c r="AR209" s="140"/>
      <c r="AS209" s="139"/>
      <c r="AT209" s="139"/>
      <c r="AU209" s="139"/>
    </row>
    <row r="210" spans="1:47" ht="15" customHeight="1" thickBot="1" x14ac:dyDescent="0.25">
      <c r="C210" s="1849"/>
      <c r="D210" s="1850" t="s">
        <v>2353</v>
      </c>
      <c r="E210" s="889"/>
      <c r="F210" s="1851"/>
      <c r="G210" s="1852"/>
      <c r="H210" s="1853"/>
      <c r="I210" s="1854" t="s">
        <v>392</v>
      </c>
      <c r="J210" s="1854"/>
      <c r="K210" s="1854"/>
      <c r="L210" s="1854"/>
      <c r="M210" s="1855"/>
      <c r="N210" s="1855"/>
      <c r="O210" s="1855"/>
      <c r="P210" s="1855"/>
      <c r="Q210" s="1855"/>
      <c r="R210" s="1854" t="s">
        <v>352</v>
      </c>
      <c r="S210" s="1855">
        <f>SLQHQwidth</f>
        <v>71.5</v>
      </c>
      <c r="T210" s="1854" t="s">
        <v>366</v>
      </c>
      <c r="U210" s="1853"/>
      <c r="V210" s="1856" t="s">
        <v>369</v>
      </c>
      <c r="W210" s="1854" t="s">
        <v>370</v>
      </c>
      <c r="X210" s="1856" t="s">
        <v>369</v>
      </c>
      <c r="Y210" s="1918">
        <v>120074014938</v>
      </c>
      <c r="Z210" s="1858"/>
      <c r="AA210" s="1853"/>
      <c r="AB210" s="1854"/>
      <c r="AC210" s="1854">
        <v>1</v>
      </c>
      <c r="AD210" s="1855">
        <f>AC210*S210/12</f>
        <v>5.958333333333333</v>
      </c>
      <c r="AE210" s="1854" t="s">
        <v>367</v>
      </c>
      <c r="AF210" s="1856"/>
      <c r="AG210" s="1856"/>
      <c r="AH210" s="1864">
        <f>0.00877</f>
        <v>8.77E-3</v>
      </c>
      <c r="AI210" s="1860"/>
      <c r="AJ210" s="1860"/>
      <c r="AK210" s="1860"/>
      <c r="AL210" s="1860">
        <f>AH210*AD210</f>
        <v>5.2254583333333333E-2</v>
      </c>
      <c r="AM210" s="1854"/>
      <c r="AN210" s="1854"/>
      <c r="AO210" s="1854"/>
      <c r="AP210" s="1854"/>
      <c r="AR210" s="140"/>
      <c r="AS210" s="139"/>
      <c r="AT210" s="139"/>
      <c r="AU210" s="139"/>
    </row>
    <row r="211" spans="1:47" ht="15" customHeight="1" x14ac:dyDescent="0.4">
      <c r="C211" s="173" t="s">
        <v>397</v>
      </c>
      <c r="D211" s="181"/>
      <c r="E211" s="182"/>
      <c r="F211" s="182"/>
      <c r="G211" s="430" t="s">
        <v>383</v>
      </c>
      <c r="H211" s="175"/>
      <c r="I211" s="116" t="s">
        <v>392</v>
      </c>
      <c r="J211" s="116"/>
      <c r="K211" s="116"/>
      <c r="L211" s="116" t="s">
        <v>348</v>
      </c>
      <c r="M211" s="177">
        <v>3</v>
      </c>
      <c r="N211" s="177" t="s">
        <v>348</v>
      </c>
      <c r="O211" s="177">
        <f>0.25</f>
        <v>0.25</v>
      </c>
      <c r="P211" s="178"/>
      <c r="Q211" s="178"/>
      <c r="R211" s="116" t="s">
        <v>352</v>
      </c>
      <c r="S211" s="177">
        <f>SLQHQwidth+M211+O211</f>
        <v>74.75</v>
      </c>
      <c r="T211" s="116" t="s">
        <v>366</v>
      </c>
      <c r="U211" s="175"/>
      <c r="V211" s="179"/>
      <c r="W211" s="116"/>
      <c r="X211" s="179"/>
      <c r="Y211" s="1449"/>
      <c r="Z211" s="184"/>
      <c r="AA211" s="175"/>
      <c r="AB211" s="116">
        <v>42</v>
      </c>
      <c r="AC211" s="116">
        <v>1</v>
      </c>
      <c r="AD211" s="177">
        <f>AC211*S211/12</f>
        <v>6.229166666666667</v>
      </c>
      <c r="AE211" s="116" t="s">
        <v>367</v>
      </c>
      <c r="AF211" s="116">
        <v>0</v>
      </c>
      <c r="AG211" s="177">
        <f>AF211*AtolbperftQHQ</f>
        <v>0</v>
      </c>
      <c r="AH211" s="185"/>
      <c r="AI211" s="39"/>
      <c r="AJ211" s="39"/>
      <c r="AK211" s="39"/>
      <c r="AL211" s="180"/>
      <c r="AQ211" s="139"/>
      <c r="AR211" s="139"/>
      <c r="AS211" s="139"/>
      <c r="AT211" s="139"/>
      <c r="AU211" s="139"/>
    </row>
    <row r="212" spans="1:47" ht="15" customHeight="1" x14ac:dyDescent="0.4">
      <c r="B212" s="36"/>
      <c r="C212" s="36"/>
      <c r="D212" s="155"/>
      <c r="E212" s="155"/>
      <c r="F212" s="155"/>
      <c r="G212" s="7"/>
      <c r="H212" s="20"/>
      <c r="P212" s="24"/>
      <c r="Q212" s="24"/>
      <c r="U212" s="20"/>
      <c r="V212" s="38" t="s">
        <v>369</v>
      </c>
      <c r="W212" s="3" t="s">
        <v>370</v>
      </c>
      <c r="X212" s="38" t="s">
        <v>369</v>
      </c>
      <c r="Y212" s="1443">
        <v>200114003</v>
      </c>
      <c r="Z212" s="41"/>
      <c r="AA212" s="20"/>
      <c r="AE212" s="3"/>
      <c r="AF212" s="38"/>
      <c r="AH212" s="39">
        <f>1*AG211</f>
        <v>0</v>
      </c>
      <c r="AI212" s="39"/>
      <c r="AJ212" s="39"/>
      <c r="AK212" s="39"/>
      <c r="AL212" s="39">
        <f>AH212*AD211</f>
        <v>0</v>
      </c>
      <c r="AQ212" s="139"/>
      <c r="AR212" s="139"/>
      <c r="AS212" s="139"/>
      <c r="AT212" s="139"/>
      <c r="AU212" s="139"/>
    </row>
    <row r="213" spans="1:47" ht="15" customHeight="1" x14ac:dyDescent="0.4">
      <c r="B213" s="36"/>
      <c r="C213" s="36"/>
      <c r="D213" s="155"/>
      <c r="E213" s="155"/>
      <c r="F213" s="155"/>
      <c r="G213" s="7"/>
      <c r="H213" s="20"/>
      <c r="P213" s="24"/>
      <c r="Q213" s="24"/>
      <c r="U213" s="20"/>
      <c r="V213" s="38" t="s">
        <v>369</v>
      </c>
      <c r="W213" s="3" t="s">
        <v>372</v>
      </c>
      <c r="X213" s="38" t="s">
        <v>369</v>
      </c>
      <c r="Y213" s="1443">
        <v>200114021</v>
      </c>
      <c r="Z213" s="41"/>
      <c r="AA213" s="20"/>
      <c r="AE213" s="3"/>
      <c r="AF213" s="3"/>
      <c r="AH213" s="39">
        <f>1*AG211</f>
        <v>0</v>
      </c>
      <c r="AL213" s="39">
        <f>AH213*AD211</f>
        <v>0</v>
      </c>
      <c r="AQ213" s="139"/>
      <c r="AR213" s="139"/>
      <c r="AS213" s="139"/>
      <c r="AT213" s="139"/>
      <c r="AU213" s="139"/>
    </row>
    <row r="214" spans="1:47" ht="15" customHeight="1" x14ac:dyDescent="0.4">
      <c r="B214" s="36"/>
      <c r="C214" s="36"/>
      <c r="D214" s="155"/>
      <c r="E214" s="155"/>
      <c r="F214" s="155"/>
      <c r="G214" s="7"/>
      <c r="H214" s="20"/>
      <c r="P214" s="24"/>
      <c r="Q214" s="24"/>
      <c r="U214" s="20"/>
      <c r="V214" s="38" t="s">
        <v>369</v>
      </c>
      <c r="W214" s="3" t="s">
        <v>373</v>
      </c>
      <c r="X214" s="38" t="s">
        <v>369</v>
      </c>
      <c r="Y214" s="1443">
        <v>200114033</v>
      </c>
      <c r="Z214" s="41"/>
      <c r="AA214" s="20"/>
      <c r="AE214" s="3"/>
      <c r="AF214" s="3"/>
      <c r="AH214" s="39">
        <f>1*AG211</f>
        <v>0</v>
      </c>
      <c r="AL214" s="39">
        <f>AH214*AD211</f>
        <v>0</v>
      </c>
      <c r="AQ214" s="139"/>
      <c r="AR214" s="139"/>
      <c r="AS214" s="139"/>
      <c r="AT214" s="139"/>
      <c r="AU214" s="139"/>
    </row>
    <row r="215" spans="1:47" ht="15" customHeight="1" x14ac:dyDescent="0.4">
      <c r="B215" s="36"/>
      <c r="C215" s="36"/>
      <c r="D215" s="155"/>
      <c r="E215" s="155"/>
      <c r="F215" s="155"/>
      <c r="G215" s="7"/>
      <c r="H215" s="20"/>
      <c r="P215" s="24"/>
      <c r="Q215" s="24"/>
      <c r="U215" s="20"/>
      <c r="V215" s="38" t="s">
        <v>369</v>
      </c>
      <c r="W215" s="3" t="s">
        <v>374</v>
      </c>
      <c r="X215" s="38" t="s">
        <v>369</v>
      </c>
      <c r="Y215" s="1443">
        <v>200114090</v>
      </c>
      <c r="Z215" s="1443"/>
      <c r="AA215" s="20"/>
      <c r="AE215" s="3"/>
      <c r="AF215" s="3"/>
      <c r="AH215" s="51">
        <v>0.26579999999999998</v>
      </c>
      <c r="AI215" s="39"/>
      <c r="AJ215" s="39"/>
      <c r="AK215" s="39"/>
      <c r="AL215" s="39">
        <f t="shared" ref="AL215:AL216" si="16">AH215*$AD$206</f>
        <v>0</v>
      </c>
      <c r="AQ215" s="139"/>
      <c r="AR215" s="139"/>
      <c r="AS215" s="139"/>
      <c r="AT215" s="139"/>
      <c r="AU215" s="139"/>
    </row>
    <row r="216" spans="1:47" ht="15" customHeight="1" thickBot="1" x14ac:dyDescent="0.45">
      <c r="B216" s="943"/>
      <c r="C216" s="943"/>
      <c r="D216" s="925"/>
      <c r="E216" s="925"/>
      <c r="F216" s="925"/>
      <c r="G216" s="924"/>
      <c r="H216" s="887"/>
      <c r="I216" s="889"/>
      <c r="J216" s="889"/>
      <c r="K216" s="889"/>
      <c r="L216" s="889"/>
      <c r="M216" s="945"/>
      <c r="N216" s="945"/>
      <c r="O216" s="945"/>
      <c r="P216" s="1020"/>
      <c r="Q216" s="1020"/>
      <c r="R216" s="889"/>
      <c r="S216" s="945"/>
      <c r="T216" s="889"/>
      <c r="U216" s="887"/>
      <c r="V216" s="888" t="s">
        <v>369</v>
      </c>
      <c r="W216" s="889" t="s">
        <v>375</v>
      </c>
      <c r="X216" s="888" t="s">
        <v>369</v>
      </c>
      <c r="Y216" s="1444">
        <v>200114133</v>
      </c>
      <c r="Z216" s="1444"/>
      <c r="AA216" s="887"/>
      <c r="AB216" s="889"/>
      <c r="AC216" s="889"/>
      <c r="AD216" s="945"/>
      <c r="AE216" s="889"/>
      <c r="AF216" s="889"/>
      <c r="AG216" s="945"/>
      <c r="AH216" s="51">
        <v>0.28470000000000001</v>
      </c>
      <c r="AI216" s="947"/>
      <c r="AJ216" s="947"/>
      <c r="AK216" s="947"/>
      <c r="AL216" s="947">
        <f t="shared" si="16"/>
        <v>0</v>
      </c>
      <c r="AQ216" s="139"/>
      <c r="AR216" s="139"/>
      <c r="AS216" s="139"/>
      <c r="AT216" s="139"/>
      <c r="AU216" s="139"/>
    </row>
    <row r="217" spans="1:47" ht="15" customHeight="1" thickBot="1" x14ac:dyDescent="0.45">
      <c r="B217" s="7" t="s">
        <v>442</v>
      </c>
      <c r="C217" s="173"/>
      <c r="D217" s="116"/>
      <c r="E217" s="116"/>
      <c r="F217" s="174"/>
      <c r="G217" s="173"/>
      <c r="H217" s="175"/>
      <c r="I217" s="116"/>
      <c r="J217" s="116"/>
      <c r="K217" s="116"/>
      <c r="L217" s="116"/>
      <c r="M217" s="116"/>
      <c r="N217" s="177"/>
      <c r="O217" s="177"/>
      <c r="P217" s="177"/>
      <c r="Q217" s="177"/>
      <c r="R217" s="116"/>
      <c r="S217" s="177"/>
      <c r="T217" s="116"/>
      <c r="U217" s="175"/>
      <c r="V217" s="173"/>
      <c r="W217" s="173"/>
      <c r="X217" s="173"/>
      <c r="Y217" s="1449"/>
      <c r="Z217" s="116"/>
      <c r="AA217" s="175"/>
      <c r="AB217" s="116"/>
      <c r="AC217" s="116"/>
      <c r="AD217" s="177"/>
      <c r="AE217" s="116"/>
      <c r="AF217" s="179"/>
      <c r="AG217" s="177"/>
      <c r="AH217" s="185"/>
      <c r="AI217" s="937"/>
      <c r="AJ217" s="937"/>
      <c r="AK217" s="937"/>
      <c r="AL217" s="180"/>
      <c r="AM217" s="137"/>
      <c r="AN217" s="137"/>
      <c r="AO217" s="137"/>
      <c r="AP217" s="137"/>
      <c r="AQ217" s="139"/>
      <c r="AR217" s="139"/>
      <c r="AS217" s="139"/>
      <c r="AT217" s="139"/>
      <c r="AU217" s="139"/>
    </row>
    <row r="218" spans="1:47" ht="15" customHeight="1" x14ac:dyDescent="0.4">
      <c r="A218" s="3" t="s">
        <v>402</v>
      </c>
      <c r="B218" s="173"/>
      <c r="C218" s="173" t="s">
        <v>443</v>
      </c>
      <c r="D218" s="182"/>
      <c r="E218" s="182"/>
      <c r="F218" s="182" t="s">
        <v>438</v>
      </c>
      <c r="G218" s="173"/>
      <c r="H218" s="175"/>
      <c r="I218" s="116" t="s">
        <v>392</v>
      </c>
      <c r="J218" s="116"/>
      <c r="K218" s="116"/>
      <c r="L218" s="116" t="s">
        <v>348</v>
      </c>
      <c r="M218" s="177">
        <v>3</v>
      </c>
      <c r="N218" s="177" t="s">
        <v>348</v>
      </c>
      <c r="O218" s="177">
        <f>0.25</f>
        <v>0.25</v>
      </c>
      <c r="P218" s="177"/>
      <c r="Q218" s="177"/>
      <c r="R218" s="116" t="s">
        <v>352</v>
      </c>
      <c r="S218" s="177">
        <f>SLQHQwidth+M218+O218</f>
        <v>74.75</v>
      </c>
      <c r="T218" s="116" t="s">
        <v>366</v>
      </c>
      <c r="U218" s="175"/>
      <c r="V218" s="179"/>
      <c r="W218" s="116"/>
      <c r="X218" s="179"/>
      <c r="Y218" s="1449"/>
      <c r="Z218" s="116"/>
      <c r="AA218" s="175"/>
      <c r="AB218" s="116">
        <v>42</v>
      </c>
      <c r="AC218" s="116">
        <v>1</v>
      </c>
      <c r="AD218" s="177">
        <f>AC218*S218/12</f>
        <v>6.229166666666667</v>
      </c>
      <c r="AE218" s="116" t="s">
        <v>367</v>
      </c>
      <c r="AF218" s="179">
        <v>0.88200000000000001</v>
      </c>
      <c r="AG218" s="177">
        <f>AF218*AtolbperftQHQ</f>
        <v>0.55786499999999994</v>
      </c>
      <c r="AH218" s="185"/>
      <c r="AI218" s="39"/>
      <c r="AJ218" s="39"/>
      <c r="AK218" s="39"/>
      <c r="AL218" s="180"/>
      <c r="AQ218" s="139"/>
      <c r="AR218" s="139"/>
      <c r="AS218" s="139"/>
      <c r="AT218" s="139"/>
      <c r="AU218" s="139"/>
    </row>
    <row r="219" spans="1:47" ht="15" customHeight="1" x14ac:dyDescent="0.4">
      <c r="B219" s="36"/>
      <c r="C219" s="7"/>
      <c r="D219" s="155"/>
      <c r="E219" s="155" t="s">
        <v>439</v>
      </c>
      <c r="F219" s="155"/>
      <c r="G219" s="7"/>
      <c r="H219" s="20"/>
      <c r="I219" s="3" t="s">
        <v>392</v>
      </c>
      <c r="L219" s="3" t="s">
        <v>348</v>
      </c>
      <c r="M219" s="5">
        <v>0</v>
      </c>
      <c r="N219" s="5" t="s">
        <v>348</v>
      </c>
      <c r="O219" s="5">
        <f>0.25</f>
        <v>0.25</v>
      </c>
      <c r="P219" s="24"/>
      <c r="Q219" s="24"/>
      <c r="R219" s="3" t="s">
        <v>352</v>
      </c>
      <c r="S219" s="5">
        <f>SLQHQwidth+M219+O219</f>
        <v>71.75</v>
      </c>
      <c r="T219" s="3" t="s">
        <v>366</v>
      </c>
      <c r="U219" s="20"/>
      <c r="V219" s="38" t="s">
        <v>369</v>
      </c>
      <c r="W219" s="3" t="s">
        <v>370</v>
      </c>
      <c r="X219" s="38" t="s">
        <v>369</v>
      </c>
      <c r="Y219" s="1443">
        <v>200152003</v>
      </c>
      <c r="Z219" s="41"/>
      <c r="AA219" s="20"/>
      <c r="AE219" s="3"/>
      <c r="AF219" s="38"/>
      <c r="AH219" s="39">
        <f>0.91*AG218</f>
        <v>0.50765715</v>
      </c>
      <c r="AI219" s="39"/>
      <c r="AJ219" s="39"/>
      <c r="AK219" s="39"/>
      <c r="AL219" s="39">
        <f>AH219*AD218</f>
        <v>3.1622809968750003</v>
      </c>
      <c r="AQ219" s="139"/>
      <c r="AR219" s="444"/>
      <c r="AS219" s="139"/>
      <c r="AT219" s="139"/>
      <c r="AU219" s="139"/>
    </row>
    <row r="220" spans="1:47" ht="15" customHeight="1" x14ac:dyDescent="0.4">
      <c r="B220" s="36"/>
      <c r="C220" s="7"/>
      <c r="D220" s="155"/>
      <c r="E220" s="155"/>
      <c r="F220" s="155"/>
      <c r="G220" s="7"/>
      <c r="H220" s="20"/>
      <c r="T220" s="3" t="s">
        <v>366</v>
      </c>
      <c r="U220" s="20"/>
      <c r="V220" s="38" t="s">
        <v>369</v>
      </c>
      <c r="W220" s="3" t="s">
        <v>372</v>
      </c>
      <c r="X220" s="38" t="s">
        <v>369</v>
      </c>
      <c r="Y220" s="1443">
        <v>200152021</v>
      </c>
      <c r="Z220" s="41"/>
      <c r="AA220" s="20"/>
      <c r="AE220" s="3"/>
      <c r="AF220" s="38"/>
      <c r="AH220" s="39">
        <f>1*AG218</f>
        <v>0.55786499999999994</v>
      </c>
      <c r="AL220" s="39">
        <f>AH220*AD218</f>
        <v>3.4750340624999998</v>
      </c>
      <c r="AQ220" s="139"/>
      <c r="AR220" s="444"/>
      <c r="AS220" s="139"/>
      <c r="AT220" s="139"/>
      <c r="AU220" s="139"/>
    </row>
    <row r="221" spans="1:47" ht="15" customHeight="1" x14ac:dyDescent="0.4">
      <c r="B221" s="36"/>
      <c r="C221" s="7"/>
      <c r="D221" s="155"/>
      <c r="E221" s="155"/>
      <c r="F221" s="155"/>
      <c r="G221" s="7"/>
      <c r="H221" s="20"/>
      <c r="T221" s="3" t="s">
        <v>366</v>
      </c>
      <c r="U221" s="20"/>
      <c r="V221" s="38" t="s">
        <v>369</v>
      </c>
      <c r="W221" s="3" t="s">
        <v>373</v>
      </c>
      <c r="X221" s="38" t="s">
        <v>369</v>
      </c>
      <c r="Y221" s="1443">
        <v>200152033</v>
      </c>
      <c r="Z221" s="41"/>
      <c r="AA221" s="20"/>
      <c r="AE221" s="3"/>
      <c r="AF221" s="38"/>
      <c r="AH221" s="39">
        <f>1*AG218</f>
        <v>0.55786499999999994</v>
      </c>
      <c r="AL221" s="39">
        <f>AH221*AD218</f>
        <v>3.4750340624999998</v>
      </c>
      <c r="AQ221" s="139"/>
      <c r="AR221" s="446"/>
      <c r="AS221" s="139"/>
      <c r="AT221" s="139"/>
      <c r="AU221" s="139"/>
    </row>
    <row r="222" spans="1:47" ht="15.75" customHeight="1" x14ac:dyDescent="0.4">
      <c r="C222" s="36"/>
      <c r="D222" s="155"/>
      <c r="E222" s="155"/>
      <c r="F222" s="155"/>
      <c r="G222" s="7"/>
      <c r="H222" s="20"/>
      <c r="P222" s="24"/>
      <c r="Q222" s="24"/>
      <c r="U222" s="20"/>
      <c r="V222" s="3" t="s">
        <v>2363</v>
      </c>
      <c r="W222" s="3" t="s">
        <v>370</v>
      </c>
      <c r="X222" s="38" t="s">
        <v>369</v>
      </c>
      <c r="Y222" s="1443">
        <v>200152127</v>
      </c>
      <c r="Z222" s="41"/>
      <c r="AA222" s="20"/>
      <c r="AE222" s="3"/>
      <c r="AF222" s="3"/>
      <c r="AH222" s="51">
        <v>0.88829999999999998</v>
      </c>
      <c r="AI222" s="39"/>
      <c r="AJ222" s="39"/>
      <c r="AK222" s="39"/>
      <c r="AL222" s="39">
        <f>AH222*AD220</f>
        <v>0</v>
      </c>
      <c r="AQ222" s="139"/>
      <c r="AR222" s="139"/>
      <c r="AS222" s="139"/>
      <c r="AT222" s="139"/>
      <c r="AU222" s="139"/>
    </row>
    <row r="223" spans="1:47" ht="15.75" customHeight="1" x14ac:dyDescent="0.4">
      <c r="C223" s="36"/>
      <c r="D223" s="623"/>
      <c r="E223" s="623"/>
      <c r="F223" s="623"/>
      <c r="G223" s="221"/>
      <c r="H223" s="624"/>
      <c r="I223" s="577"/>
      <c r="J223" s="577"/>
      <c r="K223" s="577"/>
      <c r="L223" s="577"/>
      <c r="M223" s="575"/>
      <c r="N223" s="575"/>
      <c r="O223" s="575"/>
      <c r="P223" s="625"/>
      <c r="Q223" s="625"/>
      <c r="R223" s="577"/>
      <c r="S223" s="575"/>
      <c r="T223" s="577"/>
      <c r="U223" s="624"/>
      <c r="V223" s="577" t="s">
        <v>2365</v>
      </c>
      <c r="W223" s="577" t="s">
        <v>370</v>
      </c>
      <c r="X223" s="579" t="s">
        <v>369</v>
      </c>
      <c r="Y223" s="1446">
        <v>200152180</v>
      </c>
      <c r="Z223" s="864"/>
      <c r="AA223" s="624"/>
      <c r="AB223" s="577"/>
      <c r="AC223" s="577"/>
      <c r="AD223" s="575"/>
      <c r="AE223" s="577"/>
      <c r="AF223" s="577"/>
      <c r="AG223" s="575"/>
      <c r="AH223" s="626">
        <v>0.95860000000000001</v>
      </c>
      <c r="AI223" s="581"/>
      <c r="AJ223" s="581"/>
      <c r="AK223" s="581"/>
      <c r="AL223" s="581">
        <f>AH223*AD220</f>
        <v>0</v>
      </c>
      <c r="AM223" s="577"/>
      <c r="AN223" s="577"/>
      <c r="AO223" s="577"/>
      <c r="AP223" s="577"/>
      <c r="AQ223" s="139"/>
      <c r="AR223" s="139"/>
      <c r="AS223" s="139"/>
      <c r="AT223" s="139"/>
      <c r="AU223" s="139"/>
    </row>
    <row r="224" spans="1:47" ht="14.25" customHeight="1" x14ac:dyDescent="0.4">
      <c r="B224" s="36"/>
      <c r="C224" s="36"/>
      <c r="D224" s="155" t="s">
        <v>1408</v>
      </c>
      <c r="E224" s="155"/>
      <c r="F224" s="155"/>
      <c r="G224" s="7"/>
      <c r="H224" s="20"/>
      <c r="I224" s="500"/>
      <c r="J224" s="500"/>
      <c r="K224" s="500"/>
      <c r="L224" s="500"/>
      <c r="M224" s="24"/>
      <c r="N224" s="24"/>
      <c r="O224" s="24"/>
      <c r="P224" s="24"/>
      <c r="Q224" s="24"/>
      <c r="R224" s="500"/>
      <c r="S224" s="24"/>
      <c r="T224" s="500"/>
      <c r="U224" s="20"/>
      <c r="V224" s="38" t="s">
        <v>369</v>
      </c>
      <c r="W224" s="3" t="s">
        <v>405</v>
      </c>
      <c r="X224" s="38" t="s">
        <v>369</v>
      </c>
      <c r="Y224" s="1452">
        <v>600042010</v>
      </c>
      <c r="Z224" s="41"/>
      <c r="AA224" s="20"/>
      <c r="AE224" s="3"/>
      <c r="AF224" s="3"/>
      <c r="AG224" s="3"/>
      <c r="AH224" s="39"/>
      <c r="AI224" s="39"/>
      <c r="AJ224" s="39"/>
      <c r="AK224" s="39"/>
      <c r="AM224" s="39"/>
      <c r="AN224" s="39"/>
      <c r="AO224" s="39"/>
      <c r="AP224" s="39"/>
      <c r="AQ224" s="139"/>
      <c r="AR224" s="140"/>
      <c r="AS224" s="139"/>
      <c r="AT224" s="139"/>
      <c r="AU224" s="139"/>
    </row>
    <row r="225" spans="2:47" ht="15" customHeight="1" x14ac:dyDescent="0.4">
      <c r="B225" s="3"/>
      <c r="C225" s="36"/>
      <c r="D225" s="155" t="s">
        <v>1409</v>
      </c>
      <c r="E225" s="155"/>
      <c r="F225" s="155"/>
      <c r="G225" s="7"/>
      <c r="H225" s="20"/>
      <c r="I225" s="3" t="s">
        <v>392</v>
      </c>
      <c r="L225" s="3" t="s">
        <v>348</v>
      </c>
      <c r="M225" s="5">
        <v>0</v>
      </c>
      <c r="R225" s="3" t="s">
        <v>352</v>
      </c>
      <c r="S225" s="5">
        <f>SLQHQwidth+M225+O225</f>
        <v>71.5</v>
      </c>
      <c r="T225" s="3" t="s">
        <v>366</v>
      </c>
      <c r="U225" s="20"/>
      <c r="V225" s="38" t="s">
        <v>369</v>
      </c>
      <c r="W225" s="3" t="s">
        <v>405</v>
      </c>
      <c r="X225" s="38" t="s">
        <v>369</v>
      </c>
      <c r="Y225" s="1443">
        <v>600050010</v>
      </c>
      <c r="Z225" s="41"/>
      <c r="AA225" s="20"/>
      <c r="AB225" s="3">
        <v>42</v>
      </c>
      <c r="AC225" s="3">
        <v>1</v>
      </c>
      <c r="AD225" s="5">
        <f>AC225*S225/12</f>
        <v>5.958333333333333</v>
      </c>
      <c r="AE225" s="3" t="s">
        <v>367</v>
      </c>
      <c r="AF225" s="3"/>
      <c r="AG225" s="3"/>
      <c r="AH225" s="39">
        <v>0</v>
      </c>
      <c r="AI225" s="39"/>
      <c r="AJ225" s="39"/>
      <c r="AK225" s="39"/>
      <c r="AM225" s="39"/>
      <c r="AN225" s="39"/>
      <c r="AO225" s="39"/>
      <c r="AP225" s="39"/>
      <c r="AQ225" s="139"/>
      <c r="AR225" s="140"/>
      <c r="AS225" s="139"/>
      <c r="AT225" s="139"/>
      <c r="AU225" s="139"/>
    </row>
    <row r="226" spans="2:47" ht="15" customHeight="1" thickBot="1" x14ac:dyDescent="0.25">
      <c r="C226" s="1849"/>
      <c r="D226" s="1850" t="s">
        <v>2353</v>
      </c>
      <c r="E226" s="889"/>
      <c r="F226" s="1851"/>
      <c r="G226" s="1852"/>
      <c r="H226" s="1853"/>
      <c r="I226" s="1854" t="s">
        <v>392</v>
      </c>
      <c r="J226" s="1854"/>
      <c r="K226" s="1854"/>
      <c r="L226" s="1854"/>
      <c r="M226" s="1855"/>
      <c r="N226" s="1855"/>
      <c r="O226" s="1855"/>
      <c r="P226" s="1855"/>
      <c r="Q226" s="1855"/>
      <c r="R226" s="1854" t="s">
        <v>352</v>
      </c>
      <c r="S226" s="1855">
        <f>SLQHQwidth</f>
        <v>71.5</v>
      </c>
      <c r="T226" s="1854" t="s">
        <v>366</v>
      </c>
      <c r="U226" s="1853"/>
      <c r="V226" s="1856" t="s">
        <v>369</v>
      </c>
      <c r="W226" s="1854" t="s">
        <v>370</v>
      </c>
      <c r="X226" s="1856" t="s">
        <v>369</v>
      </c>
      <c r="Y226" s="1918">
        <v>120074014938</v>
      </c>
      <c r="Z226" s="1858"/>
      <c r="AA226" s="1853"/>
      <c r="AB226" s="1854"/>
      <c r="AC226" s="1854">
        <v>1</v>
      </c>
      <c r="AD226" s="1855">
        <f>AC226*S226/12</f>
        <v>5.958333333333333</v>
      </c>
      <c r="AE226" s="1854" t="s">
        <v>367</v>
      </c>
      <c r="AF226" s="1856"/>
      <c r="AG226" s="1856"/>
      <c r="AH226" s="1864">
        <f>0.00877</f>
        <v>8.77E-3</v>
      </c>
      <c r="AI226" s="1860"/>
      <c r="AJ226" s="1860"/>
      <c r="AK226" s="1860"/>
      <c r="AL226" s="1860">
        <f>AH226*AD226</f>
        <v>5.2254583333333333E-2</v>
      </c>
      <c r="AM226" s="1854"/>
      <c r="AN226" s="1854"/>
      <c r="AO226" s="1854"/>
      <c r="AP226" s="1854"/>
      <c r="AR226" s="140"/>
      <c r="AS226" s="139"/>
      <c r="AT226" s="139"/>
      <c r="AU226" s="139"/>
    </row>
    <row r="227" spans="2:47" ht="15" customHeight="1" x14ac:dyDescent="0.4">
      <c r="B227" s="3"/>
      <c r="C227" s="173" t="s">
        <v>445</v>
      </c>
      <c r="D227" s="182"/>
      <c r="E227" s="182"/>
      <c r="F227" s="182" t="s">
        <v>438</v>
      </c>
      <c r="G227" s="173"/>
      <c r="H227" s="175"/>
      <c r="I227" s="116" t="s">
        <v>392</v>
      </c>
      <c r="J227" s="116"/>
      <c r="K227" s="116"/>
      <c r="L227" s="116" t="s">
        <v>348</v>
      </c>
      <c r="M227" s="177">
        <v>3</v>
      </c>
      <c r="N227" s="177" t="s">
        <v>348</v>
      </c>
      <c r="O227" s="177">
        <f>0.25</f>
        <v>0.25</v>
      </c>
      <c r="P227" s="177"/>
      <c r="Q227" s="177"/>
      <c r="R227" s="116" t="s">
        <v>352</v>
      </c>
      <c r="S227" s="177">
        <f>SLQHQwidth+M227+O227</f>
        <v>74.75</v>
      </c>
      <c r="T227" s="116" t="s">
        <v>366</v>
      </c>
      <c r="U227" s="175"/>
      <c r="V227" s="179"/>
      <c r="W227" s="116"/>
      <c r="X227" s="179"/>
      <c r="Y227" s="1449"/>
      <c r="Z227" s="116"/>
      <c r="AA227" s="175"/>
      <c r="AB227" s="116">
        <v>42</v>
      </c>
      <c r="AC227" s="116">
        <v>1</v>
      </c>
      <c r="AD227" s="177">
        <f>AC227*S227/12</f>
        <v>6.229166666666667</v>
      </c>
      <c r="AE227" s="116" t="s">
        <v>367</v>
      </c>
      <c r="AF227" s="179">
        <v>0.88200000000000001</v>
      </c>
      <c r="AG227" s="177">
        <f>AF227*AtolbperftQHQ</f>
        <v>0.55786499999999994</v>
      </c>
      <c r="AH227" s="185"/>
      <c r="AI227" s="185"/>
      <c r="AJ227" s="185"/>
      <c r="AK227" s="185"/>
      <c r="AL227" s="180"/>
      <c r="AQ227" s="139"/>
      <c r="AR227" s="139"/>
      <c r="AS227" s="139"/>
      <c r="AT227" s="139"/>
      <c r="AU227" s="139"/>
    </row>
    <row r="228" spans="2:47" ht="15" customHeight="1" x14ac:dyDescent="0.4">
      <c r="B228" s="36"/>
      <c r="C228" s="7"/>
      <c r="D228" s="155"/>
      <c r="E228" s="155" t="s">
        <v>439</v>
      </c>
      <c r="F228" s="155"/>
      <c r="G228" s="7"/>
      <c r="H228" s="20"/>
      <c r="I228" s="3" t="s">
        <v>392</v>
      </c>
      <c r="L228" s="3" t="s">
        <v>348</v>
      </c>
      <c r="M228" s="5">
        <v>0</v>
      </c>
      <c r="N228" s="5" t="s">
        <v>348</v>
      </c>
      <c r="O228" s="5">
        <f>0.25</f>
        <v>0.25</v>
      </c>
      <c r="P228" s="24"/>
      <c r="Q228" s="24"/>
      <c r="R228" s="3" t="s">
        <v>352</v>
      </c>
      <c r="S228" s="5">
        <f>SLQHQwidth+M228+O228</f>
        <v>71.75</v>
      </c>
      <c r="T228" s="3" t="s">
        <v>366</v>
      </c>
      <c r="U228" s="20"/>
      <c r="V228" s="38" t="s">
        <v>369</v>
      </c>
      <c r="W228" s="3" t="s">
        <v>370</v>
      </c>
      <c r="X228" s="38" t="s">
        <v>369</v>
      </c>
      <c r="Y228" s="1443">
        <v>200151003</v>
      </c>
      <c r="Z228" s="41"/>
      <c r="AA228" s="20"/>
      <c r="AE228" s="3"/>
      <c r="AF228" s="38"/>
      <c r="AH228" s="39">
        <f>0.91*AG227</f>
        <v>0.50765715</v>
      </c>
      <c r="AI228" s="39"/>
      <c r="AJ228" s="39"/>
      <c r="AK228" s="39"/>
      <c r="AL228" s="39">
        <f>AH228*AD227</f>
        <v>3.1622809968750003</v>
      </c>
      <c r="AQ228" s="139"/>
      <c r="AR228" s="444"/>
      <c r="AS228" s="139"/>
      <c r="AT228" s="139"/>
      <c r="AU228" s="139"/>
    </row>
    <row r="229" spans="2:47" ht="15" customHeight="1" x14ac:dyDescent="0.4">
      <c r="B229" s="36"/>
      <c r="C229" s="7"/>
      <c r="D229" s="155"/>
      <c r="E229" s="155"/>
      <c r="F229" s="155"/>
      <c r="G229" s="7"/>
      <c r="H229" s="20"/>
      <c r="T229" s="3" t="s">
        <v>366</v>
      </c>
      <c r="U229" s="20"/>
      <c r="V229" s="38" t="s">
        <v>369</v>
      </c>
      <c r="W229" s="3" t="s">
        <v>372</v>
      </c>
      <c r="X229" s="38" t="s">
        <v>369</v>
      </c>
      <c r="Y229" s="1443">
        <v>200151021</v>
      </c>
      <c r="Z229" s="41"/>
      <c r="AA229" s="20"/>
      <c r="AE229" s="3"/>
      <c r="AF229" s="38"/>
      <c r="AH229" s="39">
        <f>1*AG227</f>
        <v>0.55786499999999994</v>
      </c>
      <c r="AI229" s="39"/>
      <c r="AJ229" s="39"/>
      <c r="AK229" s="39"/>
      <c r="AL229" s="39">
        <f>AH229*AD227</f>
        <v>3.4750340624999998</v>
      </c>
      <c r="AQ229" s="139"/>
      <c r="AR229" s="444"/>
      <c r="AS229" s="139"/>
      <c r="AT229" s="139"/>
      <c r="AU229" s="139"/>
    </row>
    <row r="230" spans="2:47" ht="15" customHeight="1" x14ac:dyDescent="0.4">
      <c r="B230" s="36"/>
      <c r="C230" s="7"/>
      <c r="D230" s="155"/>
      <c r="E230" s="155"/>
      <c r="F230" s="155"/>
      <c r="G230" s="7"/>
      <c r="H230" s="20"/>
      <c r="T230" s="3" t="s">
        <v>366</v>
      </c>
      <c r="U230" s="20"/>
      <c r="V230" s="38" t="s">
        <v>369</v>
      </c>
      <c r="W230" s="3" t="s">
        <v>373</v>
      </c>
      <c r="X230" s="38" t="s">
        <v>369</v>
      </c>
      <c r="Y230" s="1443">
        <v>200151033</v>
      </c>
      <c r="Z230" s="41"/>
      <c r="AA230" s="20"/>
      <c r="AE230" s="3"/>
      <c r="AF230" s="38"/>
      <c r="AH230" s="39">
        <f>1*AG227</f>
        <v>0.55786499999999994</v>
      </c>
      <c r="AI230" s="39"/>
      <c r="AJ230" s="39"/>
      <c r="AK230" s="39"/>
      <c r="AL230" s="39">
        <f>AH230*AD227</f>
        <v>3.4750340624999998</v>
      </c>
      <c r="AQ230" s="139"/>
      <c r="AR230" s="446"/>
      <c r="AS230" s="139"/>
      <c r="AT230" s="139"/>
      <c r="AU230" s="139"/>
    </row>
    <row r="231" spans="2:47" ht="15.75" customHeight="1" x14ac:dyDescent="0.4">
      <c r="B231" s="36"/>
      <c r="C231" s="36"/>
      <c r="D231" s="155"/>
      <c r="E231" s="155"/>
      <c r="F231" s="155"/>
      <c r="G231" s="7"/>
      <c r="H231" s="20"/>
      <c r="P231" s="24"/>
      <c r="Q231" s="24"/>
      <c r="U231" s="20"/>
      <c r="V231" s="3" t="s">
        <v>2363</v>
      </c>
      <c r="W231" s="3" t="s">
        <v>370</v>
      </c>
      <c r="X231" s="38" t="s">
        <v>369</v>
      </c>
      <c r="Y231" s="1443">
        <v>200151127</v>
      </c>
      <c r="Z231" s="41"/>
      <c r="AA231" s="20"/>
      <c r="AE231" s="3"/>
      <c r="AF231" s="3"/>
      <c r="AH231" s="51">
        <v>0.90069999999999995</v>
      </c>
      <c r="AI231" s="39"/>
      <c r="AJ231" s="39"/>
      <c r="AK231" s="39"/>
      <c r="AL231" s="39">
        <f t="shared" ref="AL231:AL232" si="17">AH231*$AD$168</f>
        <v>0</v>
      </c>
      <c r="AQ231" s="139"/>
      <c r="AR231" s="139"/>
      <c r="AS231" s="139"/>
      <c r="AT231" s="139"/>
      <c r="AU231" s="139"/>
    </row>
    <row r="232" spans="2:47" ht="15.75" customHeight="1" x14ac:dyDescent="0.4">
      <c r="B232" s="36"/>
      <c r="C232" s="36"/>
      <c r="D232" s="155"/>
      <c r="E232" s="623"/>
      <c r="F232" s="623"/>
      <c r="G232" s="221"/>
      <c r="H232" s="624"/>
      <c r="I232" s="577"/>
      <c r="J232" s="577"/>
      <c r="K232" s="577"/>
      <c r="L232" s="577"/>
      <c r="M232" s="575"/>
      <c r="N232" s="575"/>
      <c r="O232" s="575"/>
      <c r="P232" s="625"/>
      <c r="Q232" s="625"/>
      <c r="R232" s="577"/>
      <c r="S232" s="575"/>
      <c r="T232" s="577"/>
      <c r="U232" s="624"/>
      <c r="V232" s="577" t="s">
        <v>2365</v>
      </c>
      <c r="W232" s="577" t="s">
        <v>370</v>
      </c>
      <c r="X232" s="579" t="s">
        <v>369</v>
      </c>
      <c r="Y232" s="1446">
        <v>200151180</v>
      </c>
      <c r="Z232" s="864"/>
      <c r="AA232" s="624"/>
      <c r="AB232" s="577"/>
      <c r="AC232" s="577"/>
      <c r="AD232" s="575"/>
      <c r="AE232" s="577"/>
      <c r="AF232" s="577"/>
      <c r="AG232" s="575"/>
      <c r="AH232" s="626">
        <v>0.97099999999999997</v>
      </c>
      <c r="AI232" s="581"/>
      <c r="AJ232" s="581"/>
      <c r="AK232" s="581"/>
      <c r="AL232" s="581">
        <f t="shared" si="17"/>
        <v>0</v>
      </c>
      <c r="AM232" s="577"/>
      <c r="AN232" s="577"/>
      <c r="AO232" s="577"/>
      <c r="AP232" s="577"/>
      <c r="AQ232" s="139"/>
      <c r="AR232" s="139"/>
      <c r="AS232" s="139"/>
      <c r="AT232" s="139"/>
      <c r="AU232" s="139"/>
    </row>
    <row r="233" spans="2:47" ht="15" customHeight="1" x14ac:dyDescent="0.4">
      <c r="B233" s="36"/>
      <c r="C233" s="36"/>
      <c r="D233" s="155" t="s">
        <v>1408</v>
      </c>
      <c r="E233" s="155"/>
      <c r="F233" s="155"/>
      <c r="G233" s="7"/>
      <c r="H233" s="20"/>
      <c r="I233" s="500"/>
      <c r="J233" s="500"/>
      <c r="K233" s="500"/>
      <c r="L233" s="500"/>
      <c r="M233" s="24"/>
      <c r="N233" s="24"/>
      <c r="O233" s="24"/>
      <c r="P233" s="24"/>
      <c r="Q233" s="24"/>
      <c r="R233" s="500"/>
      <c r="S233" s="24"/>
      <c r="T233" s="500"/>
      <c r="U233" s="20"/>
      <c r="V233" s="38" t="s">
        <v>369</v>
      </c>
      <c r="W233" s="3" t="s">
        <v>405</v>
      </c>
      <c r="X233" s="38" t="s">
        <v>369</v>
      </c>
      <c r="Y233" s="1452">
        <v>600042010</v>
      </c>
      <c r="Z233" s="41"/>
      <c r="AA233" s="20"/>
      <c r="AE233" s="3"/>
      <c r="AF233" s="3"/>
      <c r="AG233" s="3"/>
      <c r="AH233" s="39"/>
      <c r="AI233" s="39"/>
      <c r="AJ233" s="39"/>
      <c r="AK233" s="39"/>
      <c r="AM233" s="39"/>
      <c r="AN233" s="39"/>
      <c r="AO233" s="39"/>
      <c r="AP233" s="39"/>
      <c r="AQ233" s="139"/>
      <c r="AR233" s="140"/>
      <c r="AS233" s="139"/>
      <c r="AT233" s="139"/>
      <c r="AU233" s="139"/>
    </row>
    <row r="234" spans="2:47" ht="15" customHeight="1" x14ac:dyDescent="0.4">
      <c r="B234" s="36"/>
      <c r="C234" s="36"/>
      <c r="D234" s="155" t="s">
        <v>1409</v>
      </c>
      <c r="E234" s="155"/>
      <c r="F234" s="155"/>
      <c r="G234" s="7"/>
      <c r="H234" s="20"/>
      <c r="I234" s="3" t="s">
        <v>392</v>
      </c>
      <c r="L234" s="3" t="s">
        <v>348</v>
      </c>
      <c r="M234" s="5">
        <v>0</v>
      </c>
      <c r="R234" s="3" t="s">
        <v>352</v>
      </c>
      <c r="S234" s="5">
        <f>SLQHQwidth+M234+O234</f>
        <v>71.5</v>
      </c>
      <c r="T234" s="3" t="s">
        <v>366</v>
      </c>
      <c r="U234" s="20"/>
      <c r="V234" s="38" t="s">
        <v>369</v>
      </c>
      <c r="W234" s="3" t="s">
        <v>405</v>
      </c>
      <c r="X234" s="38" t="s">
        <v>369</v>
      </c>
      <c r="Y234" s="1443">
        <v>600050010</v>
      </c>
      <c r="Z234" s="41"/>
      <c r="AA234" s="20"/>
      <c r="AB234" s="3">
        <v>42</v>
      </c>
      <c r="AC234" s="3">
        <v>1</v>
      </c>
      <c r="AD234" s="5">
        <f>AC234*S234/12</f>
        <v>5.958333333333333</v>
      </c>
      <c r="AE234" s="3" t="s">
        <v>367</v>
      </c>
      <c r="AF234" s="3"/>
      <c r="AG234" s="3"/>
      <c r="AH234" s="39">
        <v>0</v>
      </c>
      <c r="AI234" s="39"/>
      <c r="AJ234" s="39"/>
      <c r="AK234" s="39"/>
      <c r="AM234" s="39"/>
      <c r="AN234" s="39"/>
      <c r="AO234" s="39"/>
      <c r="AP234" s="39"/>
      <c r="AQ234" s="139"/>
      <c r="AR234" s="140"/>
      <c r="AS234" s="139"/>
      <c r="AT234" s="139"/>
      <c r="AU234" s="139"/>
    </row>
    <row r="235" spans="2:47" ht="15" customHeight="1" thickBot="1" x14ac:dyDescent="0.25">
      <c r="C235" s="1849"/>
      <c r="D235" s="1850" t="s">
        <v>2353</v>
      </c>
      <c r="E235" s="889"/>
      <c r="F235" s="1851"/>
      <c r="G235" s="1852"/>
      <c r="H235" s="1853"/>
      <c r="I235" s="1854" t="s">
        <v>392</v>
      </c>
      <c r="J235" s="1854"/>
      <c r="K235" s="1854"/>
      <c r="L235" s="1854"/>
      <c r="M235" s="1855"/>
      <c r="N235" s="1855"/>
      <c r="O235" s="1855"/>
      <c r="P235" s="1855"/>
      <c r="Q235" s="1855"/>
      <c r="R235" s="1854" t="s">
        <v>352</v>
      </c>
      <c r="S235" s="1855">
        <f>SLQHQwidth</f>
        <v>71.5</v>
      </c>
      <c r="T235" s="1854" t="s">
        <v>366</v>
      </c>
      <c r="U235" s="1853"/>
      <c r="V235" s="1856" t="s">
        <v>369</v>
      </c>
      <c r="W235" s="1854" t="s">
        <v>370</v>
      </c>
      <c r="X235" s="1856" t="s">
        <v>369</v>
      </c>
      <c r="Y235" s="1918">
        <v>120074014938</v>
      </c>
      <c r="Z235" s="1858"/>
      <c r="AA235" s="1853"/>
      <c r="AB235" s="1854"/>
      <c r="AC235" s="1854">
        <v>1</v>
      </c>
      <c r="AD235" s="1855">
        <f>AC235*S235/12</f>
        <v>5.958333333333333</v>
      </c>
      <c r="AE235" s="1854" t="s">
        <v>367</v>
      </c>
      <c r="AF235" s="1856"/>
      <c r="AG235" s="1856"/>
      <c r="AH235" s="1864">
        <f>0.00877</f>
        <v>8.77E-3</v>
      </c>
      <c r="AI235" s="1860"/>
      <c r="AJ235" s="1860"/>
      <c r="AK235" s="1860"/>
      <c r="AL235" s="1860">
        <f>AH235*AD235</f>
        <v>5.2254583333333333E-2</v>
      </c>
      <c r="AM235" s="1854"/>
      <c r="AN235" s="1854"/>
      <c r="AO235" s="1854"/>
      <c r="AP235" s="1854"/>
      <c r="AR235" s="140"/>
      <c r="AS235" s="139"/>
      <c r="AT235" s="139"/>
      <c r="AU235" s="139"/>
    </row>
    <row r="236" spans="2:47" ht="15" customHeight="1" x14ac:dyDescent="0.4">
      <c r="C236" s="173" t="s">
        <v>407</v>
      </c>
      <c r="D236" s="181"/>
      <c r="E236" s="182"/>
      <c r="F236" s="182"/>
      <c r="G236" s="430" t="s">
        <v>383</v>
      </c>
      <c r="H236" s="175"/>
      <c r="I236" s="116" t="s">
        <v>392</v>
      </c>
      <c r="J236" s="116"/>
      <c r="K236" s="116"/>
      <c r="L236" s="116" t="s">
        <v>348</v>
      </c>
      <c r="M236" s="177">
        <v>3</v>
      </c>
      <c r="N236" s="177" t="s">
        <v>348</v>
      </c>
      <c r="O236" s="177">
        <f>0.25</f>
        <v>0.25</v>
      </c>
      <c r="P236" s="178"/>
      <c r="Q236" s="178"/>
      <c r="R236" s="116" t="s">
        <v>352</v>
      </c>
      <c r="S236" s="177">
        <f>SLQHQwidth+M236+O236</f>
        <v>74.75</v>
      </c>
      <c r="T236" s="116" t="s">
        <v>366</v>
      </c>
      <c r="U236" s="175"/>
      <c r="V236" s="179"/>
      <c r="W236" s="116"/>
      <c r="X236" s="179"/>
      <c r="Y236" s="1449"/>
      <c r="Z236" s="184"/>
      <c r="AA236" s="175"/>
      <c r="AB236" s="116">
        <v>42</v>
      </c>
      <c r="AC236" s="116">
        <v>1</v>
      </c>
      <c r="AD236" s="177">
        <f>AC236*S236/12</f>
        <v>6.229166666666667</v>
      </c>
      <c r="AE236" s="116" t="s">
        <v>367</v>
      </c>
      <c r="AF236" s="116">
        <v>0</v>
      </c>
      <c r="AG236" s="177">
        <f>AF236*AtolbperftQHQ</f>
        <v>0</v>
      </c>
      <c r="AH236" s="185"/>
      <c r="AI236" s="39"/>
      <c r="AJ236" s="39"/>
      <c r="AK236" s="39"/>
      <c r="AL236" s="180"/>
      <c r="AQ236" s="139"/>
      <c r="AR236" s="139"/>
      <c r="AS236" s="139"/>
      <c r="AT236" s="139"/>
      <c r="AU236" s="139"/>
    </row>
    <row r="237" spans="2:47" ht="15" customHeight="1" x14ac:dyDescent="0.4">
      <c r="B237" s="36"/>
      <c r="C237" s="36"/>
      <c r="D237" s="155"/>
      <c r="E237" s="155"/>
      <c r="F237" s="155"/>
      <c r="G237" s="7"/>
      <c r="H237" s="20"/>
      <c r="P237" s="24"/>
      <c r="Q237" s="24"/>
      <c r="U237" s="20"/>
      <c r="V237" s="38" t="s">
        <v>369</v>
      </c>
      <c r="W237" s="3" t="s">
        <v>370</v>
      </c>
      <c r="X237" s="38" t="s">
        <v>369</v>
      </c>
      <c r="Y237" s="1443">
        <v>200114003</v>
      </c>
      <c r="Z237" s="41"/>
      <c r="AA237" s="20"/>
      <c r="AE237" s="3"/>
      <c r="AF237" s="38"/>
      <c r="AH237" s="39">
        <f>1*AG236</f>
        <v>0</v>
      </c>
      <c r="AL237" s="39">
        <f>AH237*AD236</f>
        <v>0</v>
      </c>
      <c r="AQ237" s="139"/>
      <c r="AR237" s="139"/>
      <c r="AS237" s="139"/>
      <c r="AT237" s="139"/>
      <c r="AU237" s="139"/>
    </row>
    <row r="238" spans="2:47" ht="15" customHeight="1" x14ac:dyDescent="0.4">
      <c r="B238" s="36"/>
      <c r="C238" s="36"/>
      <c r="D238" s="155"/>
      <c r="E238" s="155"/>
      <c r="F238" s="155"/>
      <c r="G238" s="7"/>
      <c r="H238" s="20"/>
      <c r="P238" s="24"/>
      <c r="Q238" s="24"/>
      <c r="U238" s="20"/>
      <c r="V238" s="38" t="s">
        <v>369</v>
      </c>
      <c r="W238" s="3" t="s">
        <v>372</v>
      </c>
      <c r="X238" s="38" t="s">
        <v>369</v>
      </c>
      <c r="Y238" s="1443">
        <v>200114021</v>
      </c>
      <c r="Z238" s="41"/>
      <c r="AA238" s="20"/>
      <c r="AE238" s="3"/>
      <c r="AF238" s="3"/>
      <c r="AH238" s="39">
        <f>1*AG236</f>
        <v>0</v>
      </c>
      <c r="AL238" s="39">
        <f>AH238*AD236</f>
        <v>0</v>
      </c>
      <c r="AQ238" s="139"/>
      <c r="AR238" s="139"/>
      <c r="AS238" s="139"/>
      <c r="AT238" s="139"/>
      <c r="AU238" s="139"/>
    </row>
    <row r="239" spans="2:47" ht="15" customHeight="1" x14ac:dyDescent="0.4">
      <c r="B239" s="36"/>
      <c r="C239" s="36"/>
      <c r="D239" s="155"/>
      <c r="E239" s="155"/>
      <c r="F239" s="155"/>
      <c r="G239" s="7"/>
      <c r="H239" s="20"/>
      <c r="P239" s="24"/>
      <c r="Q239" s="24"/>
      <c r="U239" s="20"/>
      <c r="V239" s="38" t="s">
        <v>369</v>
      </c>
      <c r="W239" s="3" t="s">
        <v>373</v>
      </c>
      <c r="X239" s="38" t="s">
        <v>369</v>
      </c>
      <c r="Y239" s="1443">
        <v>200114033</v>
      </c>
      <c r="Z239" s="41"/>
      <c r="AA239" s="20"/>
      <c r="AE239" s="3"/>
      <c r="AF239" s="3"/>
      <c r="AH239" s="39">
        <f>1*AG236</f>
        <v>0</v>
      </c>
      <c r="AI239" s="39"/>
      <c r="AJ239" s="39"/>
      <c r="AK239" s="39"/>
      <c r="AL239" s="39">
        <f>AH239*AD236</f>
        <v>0</v>
      </c>
      <c r="AQ239" s="139"/>
      <c r="AR239" s="139"/>
      <c r="AS239" s="139"/>
      <c r="AT239" s="139"/>
      <c r="AU239" s="139"/>
    </row>
    <row r="240" spans="2:47" ht="15" customHeight="1" x14ac:dyDescent="0.4">
      <c r="B240" s="36"/>
      <c r="C240" s="36"/>
      <c r="D240" s="155"/>
      <c r="E240" s="155"/>
      <c r="F240" s="155"/>
      <c r="G240" s="7"/>
      <c r="H240" s="20"/>
      <c r="P240" s="24"/>
      <c r="Q240" s="24"/>
      <c r="U240" s="20"/>
      <c r="V240" s="38" t="s">
        <v>369</v>
      </c>
      <c r="W240" s="3" t="s">
        <v>374</v>
      </c>
      <c r="X240" s="38" t="s">
        <v>369</v>
      </c>
      <c r="Y240" s="1443">
        <v>200114090</v>
      </c>
      <c r="Z240" s="1443"/>
      <c r="AA240" s="20"/>
      <c r="AE240" s="3"/>
      <c r="AF240" s="3"/>
      <c r="AH240" s="51">
        <v>0.26579999999999998</v>
      </c>
      <c r="AI240" s="39"/>
      <c r="AJ240" s="39"/>
      <c r="AK240" s="39"/>
      <c r="AL240" s="39">
        <f t="shared" ref="AL240:AL241" si="18">AH240*$AD$182</f>
        <v>0.53159999999999996</v>
      </c>
      <c r="AQ240" s="139"/>
      <c r="AR240" s="139"/>
      <c r="AS240" s="139"/>
      <c r="AT240" s="139"/>
      <c r="AU240" s="139"/>
    </row>
    <row r="241" spans="1:47" ht="15" customHeight="1" thickBot="1" x14ac:dyDescent="0.45">
      <c r="B241" s="943"/>
      <c r="C241" s="943"/>
      <c r="D241" s="925"/>
      <c r="E241" s="925"/>
      <c r="F241" s="925"/>
      <c r="G241" s="924"/>
      <c r="H241" s="887"/>
      <c r="I241" s="889"/>
      <c r="J241" s="889"/>
      <c r="K241" s="889"/>
      <c r="L241" s="889"/>
      <c r="M241" s="945"/>
      <c r="N241" s="945"/>
      <c r="O241" s="945"/>
      <c r="P241" s="1020"/>
      <c r="Q241" s="1020"/>
      <c r="R241" s="889"/>
      <c r="S241" s="945"/>
      <c r="T241" s="889"/>
      <c r="U241" s="887"/>
      <c r="V241" s="888" t="s">
        <v>369</v>
      </c>
      <c r="W241" s="889" t="s">
        <v>375</v>
      </c>
      <c r="X241" s="888" t="s">
        <v>369</v>
      </c>
      <c r="Y241" s="1444">
        <v>200114133</v>
      </c>
      <c r="Z241" s="1444"/>
      <c r="AA241" s="887"/>
      <c r="AB241" s="889"/>
      <c r="AC241" s="889"/>
      <c r="AD241" s="945"/>
      <c r="AE241" s="889"/>
      <c r="AF241" s="889"/>
      <c r="AG241" s="945"/>
      <c r="AH241" s="51">
        <v>0.28470000000000001</v>
      </c>
      <c r="AI241" s="947"/>
      <c r="AJ241" s="947"/>
      <c r="AK241" s="947"/>
      <c r="AL241" s="947">
        <f t="shared" si="18"/>
        <v>0.56940000000000002</v>
      </c>
      <c r="AM241" s="889"/>
      <c r="AN241" s="889"/>
      <c r="AO241" s="889"/>
      <c r="AP241" s="889"/>
      <c r="AQ241" s="139"/>
      <c r="AR241" s="139"/>
      <c r="AS241" s="139"/>
      <c r="AT241" s="139"/>
      <c r="AU241" s="139"/>
    </row>
    <row r="242" spans="1:47" ht="15" customHeight="1" x14ac:dyDescent="0.4">
      <c r="B242" s="173" t="s">
        <v>446</v>
      </c>
      <c r="C242" s="173"/>
      <c r="D242" s="181"/>
      <c r="E242" s="182"/>
      <c r="F242" s="430" t="s">
        <v>418</v>
      </c>
      <c r="G242" s="431">
        <v>3</v>
      </c>
      <c r="H242" s="175"/>
      <c r="I242" s="432" t="str">
        <f xml:space="preserve"> "Length = INT ( ( UW - " &amp;FIXED(G243,2)&amp;") / "&amp;FIXED(G242,2)&amp;" ) *"&amp;FIXED(G242,2)</f>
        <v>Length = INT ( ( UW - 1.00) / 3.00 ) *3.00</v>
      </c>
      <c r="J242" s="116"/>
      <c r="K242" s="116"/>
      <c r="L242" s="116"/>
      <c r="M242" s="177"/>
      <c r="N242" s="177"/>
      <c r="O242" s="177"/>
      <c r="P242" s="178"/>
      <c r="Q242" s="178"/>
      <c r="R242" s="116" t="s">
        <v>352</v>
      </c>
      <c r="S242" s="177">
        <f>INT((SLQHQwidth-G243)/G242)*G242</f>
        <v>69</v>
      </c>
      <c r="T242" s="116" t="s">
        <v>366</v>
      </c>
      <c r="U242" s="175"/>
      <c r="V242" s="179"/>
      <c r="W242" s="116"/>
      <c r="X242" s="179"/>
      <c r="Y242" s="1449"/>
      <c r="Z242" s="184"/>
      <c r="AA242" s="175"/>
      <c r="AB242" s="116">
        <v>42</v>
      </c>
      <c r="AC242" s="116">
        <v>1</v>
      </c>
      <c r="AD242" s="177">
        <f>AC242*S242/12</f>
        <v>5.75</v>
      </c>
      <c r="AE242" s="116" t="s">
        <v>367</v>
      </c>
      <c r="AF242" s="116">
        <v>0</v>
      </c>
      <c r="AG242" s="177">
        <f>AF242*AtolbperftQHQ</f>
        <v>0</v>
      </c>
      <c r="AH242" s="185"/>
      <c r="AI242" s="39"/>
      <c r="AJ242" s="39"/>
      <c r="AK242" s="39"/>
      <c r="AL242" s="180"/>
      <c r="AQ242" s="139"/>
      <c r="AR242" s="139"/>
      <c r="AS242" s="139"/>
      <c r="AT242" s="139"/>
      <c r="AU242" s="139"/>
    </row>
    <row r="243" spans="1:47" ht="15" customHeight="1" x14ac:dyDescent="0.4">
      <c r="B243" s="36"/>
      <c r="C243" s="155"/>
      <c r="D243" s="155"/>
      <c r="E243" s="155"/>
      <c r="F243" s="434" t="s">
        <v>419</v>
      </c>
      <c r="G243" s="435">
        <v>1</v>
      </c>
      <c r="H243" s="20"/>
      <c r="P243" s="24"/>
      <c r="Q243" s="24"/>
      <c r="U243" s="20"/>
      <c r="V243" s="38" t="s">
        <v>369</v>
      </c>
      <c r="W243" s="3" t="s">
        <v>370</v>
      </c>
      <c r="X243" s="38" t="s">
        <v>369</v>
      </c>
      <c r="Y243" s="1443">
        <v>200142003</v>
      </c>
      <c r="Z243" s="41"/>
      <c r="AA243" s="20"/>
      <c r="AE243" s="3"/>
      <c r="AF243" s="38"/>
      <c r="AH243" s="39">
        <f>1*AG242</f>
        <v>0</v>
      </c>
      <c r="AI243" s="39"/>
      <c r="AJ243" s="39"/>
      <c r="AK243" s="39"/>
      <c r="AL243" s="39">
        <f>AH243*AD242</f>
        <v>0</v>
      </c>
      <c r="AQ243" s="139"/>
      <c r="AR243" s="139"/>
      <c r="AS243" s="139"/>
      <c r="AT243" s="139"/>
      <c r="AU243" s="139"/>
    </row>
    <row r="244" spans="1:47" ht="15" customHeight="1" x14ac:dyDescent="0.4">
      <c r="B244" s="36"/>
      <c r="C244" s="155"/>
      <c r="D244" s="155"/>
      <c r="E244" s="155"/>
      <c r="F244" s="155"/>
      <c r="G244" s="7"/>
      <c r="H244" s="20"/>
      <c r="P244" s="24"/>
      <c r="Q244" s="24"/>
      <c r="U244" s="20"/>
      <c r="V244" s="38" t="s">
        <v>369</v>
      </c>
      <c r="W244" s="3" t="s">
        <v>372</v>
      </c>
      <c r="X244" s="38" t="s">
        <v>369</v>
      </c>
      <c r="Y244" s="1443">
        <v>200142021</v>
      </c>
      <c r="Z244" s="41"/>
      <c r="AA244" s="20"/>
      <c r="AE244" s="3"/>
      <c r="AF244" s="3"/>
      <c r="AH244" s="39">
        <f>1*AG242</f>
        <v>0</v>
      </c>
      <c r="AI244" s="39"/>
      <c r="AJ244" s="39"/>
      <c r="AK244" s="39"/>
      <c r="AL244" s="39">
        <f>AH244*AD242</f>
        <v>0</v>
      </c>
      <c r="AQ244" s="139"/>
      <c r="AR244" s="139"/>
      <c r="AS244" s="139"/>
      <c r="AT244" s="139"/>
      <c r="AU244" s="139"/>
    </row>
    <row r="245" spans="1:47" ht="15" customHeight="1" thickBot="1" x14ac:dyDescent="0.45">
      <c r="B245" s="943"/>
      <c r="C245" s="925"/>
      <c r="D245" s="925"/>
      <c r="E245" s="925"/>
      <c r="F245" s="925"/>
      <c r="G245" s="924"/>
      <c r="H245" s="887"/>
      <c r="I245" s="889"/>
      <c r="J245" s="889"/>
      <c r="K245" s="889"/>
      <c r="L245" s="889"/>
      <c r="M245" s="945"/>
      <c r="N245" s="945"/>
      <c r="O245" s="945"/>
      <c r="P245" s="1020"/>
      <c r="Q245" s="1020"/>
      <c r="R245" s="889"/>
      <c r="S245" s="945"/>
      <c r="T245" s="889"/>
      <c r="U245" s="887"/>
      <c r="V245" s="888" t="s">
        <v>369</v>
      </c>
      <c r="W245" s="889" t="s">
        <v>373</v>
      </c>
      <c r="X245" s="888" t="s">
        <v>369</v>
      </c>
      <c r="Y245" s="1444">
        <v>200142033</v>
      </c>
      <c r="Z245" s="946"/>
      <c r="AA245" s="887"/>
      <c r="AB245" s="889"/>
      <c r="AC245" s="889"/>
      <c r="AD245" s="945"/>
      <c r="AE245" s="889"/>
      <c r="AF245" s="889"/>
      <c r="AG245" s="945"/>
      <c r="AH245" s="947">
        <f>1*AG242</f>
        <v>0</v>
      </c>
      <c r="AI245" s="947"/>
      <c r="AJ245" s="947"/>
      <c r="AK245" s="947"/>
      <c r="AL245" s="947">
        <f>AH245*AD242</f>
        <v>0</v>
      </c>
      <c r="AM245" s="889"/>
      <c r="AN245" s="889"/>
      <c r="AO245" s="889"/>
      <c r="AP245" s="889"/>
      <c r="AQ245" s="139"/>
      <c r="AR245" s="139"/>
      <c r="AS245" s="139"/>
      <c r="AT245" s="139"/>
      <c r="AU245" s="139"/>
    </row>
    <row r="246" spans="1:47" s="112" customFormat="1" ht="15" customHeight="1" x14ac:dyDescent="0.4">
      <c r="B246" s="90" t="s">
        <v>447</v>
      </c>
      <c r="C246" s="34"/>
      <c r="D246" s="35"/>
      <c r="E246" s="35"/>
      <c r="F246" s="35"/>
      <c r="G246" s="35"/>
      <c r="H246" s="61"/>
      <c r="I246" s="61"/>
      <c r="J246" s="61"/>
      <c r="K246" s="61"/>
      <c r="L246" s="61"/>
      <c r="M246" s="62"/>
      <c r="N246" s="62"/>
      <c r="O246" s="62"/>
      <c r="P246" s="62"/>
      <c r="Q246" s="62"/>
      <c r="R246" s="61"/>
      <c r="S246" s="62"/>
      <c r="T246" s="61"/>
      <c r="U246" s="61"/>
      <c r="V246" s="35"/>
      <c r="W246" s="35"/>
      <c r="X246" s="35"/>
      <c r="Y246" s="1618"/>
      <c r="Z246" s="57"/>
      <c r="AA246" s="61"/>
      <c r="AB246" s="57"/>
      <c r="AC246" s="61"/>
      <c r="AD246" s="62"/>
      <c r="AE246" s="61"/>
      <c r="AF246" s="61"/>
      <c r="AG246" s="61"/>
      <c r="AH246" s="479"/>
      <c r="AI246" s="479"/>
      <c r="AJ246" s="479"/>
      <c r="AK246" s="479"/>
      <c r="AL246" s="479"/>
      <c r="AM246" s="479"/>
      <c r="AN246" s="479"/>
      <c r="AO246" s="479"/>
      <c r="AP246" s="479"/>
      <c r="AQ246" s="139"/>
      <c r="AR246" s="450"/>
      <c r="AS246" s="450"/>
      <c r="AT246" s="450"/>
      <c r="AU246" s="450"/>
    </row>
    <row r="247" spans="1:47" s="112" customFormat="1" ht="15" customHeight="1" x14ac:dyDescent="0.4">
      <c r="B247" s="156" t="s">
        <v>449</v>
      </c>
      <c r="C247" s="37"/>
      <c r="D247" s="37"/>
      <c r="E247" s="37"/>
      <c r="F247" s="37"/>
      <c r="G247" s="37"/>
      <c r="H247" s="157"/>
      <c r="I247" s="157"/>
      <c r="J247" s="157"/>
      <c r="K247" s="157"/>
      <c r="L247" s="157"/>
      <c r="M247" s="158"/>
      <c r="N247" s="158"/>
      <c r="O247" s="158"/>
      <c r="P247" s="158"/>
      <c r="Q247" s="158"/>
      <c r="R247" s="157"/>
      <c r="S247" s="158"/>
      <c r="T247" s="157"/>
      <c r="U247" s="157"/>
      <c r="V247" s="37"/>
      <c r="W247" s="37"/>
      <c r="X247" s="37"/>
      <c r="Y247" s="1619"/>
      <c r="Z247" s="59"/>
      <c r="AA247" s="157"/>
      <c r="AB247" s="59"/>
      <c r="AC247" s="157"/>
      <c r="AD247" s="158"/>
      <c r="AE247" s="157"/>
      <c r="AF247" s="157"/>
      <c r="AG247" s="157"/>
      <c r="AH247" s="159"/>
      <c r="AI247" s="159"/>
      <c r="AJ247" s="159"/>
      <c r="AK247" s="159"/>
      <c r="AL247" s="159"/>
      <c r="AM247" s="159"/>
      <c r="AN247" s="159"/>
      <c r="AO247" s="159"/>
      <c r="AP247" s="159"/>
      <c r="AQ247" s="139"/>
      <c r="AR247" s="450"/>
      <c r="AS247" s="450"/>
      <c r="AT247" s="450"/>
      <c r="AU247" s="450"/>
    </row>
    <row r="248" spans="1:47" ht="15" customHeight="1" x14ac:dyDescent="0.4">
      <c r="B248" s="36" t="s">
        <v>1224</v>
      </c>
      <c r="D248" s="155"/>
      <c r="E248" s="155"/>
      <c r="F248" s="155"/>
      <c r="G248" s="7"/>
      <c r="H248" s="20"/>
      <c r="P248" s="24"/>
      <c r="Q248" s="24"/>
      <c r="U248" s="20"/>
      <c r="V248" s="38"/>
      <c r="X248" s="38"/>
      <c r="Y248" s="1443"/>
      <c r="Z248" s="41"/>
      <c r="AA248" s="20"/>
      <c r="AE248" s="3"/>
      <c r="AF248" s="3"/>
      <c r="AG248" s="3"/>
      <c r="AH248" s="39"/>
      <c r="AI248" s="39"/>
      <c r="AJ248" s="39"/>
      <c r="AK248" s="39"/>
      <c r="AM248" s="39"/>
      <c r="AN248" s="39"/>
      <c r="AO248" s="39"/>
      <c r="AP248" s="39"/>
      <c r="AQ248" s="139"/>
      <c r="AR248" s="139"/>
      <c r="AS248" s="139"/>
      <c r="AT248" s="139"/>
      <c r="AU248" s="139"/>
    </row>
    <row r="249" spans="1:47" ht="15" customHeight="1" x14ac:dyDescent="0.4">
      <c r="A249" s="3" t="s">
        <v>457</v>
      </c>
      <c r="B249" s="36"/>
      <c r="C249" s="36"/>
      <c r="D249" s="4" t="s">
        <v>1225</v>
      </c>
      <c r="E249" s="3"/>
      <c r="F249" s="3"/>
      <c r="G249" s="7"/>
      <c r="H249" s="20"/>
      <c r="I249" s="3" t="s">
        <v>392</v>
      </c>
      <c r="J249" s="38" t="s">
        <v>346</v>
      </c>
      <c r="K249" s="3">
        <v>4</v>
      </c>
      <c r="L249" s="3" t="s">
        <v>348</v>
      </c>
      <c r="M249" s="5">
        <f>-0.125</f>
        <v>-0.125</v>
      </c>
      <c r="N249" s="5" t="s">
        <v>348</v>
      </c>
      <c r="O249" s="5">
        <v>0.125</v>
      </c>
      <c r="R249" s="3" t="s">
        <v>352</v>
      </c>
      <c r="S249" s="5" t="e">
        <f>SLQHQwidth/K249+M249+O249+CCO</f>
        <v>#NAME?</v>
      </c>
      <c r="T249" s="3" t="s">
        <v>366</v>
      </c>
      <c r="U249" s="20"/>
      <c r="V249" s="7"/>
      <c r="W249" s="7"/>
      <c r="X249" s="7"/>
      <c r="Y249" s="1443"/>
      <c r="AA249" s="20"/>
      <c r="AE249" s="3"/>
      <c r="AF249" s="38"/>
      <c r="AG249" s="3"/>
      <c r="AH249" s="39"/>
      <c r="AI249" s="39"/>
      <c r="AJ249" s="39"/>
      <c r="AK249" s="39"/>
      <c r="AM249" s="39"/>
      <c r="AN249" s="39"/>
      <c r="AO249" s="39"/>
      <c r="AP249" s="39"/>
      <c r="AQ249" s="139"/>
      <c r="AR249" s="139"/>
      <c r="AS249" s="139"/>
      <c r="AT249" s="139"/>
      <c r="AU249" s="139"/>
    </row>
    <row r="250" spans="1:47" ht="15" customHeight="1" x14ac:dyDescent="0.4">
      <c r="B250" s="36"/>
      <c r="C250" s="36"/>
      <c r="D250" s="4" t="s">
        <v>1226</v>
      </c>
      <c r="E250" s="3"/>
      <c r="F250" s="3"/>
      <c r="G250" s="7"/>
      <c r="H250" s="20"/>
      <c r="I250" s="3" t="s">
        <v>392</v>
      </c>
      <c r="J250" s="38" t="s">
        <v>346</v>
      </c>
      <c r="K250" s="3">
        <v>4</v>
      </c>
      <c r="L250" s="3" t="s">
        <v>348</v>
      </c>
      <c r="M250" s="5">
        <f>-2.438-0.25</f>
        <v>-2.6880000000000002</v>
      </c>
      <c r="N250" s="5" t="s">
        <v>348</v>
      </c>
      <c r="O250" s="5">
        <v>0.125</v>
      </c>
      <c r="R250" s="3" t="s">
        <v>352</v>
      </c>
      <c r="S250" s="5" t="e">
        <f>SLQHQwidth/K250+M250+O250+CCO</f>
        <v>#NAME?</v>
      </c>
      <c r="T250" s="3" t="s">
        <v>366</v>
      </c>
      <c r="U250" s="20"/>
      <c r="V250" s="7"/>
      <c r="W250" s="7"/>
      <c r="X250" s="7"/>
      <c r="Y250" s="1443"/>
      <c r="AA250" s="20"/>
      <c r="AE250" s="3"/>
      <c r="AF250" s="38"/>
      <c r="AG250" s="3"/>
      <c r="AH250" s="39"/>
      <c r="AI250" s="39"/>
      <c r="AJ250" s="39"/>
      <c r="AK250" s="39"/>
      <c r="AM250" s="39"/>
      <c r="AN250" s="39"/>
      <c r="AO250" s="39"/>
      <c r="AP250" s="39"/>
      <c r="AQ250" s="139"/>
      <c r="AR250" s="139"/>
      <c r="AS250" s="139"/>
      <c r="AT250" s="139"/>
      <c r="AU250" s="139"/>
    </row>
    <row r="251" spans="1:47" ht="15" customHeight="1" thickBot="1" x14ac:dyDescent="0.45">
      <c r="B251" s="943"/>
      <c r="C251" s="943"/>
      <c r="D251" s="968" t="s">
        <v>1227</v>
      </c>
      <c r="E251" s="889"/>
      <c r="F251" s="889"/>
      <c r="G251" s="924"/>
      <c r="H251" s="887"/>
      <c r="I251" s="889" t="s">
        <v>392</v>
      </c>
      <c r="J251" s="888" t="s">
        <v>346</v>
      </c>
      <c r="K251" s="889">
        <v>4</v>
      </c>
      <c r="L251" s="889" t="s">
        <v>348</v>
      </c>
      <c r="M251" s="945">
        <v>-2.6429999999999998</v>
      </c>
      <c r="N251" s="945"/>
      <c r="O251" s="945"/>
      <c r="P251" s="945"/>
      <c r="Q251" s="945"/>
      <c r="R251" s="889" t="s">
        <v>352</v>
      </c>
      <c r="S251" s="945" t="e">
        <f>SLQHQwidth/K251+M251+O251+CCO</f>
        <v>#NAME?</v>
      </c>
      <c r="T251" s="889" t="s">
        <v>366</v>
      </c>
      <c r="U251" s="887"/>
      <c r="V251" s="924"/>
      <c r="W251" s="924"/>
      <c r="X251" s="924"/>
      <c r="Y251" s="1444"/>
      <c r="Z251" s="889"/>
      <c r="AA251" s="887"/>
      <c r="AB251" s="889"/>
      <c r="AC251" s="889"/>
      <c r="AD251" s="945"/>
      <c r="AE251" s="889"/>
      <c r="AF251" s="888"/>
      <c r="AG251" s="889"/>
      <c r="AH251" s="947"/>
      <c r="AI251" s="947"/>
      <c r="AJ251" s="947"/>
      <c r="AK251" s="947"/>
      <c r="AL251" s="947"/>
      <c r="AM251" s="947"/>
      <c r="AN251" s="947"/>
      <c r="AO251" s="947"/>
      <c r="AP251" s="947"/>
      <c r="AQ251" s="139"/>
      <c r="AR251" s="139"/>
      <c r="AS251" s="139"/>
      <c r="AT251" s="139"/>
      <c r="AU251" s="139"/>
    </row>
    <row r="252" spans="1:47" s="112" customFormat="1" ht="15" customHeight="1" x14ac:dyDescent="0.2">
      <c r="A252" s="3" t="s">
        <v>1228</v>
      </c>
      <c r="B252" s="7" t="s">
        <v>1229</v>
      </c>
      <c r="D252" s="155" t="s">
        <v>495</v>
      </c>
      <c r="F252" s="4"/>
      <c r="G252" s="155"/>
      <c r="H252" s="14"/>
      <c r="I252" s="3" t="s">
        <v>365</v>
      </c>
      <c r="J252" s="3"/>
      <c r="K252" s="3"/>
      <c r="L252" s="3" t="s">
        <v>348</v>
      </c>
      <c r="M252" s="554">
        <v>-4</v>
      </c>
      <c r="N252" s="356"/>
      <c r="O252" s="356"/>
      <c r="P252" s="5"/>
      <c r="Q252" s="5"/>
      <c r="R252" s="3" t="s">
        <v>352</v>
      </c>
      <c r="S252" s="5">
        <f>SLQHQheight+M252</f>
        <v>43.5</v>
      </c>
      <c r="T252" s="3" t="s">
        <v>366</v>
      </c>
      <c r="U252" s="14"/>
      <c r="V252" s="4"/>
      <c r="W252" s="4"/>
      <c r="X252" s="4"/>
      <c r="Y252" s="1443"/>
      <c r="Z252" s="3"/>
      <c r="AA252" s="14"/>
      <c r="AB252" s="3">
        <v>45</v>
      </c>
      <c r="AC252" s="3">
        <v>2</v>
      </c>
      <c r="AD252" s="5">
        <f>AC252*S252/12</f>
        <v>7.25</v>
      </c>
      <c r="AE252" s="3" t="s">
        <v>367</v>
      </c>
      <c r="AF252" s="38">
        <f>'Single Hung'!AG399</f>
        <v>0</v>
      </c>
      <c r="AG252" s="5">
        <f>AF252*AtolbperftQHQ</f>
        <v>0</v>
      </c>
      <c r="AH252" s="51"/>
      <c r="AI252" s="39"/>
      <c r="AJ252" s="39"/>
      <c r="AK252" s="39"/>
      <c r="AL252" s="39"/>
      <c r="AM252" s="3"/>
      <c r="AN252" s="3"/>
      <c r="AO252" s="3"/>
      <c r="AP252" s="3"/>
      <c r="AQ252" s="139"/>
      <c r="AR252" s="450"/>
      <c r="AS252" s="450"/>
      <c r="AT252" s="450"/>
      <c r="AU252" s="450"/>
    </row>
    <row r="253" spans="1:47" s="112" customFormat="1" ht="15" customHeight="1" x14ac:dyDescent="0.4">
      <c r="B253" s="8"/>
      <c r="C253" s="36"/>
      <c r="D253" s="155"/>
      <c r="E253" s="155"/>
      <c r="F253" s="155"/>
      <c r="G253" s="155"/>
      <c r="H253" s="14"/>
      <c r="I253" s="3"/>
      <c r="J253" s="3"/>
      <c r="K253" s="3"/>
      <c r="L253" s="3"/>
      <c r="M253" s="5"/>
      <c r="N253" s="5"/>
      <c r="O253" s="5"/>
      <c r="P253" s="5"/>
      <c r="Q253" s="5"/>
      <c r="R253" s="3"/>
      <c r="S253" s="5"/>
      <c r="T253" s="3"/>
      <c r="U253" s="14"/>
      <c r="V253" s="38" t="s">
        <v>369</v>
      </c>
      <c r="W253" s="3" t="s">
        <v>370</v>
      </c>
      <c r="X253" s="38" t="s">
        <v>369</v>
      </c>
      <c r="Y253" s="1443">
        <v>200393003</v>
      </c>
      <c r="Z253" s="41"/>
      <c r="AA253" s="14"/>
      <c r="AB253" s="3"/>
      <c r="AC253" s="3"/>
      <c r="AD253" s="5"/>
      <c r="AE253" s="3"/>
      <c r="AF253" s="38"/>
      <c r="AG253" s="5"/>
      <c r="AH253" s="51">
        <v>0.36809999999999998</v>
      </c>
      <c r="AI253" s="39"/>
      <c r="AJ253" s="39"/>
      <c r="AK253" s="39"/>
      <c r="AL253" s="39">
        <f>AD$252*AH253+SUM(AI253:AK253)</f>
        <v>2.6687249999999998</v>
      </c>
      <c r="AM253" s="3"/>
      <c r="AN253" s="3"/>
      <c r="AO253" s="3"/>
      <c r="AP253" s="3"/>
      <c r="AQ253" s="139"/>
      <c r="AR253" s="450"/>
      <c r="AS253" s="450"/>
      <c r="AT253" s="450"/>
      <c r="AU253" s="450"/>
    </row>
    <row r="254" spans="1:47" ht="15" customHeight="1" x14ac:dyDescent="0.4">
      <c r="B254" s="8"/>
      <c r="C254" s="36"/>
      <c r="D254" s="155"/>
      <c r="E254" s="155"/>
      <c r="F254" s="155"/>
      <c r="G254" s="155"/>
      <c r="V254" s="38" t="s">
        <v>369</v>
      </c>
      <c r="W254" s="3" t="s">
        <v>372</v>
      </c>
      <c r="X254" s="38" t="s">
        <v>369</v>
      </c>
      <c r="Y254" s="1443">
        <v>200393021</v>
      </c>
      <c r="Z254" s="41"/>
      <c r="AE254" s="3"/>
      <c r="AF254" s="38"/>
      <c r="AH254" s="51">
        <v>0.38869999999999999</v>
      </c>
      <c r="AL254" s="39">
        <f t="shared" ref="AL254:AL260" si="19">AD$252*AH254+SUM(AI254:AK254)</f>
        <v>2.8180749999999999</v>
      </c>
      <c r="AQ254" s="139"/>
      <c r="AR254" s="139"/>
      <c r="AS254" s="139"/>
      <c r="AT254" s="139"/>
      <c r="AU254" s="139"/>
    </row>
    <row r="255" spans="1:47" ht="15" customHeight="1" x14ac:dyDescent="0.4">
      <c r="B255" s="8"/>
      <c r="C255" s="36"/>
      <c r="D255" s="155"/>
      <c r="E255" s="155"/>
      <c r="F255" s="155"/>
      <c r="G255" s="155"/>
      <c r="V255" s="38" t="s">
        <v>369</v>
      </c>
      <c r="W255" s="3" t="s">
        <v>373</v>
      </c>
      <c r="X255" s="38" t="s">
        <v>369</v>
      </c>
      <c r="Y255" s="1443">
        <v>200393033</v>
      </c>
      <c r="Z255" s="41"/>
      <c r="AE255" s="3"/>
      <c r="AF255" s="38"/>
      <c r="AH255" s="51">
        <v>0.4133</v>
      </c>
      <c r="AI255" s="39"/>
      <c r="AJ255" s="39"/>
      <c r="AK255" s="39"/>
      <c r="AL255" s="39">
        <f t="shared" si="19"/>
        <v>2.9964249999999999</v>
      </c>
      <c r="AQ255" s="139"/>
      <c r="AR255" s="139"/>
      <c r="AS255" s="139"/>
      <c r="AT255" s="139"/>
      <c r="AU255" s="139"/>
    </row>
    <row r="256" spans="1:47" ht="15" customHeight="1" x14ac:dyDescent="0.4">
      <c r="B256" s="8"/>
      <c r="C256" s="36"/>
      <c r="D256" s="155"/>
      <c r="E256" s="155"/>
      <c r="F256" s="155"/>
      <c r="G256" s="155"/>
      <c r="V256" s="3" t="s">
        <v>2363</v>
      </c>
      <c r="W256" s="3" t="s">
        <v>370</v>
      </c>
      <c r="X256" s="38" t="s">
        <v>369</v>
      </c>
      <c r="Y256" s="1443">
        <v>200393127</v>
      </c>
      <c r="Z256" s="41"/>
      <c r="AE256" s="3"/>
      <c r="AF256" s="38"/>
      <c r="AH256" s="51">
        <v>0.47920000000000001</v>
      </c>
      <c r="AI256" s="39"/>
      <c r="AJ256" s="39"/>
      <c r="AK256" s="39"/>
      <c r="AL256" s="39">
        <f t="shared" si="19"/>
        <v>3.4742000000000002</v>
      </c>
      <c r="AQ256" s="139"/>
      <c r="AR256" s="139"/>
      <c r="AS256" s="139"/>
      <c r="AT256" s="139"/>
      <c r="AU256" s="139"/>
    </row>
    <row r="257" spans="1:47" ht="15" customHeight="1" x14ac:dyDescent="0.4">
      <c r="B257" s="8"/>
      <c r="C257" s="36"/>
      <c r="D257" s="155"/>
      <c r="E257" s="155"/>
      <c r="F257" s="155"/>
      <c r="G257" s="155"/>
      <c r="V257" s="112" t="s">
        <v>2366</v>
      </c>
      <c r="W257" s="112" t="s">
        <v>370</v>
      </c>
      <c r="X257" s="279" t="s">
        <v>369</v>
      </c>
      <c r="Y257" s="1871">
        <v>200393128</v>
      </c>
      <c r="Z257" s="41"/>
      <c r="AE257" s="3"/>
      <c r="AF257" s="38"/>
      <c r="AH257" s="51">
        <v>0.4612</v>
      </c>
      <c r="AI257" s="39"/>
      <c r="AJ257" s="39"/>
      <c r="AK257" s="39"/>
      <c r="AL257" s="39">
        <f t="shared" si="19"/>
        <v>3.3437000000000001</v>
      </c>
      <c r="AQ257" s="139"/>
      <c r="AR257" s="139"/>
      <c r="AS257" s="139"/>
      <c r="AT257" s="139"/>
      <c r="AU257" s="139"/>
    </row>
    <row r="258" spans="1:47" ht="15" customHeight="1" x14ac:dyDescent="0.4">
      <c r="B258" s="8"/>
      <c r="C258" s="36"/>
      <c r="D258" s="155"/>
      <c r="E258" s="155"/>
      <c r="F258" s="155"/>
      <c r="G258" s="155"/>
      <c r="V258" s="3" t="s">
        <v>2364</v>
      </c>
      <c r="W258" s="3" t="s">
        <v>370</v>
      </c>
      <c r="X258" s="38" t="s">
        <v>369</v>
      </c>
      <c r="Y258" s="1443">
        <v>200393129</v>
      </c>
      <c r="Z258" s="41"/>
      <c r="AE258" s="3"/>
      <c r="AF258" s="38"/>
      <c r="AH258" s="51">
        <v>0.52380000000000004</v>
      </c>
      <c r="AI258" s="39"/>
      <c r="AJ258" s="39"/>
      <c r="AK258" s="39"/>
      <c r="AL258" s="39">
        <f t="shared" si="19"/>
        <v>3.7975500000000002</v>
      </c>
      <c r="AQ258" s="139"/>
      <c r="AR258" s="139"/>
      <c r="AS258" s="139"/>
      <c r="AT258" s="139"/>
      <c r="AU258" s="139"/>
    </row>
    <row r="259" spans="1:47" ht="15" customHeight="1" x14ac:dyDescent="0.4">
      <c r="B259" s="8"/>
      <c r="C259" s="36"/>
      <c r="D259" s="155"/>
      <c r="E259" s="155"/>
      <c r="F259" s="155"/>
      <c r="G259" s="155"/>
      <c r="V259" s="3" t="s">
        <v>2365</v>
      </c>
      <c r="W259" s="3" t="s">
        <v>370</v>
      </c>
      <c r="X259" s="38" t="s">
        <v>369</v>
      </c>
      <c r="Y259" s="1443">
        <v>200393180</v>
      </c>
      <c r="Z259" s="41"/>
      <c r="AE259" s="3"/>
      <c r="AF259" s="38"/>
      <c r="AH259" s="51">
        <v>0.4647</v>
      </c>
      <c r="AI259" s="39"/>
      <c r="AJ259" s="39"/>
      <c r="AK259" s="39"/>
      <c r="AL259" s="39">
        <f t="shared" si="19"/>
        <v>3.369075</v>
      </c>
      <c r="AQ259" s="139"/>
      <c r="AR259" s="139"/>
      <c r="AS259" s="139"/>
      <c r="AT259" s="139"/>
      <c r="AU259" s="139"/>
    </row>
    <row r="260" spans="1:47" ht="15" customHeight="1" x14ac:dyDescent="0.4">
      <c r="B260" s="8"/>
      <c r="C260" s="36"/>
      <c r="D260" s="155"/>
      <c r="E260" s="155"/>
      <c r="F260" s="155"/>
      <c r="G260" s="155"/>
      <c r="V260" s="112" t="s">
        <v>2367</v>
      </c>
      <c r="W260" s="112" t="s">
        <v>370</v>
      </c>
      <c r="X260" s="279" t="s">
        <v>369</v>
      </c>
      <c r="Y260" s="1871">
        <v>200393152</v>
      </c>
      <c r="Z260" s="41"/>
      <c r="AE260" s="3"/>
      <c r="AF260" s="38"/>
      <c r="AH260" s="51">
        <v>0</v>
      </c>
      <c r="AI260" s="39"/>
      <c r="AJ260" s="39"/>
      <c r="AK260" s="39"/>
      <c r="AL260" s="39">
        <f t="shared" si="19"/>
        <v>0</v>
      </c>
      <c r="AQ260" s="139"/>
      <c r="AR260" s="139"/>
      <c r="AS260" s="139"/>
      <c r="AT260" s="139"/>
      <c r="AU260" s="139"/>
    </row>
    <row r="261" spans="1:47" ht="15" customHeight="1" x14ac:dyDescent="0.4">
      <c r="B261" s="8"/>
      <c r="C261" s="36"/>
      <c r="D261" s="623"/>
      <c r="E261" s="623"/>
      <c r="F261" s="623"/>
      <c r="G261" s="623"/>
      <c r="H261" s="574"/>
      <c r="I261" s="577"/>
      <c r="J261" s="577"/>
      <c r="K261" s="577"/>
      <c r="L261" s="577"/>
      <c r="M261" s="575"/>
      <c r="N261" s="575"/>
      <c r="O261" s="575"/>
      <c r="P261" s="575"/>
      <c r="Q261" s="575"/>
      <c r="R261" s="577"/>
      <c r="S261" s="575"/>
      <c r="T261" s="577"/>
      <c r="U261" s="574"/>
      <c r="V261" s="577" t="s">
        <v>2365</v>
      </c>
      <c r="W261" s="577" t="s">
        <v>370</v>
      </c>
      <c r="X261" s="579" t="s">
        <v>2365</v>
      </c>
      <c r="Y261" s="1446">
        <v>200393181</v>
      </c>
      <c r="Z261" s="864"/>
      <c r="AA261" s="574"/>
      <c r="AB261" s="577"/>
      <c r="AC261" s="577"/>
      <c r="AD261" s="575"/>
      <c r="AE261" s="577"/>
      <c r="AF261" s="579"/>
      <c r="AG261" s="575"/>
      <c r="AH261" s="626"/>
      <c r="AI261" s="581"/>
      <c r="AJ261" s="581"/>
      <c r="AK261" s="581"/>
      <c r="AL261" s="581"/>
      <c r="AM261" s="577"/>
      <c r="AN261" s="577"/>
      <c r="AO261" s="577"/>
      <c r="AP261" s="577"/>
      <c r="AQ261" s="139"/>
      <c r="AR261" s="139"/>
      <c r="AS261" s="139"/>
      <c r="AT261" s="139"/>
      <c r="AU261" s="139"/>
    </row>
    <row r="262" spans="1:47" ht="15" customHeight="1" x14ac:dyDescent="0.4">
      <c r="B262" s="36"/>
      <c r="C262" s="36"/>
      <c r="D262" s="155" t="s">
        <v>1220</v>
      </c>
      <c r="E262" s="155"/>
      <c r="F262" s="155"/>
      <c r="G262" s="7"/>
      <c r="H262" s="20"/>
      <c r="I262" s="500"/>
      <c r="J262" s="500"/>
      <c r="K262" s="500"/>
      <c r="L262" s="500"/>
      <c r="M262" s="24"/>
      <c r="N262" s="24"/>
      <c r="O262" s="24"/>
      <c r="P262" s="24"/>
      <c r="Q262" s="24"/>
      <c r="R262" s="500"/>
      <c r="S262" s="24"/>
      <c r="T262" s="500"/>
      <c r="U262" s="20"/>
      <c r="V262" s="38" t="s">
        <v>369</v>
      </c>
      <c r="W262" s="3" t="s">
        <v>405</v>
      </c>
      <c r="X262" s="38" t="s">
        <v>369</v>
      </c>
      <c r="Y262" s="1443">
        <v>600042010</v>
      </c>
      <c r="Z262" s="41"/>
      <c r="AA262" s="20"/>
      <c r="AE262" s="3"/>
      <c r="AF262" s="3"/>
      <c r="AG262" s="3"/>
      <c r="AH262" s="39"/>
      <c r="AI262" s="39"/>
      <c r="AJ262" s="39"/>
      <c r="AK262" s="39"/>
      <c r="AQ262" s="139"/>
      <c r="AR262" s="140"/>
      <c r="AS262" s="139"/>
      <c r="AT262" s="139"/>
      <c r="AU262" s="139"/>
    </row>
    <row r="263" spans="1:47" ht="15" customHeight="1" x14ac:dyDescent="0.2">
      <c r="B263" s="36"/>
      <c r="C263" s="36"/>
      <c r="D263" s="447" t="s">
        <v>1344</v>
      </c>
      <c r="E263" s="155"/>
      <c r="F263" s="155"/>
      <c r="G263" s="7"/>
      <c r="H263" s="20"/>
      <c r="I263" s="3" t="s">
        <v>365</v>
      </c>
      <c r="L263" s="3" t="s">
        <v>348</v>
      </c>
      <c r="M263" s="5">
        <f>M252</f>
        <v>-4</v>
      </c>
      <c r="N263" s="356"/>
      <c r="O263" s="356"/>
      <c r="R263" s="3" t="s">
        <v>352</v>
      </c>
      <c r="S263" s="5">
        <f>SLQHQheight+M263</f>
        <v>43.5</v>
      </c>
      <c r="T263" s="3" t="s">
        <v>366</v>
      </c>
      <c r="U263" s="20"/>
      <c r="V263" s="38" t="s">
        <v>369</v>
      </c>
      <c r="W263" s="3" t="s">
        <v>405</v>
      </c>
      <c r="X263" s="38" t="s">
        <v>369</v>
      </c>
      <c r="Y263" s="1443">
        <v>600050010</v>
      </c>
      <c r="Z263" s="41"/>
      <c r="AA263" s="20"/>
      <c r="AB263" s="3">
        <v>42</v>
      </c>
      <c r="AC263" s="3">
        <v>2</v>
      </c>
      <c r="AD263" s="5">
        <f>AC263*S263/12</f>
        <v>7.25</v>
      </c>
      <c r="AE263" s="3" t="s">
        <v>367</v>
      </c>
      <c r="AF263" s="3"/>
      <c r="AG263" s="3"/>
      <c r="AH263" s="39">
        <v>0</v>
      </c>
      <c r="AI263" s="39"/>
      <c r="AJ263" s="39"/>
      <c r="AK263" s="39"/>
      <c r="AL263" s="39">
        <f>AH263*AD254</f>
        <v>0</v>
      </c>
      <c r="AQ263" s="139"/>
      <c r="AR263" s="140"/>
      <c r="AS263" s="139"/>
      <c r="AT263" s="139"/>
      <c r="AU263" s="139"/>
    </row>
    <row r="264" spans="1:47" ht="15" customHeight="1" thickBot="1" x14ac:dyDescent="0.25">
      <c r="C264" s="1849"/>
      <c r="D264" s="1850" t="s">
        <v>2354</v>
      </c>
      <c r="E264" s="1854"/>
      <c r="F264" s="1851"/>
      <c r="G264" s="1852"/>
      <c r="H264" s="1853"/>
      <c r="I264" s="1854" t="s">
        <v>365</v>
      </c>
      <c r="J264" s="1854"/>
      <c r="K264" s="1854"/>
      <c r="L264" s="1854" t="s">
        <v>348</v>
      </c>
      <c r="M264" s="1855">
        <v>-4</v>
      </c>
      <c r="N264" s="1855"/>
      <c r="O264" s="1855"/>
      <c r="P264" s="1855"/>
      <c r="Q264" s="1855"/>
      <c r="R264" s="1854" t="s">
        <v>352</v>
      </c>
      <c r="S264" s="1855">
        <f>SLQHQheight+M264</f>
        <v>43.5</v>
      </c>
      <c r="T264" s="1854" t="s">
        <v>366</v>
      </c>
      <c r="U264" s="1853"/>
      <c r="V264" s="1856" t="s">
        <v>369</v>
      </c>
      <c r="W264" s="1854" t="s">
        <v>370</v>
      </c>
      <c r="X264" s="1856" t="s">
        <v>369</v>
      </c>
      <c r="Y264" s="1918">
        <v>120074014015</v>
      </c>
      <c r="Z264" s="1858"/>
      <c r="AA264" s="1853"/>
      <c r="AB264" s="1854"/>
      <c r="AC264" s="1854">
        <v>2</v>
      </c>
      <c r="AD264" s="1855">
        <f>AC264*S264/12</f>
        <v>7.25</v>
      </c>
      <c r="AE264" s="1854" t="s">
        <v>367</v>
      </c>
      <c r="AF264" s="1856"/>
      <c r="AG264" s="1856"/>
      <c r="AH264" s="1864">
        <f>0.01399</f>
        <v>1.3990000000000001E-2</v>
      </c>
      <c r="AI264" s="1860"/>
      <c r="AJ264" s="1860"/>
      <c r="AK264" s="1860"/>
      <c r="AL264" s="1860">
        <f>AH264*AD264</f>
        <v>0.1014275</v>
      </c>
      <c r="AM264" s="1854"/>
      <c r="AN264" s="1854"/>
      <c r="AO264" s="1854"/>
      <c r="AP264" s="1854"/>
      <c r="AR264" s="140"/>
      <c r="AS264" s="139"/>
      <c r="AT264" s="139"/>
      <c r="AU264" s="139"/>
    </row>
    <row r="265" spans="1:47" ht="15" customHeight="1" x14ac:dyDescent="0.4">
      <c r="A265" s="3" t="s">
        <v>1230</v>
      </c>
      <c r="B265" s="36" t="s">
        <v>1345</v>
      </c>
      <c r="C265" s="36"/>
      <c r="D265" s="447" t="s">
        <v>1232</v>
      </c>
      <c r="E265" s="155"/>
      <c r="F265" s="155"/>
      <c r="G265" s="7"/>
      <c r="H265" s="20"/>
      <c r="I265" s="3" t="s">
        <v>392</v>
      </c>
      <c r="L265" s="3" t="s">
        <v>348</v>
      </c>
      <c r="M265" s="5">
        <v>-2.75</v>
      </c>
      <c r="R265" s="3" t="s">
        <v>352</v>
      </c>
      <c r="S265" s="5">
        <f>SLQHQwidth+M265</f>
        <v>68.75</v>
      </c>
      <c r="T265" s="3" t="s">
        <v>366</v>
      </c>
      <c r="U265" s="20"/>
      <c r="V265" s="38"/>
      <c r="X265" s="38"/>
      <c r="Y265" s="1443"/>
      <c r="Z265" s="41"/>
      <c r="AA265" s="20"/>
      <c r="AB265" s="116">
        <v>42</v>
      </c>
      <c r="AC265" s="116">
        <v>1</v>
      </c>
      <c r="AD265" s="177">
        <f>AC265*S265/12</f>
        <v>5.729166666666667</v>
      </c>
      <c r="AE265" s="116" t="s">
        <v>367</v>
      </c>
      <c r="AF265" s="179">
        <v>0.16500000000000001</v>
      </c>
      <c r="AG265" s="177">
        <f>AF265*AtolbperftQHQ</f>
        <v>0.1043625</v>
      </c>
      <c r="AH265" s="39"/>
      <c r="AI265" s="185"/>
      <c r="AJ265" s="185"/>
      <c r="AK265" s="185"/>
      <c r="AM265" s="39"/>
      <c r="AN265" s="39"/>
      <c r="AO265" s="39"/>
      <c r="AP265" s="39"/>
      <c r="AQ265" s="139"/>
      <c r="AR265" s="140"/>
      <c r="AS265" s="139"/>
      <c r="AT265" s="139"/>
      <c r="AU265" s="139"/>
    </row>
    <row r="266" spans="1:47" ht="15" customHeight="1" x14ac:dyDescent="0.4">
      <c r="B266" s="36"/>
      <c r="C266" s="36"/>
      <c r="D266" s="447"/>
      <c r="E266" s="155"/>
      <c r="F266" s="155"/>
      <c r="G266" s="7"/>
      <c r="H266" s="20"/>
      <c r="U266" s="20"/>
      <c r="V266" s="38"/>
      <c r="W266" s="3" t="s">
        <v>370</v>
      </c>
      <c r="X266" s="38" t="s">
        <v>369</v>
      </c>
      <c r="Y266" s="1443">
        <v>200154003</v>
      </c>
      <c r="Z266" s="41"/>
      <c r="AA266" s="20"/>
      <c r="AE266" s="3"/>
      <c r="AF266" s="3"/>
      <c r="AG266" s="3"/>
      <c r="AH266" s="39">
        <f>1.3*AG265</f>
        <v>0.13567124999999999</v>
      </c>
      <c r="AI266" s="39"/>
      <c r="AJ266" s="39"/>
      <c r="AK266" s="39"/>
      <c r="AM266" s="39"/>
      <c r="AN266" s="39"/>
      <c r="AO266" s="39"/>
      <c r="AP266" s="39"/>
      <c r="AQ266" s="139"/>
      <c r="AR266" s="140"/>
      <c r="AS266" s="139"/>
      <c r="AT266" s="139"/>
      <c r="AU266" s="139"/>
    </row>
    <row r="267" spans="1:47" ht="15" customHeight="1" x14ac:dyDescent="0.4">
      <c r="B267" s="36"/>
      <c r="C267" s="36"/>
      <c r="D267" s="447"/>
      <c r="E267" s="155"/>
      <c r="F267" s="155"/>
      <c r="G267" s="7"/>
      <c r="H267" s="20"/>
      <c r="U267" s="20"/>
      <c r="V267" s="38"/>
      <c r="W267" s="3" t="s">
        <v>372</v>
      </c>
      <c r="X267" s="38" t="s">
        <v>369</v>
      </c>
      <c r="Y267" s="1443">
        <v>200154021</v>
      </c>
      <c r="Z267" s="41"/>
      <c r="AA267" s="20"/>
      <c r="AE267" s="3"/>
      <c r="AF267" s="3"/>
      <c r="AG267" s="3"/>
      <c r="AH267" s="39">
        <f>1.3*AG265</f>
        <v>0.13567124999999999</v>
      </c>
      <c r="AI267" s="39"/>
      <c r="AJ267" s="39"/>
      <c r="AK267" s="39"/>
      <c r="AM267" s="39"/>
      <c r="AN267" s="39"/>
      <c r="AO267" s="39"/>
      <c r="AP267" s="39"/>
      <c r="AQ267" s="139"/>
      <c r="AR267" s="140"/>
      <c r="AS267" s="139"/>
      <c r="AT267" s="139"/>
      <c r="AU267" s="139"/>
    </row>
    <row r="268" spans="1:47" ht="15" customHeight="1" x14ac:dyDescent="0.4">
      <c r="B268" s="36"/>
      <c r="C268" s="36"/>
      <c r="D268" s="447"/>
      <c r="E268" s="155"/>
      <c r="F268" s="155"/>
      <c r="G268" s="7"/>
      <c r="H268" s="20"/>
      <c r="U268" s="20"/>
      <c r="V268" s="38"/>
      <c r="W268" s="3" t="s">
        <v>373</v>
      </c>
      <c r="X268" s="38" t="s">
        <v>369</v>
      </c>
      <c r="Y268" s="1443">
        <v>200154033</v>
      </c>
      <c r="Z268" s="41"/>
      <c r="AA268" s="20"/>
      <c r="AE268" s="3"/>
      <c r="AF268" s="3"/>
      <c r="AG268" s="3"/>
      <c r="AH268" s="39">
        <f>1.3*AG265</f>
        <v>0.13567124999999999</v>
      </c>
      <c r="AI268" s="39"/>
      <c r="AJ268" s="39"/>
      <c r="AK268" s="39"/>
      <c r="AM268" s="39"/>
      <c r="AN268" s="39"/>
      <c r="AO268" s="39"/>
      <c r="AP268" s="39"/>
      <c r="AQ268" s="139"/>
      <c r="AR268" s="140"/>
      <c r="AS268" s="139"/>
      <c r="AT268" s="139"/>
      <c r="AU268" s="139"/>
    </row>
    <row r="269" spans="1:47" ht="15" customHeight="1" x14ac:dyDescent="0.4">
      <c r="B269" s="36"/>
      <c r="C269" s="36"/>
      <c r="D269" s="447"/>
      <c r="E269" s="155"/>
      <c r="F269" s="155"/>
      <c r="G269" s="7"/>
      <c r="H269" s="20"/>
      <c r="U269" s="20"/>
      <c r="V269" s="38" t="s">
        <v>2365</v>
      </c>
      <c r="W269" s="3" t="s">
        <v>370</v>
      </c>
      <c r="X269" s="38" t="s">
        <v>369</v>
      </c>
      <c r="Y269" s="1443">
        <v>200154181</v>
      </c>
      <c r="Z269" s="41"/>
      <c r="AA269" s="20"/>
      <c r="AE269" s="3"/>
      <c r="AF269" s="3"/>
      <c r="AG269" s="3"/>
      <c r="AH269" s="39"/>
      <c r="AI269" s="39"/>
      <c r="AJ269" s="39"/>
      <c r="AK269" s="39"/>
      <c r="AM269" s="39"/>
      <c r="AN269" s="39"/>
      <c r="AO269" s="39"/>
      <c r="AP269" s="39"/>
      <c r="AQ269" s="139"/>
      <c r="AR269" s="140"/>
      <c r="AS269" s="139"/>
      <c r="AT269" s="139"/>
      <c r="AU269" s="139"/>
    </row>
    <row r="270" spans="1:47" ht="15" customHeight="1" thickBot="1" x14ac:dyDescent="0.45">
      <c r="B270" s="36"/>
      <c r="C270" s="36"/>
      <c r="D270" s="447" t="s">
        <v>1233</v>
      </c>
      <c r="E270" s="155"/>
      <c r="F270" s="155"/>
      <c r="G270" s="7"/>
      <c r="H270" s="20"/>
      <c r="I270" s="3" t="s">
        <v>392</v>
      </c>
      <c r="J270" s="3" t="s">
        <v>346</v>
      </c>
      <c r="K270" s="3">
        <v>4</v>
      </c>
      <c r="L270" s="3" t="s">
        <v>348</v>
      </c>
      <c r="M270" s="5">
        <v>1.375</v>
      </c>
      <c r="R270" s="3" t="s">
        <v>352</v>
      </c>
      <c r="S270" s="5">
        <f>SLQHQwidth/K270+M270</f>
        <v>19.25</v>
      </c>
      <c r="T270" s="3" t="s">
        <v>366</v>
      </c>
      <c r="U270" s="20"/>
      <c r="V270" s="38"/>
      <c r="X270" s="38"/>
      <c r="Y270" s="1443"/>
      <c r="Z270" s="41"/>
      <c r="AA270" s="20"/>
      <c r="AE270" s="3"/>
      <c r="AF270" s="3"/>
      <c r="AG270" s="3"/>
      <c r="AH270" s="39"/>
      <c r="AI270" s="39"/>
      <c r="AJ270" s="39"/>
      <c r="AK270" s="39"/>
      <c r="AM270" s="39"/>
      <c r="AN270" s="39"/>
      <c r="AO270" s="39"/>
      <c r="AP270" s="39"/>
      <c r="AQ270" s="139"/>
      <c r="AR270" s="140"/>
      <c r="AS270" s="139"/>
      <c r="AT270" s="139"/>
      <c r="AU270" s="139"/>
    </row>
    <row r="271" spans="1:47" ht="15" customHeight="1" x14ac:dyDescent="0.4">
      <c r="A271" s="3" t="s">
        <v>473</v>
      </c>
      <c r="B271" s="173" t="s">
        <v>474</v>
      </c>
      <c r="C271" s="114"/>
      <c r="D271" s="138"/>
      <c r="E271" s="138"/>
      <c r="F271" s="138"/>
      <c r="G271" s="173"/>
      <c r="H271" s="193"/>
      <c r="I271" s="448" t="s">
        <v>461</v>
      </c>
      <c r="J271" s="116"/>
      <c r="K271" s="116" t="s">
        <v>365</v>
      </c>
      <c r="L271" s="116" t="s">
        <v>465</v>
      </c>
      <c r="M271" s="178">
        <v>25</v>
      </c>
      <c r="N271" s="177"/>
      <c r="O271" s="177"/>
      <c r="P271" s="177"/>
      <c r="Q271" s="177"/>
      <c r="R271" s="381"/>
      <c r="S271" s="177"/>
      <c r="T271" s="381"/>
      <c r="U271" s="193"/>
      <c r="V271" s="179"/>
      <c r="W271" s="116"/>
      <c r="X271" s="179"/>
      <c r="Y271" s="1449"/>
      <c r="Z271" s="116"/>
      <c r="AA271" s="193"/>
      <c r="AB271" s="116"/>
      <c r="AC271" s="480"/>
      <c r="AD271" s="177"/>
      <c r="AE271" s="177"/>
      <c r="AF271" s="177"/>
      <c r="AG271" s="177"/>
      <c r="AH271" s="481"/>
      <c r="AI271" s="481"/>
      <c r="AJ271" s="481"/>
      <c r="AK271" s="481"/>
      <c r="AL271" s="481"/>
      <c r="AM271" s="481"/>
      <c r="AN271" s="481"/>
      <c r="AO271" s="481"/>
      <c r="AP271" s="481"/>
      <c r="AQ271" s="139"/>
      <c r="AR271" s="139"/>
      <c r="AS271" s="139"/>
      <c r="AT271" s="139"/>
      <c r="AU271" s="139"/>
    </row>
    <row r="272" spans="1:47" ht="15" customHeight="1" x14ac:dyDescent="0.4">
      <c r="B272" s="36"/>
      <c r="C272" s="3"/>
      <c r="D272" s="3"/>
      <c r="E272" s="3"/>
      <c r="F272" s="3"/>
      <c r="G272" s="42" t="s">
        <v>466</v>
      </c>
      <c r="H272" s="20"/>
      <c r="I272" s="3" t="s">
        <v>365</v>
      </c>
      <c r="J272" s="38" t="s">
        <v>346</v>
      </c>
      <c r="K272" s="3">
        <v>2</v>
      </c>
      <c r="L272" s="3" t="s">
        <v>348</v>
      </c>
      <c r="M272" s="790">
        <v>-2.5</v>
      </c>
      <c r="P272" s="3"/>
      <c r="R272" s="3" t="s">
        <v>352</v>
      </c>
      <c r="S272" s="24">
        <f>SLQHQheight/K272+M272</f>
        <v>21.25</v>
      </c>
      <c r="T272" s="3" t="s">
        <v>366</v>
      </c>
      <c r="U272" s="20"/>
      <c r="V272" s="3" t="str">
        <f>IF(SLQHQwidth&lt;M271,"√","")</f>
        <v/>
      </c>
      <c r="W272" s="7"/>
      <c r="X272" s="7"/>
      <c r="Y272" s="1443"/>
      <c r="AA272" s="20"/>
      <c r="AE272" s="3"/>
      <c r="AF272" s="38"/>
      <c r="AG272" s="3"/>
      <c r="AH272" s="39"/>
      <c r="AI272" s="39"/>
      <c r="AJ272" s="39"/>
      <c r="AK272" s="39"/>
      <c r="AM272" s="39"/>
      <c r="AN272" s="39"/>
      <c r="AO272" s="39"/>
      <c r="AP272" s="39"/>
      <c r="AQ272" s="139"/>
      <c r="AR272" s="139"/>
      <c r="AS272" s="139"/>
      <c r="AT272" s="139"/>
      <c r="AU272" s="139"/>
    </row>
    <row r="273" spans="1:47" ht="15" customHeight="1" x14ac:dyDescent="0.4">
      <c r="B273" s="36"/>
      <c r="C273" s="3"/>
      <c r="D273" s="3"/>
      <c r="E273" s="3"/>
      <c r="F273" s="3"/>
      <c r="G273" s="7"/>
      <c r="H273" s="20"/>
      <c r="I273" s="36" t="s">
        <v>464</v>
      </c>
      <c r="J273" s="38"/>
      <c r="K273" s="3" t="s">
        <v>365</v>
      </c>
      <c r="L273" s="3" t="s">
        <v>463</v>
      </c>
      <c r="M273" s="5">
        <f>M271</f>
        <v>25</v>
      </c>
      <c r="N273" s="5" t="s">
        <v>747</v>
      </c>
      <c r="O273" s="5">
        <v>38</v>
      </c>
      <c r="P273" s="3"/>
      <c r="U273" s="20"/>
      <c r="V273" s="7"/>
      <c r="W273" s="7"/>
      <c r="X273" s="7"/>
      <c r="Y273" s="1443"/>
      <c r="AA273" s="20"/>
      <c r="AE273" s="3"/>
      <c r="AF273" s="38"/>
      <c r="AG273" s="3"/>
      <c r="AH273" s="39"/>
      <c r="AI273" s="39"/>
      <c r="AJ273" s="39"/>
      <c r="AK273" s="39"/>
      <c r="AM273" s="39"/>
      <c r="AN273" s="39"/>
      <c r="AO273" s="39"/>
      <c r="AP273" s="39"/>
      <c r="AQ273" s="139"/>
      <c r="AR273" s="139"/>
      <c r="AS273" s="139"/>
      <c r="AT273" s="139"/>
      <c r="AU273" s="139"/>
    </row>
    <row r="274" spans="1:47" ht="15" customHeight="1" x14ac:dyDescent="0.4">
      <c r="B274" s="36"/>
      <c r="C274" s="3"/>
      <c r="D274" s="3"/>
      <c r="E274" s="3"/>
      <c r="F274" s="3"/>
      <c r="G274" s="7"/>
      <c r="H274" s="20"/>
      <c r="J274" s="38"/>
      <c r="M274" s="791">
        <v>7.0629999999999997</v>
      </c>
      <c r="P274" s="3"/>
      <c r="R274" s="3" t="s">
        <v>352</v>
      </c>
      <c r="S274" s="24">
        <f>M274</f>
        <v>7.0629999999999997</v>
      </c>
      <c r="T274" s="3" t="s">
        <v>366</v>
      </c>
      <c r="U274" s="20"/>
      <c r="V274" s="3" t="str">
        <f>IF(AND(SLQHQwidth&gt;=M273,SLQHQwidth&lt;=O273),"√","")</f>
        <v/>
      </c>
      <c r="W274" s="7"/>
      <c r="X274" s="7"/>
      <c r="Y274" s="1443"/>
      <c r="AA274" s="20"/>
      <c r="AE274" s="3"/>
      <c r="AF274" s="38"/>
      <c r="AG274" s="3"/>
      <c r="AH274" s="39"/>
      <c r="AI274" s="39"/>
      <c r="AJ274" s="39"/>
      <c r="AK274" s="39"/>
      <c r="AM274" s="39"/>
      <c r="AN274" s="39"/>
      <c r="AO274" s="39"/>
      <c r="AP274" s="39"/>
      <c r="AQ274" s="139"/>
      <c r="AR274" s="139"/>
      <c r="AS274" s="139"/>
      <c r="AT274" s="139"/>
      <c r="AU274" s="139"/>
    </row>
    <row r="275" spans="1:47" ht="15" customHeight="1" x14ac:dyDescent="0.4">
      <c r="B275" s="36"/>
      <c r="C275" s="3"/>
      <c r="D275" s="3"/>
      <c r="E275" s="3"/>
      <c r="F275" s="3"/>
      <c r="G275" s="7"/>
      <c r="I275" s="36" t="s">
        <v>464</v>
      </c>
      <c r="J275" s="38"/>
      <c r="K275" s="3" t="s">
        <v>365</v>
      </c>
      <c r="L275" s="3" t="s">
        <v>1234</v>
      </c>
      <c r="M275" s="5">
        <f>O273</f>
        <v>38</v>
      </c>
      <c r="R275" s="376"/>
      <c r="T275" s="376"/>
      <c r="V275" s="38"/>
      <c r="X275" s="38"/>
      <c r="Y275" s="1443"/>
      <c r="AC275" s="42"/>
      <c r="AH275" s="477"/>
      <c r="AI275" s="39"/>
      <c r="AJ275" s="39"/>
      <c r="AK275" s="39"/>
      <c r="AL275" s="477"/>
      <c r="AM275" s="477"/>
      <c r="AN275" s="477"/>
      <c r="AO275" s="477"/>
      <c r="AP275" s="477"/>
      <c r="AQ275" s="139"/>
      <c r="AR275" s="139"/>
      <c r="AS275" s="139"/>
      <c r="AT275" s="139"/>
      <c r="AU275" s="139"/>
    </row>
    <row r="276" spans="1:47" ht="15" customHeight="1" x14ac:dyDescent="0.4">
      <c r="B276" s="36"/>
      <c r="C276" s="3"/>
      <c r="D276" s="3"/>
      <c r="E276" s="3"/>
      <c r="F276" s="3"/>
      <c r="G276" s="7"/>
      <c r="H276" s="20"/>
      <c r="J276" s="38"/>
      <c r="M276" s="482">
        <f>M274+4</f>
        <v>11.062999999999999</v>
      </c>
      <c r="P276" s="3"/>
      <c r="R276" s="3" t="s">
        <v>352</v>
      </c>
      <c r="S276" s="24">
        <f>M276</f>
        <v>11.062999999999999</v>
      </c>
      <c r="T276" s="3" t="s">
        <v>366</v>
      </c>
      <c r="U276" s="20"/>
      <c r="V276" s="3" t="str">
        <f>IF(SLQHQwidth&gt;M275,"√","")</f>
        <v>√</v>
      </c>
      <c r="W276" s="7"/>
      <c r="X276" s="7"/>
      <c r="Y276" s="1443"/>
      <c r="AA276" s="20"/>
      <c r="AE276" s="3"/>
      <c r="AF276" s="38"/>
      <c r="AG276" s="3"/>
      <c r="AH276" s="39"/>
      <c r="AI276" s="39"/>
      <c r="AJ276" s="39"/>
      <c r="AK276" s="39"/>
      <c r="AM276" s="39"/>
      <c r="AN276" s="39"/>
      <c r="AO276" s="39"/>
      <c r="AP276" s="39"/>
      <c r="AQ276" s="139"/>
      <c r="AR276" s="139"/>
      <c r="AS276" s="139"/>
      <c r="AT276" s="139"/>
      <c r="AU276" s="139"/>
    </row>
    <row r="277" spans="1:47" ht="15" customHeight="1" thickBot="1" x14ac:dyDescent="0.45">
      <c r="B277" s="943"/>
      <c r="C277" s="889"/>
      <c r="D277" s="889"/>
      <c r="E277" s="889"/>
      <c r="F277" s="889"/>
      <c r="G277" s="924"/>
      <c r="H277" s="948"/>
      <c r="I277" s="889"/>
      <c r="J277" s="889"/>
      <c r="K277" s="889"/>
      <c r="L277" s="889"/>
      <c r="M277" s="945"/>
      <c r="N277" s="945"/>
      <c r="O277" s="945"/>
      <c r="P277" s="945"/>
      <c r="Q277" s="945"/>
      <c r="R277" s="970"/>
      <c r="S277" s="945"/>
      <c r="T277" s="970"/>
      <c r="U277" s="948"/>
      <c r="V277" s="888"/>
      <c r="W277" s="889"/>
      <c r="X277" s="888"/>
      <c r="Y277" s="1444"/>
      <c r="Z277" s="889"/>
      <c r="AA277" s="948"/>
      <c r="AB277" s="889"/>
      <c r="AC277" s="1154"/>
      <c r="AD277" s="945"/>
      <c r="AE277" s="945"/>
      <c r="AF277" s="945"/>
      <c r="AG277" s="945"/>
      <c r="AH277" s="1157"/>
      <c r="AI277" s="947"/>
      <c r="AJ277" s="947"/>
      <c r="AK277" s="947"/>
      <c r="AL277" s="1157"/>
      <c r="AM277" s="1157"/>
      <c r="AN277" s="1157"/>
      <c r="AO277" s="1157"/>
      <c r="AP277" s="1157"/>
      <c r="AQ277" s="139"/>
      <c r="AR277" s="139"/>
      <c r="AS277" s="139"/>
      <c r="AT277" s="139"/>
      <c r="AU277" s="139"/>
    </row>
    <row r="278" spans="1:47" ht="15" customHeight="1" x14ac:dyDescent="0.2">
      <c r="A278" s="3" t="s">
        <v>1235</v>
      </c>
      <c r="B278" s="173" t="s">
        <v>1236</v>
      </c>
      <c r="C278" s="114"/>
      <c r="D278" s="182"/>
      <c r="E278" s="182"/>
      <c r="F278" s="182"/>
      <c r="G278" s="173"/>
      <c r="H278" s="193"/>
      <c r="I278" s="116" t="s">
        <v>392</v>
      </c>
      <c r="J278" s="116" t="s">
        <v>346</v>
      </c>
      <c r="K278" s="116">
        <v>2</v>
      </c>
      <c r="L278" s="116" t="s">
        <v>348</v>
      </c>
      <c r="M278" s="357">
        <v>-1</v>
      </c>
      <c r="N278" s="177"/>
      <c r="O278" s="177"/>
      <c r="P278" s="177"/>
      <c r="Q278" s="177"/>
      <c r="R278" s="116" t="s">
        <v>352</v>
      </c>
      <c r="S278" s="177">
        <f>SLQHQwidth/K278+M278</f>
        <v>34.75</v>
      </c>
      <c r="T278" s="116" t="s">
        <v>366</v>
      </c>
      <c r="U278" s="193"/>
      <c r="V278" s="138"/>
      <c r="W278" s="138"/>
      <c r="X278" s="138"/>
      <c r="Y278" s="1449"/>
      <c r="Z278" s="116"/>
      <c r="AA278" s="193"/>
      <c r="AB278" s="116">
        <v>42</v>
      </c>
      <c r="AC278" s="116">
        <v>2</v>
      </c>
      <c r="AD278" s="177">
        <f>AC278*S278/12</f>
        <v>5.791666666666667</v>
      </c>
      <c r="AE278" s="116" t="s">
        <v>367</v>
      </c>
      <c r="AF278" s="179">
        <v>2.8000000000000001E-2</v>
      </c>
      <c r="AG278" s="177">
        <f>AF278*AtolbperftQHQ</f>
        <v>1.771E-2</v>
      </c>
      <c r="AI278" s="39"/>
      <c r="AJ278" s="39"/>
      <c r="AK278" s="39"/>
      <c r="AL278" s="180"/>
      <c r="AQ278" s="139"/>
      <c r="AR278" s="139"/>
      <c r="AS278" s="139"/>
      <c r="AT278" s="139"/>
      <c r="AU278" s="139"/>
    </row>
    <row r="279" spans="1:47" ht="15" customHeight="1" x14ac:dyDescent="0.4">
      <c r="B279" s="36"/>
      <c r="C279" s="7"/>
      <c r="D279" s="7"/>
      <c r="E279" s="7"/>
      <c r="F279" s="7"/>
      <c r="G279" s="7"/>
      <c r="V279" s="38" t="s">
        <v>369</v>
      </c>
      <c r="W279" s="3" t="s">
        <v>370</v>
      </c>
      <c r="X279" s="38" t="s">
        <v>369</v>
      </c>
      <c r="Y279" s="1443">
        <v>200170003</v>
      </c>
      <c r="Z279" s="41"/>
      <c r="AE279" s="3"/>
      <c r="AF279" s="38"/>
      <c r="AH279" s="39">
        <f>1.3*AG278</f>
        <v>2.3023000000000002E-2</v>
      </c>
      <c r="AI279" s="39"/>
      <c r="AJ279" s="39"/>
      <c r="AK279" s="39"/>
      <c r="AL279" s="39">
        <f>AH279*AD278</f>
        <v>0.13334154166666667</v>
      </c>
      <c r="AQ279" s="139"/>
      <c r="AR279" s="139"/>
      <c r="AS279" s="139"/>
      <c r="AT279" s="139"/>
      <c r="AU279" s="139"/>
    </row>
    <row r="280" spans="1:47" ht="15" customHeight="1" x14ac:dyDescent="0.4">
      <c r="B280" s="1947" t="s">
        <v>2393</v>
      </c>
      <c r="D280" s="7"/>
      <c r="E280" s="7"/>
      <c r="F280" s="7"/>
      <c r="G280" s="7"/>
      <c r="V280" s="38" t="s">
        <v>369</v>
      </c>
      <c r="W280" s="3" t="s">
        <v>372</v>
      </c>
      <c r="X280" s="38" t="s">
        <v>369</v>
      </c>
      <c r="Y280" s="1443">
        <v>200170021</v>
      </c>
      <c r="Z280" s="41"/>
      <c r="AE280" s="3"/>
      <c r="AF280" s="38"/>
      <c r="AH280" s="39">
        <f>1.3*AG278</f>
        <v>2.3023000000000002E-2</v>
      </c>
      <c r="AI280" s="39"/>
      <c r="AJ280" s="39"/>
      <c r="AK280" s="39"/>
      <c r="AL280" s="39">
        <f>AH280*AD278</f>
        <v>0.13334154166666667</v>
      </c>
      <c r="AQ280" s="139"/>
      <c r="AR280" s="139"/>
      <c r="AS280" s="139"/>
      <c r="AT280" s="139"/>
      <c r="AU280" s="139"/>
    </row>
    <row r="281" spans="1:47" ht="15" customHeight="1" x14ac:dyDescent="0.4">
      <c r="B281" s="36"/>
      <c r="D281" s="7"/>
      <c r="E281" s="7"/>
      <c r="F281" s="7"/>
      <c r="G281" s="7"/>
      <c r="V281" s="38" t="s">
        <v>369</v>
      </c>
      <c r="W281" s="3" t="s">
        <v>373</v>
      </c>
      <c r="X281" s="38" t="s">
        <v>369</v>
      </c>
      <c r="Y281" s="1443">
        <v>200170033</v>
      </c>
      <c r="Z281" s="41"/>
      <c r="AE281" s="3"/>
      <c r="AF281" s="38"/>
      <c r="AH281" s="39">
        <f>1.3*AG278</f>
        <v>2.3023000000000002E-2</v>
      </c>
      <c r="AI281" s="39"/>
      <c r="AJ281" s="39"/>
      <c r="AK281" s="39"/>
      <c r="AL281" s="39">
        <f>AH281*AD278</f>
        <v>0.13334154166666667</v>
      </c>
      <c r="AQ281" s="139"/>
      <c r="AR281" s="139"/>
      <c r="AS281" s="139"/>
      <c r="AT281" s="139"/>
      <c r="AU281" s="139"/>
    </row>
    <row r="282" spans="1:47" ht="15" customHeight="1" x14ac:dyDescent="0.4">
      <c r="B282" s="36"/>
      <c r="D282" s="7"/>
      <c r="E282" s="7"/>
      <c r="F282" s="7"/>
      <c r="G282" s="7"/>
      <c r="V282" s="279" t="s">
        <v>369</v>
      </c>
      <c r="W282" s="112" t="s">
        <v>1849</v>
      </c>
      <c r="X282" s="279" t="s">
        <v>369</v>
      </c>
      <c r="Y282" s="1871">
        <v>200170148</v>
      </c>
      <c r="Z282" s="41"/>
      <c r="AE282" s="3"/>
      <c r="AF282" s="38"/>
      <c r="AH282" s="39">
        <v>0</v>
      </c>
      <c r="AI282" s="39"/>
      <c r="AJ282" s="39"/>
      <c r="AK282" s="39"/>
      <c r="AL282" s="39">
        <f>AH282*AD278</f>
        <v>0</v>
      </c>
      <c r="AQ282" s="139"/>
      <c r="AR282" s="139"/>
      <c r="AS282" s="139"/>
      <c r="AT282" s="139"/>
      <c r="AU282" s="139"/>
    </row>
    <row r="283" spans="1:47" ht="15" customHeight="1" thickBot="1" x14ac:dyDescent="0.45">
      <c r="B283" s="943"/>
      <c r="C283" s="949"/>
      <c r="D283" s="924"/>
      <c r="E283" s="924"/>
      <c r="F283" s="924"/>
      <c r="G283" s="924"/>
      <c r="H283" s="948"/>
      <c r="I283" s="889"/>
      <c r="J283" s="889"/>
      <c r="K283" s="889"/>
      <c r="L283" s="889"/>
      <c r="M283" s="945"/>
      <c r="N283" s="945"/>
      <c r="O283" s="945"/>
      <c r="P283" s="945"/>
      <c r="Q283" s="945"/>
      <c r="R283" s="889"/>
      <c r="S283" s="945"/>
      <c r="T283" s="889"/>
      <c r="U283" s="948"/>
      <c r="V283" s="1876" t="s">
        <v>369</v>
      </c>
      <c r="W283" s="1877" t="s">
        <v>375</v>
      </c>
      <c r="X283" s="1876" t="s">
        <v>369</v>
      </c>
      <c r="Y283" s="1878">
        <v>200170133</v>
      </c>
      <c r="Z283" s="946"/>
      <c r="AA283" s="948"/>
      <c r="AB283" s="889"/>
      <c r="AC283" s="889"/>
      <c r="AD283" s="945"/>
      <c r="AE283" s="889"/>
      <c r="AF283" s="888"/>
      <c r="AG283" s="945"/>
      <c r="AH283" s="947">
        <v>0</v>
      </c>
      <c r="AI283" s="947"/>
      <c r="AJ283" s="947"/>
      <c r="AK283" s="947"/>
      <c r="AL283" s="947">
        <f>AH283*AD279</f>
        <v>0</v>
      </c>
      <c r="AM283" s="889"/>
      <c r="AN283" s="889"/>
      <c r="AO283" s="889"/>
      <c r="AP283" s="889"/>
      <c r="AQ283" s="139"/>
      <c r="AR283" s="139"/>
      <c r="AS283" s="139"/>
      <c r="AT283" s="139"/>
      <c r="AU283" s="139"/>
    </row>
    <row r="284" spans="1:47" ht="15" customHeight="1" x14ac:dyDescent="0.2">
      <c r="A284" s="3" t="s">
        <v>1166</v>
      </c>
      <c r="B284" s="7" t="s">
        <v>1167</v>
      </c>
      <c r="D284" s="155"/>
      <c r="E284" s="155"/>
      <c r="F284" s="155"/>
      <c r="G284" s="7"/>
      <c r="I284" s="3" t="s">
        <v>392</v>
      </c>
      <c r="J284" s="3" t="s">
        <v>346</v>
      </c>
      <c r="K284" s="3">
        <v>2</v>
      </c>
      <c r="L284" s="3" t="s">
        <v>348</v>
      </c>
      <c r="M284" s="356">
        <v>-0.93799999999999994</v>
      </c>
      <c r="R284" s="3" t="s">
        <v>352</v>
      </c>
      <c r="S284" s="5">
        <f>SLQHQwidth/K284+M284</f>
        <v>34.811999999999998</v>
      </c>
      <c r="T284" s="3" t="s">
        <v>366</v>
      </c>
      <c r="V284" s="4"/>
      <c r="W284" s="4"/>
      <c r="X284" s="4"/>
      <c r="Y284" s="1443"/>
      <c r="AB284" s="3">
        <v>42</v>
      </c>
      <c r="AC284" s="3">
        <v>2</v>
      </c>
      <c r="AD284" s="5">
        <f>AC284*S284/12</f>
        <v>5.8019999999999996</v>
      </c>
      <c r="AE284" s="3" t="s">
        <v>367</v>
      </c>
      <c r="AF284" s="38">
        <v>4.3999999999999997E-2</v>
      </c>
      <c r="AG284" s="5">
        <f>AF284*AtolbperftQHQ</f>
        <v>2.7829999999999997E-2</v>
      </c>
      <c r="AI284" s="39"/>
      <c r="AJ284" s="39"/>
      <c r="AK284" s="39"/>
      <c r="AQ284" s="139"/>
      <c r="AR284" s="139"/>
      <c r="AS284" s="139"/>
      <c r="AT284" s="139"/>
      <c r="AU284" s="139"/>
    </row>
    <row r="285" spans="1:47" ht="15" customHeight="1" x14ac:dyDescent="0.4">
      <c r="B285" s="36"/>
      <c r="C285" s="7"/>
      <c r="D285" s="7"/>
      <c r="E285" s="7"/>
      <c r="F285" s="7"/>
      <c r="G285" s="7"/>
      <c r="V285" s="38" t="s">
        <v>369</v>
      </c>
      <c r="W285" s="3" t="s">
        <v>370</v>
      </c>
      <c r="X285" s="38" t="s">
        <v>369</v>
      </c>
      <c r="Y285" s="1443" t="s">
        <v>500</v>
      </c>
      <c r="Z285" s="41"/>
      <c r="AE285" s="3"/>
      <c r="AF285" s="38"/>
      <c r="AH285" s="39">
        <f>1.3*AG284</f>
        <v>3.6178999999999996E-2</v>
      </c>
      <c r="AI285" s="39"/>
      <c r="AJ285" s="39"/>
      <c r="AK285" s="39"/>
      <c r="AL285" s="39">
        <f>AH285*AD284</f>
        <v>0.20991055799999997</v>
      </c>
      <c r="AQ285" s="139"/>
      <c r="AR285" s="139"/>
      <c r="AS285" s="139"/>
      <c r="AT285" s="139"/>
      <c r="AU285" s="139"/>
    </row>
    <row r="286" spans="1:47" ht="15" customHeight="1" x14ac:dyDescent="0.4">
      <c r="B286" s="36"/>
      <c r="D286" s="7"/>
      <c r="E286" s="7"/>
      <c r="F286" s="7"/>
      <c r="G286" s="7"/>
      <c r="V286" s="38" t="s">
        <v>369</v>
      </c>
      <c r="W286" s="3" t="s">
        <v>372</v>
      </c>
      <c r="X286" s="38" t="s">
        <v>369</v>
      </c>
      <c r="Y286" s="1443">
        <v>200171021</v>
      </c>
      <c r="Z286" s="41"/>
      <c r="AE286" s="3"/>
      <c r="AF286" s="38"/>
      <c r="AH286" s="39">
        <f>1.3*AG284</f>
        <v>3.6178999999999996E-2</v>
      </c>
      <c r="AI286" s="39"/>
      <c r="AJ286" s="39"/>
      <c r="AK286" s="39"/>
      <c r="AL286" s="39">
        <f>AH286*AD284</f>
        <v>0.20991055799999997</v>
      </c>
      <c r="AQ286" s="139"/>
      <c r="AR286" s="139"/>
      <c r="AS286" s="139"/>
      <c r="AT286" s="139"/>
      <c r="AU286" s="139"/>
    </row>
    <row r="287" spans="1:47" ht="15" customHeight="1" x14ac:dyDescent="0.4">
      <c r="B287" s="36"/>
      <c r="D287" s="7"/>
      <c r="E287" s="7"/>
      <c r="F287" s="7"/>
      <c r="G287" s="7"/>
      <c r="V287" s="38" t="s">
        <v>369</v>
      </c>
      <c r="W287" s="3" t="s">
        <v>373</v>
      </c>
      <c r="X287" s="38" t="s">
        <v>369</v>
      </c>
      <c r="Y287" s="1443" t="s">
        <v>501</v>
      </c>
      <c r="Z287" s="41"/>
      <c r="AE287" s="3"/>
      <c r="AF287" s="38"/>
      <c r="AH287" s="39">
        <f>1.3*AG284</f>
        <v>3.6178999999999996E-2</v>
      </c>
      <c r="AI287" s="39"/>
      <c r="AJ287" s="39"/>
      <c r="AK287" s="39"/>
      <c r="AL287" s="39">
        <f>AH287*AD284</f>
        <v>0.20991055799999997</v>
      </c>
      <c r="AQ287" s="139"/>
      <c r="AR287" s="139"/>
      <c r="AS287" s="139"/>
      <c r="AT287" s="139"/>
      <c r="AU287" s="139"/>
    </row>
    <row r="288" spans="1:47" ht="15" customHeight="1" x14ac:dyDescent="0.4">
      <c r="B288" s="36"/>
      <c r="D288" s="7"/>
      <c r="E288" s="7"/>
      <c r="F288" s="7"/>
      <c r="G288" s="7"/>
      <c r="V288" s="279" t="s">
        <v>369</v>
      </c>
      <c r="W288" s="112" t="s">
        <v>1849</v>
      </c>
      <c r="X288" s="279" t="s">
        <v>369</v>
      </c>
      <c r="Y288" s="1871">
        <v>200171148</v>
      </c>
      <c r="Z288" s="41"/>
      <c r="AE288" s="3"/>
      <c r="AF288" s="38"/>
      <c r="AH288" s="39">
        <v>0</v>
      </c>
      <c r="AI288" s="39"/>
      <c r="AJ288" s="39"/>
      <c r="AK288" s="39"/>
      <c r="AL288" s="39">
        <f>AH288*AD285</f>
        <v>0</v>
      </c>
      <c r="AQ288" s="139"/>
      <c r="AR288" s="139"/>
      <c r="AS288" s="139"/>
      <c r="AT288" s="139"/>
      <c r="AU288" s="139"/>
    </row>
    <row r="289" spans="1:47" ht="15" customHeight="1" thickBot="1" x14ac:dyDescent="0.45">
      <c r="B289" s="943"/>
      <c r="C289" s="949"/>
      <c r="D289" s="924"/>
      <c r="E289" s="924"/>
      <c r="F289" s="924"/>
      <c r="G289" s="924"/>
      <c r="H289" s="948"/>
      <c r="I289" s="889"/>
      <c r="J289" s="889"/>
      <c r="K289" s="889"/>
      <c r="L289" s="889"/>
      <c r="M289" s="945"/>
      <c r="N289" s="945"/>
      <c r="O289" s="945"/>
      <c r="P289" s="945"/>
      <c r="Q289" s="945"/>
      <c r="R289" s="889"/>
      <c r="S289" s="945"/>
      <c r="T289" s="889"/>
      <c r="U289" s="948"/>
      <c r="V289" s="888" t="s">
        <v>369</v>
      </c>
      <c r="W289" s="889" t="s">
        <v>375</v>
      </c>
      <c r="X289" s="888" t="s">
        <v>369</v>
      </c>
      <c r="Y289" s="1444">
        <v>200171133</v>
      </c>
      <c r="Z289" s="946"/>
      <c r="AA289" s="948"/>
      <c r="AB289" s="889"/>
      <c r="AC289" s="889"/>
      <c r="AD289" s="945"/>
      <c r="AE289" s="889"/>
      <c r="AF289" s="888"/>
      <c r="AG289" s="945"/>
      <c r="AH289" s="947"/>
      <c r="AI289" s="947"/>
      <c r="AJ289" s="947"/>
      <c r="AK289" s="947"/>
      <c r="AL289" s="947"/>
      <c r="AM289" s="889"/>
      <c r="AN289" s="889"/>
      <c r="AO289" s="889"/>
      <c r="AP289" s="889"/>
      <c r="AQ289" s="139"/>
      <c r="AR289" s="139"/>
      <c r="AS289" s="139"/>
      <c r="AT289" s="139"/>
      <c r="AU289" s="139"/>
    </row>
    <row r="290" spans="1:47" ht="15" customHeight="1" x14ac:dyDescent="0.2">
      <c r="B290" s="7" t="s">
        <v>1168</v>
      </c>
      <c r="D290" s="7"/>
      <c r="E290" s="7"/>
      <c r="F290" s="7"/>
      <c r="G290" s="7"/>
      <c r="I290" s="3" t="s">
        <v>392</v>
      </c>
      <c r="J290" s="3" t="s">
        <v>346</v>
      </c>
      <c r="K290" s="3">
        <v>2</v>
      </c>
      <c r="L290" s="3" t="s">
        <v>348</v>
      </c>
      <c r="M290" s="356">
        <v>-0.93799999999999994</v>
      </c>
      <c r="R290" s="3" t="s">
        <v>352</v>
      </c>
      <c r="S290" s="5">
        <f>SLQHQwidth/K290+M290</f>
        <v>34.811999999999998</v>
      </c>
      <c r="T290" s="3" t="s">
        <v>366</v>
      </c>
      <c r="V290" s="38"/>
      <c r="X290" s="38"/>
      <c r="Y290" s="1443"/>
      <c r="Z290" s="41"/>
      <c r="AB290" s="3">
        <v>42</v>
      </c>
      <c r="AC290" s="3">
        <v>2</v>
      </c>
      <c r="AD290" s="5">
        <f>AC290*S290/12</f>
        <v>5.8019999999999996</v>
      </c>
      <c r="AE290" s="3" t="s">
        <v>367</v>
      </c>
      <c r="AF290" s="38">
        <v>4.1000000000000002E-2</v>
      </c>
      <c r="AG290" s="5">
        <f>AF290*AtolbperftQHQ</f>
        <v>2.5932500000000001E-2</v>
      </c>
      <c r="AH290" s="39"/>
      <c r="AI290" s="39"/>
      <c r="AJ290" s="39"/>
      <c r="AK290" s="39"/>
      <c r="AQ290" s="139"/>
      <c r="AR290" s="139"/>
      <c r="AS290" s="139"/>
      <c r="AT290" s="139"/>
      <c r="AU290" s="139"/>
    </row>
    <row r="291" spans="1:47" ht="15" customHeight="1" x14ac:dyDescent="0.4">
      <c r="B291" s="36"/>
      <c r="D291" s="7"/>
      <c r="E291" s="7"/>
      <c r="F291" s="7"/>
      <c r="G291" s="7"/>
      <c r="V291" s="38" t="s">
        <v>369</v>
      </c>
      <c r="W291" s="3" t="s">
        <v>370</v>
      </c>
      <c r="X291" s="38" t="s">
        <v>369</v>
      </c>
      <c r="Y291" s="1443">
        <v>200190003</v>
      </c>
      <c r="Z291" s="41"/>
      <c r="AE291" s="3"/>
      <c r="AF291" s="38"/>
      <c r="AH291" s="39">
        <v>3.4000000000000002E-2</v>
      </c>
      <c r="AI291" s="39"/>
      <c r="AJ291" s="39"/>
      <c r="AK291" s="39"/>
      <c r="AL291" s="39">
        <f>AD$290*AH291</f>
        <v>0.197268</v>
      </c>
      <c r="AQ291" s="139"/>
      <c r="AR291" s="139"/>
      <c r="AS291" s="139"/>
      <c r="AT291" s="139"/>
      <c r="AU291" s="139"/>
    </row>
    <row r="292" spans="1:47" ht="15" customHeight="1" x14ac:dyDescent="0.4">
      <c r="B292" s="36"/>
      <c r="D292" s="7"/>
      <c r="E292" s="7"/>
      <c r="F292" s="7"/>
      <c r="G292" s="7"/>
      <c r="V292" s="38" t="s">
        <v>369</v>
      </c>
      <c r="W292" s="3" t="s">
        <v>372</v>
      </c>
      <c r="X292" s="38" t="s">
        <v>369</v>
      </c>
      <c r="Y292" s="1443">
        <v>200190021</v>
      </c>
      <c r="Z292" s="41"/>
      <c r="AE292" s="3"/>
      <c r="AF292" s="38"/>
      <c r="AH292" s="39">
        <v>3.4000000000000002E-2</v>
      </c>
      <c r="AI292" s="39"/>
      <c r="AJ292" s="39"/>
      <c r="AK292" s="39"/>
      <c r="AL292" s="39">
        <f t="shared" ref="AL292:AL295" si="20">AD$290*AH292</f>
        <v>0.197268</v>
      </c>
      <c r="AQ292" s="139"/>
      <c r="AR292" s="139"/>
      <c r="AS292" s="139"/>
      <c r="AT292" s="139"/>
      <c r="AU292" s="139"/>
    </row>
    <row r="293" spans="1:47" ht="15" customHeight="1" x14ac:dyDescent="0.4">
      <c r="B293" s="36"/>
      <c r="D293" s="7"/>
      <c r="E293" s="7"/>
      <c r="F293" s="7"/>
      <c r="G293" s="7"/>
      <c r="V293" s="38" t="s">
        <v>369</v>
      </c>
      <c r="W293" s="3" t="s">
        <v>373</v>
      </c>
      <c r="X293" s="38" t="s">
        <v>369</v>
      </c>
      <c r="Y293" s="1443">
        <v>200190033</v>
      </c>
      <c r="Z293" s="41"/>
      <c r="AE293" s="3"/>
      <c r="AF293" s="38"/>
      <c r="AH293" s="39">
        <v>3.4000000000000002E-2</v>
      </c>
      <c r="AI293" s="39"/>
      <c r="AJ293" s="39"/>
      <c r="AK293" s="39"/>
      <c r="AL293" s="39">
        <f t="shared" si="20"/>
        <v>0.197268</v>
      </c>
      <c r="AQ293" s="139"/>
      <c r="AR293" s="139"/>
      <c r="AS293" s="139"/>
      <c r="AT293" s="139"/>
      <c r="AU293" s="139"/>
    </row>
    <row r="294" spans="1:47" ht="15" customHeight="1" x14ac:dyDescent="0.4">
      <c r="B294" s="36"/>
      <c r="D294" s="7"/>
      <c r="E294" s="7"/>
      <c r="F294" s="7"/>
      <c r="G294" s="7"/>
      <c r="V294" s="279" t="s">
        <v>369</v>
      </c>
      <c r="W294" s="112" t="s">
        <v>1849</v>
      </c>
      <c r="X294" s="279" t="s">
        <v>369</v>
      </c>
      <c r="Y294" s="1871">
        <v>200190148</v>
      </c>
      <c r="Z294" s="41"/>
      <c r="AE294" s="3"/>
      <c r="AF294" s="38"/>
      <c r="AH294" s="39">
        <v>3.4000000000000002E-2</v>
      </c>
      <c r="AI294" s="39"/>
      <c r="AJ294" s="39"/>
      <c r="AK294" s="39"/>
      <c r="AL294" s="39">
        <f t="shared" si="20"/>
        <v>0.197268</v>
      </c>
      <c r="AQ294" s="139"/>
      <c r="AR294" s="139"/>
      <c r="AS294" s="139"/>
      <c r="AT294" s="139"/>
      <c r="AU294" s="139"/>
    </row>
    <row r="295" spans="1:47" ht="15" customHeight="1" thickBot="1" x14ac:dyDescent="0.45">
      <c r="B295" s="943"/>
      <c r="C295" s="949"/>
      <c r="D295" s="924"/>
      <c r="E295" s="924"/>
      <c r="F295" s="924"/>
      <c r="G295" s="924"/>
      <c r="H295" s="948"/>
      <c r="I295" s="889"/>
      <c r="J295" s="889"/>
      <c r="K295" s="889"/>
      <c r="L295" s="889"/>
      <c r="M295" s="945"/>
      <c r="N295" s="945"/>
      <c r="O295" s="945"/>
      <c r="P295" s="945"/>
      <c r="Q295" s="945"/>
      <c r="R295" s="889"/>
      <c r="S295" s="945"/>
      <c r="T295" s="889"/>
      <c r="U295" s="948"/>
      <c r="V295" s="888" t="s">
        <v>369</v>
      </c>
      <c r="W295" s="889" t="s">
        <v>375</v>
      </c>
      <c r="X295" s="888" t="s">
        <v>369</v>
      </c>
      <c r="Y295" s="1444">
        <v>200190133</v>
      </c>
      <c r="Z295" s="946"/>
      <c r="AA295" s="948"/>
      <c r="AB295" s="889"/>
      <c r="AC295" s="889"/>
      <c r="AD295" s="945"/>
      <c r="AE295" s="889"/>
      <c r="AF295" s="888"/>
      <c r="AG295" s="945"/>
      <c r="AH295" s="947">
        <v>3.4000000000000002E-2</v>
      </c>
      <c r="AI295" s="947"/>
      <c r="AJ295" s="947"/>
      <c r="AK295" s="947"/>
      <c r="AL295" s="947">
        <f t="shared" si="20"/>
        <v>0.197268</v>
      </c>
      <c r="AM295" s="889"/>
      <c r="AN295" s="889"/>
      <c r="AO295" s="889"/>
      <c r="AP295" s="889"/>
      <c r="AQ295" s="139"/>
      <c r="AR295" s="139"/>
      <c r="AS295" s="139"/>
      <c r="AT295" s="139"/>
      <c r="AU295" s="139"/>
    </row>
    <row r="296" spans="1:47" ht="15" customHeight="1" x14ac:dyDescent="0.2">
      <c r="A296" s="3" t="s">
        <v>1169</v>
      </c>
      <c r="B296" s="173" t="s">
        <v>1170</v>
      </c>
      <c r="C296" s="114"/>
      <c r="D296" s="182"/>
      <c r="E296" s="182"/>
      <c r="F296" s="182"/>
      <c r="G296" s="173"/>
      <c r="H296" s="193"/>
      <c r="I296" s="116" t="s">
        <v>392</v>
      </c>
      <c r="J296" s="116" t="s">
        <v>346</v>
      </c>
      <c r="K296" s="116">
        <v>2</v>
      </c>
      <c r="L296" s="116" t="s">
        <v>348</v>
      </c>
      <c r="M296" s="357">
        <v>-1</v>
      </c>
      <c r="N296" s="177"/>
      <c r="O296" s="177"/>
      <c r="P296" s="177"/>
      <c r="Q296" s="177"/>
      <c r="R296" s="116" t="s">
        <v>352</v>
      </c>
      <c r="S296" s="177">
        <f>SLQHQwidth/K296+M296</f>
        <v>34.75</v>
      </c>
      <c r="T296" s="116" t="s">
        <v>366</v>
      </c>
      <c r="U296" s="193"/>
      <c r="V296" s="138"/>
      <c r="W296" s="138"/>
      <c r="X296" s="138"/>
      <c r="Y296" s="1449"/>
      <c r="Z296" s="116"/>
      <c r="AA296" s="193"/>
      <c r="AB296" s="116">
        <v>40</v>
      </c>
      <c r="AC296" s="116">
        <v>2</v>
      </c>
      <c r="AD296" s="177">
        <f>AC296*S296/12</f>
        <v>5.791666666666667</v>
      </c>
      <c r="AE296" s="116" t="s">
        <v>367</v>
      </c>
      <c r="AF296" s="179">
        <v>4.3999999999999997E-2</v>
      </c>
      <c r="AG296" s="177">
        <f>AF296*AtolbperftQHQ</f>
        <v>2.7829999999999997E-2</v>
      </c>
      <c r="AI296" s="39"/>
      <c r="AJ296" s="39"/>
      <c r="AK296" s="39"/>
      <c r="AQ296" s="139"/>
      <c r="AR296" s="139"/>
      <c r="AS296" s="139"/>
      <c r="AT296" s="139"/>
      <c r="AU296" s="139"/>
    </row>
    <row r="297" spans="1:47" ht="15" customHeight="1" x14ac:dyDescent="0.4">
      <c r="B297" s="8"/>
      <c r="C297" s="36"/>
      <c r="D297" s="7"/>
      <c r="E297" s="7"/>
      <c r="F297" s="7"/>
      <c r="G297" s="7"/>
      <c r="V297" s="38" t="s">
        <v>369</v>
      </c>
      <c r="W297" s="3" t="s">
        <v>370</v>
      </c>
      <c r="X297" s="38" t="s">
        <v>369</v>
      </c>
      <c r="Y297" s="1443" t="s">
        <v>500</v>
      </c>
      <c r="Z297" s="41"/>
      <c r="AE297" s="3"/>
      <c r="AF297" s="38"/>
      <c r="AH297" s="39">
        <f>1.3*AG296</f>
        <v>3.6178999999999996E-2</v>
      </c>
      <c r="AI297" s="39"/>
      <c r="AJ297" s="39"/>
      <c r="AK297" s="39"/>
      <c r="AL297" s="39">
        <f>AH297*AD296</f>
        <v>0.20953670833333332</v>
      </c>
      <c r="AQ297" s="139"/>
      <c r="AR297" s="139"/>
      <c r="AS297" s="139"/>
      <c r="AT297" s="139"/>
      <c r="AU297" s="139"/>
    </row>
    <row r="298" spans="1:47" ht="15" customHeight="1" x14ac:dyDescent="0.4">
      <c r="B298" s="8"/>
      <c r="C298" s="36"/>
      <c r="D298" s="7"/>
      <c r="E298" s="7"/>
      <c r="F298" s="7"/>
      <c r="G298" s="7"/>
      <c r="V298" s="38" t="s">
        <v>369</v>
      </c>
      <c r="W298" s="3" t="s">
        <v>372</v>
      </c>
      <c r="X298" s="38" t="s">
        <v>369</v>
      </c>
      <c r="Y298" s="1443">
        <v>200171021</v>
      </c>
      <c r="Z298" s="41"/>
      <c r="AE298" s="3"/>
      <c r="AF298" s="38"/>
      <c r="AH298" s="39">
        <f>1.3*AG296</f>
        <v>3.6178999999999996E-2</v>
      </c>
      <c r="AI298" s="39"/>
      <c r="AJ298" s="39"/>
      <c r="AK298" s="39"/>
      <c r="AL298" s="39">
        <f>AH298*AD296</f>
        <v>0.20953670833333332</v>
      </c>
      <c r="AQ298" s="139"/>
      <c r="AR298" s="139"/>
      <c r="AS298" s="139"/>
      <c r="AT298" s="139"/>
      <c r="AU298" s="139"/>
    </row>
    <row r="299" spans="1:47" ht="15" customHeight="1" x14ac:dyDescent="0.4">
      <c r="B299" s="8"/>
      <c r="C299" s="36"/>
      <c r="D299" s="7"/>
      <c r="E299" s="7"/>
      <c r="F299" s="7"/>
      <c r="G299" s="7"/>
      <c r="V299" s="38" t="s">
        <v>369</v>
      </c>
      <c r="W299" s="3" t="s">
        <v>373</v>
      </c>
      <c r="X299" s="38" t="s">
        <v>369</v>
      </c>
      <c r="Y299" s="1443" t="s">
        <v>501</v>
      </c>
      <c r="Z299" s="41"/>
      <c r="AE299" s="3"/>
      <c r="AF299" s="38"/>
      <c r="AH299" s="39">
        <f>1.3*AG296</f>
        <v>3.6178999999999996E-2</v>
      </c>
      <c r="AI299" s="39"/>
      <c r="AJ299" s="39"/>
      <c r="AK299" s="39"/>
      <c r="AL299" s="39">
        <f>AH299*AD296</f>
        <v>0.20953670833333332</v>
      </c>
      <c r="AQ299" s="139"/>
      <c r="AR299" s="139"/>
      <c r="AS299" s="139"/>
      <c r="AT299" s="139"/>
      <c r="AU299" s="139"/>
    </row>
    <row r="300" spans="1:47" ht="15" customHeight="1" x14ac:dyDescent="0.4">
      <c r="B300" s="8"/>
      <c r="C300" s="36"/>
      <c r="D300" s="7"/>
      <c r="E300" s="7"/>
      <c r="F300" s="7"/>
      <c r="G300" s="7"/>
      <c r="V300" s="279" t="s">
        <v>369</v>
      </c>
      <c r="W300" s="112" t="s">
        <v>1849</v>
      </c>
      <c r="X300" s="279" t="s">
        <v>369</v>
      </c>
      <c r="Y300" s="1871">
        <v>200171148</v>
      </c>
      <c r="Z300" s="41"/>
      <c r="AE300" s="3"/>
      <c r="AF300" s="38"/>
      <c r="AH300" s="39">
        <v>0</v>
      </c>
      <c r="AI300" s="39"/>
      <c r="AJ300" s="39"/>
      <c r="AK300" s="39"/>
      <c r="AL300" s="39">
        <f>AH300*AD297</f>
        <v>0</v>
      </c>
      <c r="AQ300" s="139"/>
      <c r="AR300" s="139"/>
      <c r="AS300" s="139"/>
      <c r="AT300" s="139"/>
      <c r="AU300" s="139"/>
    </row>
    <row r="301" spans="1:47" ht="15" customHeight="1" thickBot="1" x14ac:dyDescent="0.45">
      <c r="B301" s="949"/>
      <c r="C301" s="943"/>
      <c r="D301" s="924"/>
      <c r="E301" s="924"/>
      <c r="F301" s="924"/>
      <c r="G301" s="924"/>
      <c r="H301" s="948"/>
      <c r="I301" s="889"/>
      <c r="J301" s="889"/>
      <c r="K301" s="889"/>
      <c r="L301" s="889"/>
      <c r="M301" s="945"/>
      <c r="N301" s="945"/>
      <c r="O301" s="945"/>
      <c r="P301" s="945"/>
      <c r="Q301" s="945"/>
      <c r="R301" s="889"/>
      <c r="S301" s="945"/>
      <c r="T301" s="889"/>
      <c r="U301" s="948"/>
      <c r="V301" s="888" t="s">
        <v>369</v>
      </c>
      <c r="W301" s="889" t="s">
        <v>375</v>
      </c>
      <c r="X301" s="888" t="s">
        <v>369</v>
      </c>
      <c r="Y301" s="1444">
        <v>200171133</v>
      </c>
      <c r="Z301" s="946"/>
      <c r="AA301" s="948"/>
      <c r="AB301" s="889"/>
      <c r="AC301" s="889"/>
      <c r="AD301" s="945"/>
      <c r="AE301" s="889"/>
      <c r="AF301" s="888"/>
      <c r="AG301" s="945"/>
      <c r="AH301" s="947"/>
      <c r="AI301" s="947"/>
      <c r="AJ301" s="947"/>
      <c r="AK301" s="947"/>
      <c r="AL301" s="947"/>
      <c r="AM301" s="889"/>
      <c r="AN301" s="889"/>
      <c r="AO301" s="889"/>
      <c r="AP301" s="889"/>
      <c r="AQ301" s="139"/>
      <c r="AR301" s="139"/>
      <c r="AS301" s="139"/>
      <c r="AT301" s="139"/>
      <c r="AU301" s="139"/>
    </row>
    <row r="302" spans="1:47" ht="15" customHeight="1" x14ac:dyDescent="0.2">
      <c r="B302" s="7" t="s">
        <v>1171</v>
      </c>
      <c r="C302" s="36"/>
      <c r="D302" s="7"/>
      <c r="E302" s="7"/>
      <c r="F302" s="7"/>
      <c r="G302" s="7"/>
      <c r="I302" s="3" t="s">
        <v>392</v>
      </c>
      <c r="J302" s="3" t="s">
        <v>346</v>
      </c>
      <c r="K302" s="3">
        <v>2</v>
      </c>
      <c r="L302" s="3" t="s">
        <v>348</v>
      </c>
      <c r="M302" s="356">
        <v>-1</v>
      </c>
      <c r="R302" s="3" t="s">
        <v>352</v>
      </c>
      <c r="S302" s="5">
        <f>SLQHQwidth/K302+M302</f>
        <v>34.75</v>
      </c>
      <c r="T302" s="3" t="s">
        <v>366</v>
      </c>
      <c r="V302" s="38"/>
      <c r="X302" s="38"/>
      <c r="Y302" s="1443"/>
      <c r="Z302" s="41"/>
      <c r="AB302" s="3">
        <v>40</v>
      </c>
      <c r="AC302" s="3">
        <v>2</v>
      </c>
      <c r="AD302" s="5">
        <f>AC302*S302/12</f>
        <v>5.791666666666667</v>
      </c>
      <c r="AE302" s="3" t="s">
        <v>367</v>
      </c>
      <c r="AF302" s="38">
        <v>4.1000000000000002E-2</v>
      </c>
      <c r="AG302" s="5">
        <f>AF302*AtolbperftQHQ</f>
        <v>2.5932500000000001E-2</v>
      </c>
      <c r="AH302" s="39"/>
      <c r="AI302" s="39"/>
      <c r="AJ302" s="39"/>
      <c r="AK302" s="39"/>
      <c r="AQ302" s="139"/>
      <c r="AR302" s="139"/>
      <c r="AS302" s="139"/>
      <c r="AT302" s="139"/>
      <c r="AU302" s="139"/>
    </row>
    <row r="303" spans="1:47" ht="15" customHeight="1" x14ac:dyDescent="0.4">
      <c r="B303" s="8"/>
      <c r="C303" s="36"/>
      <c r="D303" s="7"/>
      <c r="E303" s="7"/>
      <c r="F303" s="7"/>
      <c r="G303" s="7"/>
      <c r="V303" s="38" t="s">
        <v>369</v>
      </c>
      <c r="W303" s="3" t="s">
        <v>370</v>
      </c>
      <c r="X303" s="38" t="s">
        <v>369</v>
      </c>
      <c r="Y303" s="1443">
        <v>200190003</v>
      </c>
      <c r="Z303" s="41"/>
      <c r="AE303" s="3"/>
      <c r="AF303" s="38"/>
      <c r="AH303" s="39">
        <v>3.4000000000000002E-2</v>
      </c>
      <c r="AI303" s="39"/>
      <c r="AJ303" s="39"/>
      <c r="AK303" s="39"/>
      <c r="AL303" s="39">
        <f>AD$302*AH303</f>
        <v>0.19691666666666668</v>
      </c>
      <c r="AQ303" s="139"/>
      <c r="AR303" s="139"/>
      <c r="AS303" s="139"/>
      <c r="AT303" s="139"/>
      <c r="AU303" s="139"/>
    </row>
    <row r="304" spans="1:47" ht="15" customHeight="1" x14ac:dyDescent="0.4">
      <c r="B304" s="8"/>
      <c r="C304" s="36"/>
      <c r="D304" s="7"/>
      <c r="E304" s="7"/>
      <c r="F304" s="7"/>
      <c r="G304" s="7"/>
      <c r="V304" s="38" t="s">
        <v>369</v>
      </c>
      <c r="W304" s="3" t="s">
        <v>372</v>
      </c>
      <c r="X304" s="38" t="s">
        <v>369</v>
      </c>
      <c r="Y304" s="1443">
        <v>200190021</v>
      </c>
      <c r="Z304" s="41"/>
      <c r="AE304" s="3"/>
      <c r="AF304" s="38"/>
      <c r="AH304" s="39">
        <v>3.4000000000000002E-2</v>
      </c>
      <c r="AI304" s="39"/>
      <c r="AJ304" s="39"/>
      <c r="AK304" s="39"/>
      <c r="AL304" s="39">
        <f t="shared" ref="AL304:AL307" si="21">AD$302*AH304</f>
        <v>0.19691666666666668</v>
      </c>
      <c r="AQ304" s="139"/>
      <c r="AR304" s="139"/>
      <c r="AS304" s="139"/>
      <c r="AT304" s="139"/>
      <c r="AU304" s="139"/>
    </row>
    <row r="305" spans="1:47" ht="15" customHeight="1" x14ac:dyDescent="0.4">
      <c r="B305" s="8"/>
      <c r="C305" s="36"/>
      <c r="D305" s="7"/>
      <c r="E305" s="7"/>
      <c r="F305" s="7"/>
      <c r="G305" s="7"/>
      <c r="V305" s="38" t="s">
        <v>369</v>
      </c>
      <c r="W305" s="3" t="s">
        <v>373</v>
      </c>
      <c r="X305" s="38" t="s">
        <v>369</v>
      </c>
      <c r="Y305" s="1443">
        <v>200190033</v>
      </c>
      <c r="Z305" s="41"/>
      <c r="AE305" s="3"/>
      <c r="AF305" s="38"/>
      <c r="AH305" s="39">
        <v>3.4000000000000002E-2</v>
      </c>
      <c r="AI305" s="39"/>
      <c r="AJ305" s="39"/>
      <c r="AK305" s="39"/>
      <c r="AL305" s="39">
        <f t="shared" si="21"/>
        <v>0.19691666666666668</v>
      </c>
      <c r="AQ305" s="139"/>
      <c r="AR305" s="139"/>
      <c r="AS305" s="139"/>
      <c r="AT305" s="139"/>
      <c r="AU305" s="139"/>
    </row>
    <row r="306" spans="1:47" ht="15" customHeight="1" x14ac:dyDescent="0.4">
      <c r="B306" s="8"/>
      <c r="C306" s="36"/>
      <c r="D306" s="7"/>
      <c r="E306" s="7"/>
      <c r="F306" s="7"/>
      <c r="G306" s="7"/>
      <c r="V306" s="279" t="s">
        <v>369</v>
      </c>
      <c r="W306" s="112" t="s">
        <v>1849</v>
      </c>
      <c r="X306" s="279" t="s">
        <v>369</v>
      </c>
      <c r="Y306" s="1871">
        <v>200190148</v>
      </c>
      <c r="Z306" s="41"/>
      <c r="AE306" s="3"/>
      <c r="AF306" s="38"/>
      <c r="AH306" s="39">
        <v>3.4000000000000002E-2</v>
      </c>
      <c r="AI306" s="39"/>
      <c r="AJ306" s="39"/>
      <c r="AK306" s="39"/>
      <c r="AL306" s="39">
        <f t="shared" si="21"/>
        <v>0.19691666666666668</v>
      </c>
      <c r="AQ306" s="139"/>
      <c r="AR306" s="139"/>
      <c r="AS306" s="139"/>
      <c r="AT306" s="139"/>
      <c r="AU306" s="139"/>
    </row>
    <row r="307" spans="1:47" ht="15" customHeight="1" thickBot="1" x14ac:dyDescent="0.45">
      <c r="B307" s="943"/>
      <c r="C307" s="949"/>
      <c r="D307" s="924"/>
      <c r="E307" s="924"/>
      <c r="F307" s="924"/>
      <c r="G307" s="924"/>
      <c r="H307" s="948"/>
      <c r="I307" s="889"/>
      <c r="J307" s="889"/>
      <c r="K307" s="889"/>
      <c r="L307" s="889"/>
      <c r="M307" s="945"/>
      <c r="N307" s="945"/>
      <c r="O307" s="945"/>
      <c r="P307" s="945"/>
      <c r="Q307" s="945"/>
      <c r="R307" s="889"/>
      <c r="S307" s="945"/>
      <c r="T307" s="889"/>
      <c r="U307" s="948"/>
      <c r="V307" s="888" t="s">
        <v>369</v>
      </c>
      <c r="W307" s="889" t="s">
        <v>375</v>
      </c>
      <c r="X307" s="888" t="s">
        <v>369</v>
      </c>
      <c r="Y307" s="1444">
        <v>200190133</v>
      </c>
      <c r="Z307" s="946"/>
      <c r="AA307" s="948"/>
      <c r="AB307" s="889"/>
      <c r="AC307" s="889"/>
      <c r="AD307" s="945"/>
      <c r="AE307" s="889"/>
      <c r="AF307" s="888"/>
      <c r="AG307" s="945"/>
      <c r="AH307" s="947">
        <v>3.4000000000000002E-2</v>
      </c>
      <c r="AI307" s="947"/>
      <c r="AJ307" s="947"/>
      <c r="AK307" s="947"/>
      <c r="AL307" s="39">
        <f t="shared" si="21"/>
        <v>0.19691666666666668</v>
      </c>
      <c r="AM307" s="889"/>
      <c r="AN307" s="889"/>
      <c r="AO307" s="889"/>
      <c r="AP307" s="889"/>
      <c r="AQ307" s="139"/>
      <c r="AR307" s="139"/>
      <c r="AS307" s="139"/>
      <c r="AT307" s="139"/>
      <c r="AU307" s="139"/>
    </row>
    <row r="308" spans="1:47" ht="15" customHeight="1" x14ac:dyDescent="0.4">
      <c r="A308" s="3" t="s">
        <v>496</v>
      </c>
      <c r="B308" s="173" t="s">
        <v>1162</v>
      </c>
      <c r="C308" s="114"/>
      <c r="D308" s="182"/>
      <c r="E308" s="182"/>
      <c r="F308" s="182"/>
      <c r="G308" s="173"/>
      <c r="H308" s="193"/>
      <c r="I308" s="116" t="s">
        <v>365</v>
      </c>
      <c r="J308" s="116"/>
      <c r="K308" s="116"/>
      <c r="L308" s="116" t="s">
        <v>348</v>
      </c>
      <c r="M308" s="177">
        <v>-3.8130000000000002</v>
      </c>
      <c r="N308" s="177"/>
      <c r="O308" s="177"/>
      <c r="P308" s="177"/>
      <c r="Q308" s="177"/>
      <c r="R308" s="116" t="s">
        <v>352</v>
      </c>
      <c r="S308" s="177">
        <f>SLQHQheight+M308</f>
        <v>43.686999999999998</v>
      </c>
      <c r="T308" s="116" t="s">
        <v>366</v>
      </c>
      <c r="U308" s="193"/>
      <c r="V308" s="138"/>
      <c r="W308" s="138"/>
      <c r="X308" s="138"/>
      <c r="Y308" s="1449"/>
      <c r="Z308" s="116"/>
      <c r="AA308" s="193"/>
      <c r="AB308" s="116">
        <v>42</v>
      </c>
      <c r="AC308" s="116">
        <v>2</v>
      </c>
      <c r="AD308" s="177">
        <f>AC308*S308/12</f>
        <v>7.2811666666666666</v>
      </c>
      <c r="AE308" s="116" t="s">
        <v>367</v>
      </c>
      <c r="AF308" s="179">
        <v>2.8000000000000001E-2</v>
      </c>
      <c r="AG308" s="177">
        <f>AF308*AtolbperftQHQ</f>
        <v>1.771E-2</v>
      </c>
      <c r="AH308" s="185"/>
      <c r="AI308" s="39"/>
      <c r="AJ308" s="39"/>
      <c r="AK308" s="39"/>
      <c r="AL308" s="180"/>
      <c r="AQ308" s="139"/>
      <c r="AR308" s="139"/>
      <c r="AS308" s="139"/>
      <c r="AT308" s="139"/>
      <c r="AU308" s="139"/>
    </row>
    <row r="309" spans="1:47" ht="15" customHeight="1" x14ac:dyDescent="0.4">
      <c r="B309" s="7"/>
      <c r="C309" s="7"/>
      <c r="D309" s="7"/>
      <c r="E309" s="7"/>
      <c r="F309" s="7"/>
      <c r="G309" s="7"/>
      <c r="V309" s="38" t="s">
        <v>369</v>
      </c>
      <c r="W309" s="3" t="s">
        <v>370</v>
      </c>
      <c r="X309" s="38" t="s">
        <v>369</v>
      </c>
      <c r="Y309" s="1443">
        <v>200170003</v>
      </c>
      <c r="Z309" s="41"/>
      <c r="AE309" s="3"/>
      <c r="AF309" s="38"/>
      <c r="AH309" s="39">
        <f>1.3*AG308</f>
        <v>2.3023000000000002E-2</v>
      </c>
      <c r="AI309" s="39"/>
      <c r="AJ309" s="39"/>
      <c r="AK309" s="39"/>
      <c r="AL309" s="39">
        <f>AH309*AD308</f>
        <v>0.16763430016666667</v>
      </c>
      <c r="AQ309" s="139"/>
      <c r="AR309" s="139"/>
      <c r="AS309" s="139"/>
      <c r="AT309" s="139"/>
      <c r="AU309" s="139"/>
    </row>
    <row r="310" spans="1:47" ht="15" customHeight="1" x14ac:dyDescent="0.4">
      <c r="B310" s="1947" t="s">
        <v>2393</v>
      </c>
      <c r="D310" s="7"/>
      <c r="E310" s="7"/>
      <c r="F310" s="7"/>
      <c r="G310" s="7"/>
      <c r="V310" s="38" t="s">
        <v>369</v>
      </c>
      <c r="W310" s="3" t="s">
        <v>372</v>
      </c>
      <c r="X310" s="38" t="s">
        <v>369</v>
      </c>
      <c r="Y310" s="1443">
        <v>200170021</v>
      </c>
      <c r="Z310" s="41"/>
      <c r="AE310" s="3"/>
      <c r="AF310" s="38"/>
      <c r="AH310" s="39">
        <f>1.3*AG308</f>
        <v>2.3023000000000002E-2</v>
      </c>
      <c r="AI310" s="39"/>
      <c r="AJ310" s="39"/>
      <c r="AK310" s="39"/>
      <c r="AL310" s="39">
        <f>AH310*AD308</f>
        <v>0.16763430016666667</v>
      </c>
      <c r="AQ310" s="139"/>
      <c r="AR310" s="139"/>
      <c r="AS310" s="139"/>
      <c r="AT310" s="139"/>
      <c r="AU310" s="139"/>
    </row>
    <row r="311" spans="1:47" ht="15" customHeight="1" x14ac:dyDescent="0.4">
      <c r="B311" s="7"/>
      <c r="D311" s="7"/>
      <c r="E311" s="7"/>
      <c r="F311" s="7"/>
      <c r="G311" s="7"/>
      <c r="V311" s="38" t="s">
        <v>369</v>
      </c>
      <c r="W311" s="3" t="s">
        <v>373</v>
      </c>
      <c r="X311" s="38" t="s">
        <v>369</v>
      </c>
      <c r="Y311" s="1443">
        <v>200170033</v>
      </c>
      <c r="Z311" s="41"/>
      <c r="AE311" s="3"/>
      <c r="AF311" s="38"/>
      <c r="AH311" s="39">
        <f>1.3*AG308</f>
        <v>2.3023000000000002E-2</v>
      </c>
      <c r="AI311" s="39"/>
      <c r="AJ311" s="39"/>
      <c r="AK311" s="39"/>
      <c r="AL311" s="39">
        <f>AH311*AD308</f>
        <v>0.16763430016666667</v>
      </c>
      <c r="AQ311" s="139"/>
      <c r="AR311" s="139"/>
      <c r="AS311" s="139"/>
      <c r="AT311" s="139"/>
      <c r="AU311" s="139"/>
    </row>
    <row r="312" spans="1:47" ht="15" customHeight="1" x14ac:dyDescent="0.4">
      <c r="B312" s="7"/>
      <c r="D312" s="7"/>
      <c r="E312" s="7"/>
      <c r="F312" s="7"/>
      <c r="G312" s="7"/>
      <c r="V312" s="279" t="s">
        <v>369</v>
      </c>
      <c r="W312" s="112" t="s">
        <v>1849</v>
      </c>
      <c r="X312" s="279" t="s">
        <v>369</v>
      </c>
      <c r="Y312" s="1871">
        <v>200170148</v>
      </c>
      <c r="Z312" s="41"/>
      <c r="AE312" s="3"/>
      <c r="AF312" s="38"/>
      <c r="AH312" s="39">
        <v>0</v>
      </c>
      <c r="AI312" s="39"/>
      <c r="AJ312" s="39"/>
      <c r="AK312" s="39"/>
      <c r="AL312" s="39">
        <f>AH312*AD308</f>
        <v>0</v>
      </c>
      <c r="AQ312" s="139"/>
      <c r="AR312" s="139"/>
      <c r="AS312" s="139"/>
      <c r="AT312" s="139"/>
      <c r="AU312" s="139"/>
    </row>
    <row r="313" spans="1:47" ht="15" customHeight="1" thickBot="1" x14ac:dyDescent="0.45">
      <c r="B313" s="924"/>
      <c r="C313" s="949"/>
      <c r="D313" s="924"/>
      <c r="E313" s="924"/>
      <c r="F313" s="924"/>
      <c r="G313" s="924"/>
      <c r="H313" s="948"/>
      <c r="I313" s="889"/>
      <c r="J313" s="889"/>
      <c r="K313" s="889"/>
      <c r="L313" s="889"/>
      <c r="M313" s="945"/>
      <c r="N313" s="945"/>
      <c r="O313" s="945"/>
      <c r="P313" s="945"/>
      <c r="Q313" s="945"/>
      <c r="R313" s="889"/>
      <c r="S313" s="945"/>
      <c r="T313" s="889"/>
      <c r="U313" s="948"/>
      <c r="V313" s="1876" t="s">
        <v>369</v>
      </c>
      <c r="W313" s="1877" t="s">
        <v>375</v>
      </c>
      <c r="X313" s="1876" t="s">
        <v>369</v>
      </c>
      <c r="Y313" s="1878">
        <v>200170133</v>
      </c>
      <c r="Z313" s="946"/>
      <c r="AA313" s="948"/>
      <c r="AB313" s="889"/>
      <c r="AC313" s="889"/>
      <c r="AD313" s="945"/>
      <c r="AE313" s="889"/>
      <c r="AF313" s="888"/>
      <c r="AG313" s="945"/>
      <c r="AH313" s="947">
        <v>0</v>
      </c>
      <c r="AI313" s="947"/>
      <c r="AJ313" s="947"/>
      <c r="AK313" s="947"/>
      <c r="AL313" s="947">
        <f>AH313*AD309</f>
        <v>0</v>
      </c>
      <c r="AM313" s="889"/>
      <c r="AN313" s="889"/>
      <c r="AO313" s="889"/>
      <c r="AP313" s="889"/>
      <c r="AQ313" s="139"/>
      <c r="AR313" s="139"/>
      <c r="AS313" s="139"/>
      <c r="AT313" s="139"/>
      <c r="AU313" s="139"/>
    </row>
    <row r="314" spans="1:47" ht="15" customHeight="1" x14ac:dyDescent="0.4">
      <c r="A314" s="3" t="s">
        <v>498</v>
      </c>
      <c r="B314" s="7" t="s">
        <v>1163</v>
      </c>
      <c r="D314" s="155"/>
      <c r="E314" s="155"/>
      <c r="F314" s="155"/>
      <c r="G314" s="7"/>
      <c r="I314" s="3" t="s">
        <v>365</v>
      </c>
      <c r="L314" s="3" t="s">
        <v>348</v>
      </c>
      <c r="M314" s="5">
        <v>-3.75</v>
      </c>
      <c r="R314" s="3" t="s">
        <v>352</v>
      </c>
      <c r="S314" s="5">
        <f>SLQHQheight+M314</f>
        <v>43.75</v>
      </c>
      <c r="T314" s="3" t="s">
        <v>366</v>
      </c>
      <c r="V314" s="4"/>
      <c r="W314" s="4"/>
      <c r="X314" s="4"/>
      <c r="Y314" s="1443"/>
      <c r="AB314" s="3">
        <v>40</v>
      </c>
      <c r="AC314" s="3">
        <v>2</v>
      </c>
      <c r="AD314" s="5">
        <f>AC314*S314/12</f>
        <v>7.291666666666667</v>
      </c>
      <c r="AE314" s="3" t="s">
        <v>367</v>
      </c>
      <c r="AF314" s="38">
        <v>4.3999999999999997E-2</v>
      </c>
      <c r="AG314" s="5">
        <f>AF314*AtolbperftQHQ</f>
        <v>2.7829999999999997E-2</v>
      </c>
      <c r="AI314" s="39"/>
      <c r="AJ314" s="39"/>
      <c r="AK314" s="39"/>
      <c r="AQ314" s="139"/>
      <c r="AR314" s="139"/>
      <c r="AS314" s="139"/>
      <c r="AT314" s="139"/>
      <c r="AU314" s="139"/>
    </row>
    <row r="315" spans="1:47" ht="15" customHeight="1" x14ac:dyDescent="0.4">
      <c r="B315" s="7"/>
      <c r="D315" s="7"/>
      <c r="E315" s="7"/>
      <c r="F315" s="7"/>
      <c r="G315" s="7"/>
      <c r="V315" s="38" t="s">
        <v>369</v>
      </c>
      <c r="W315" s="3" t="s">
        <v>370</v>
      </c>
      <c r="X315" s="38" t="s">
        <v>369</v>
      </c>
      <c r="Y315" s="1443" t="s">
        <v>500</v>
      </c>
      <c r="Z315" s="41"/>
      <c r="AE315" s="3"/>
      <c r="AF315" s="38"/>
      <c r="AH315" s="39">
        <f>1.3*AG314</f>
        <v>3.6178999999999996E-2</v>
      </c>
      <c r="AI315" s="39"/>
      <c r="AJ315" s="39"/>
      <c r="AK315" s="39"/>
      <c r="AL315" s="39">
        <f>AH315*AD314</f>
        <v>0.26380520833333332</v>
      </c>
      <c r="AQ315" s="139"/>
      <c r="AR315" s="139"/>
      <c r="AS315" s="139"/>
      <c r="AT315" s="139"/>
      <c r="AU315" s="139"/>
    </row>
    <row r="316" spans="1:47" ht="15" customHeight="1" x14ac:dyDescent="0.4">
      <c r="B316" s="7"/>
      <c r="D316" s="7"/>
      <c r="E316" s="7"/>
      <c r="F316" s="7"/>
      <c r="G316" s="7"/>
      <c r="V316" s="38" t="s">
        <v>369</v>
      </c>
      <c r="W316" s="3" t="s">
        <v>372</v>
      </c>
      <c r="X316" s="38" t="s">
        <v>369</v>
      </c>
      <c r="Y316" s="1443">
        <v>200171021</v>
      </c>
      <c r="Z316" s="41"/>
      <c r="AE316" s="3"/>
      <c r="AF316" s="38"/>
      <c r="AH316" s="39">
        <f>1.3*AG314</f>
        <v>3.6178999999999996E-2</v>
      </c>
      <c r="AI316" s="39"/>
      <c r="AJ316" s="39"/>
      <c r="AK316" s="39"/>
      <c r="AL316" s="39">
        <f>AH316*AD314</f>
        <v>0.26380520833333332</v>
      </c>
      <c r="AQ316" s="139"/>
      <c r="AR316" s="139"/>
      <c r="AS316" s="139"/>
      <c r="AT316" s="139"/>
      <c r="AU316" s="139"/>
    </row>
    <row r="317" spans="1:47" ht="15" customHeight="1" x14ac:dyDescent="0.4">
      <c r="B317" s="7"/>
      <c r="D317" s="7"/>
      <c r="E317" s="7"/>
      <c r="F317" s="7"/>
      <c r="G317" s="7"/>
      <c r="V317" s="38" t="s">
        <v>369</v>
      </c>
      <c r="W317" s="3" t="s">
        <v>373</v>
      </c>
      <c r="X317" s="38" t="s">
        <v>369</v>
      </c>
      <c r="Y317" s="1443" t="s">
        <v>501</v>
      </c>
      <c r="Z317" s="41"/>
      <c r="AE317" s="3"/>
      <c r="AF317" s="38"/>
      <c r="AH317" s="39">
        <f>1.3*AG314</f>
        <v>3.6178999999999996E-2</v>
      </c>
      <c r="AI317" s="39"/>
      <c r="AJ317" s="39"/>
      <c r="AK317" s="39"/>
      <c r="AL317" s="39">
        <f>AH317*AD314</f>
        <v>0.26380520833333332</v>
      </c>
      <c r="AQ317" s="139"/>
      <c r="AR317" s="139"/>
      <c r="AS317" s="139"/>
      <c r="AT317" s="139"/>
      <c r="AU317" s="139"/>
    </row>
    <row r="318" spans="1:47" ht="15" customHeight="1" x14ac:dyDescent="0.4">
      <c r="B318" s="7"/>
      <c r="D318" s="7"/>
      <c r="E318" s="7"/>
      <c r="F318" s="7"/>
      <c r="G318" s="7"/>
      <c r="V318" s="279" t="s">
        <v>369</v>
      </c>
      <c r="W318" s="112" t="s">
        <v>1849</v>
      </c>
      <c r="X318" s="279" t="s">
        <v>369</v>
      </c>
      <c r="Y318" s="1871">
        <v>200171148</v>
      </c>
      <c r="Z318" s="41"/>
      <c r="AE318" s="3"/>
      <c r="AF318" s="38"/>
      <c r="AH318" s="39">
        <v>0</v>
      </c>
      <c r="AI318" s="39"/>
      <c r="AJ318" s="39"/>
      <c r="AK318" s="39"/>
      <c r="AL318" s="39">
        <f>AH318*AD315</f>
        <v>0</v>
      </c>
      <c r="AQ318" s="139"/>
      <c r="AR318" s="139"/>
      <c r="AS318" s="139"/>
      <c r="AT318" s="139"/>
      <c r="AU318" s="139"/>
    </row>
    <row r="319" spans="1:47" ht="15" customHeight="1" thickBot="1" x14ac:dyDescent="0.45">
      <c r="B319" s="924"/>
      <c r="C319" s="949"/>
      <c r="D319" s="924"/>
      <c r="E319" s="924"/>
      <c r="F319" s="924"/>
      <c r="G319" s="924"/>
      <c r="H319" s="948"/>
      <c r="I319" s="889"/>
      <c r="J319" s="889"/>
      <c r="K319" s="889"/>
      <c r="L319" s="889"/>
      <c r="M319" s="945"/>
      <c r="N319" s="945"/>
      <c r="O319" s="945"/>
      <c r="P319" s="945"/>
      <c r="Q319" s="945"/>
      <c r="R319" s="889"/>
      <c r="S319" s="945"/>
      <c r="T319" s="889"/>
      <c r="U319" s="948"/>
      <c r="V319" s="888" t="s">
        <v>369</v>
      </c>
      <c r="W319" s="889" t="s">
        <v>375</v>
      </c>
      <c r="X319" s="888" t="s">
        <v>369</v>
      </c>
      <c r="Y319" s="1444">
        <v>200171133</v>
      </c>
      <c r="Z319" s="946"/>
      <c r="AA319" s="948"/>
      <c r="AB319" s="889"/>
      <c r="AC319" s="889"/>
      <c r="AD319" s="945"/>
      <c r="AE319" s="889"/>
      <c r="AF319" s="888"/>
      <c r="AG319" s="945"/>
      <c r="AH319" s="947"/>
      <c r="AI319" s="947"/>
      <c r="AJ319" s="947"/>
      <c r="AK319" s="947"/>
      <c r="AL319" s="947"/>
      <c r="AM319" s="889"/>
      <c r="AN319" s="889"/>
      <c r="AO319" s="889"/>
      <c r="AP319" s="889"/>
      <c r="AQ319" s="139"/>
      <c r="AR319" s="139"/>
      <c r="AS319" s="139"/>
      <c r="AT319" s="139"/>
      <c r="AU319" s="139"/>
    </row>
    <row r="320" spans="1:47" ht="15" customHeight="1" x14ac:dyDescent="0.4">
      <c r="B320" s="7" t="s">
        <v>1164</v>
      </c>
      <c r="D320" s="155"/>
      <c r="E320" s="155"/>
      <c r="F320" s="155"/>
      <c r="G320" s="7"/>
      <c r="I320" s="3" t="s">
        <v>365</v>
      </c>
      <c r="L320" s="3" t="s">
        <v>348</v>
      </c>
      <c r="M320" s="5">
        <v>-3.75</v>
      </c>
      <c r="R320" s="3" t="s">
        <v>352</v>
      </c>
      <c r="S320" s="5">
        <f>SLQHQheight+M320</f>
        <v>43.75</v>
      </c>
      <c r="T320" s="3" t="s">
        <v>366</v>
      </c>
      <c r="V320" s="38"/>
      <c r="X320" s="38"/>
      <c r="Y320" s="1443"/>
      <c r="Z320" s="41"/>
      <c r="AB320" s="3">
        <v>40</v>
      </c>
      <c r="AC320" s="3">
        <v>2</v>
      </c>
      <c r="AD320" s="5">
        <f>AC320*S320/12</f>
        <v>7.291666666666667</v>
      </c>
      <c r="AE320" s="3" t="s">
        <v>367</v>
      </c>
      <c r="AF320" s="38">
        <v>4.1000000000000002E-2</v>
      </c>
      <c r="AG320" s="5">
        <f>AF320*AtolbperftQHQ</f>
        <v>2.5932500000000001E-2</v>
      </c>
      <c r="AH320" s="39"/>
      <c r="AI320" s="39"/>
      <c r="AJ320" s="39"/>
      <c r="AK320" s="39"/>
      <c r="AQ320" s="139"/>
      <c r="AR320" s="139"/>
      <c r="AS320" s="139"/>
      <c r="AT320" s="139"/>
      <c r="AU320" s="139"/>
    </row>
    <row r="321" spans="2:54" ht="15" customHeight="1" x14ac:dyDescent="0.4">
      <c r="B321" s="7"/>
      <c r="D321" s="7"/>
      <c r="E321" s="7"/>
      <c r="F321" s="7"/>
      <c r="G321" s="7"/>
      <c r="V321" s="38" t="s">
        <v>369</v>
      </c>
      <c r="W321" s="3" t="s">
        <v>370</v>
      </c>
      <c r="X321" s="38" t="s">
        <v>369</v>
      </c>
      <c r="Y321" s="1443">
        <v>200190003</v>
      </c>
      <c r="Z321" s="41"/>
      <c r="AE321" s="3"/>
      <c r="AF321" s="38"/>
      <c r="AH321" s="39">
        <v>3.4000000000000002E-2</v>
      </c>
      <c r="AI321" s="39"/>
      <c r="AJ321" s="39"/>
      <c r="AK321" s="39"/>
      <c r="AL321" s="39">
        <f>AD$320*AH321</f>
        <v>0.2479166666666667</v>
      </c>
      <c r="AQ321" s="139"/>
      <c r="AR321" s="139"/>
      <c r="AS321" s="139"/>
      <c r="AT321" s="139"/>
      <c r="AU321" s="139"/>
    </row>
    <row r="322" spans="2:54" ht="15" customHeight="1" x14ac:dyDescent="0.4">
      <c r="B322" s="7"/>
      <c r="D322" s="7"/>
      <c r="E322" s="7"/>
      <c r="F322" s="7"/>
      <c r="G322" s="7"/>
      <c r="V322" s="38" t="s">
        <v>369</v>
      </c>
      <c r="W322" s="3" t="s">
        <v>372</v>
      </c>
      <c r="X322" s="38" t="s">
        <v>369</v>
      </c>
      <c r="Y322" s="1443">
        <v>200190021</v>
      </c>
      <c r="Z322" s="41"/>
      <c r="AE322" s="3"/>
      <c r="AF322" s="38"/>
      <c r="AH322" s="39">
        <v>3.4000000000000002E-2</v>
      </c>
      <c r="AI322" s="39"/>
      <c r="AJ322" s="39"/>
      <c r="AK322" s="39"/>
      <c r="AL322" s="39">
        <f t="shared" ref="AL322:AL325" si="22">AD$320*AH322</f>
        <v>0.2479166666666667</v>
      </c>
      <c r="AQ322" s="139"/>
      <c r="AR322" s="139"/>
      <c r="AS322" s="139"/>
      <c r="AT322" s="139"/>
      <c r="AU322" s="139"/>
    </row>
    <row r="323" spans="2:54" ht="15" customHeight="1" x14ac:dyDescent="0.4">
      <c r="B323" s="7"/>
      <c r="D323" s="7"/>
      <c r="E323" s="7"/>
      <c r="F323" s="7"/>
      <c r="G323" s="7"/>
      <c r="V323" s="38" t="s">
        <v>369</v>
      </c>
      <c r="W323" s="3" t="s">
        <v>373</v>
      </c>
      <c r="X323" s="38" t="s">
        <v>369</v>
      </c>
      <c r="Y323" s="1443">
        <v>200190033</v>
      </c>
      <c r="Z323" s="41"/>
      <c r="AE323" s="3"/>
      <c r="AF323" s="38"/>
      <c r="AH323" s="39">
        <v>3.4000000000000002E-2</v>
      </c>
      <c r="AI323" s="39"/>
      <c r="AJ323" s="39"/>
      <c r="AK323" s="39"/>
      <c r="AL323" s="39">
        <f t="shared" si="22"/>
        <v>0.2479166666666667</v>
      </c>
      <c r="AQ323" s="139"/>
      <c r="AR323" s="139"/>
      <c r="AS323" s="139"/>
      <c r="AT323" s="139"/>
      <c r="AU323" s="139"/>
    </row>
    <row r="324" spans="2:54" ht="15" customHeight="1" x14ac:dyDescent="0.4">
      <c r="B324" s="7"/>
      <c r="D324" s="7"/>
      <c r="E324" s="7"/>
      <c r="F324" s="7"/>
      <c r="G324" s="7"/>
      <c r="V324" s="279" t="s">
        <v>369</v>
      </c>
      <c r="W324" s="112" t="s">
        <v>1849</v>
      </c>
      <c r="X324" s="279" t="s">
        <v>369</v>
      </c>
      <c r="Y324" s="1871">
        <v>200190148</v>
      </c>
      <c r="Z324" s="41"/>
      <c r="AE324" s="3"/>
      <c r="AF324" s="38"/>
      <c r="AH324" s="39">
        <v>3.4000000000000002E-2</v>
      </c>
      <c r="AI324" s="39"/>
      <c r="AJ324" s="39"/>
      <c r="AK324" s="39"/>
      <c r="AL324" s="39">
        <f t="shared" si="22"/>
        <v>0.2479166666666667</v>
      </c>
      <c r="AQ324" s="139"/>
      <c r="AR324" s="139"/>
      <c r="AS324" s="139"/>
      <c r="AT324" s="139"/>
      <c r="AU324" s="139"/>
    </row>
    <row r="325" spans="2:54" ht="15" customHeight="1" thickBot="1" x14ac:dyDescent="0.45">
      <c r="B325" s="943"/>
      <c r="C325" s="949"/>
      <c r="D325" s="924"/>
      <c r="E325" s="924"/>
      <c r="F325" s="924"/>
      <c r="G325" s="924"/>
      <c r="H325" s="948"/>
      <c r="I325" s="889"/>
      <c r="J325" s="889"/>
      <c r="K325" s="889"/>
      <c r="L325" s="889"/>
      <c r="M325" s="945"/>
      <c r="N325" s="945"/>
      <c r="O325" s="945"/>
      <c r="P325" s="945"/>
      <c r="Q325" s="945"/>
      <c r="R325" s="889"/>
      <c r="S325" s="945"/>
      <c r="T325" s="889"/>
      <c r="U325" s="948"/>
      <c r="V325" s="888" t="s">
        <v>369</v>
      </c>
      <c r="W325" s="889" t="s">
        <v>375</v>
      </c>
      <c r="X325" s="888" t="s">
        <v>369</v>
      </c>
      <c r="Y325" s="1444">
        <v>200190133</v>
      </c>
      <c r="Z325" s="946"/>
      <c r="AA325" s="948"/>
      <c r="AB325" s="889"/>
      <c r="AC325" s="889"/>
      <c r="AD325" s="945"/>
      <c r="AE325" s="889"/>
      <c r="AF325" s="888"/>
      <c r="AG325" s="945"/>
      <c r="AH325" s="947">
        <v>3.4000000000000002E-2</v>
      </c>
      <c r="AI325" s="947"/>
      <c r="AJ325" s="947"/>
      <c r="AK325" s="947"/>
      <c r="AL325" s="39">
        <f t="shared" si="22"/>
        <v>0.2479166666666667</v>
      </c>
      <c r="AM325" s="889"/>
      <c r="AN325" s="889"/>
      <c r="AO325" s="889"/>
      <c r="AP325" s="889"/>
      <c r="AQ325" s="139"/>
      <c r="AR325" s="139"/>
      <c r="AS325" s="139"/>
      <c r="AT325" s="139"/>
      <c r="AU325" s="139"/>
    </row>
    <row r="326" spans="2:54" ht="15" customHeight="1" x14ac:dyDescent="0.4">
      <c r="B326" s="173" t="s">
        <v>511</v>
      </c>
      <c r="C326" s="116"/>
      <c r="D326" s="116"/>
      <c r="E326" s="173"/>
      <c r="F326" s="173"/>
      <c r="G326" s="173"/>
      <c r="H326" s="175"/>
      <c r="I326" s="116"/>
      <c r="J326" s="116"/>
      <c r="K326" s="116"/>
      <c r="L326" s="116"/>
      <c r="M326" s="177"/>
      <c r="N326" s="177"/>
      <c r="O326" s="177"/>
      <c r="P326" s="177"/>
      <c r="Q326" s="177"/>
      <c r="R326" s="116"/>
      <c r="S326" s="177">
        <v>1</v>
      </c>
      <c r="T326" s="116" t="s">
        <v>385</v>
      </c>
      <c r="U326" s="175"/>
      <c r="V326" s="173"/>
      <c r="W326" s="173"/>
      <c r="X326" s="173"/>
      <c r="Y326" s="1449"/>
      <c r="Z326" s="116"/>
      <c r="AA326" s="175"/>
      <c r="AB326" s="116">
        <v>42</v>
      </c>
      <c r="AC326" s="116">
        <v>8</v>
      </c>
      <c r="AD326" s="177">
        <f>AC326*S326</f>
        <v>8</v>
      </c>
      <c r="AE326" s="116" t="s">
        <v>385</v>
      </c>
      <c r="AF326" s="179"/>
      <c r="AG326" s="177"/>
      <c r="AH326" s="185"/>
      <c r="AI326" s="39"/>
      <c r="AJ326" s="39"/>
      <c r="AK326" s="39"/>
      <c r="AL326" s="180"/>
      <c r="AQ326" s="139"/>
      <c r="AR326" s="139"/>
      <c r="AS326" s="139"/>
      <c r="AT326" s="139"/>
      <c r="AU326" s="139"/>
    </row>
    <row r="327" spans="2:54" ht="15" customHeight="1" x14ac:dyDescent="0.4">
      <c r="B327" s="36"/>
      <c r="C327" s="443"/>
      <c r="D327" s="155"/>
      <c r="E327" s="7"/>
      <c r="F327" s="7"/>
      <c r="G327" s="7"/>
      <c r="H327" s="20"/>
      <c r="P327" s="24"/>
      <c r="Q327" s="24"/>
      <c r="U327" s="20"/>
      <c r="V327" s="38" t="s">
        <v>369</v>
      </c>
      <c r="W327" s="3" t="s">
        <v>370</v>
      </c>
      <c r="X327" s="38" t="s">
        <v>369</v>
      </c>
      <c r="Y327" s="1443">
        <v>200249003</v>
      </c>
      <c r="Z327" s="41"/>
      <c r="AA327" s="20"/>
      <c r="AE327" s="3"/>
      <c r="AF327" s="38"/>
      <c r="AH327" s="39">
        <v>2.1000000000000001E-2</v>
      </c>
      <c r="AI327" s="39"/>
      <c r="AJ327" s="39"/>
      <c r="AK327" s="39"/>
      <c r="AL327" s="39">
        <f>AH327*AD326</f>
        <v>0.16800000000000001</v>
      </c>
      <c r="AQ327" s="139"/>
      <c r="AR327" s="139"/>
      <c r="AS327" s="139"/>
      <c r="AT327" s="139"/>
      <c r="AU327" s="139"/>
    </row>
    <row r="328" spans="2:54" ht="15" customHeight="1" x14ac:dyDescent="0.4">
      <c r="B328" s="36"/>
      <c r="C328" s="36"/>
      <c r="D328" s="155"/>
      <c r="E328" s="155"/>
      <c r="F328" s="155"/>
      <c r="G328" s="7"/>
      <c r="H328" s="20"/>
      <c r="P328" s="24"/>
      <c r="Q328" s="24"/>
      <c r="U328" s="20"/>
      <c r="V328" s="38" t="s">
        <v>369</v>
      </c>
      <c r="W328" s="3" t="s">
        <v>372</v>
      </c>
      <c r="X328" s="38" t="s">
        <v>369</v>
      </c>
      <c r="Y328" s="1443">
        <v>200249021</v>
      </c>
      <c r="Z328" s="41"/>
      <c r="AA328" s="20"/>
      <c r="AE328" s="3"/>
      <c r="AF328" s="3"/>
      <c r="AH328" s="39">
        <v>2.1000000000000001E-2</v>
      </c>
      <c r="AI328" s="39"/>
      <c r="AJ328" s="39"/>
      <c r="AK328" s="39"/>
      <c r="AL328" s="39">
        <f>AH328*AD326</f>
        <v>0.16800000000000001</v>
      </c>
      <c r="AQ328" s="139"/>
      <c r="AR328" s="139"/>
      <c r="AS328" s="139"/>
      <c r="AT328" s="139"/>
      <c r="AU328" s="139"/>
    </row>
    <row r="329" spans="2:54" ht="15" customHeight="1" x14ac:dyDescent="0.4">
      <c r="B329" s="36"/>
      <c r="C329" s="36"/>
      <c r="D329" s="155"/>
      <c r="E329" s="155"/>
      <c r="F329" s="155"/>
      <c r="G329" s="7"/>
      <c r="H329" s="20"/>
      <c r="P329" s="24"/>
      <c r="Q329" s="24"/>
      <c r="U329" s="20"/>
      <c r="V329" s="38" t="s">
        <v>369</v>
      </c>
      <c r="W329" s="3" t="s">
        <v>373</v>
      </c>
      <c r="X329" s="38" t="s">
        <v>369</v>
      </c>
      <c r="Y329" s="1443">
        <v>200249033</v>
      </c>
      <c r="Z329" s="41"/>
      <c r="AA329" s="20"/>
      <c r="AE329" s="3"/>
      <c r="AF329" s="3"/>
      <c r="AH329" s="39"/>
      <c r="AI329" s="39"/>
      <c r="AJ329" s="39"/>
      <c r="AK329" s="39"/>
      <c r="AQ329" s="139"/>
      <c r="AR329" s="139"/>
      <c r="AS329" s="139"/>
      <c r="AT329" s="139"/>
      <c r="AU329" s="139"/>
    </row>
    <row r="330" spans="2:54" ht="15.75" customHeight="1" x14ac:dyDescent="0.4">
      <c r="B330" s="36"/>
      <c r="C330" s="36"/>
      <c r="D330" s="155"/>
      <c r="E330" s="155"/>
      <c r="F330" s="155"/>
      <c r="G330" s="7"/>
      <c r="H330" s="20"/>
      <c r="P330" s="24"/>
      <c r="Q330" s="24"/>
      <c r="U330" s="20"/>
      <c r="V330" s="38" t="s">
        <v>369</v>
      </c>
      <c r="W330" s="3" t="s">
        <v>374</v>
      </c>
      <c r="X330" s="38" t="s">
        <v>369</v>
      </c>
      <c r="Y330" s="1443">
        <v>200249090</v>
      </c>
      <c r="Z330" s="41"/>
      <c r="AA330" s="20"/>
      <c r="AE330" s="3"/>
      <c r="AF330" s="3"/>
      <c r="AH330" s="39">
        <v>2.1000000000000001E-2</v>
      </c>
      <c r="AL330" s="39">
        <f>AH330*AD326</f>
        <v>0.16800000000000001</v>
      </c>
      <c r="AQ330" s="139"/>
      <c r="AR330" s="139"/>
      <c r="AS330" s="139"/>
      <c r="AT330" s="139"/>
      <c r="AU330" s="139"/>
    </row>
    <row r="331" spans="2:54" ht="15.75" customHeight="1" x14ac:dyDescent="0.4">
      <c r="B331" s="36"/>
      <c r="C331" s="36"/>
      <c r="D331" s="155"/>
      <c r="E331" s="155"/>
      <c r="F331" s="155"/>
      <c r="G331" s="7"/>
      <c r="H331" s="20"/>
      <c r="P331" s="24"/>
      <c r="Q331" s="24"/>
      <c r="U331" s="20"/>
      <c r="V331" s="38" t="s">
        <v>369</v>
      </c>
      <c r="W331" s="3" t="s">
        <v>375</v>
      </c>
      <c r="X331" s="38" t="s">
        <v>369</v>
      </c>
      <c r="Y331" s="1443">
        <v>200249133</v>
      </c>
      <c r="Z331" s="41"/>
      <c r="AA331" s="20"/>
      <c r="AE331" s="3"/>
      <c r="AF331" s="3"/>
      <c r="AH331" s="39"/>
      <c r="AQ331" s="139"/>
      <c r="AR331" s="139"/>
      <c r="AS331" s="139"/>
      <c r="AT331" s="139"/>
      <c r="AU331" s="139"/>
    </row>
    <row r="332" spans="2:54" ht="15.75" customHeight="1" thickBot="1" x14ac:dyDescent="0.45">
      <c r="B332" s="943"/>
      <c r="C332" s="943"/>
      <c r="D332" s="925"/>
      <c r="E332" s="925"/>
      <c r="F332" s="925"/>
      <c r="G332" s="924"/>
      <c r="H332" s="887"/>
      <c r="I332" s="889"/>
      <c r="J332" s="889"/>
      <c r="K332" s="889"/>
      <c r="L332" s="889"/>
      <c r="M332" s="945"/>
      <c r="N332" s="945"/>
      <c r="O332" s="945"/>
      <c r="P332" s="1020"/>
      <c r="Q332" s="1020"/>
      <c r="R332" s="889"/>
      <c r="S332" s="945"/>
      <c r="T332" s="889"/>
      <c r="U332" s="887"/>
      <c r="V332" s="1876" t="s">
        <v>369</v>
      </c>
      <c r="W332" s="1877" t="s">
        <v>1849</v>
      </c>
      <c r="X332" s="1876" t="s">
        <v>369</v>
      </c>
      <c r="Y332" s="1878">
        <v>200249148</v>
      </c>
      <c r="Z332" s="946"/>
      <c r="AA332" s="887"/>
      <c r="AB332" s="889"/>
      <c r="AC332" s="889"/>
      <c r="AD332" s="945"/>
      <c r="AE332" s="889"/>
      <c r="AF332" s="889"/>
      <c r="AG332" s="945"/>
      <c r="AH332" s="947">
        <v>0</v>
      </c>
      <c r="AI332" s="937"/>
      <c r="AJ332" s="937"/>
      <c r="AK332" s="937"/>
      <c r="AL332" s="947">
        <f t="shared" ref="AL332" si="23">AH332*AD328</f>
        <v>0</v>
      </c>
      <c r="AM332" s="889"/>
      <c r="AN332" s="889"/>
      <c r="AO332" s="889"/>
      <c r="AP332" s="889"/>
      <c r="AQ332" s="139"/>
      <c r="AR332" s="139"/>
      <c r="AS332" s="139"/>
      <c r="AT332" s="139"/>
      <c r="AU332" s="139"/>
    </row>
    <row r="333" spans="2:54" ht="15" customHeight="1" x14ac:dyDescent="0.4">
      <c r="B333" s="7" t="s">
        <v>1862</v>
      </c>
      <c r="C333" s="3"/>
      <c r="D333" s="3"/>
      <c r="E333" s="7"/>
      <c r="F333" s="7"/>
      <c r="G333" s="7"/>
      <c r="I333" s="8" t="s">
        <v>392</v>
      </c>
      <c r="J333" s="3" t="s">
        <v>346</v>
      </c>
      <c r="K333" s="3">
        <v>4</v>
      </c>
      <c r="L333" s="3" t="s">
        <v>348</v>
      </c>
      <c r="M333" s="5">
        <v>-3.3130000000000002</v>
      </c>
      <c r="S333" s="5">
        <f>(SLQHQwidth/K333+M333)</f>
        <v>14.561999999999999</v>
      </c>
      <c r="T333" s="3" t="s">
        <v>367</v>
      </c>
      <c r="V333" s="7"/>
      <c r="W333" s="7"/>
      <c r="X333" s="7"/>
      <c r="Y333" s="1443"/>
      <c r="AB333" s="3">
        <v>45</v>
      </c>
      <c r="AC333" s="3">
        <v>4</v>
      </c>
      <c r="AD333" s="5">
        <f>S333*AC333</f>
        <v>58.247999999999998</v>
      </c>
      <c r="AE333" s="3" t="s">
        <v>367</v>
      </c>
      <c r="AF333" s="38">
        <v>6.6000000000000003E-2</v>
      </c>
      <c r="AG333" s="5">
        <f>AF333*AtolbperftQHQ</f>
        <v>4.1744999999999997E-2</v>
      </c>
      <c r="AQ333" s="139"/>
      <c r="AX333" s="139"/>
      <c r="AY333" s="139"/>
      <c r="AZ333" s="139"/>
      <c r="BA333" s="139"/>
      <c r="BB333" s="139"/>
    </row>
    <row r="334" spans="2:54" ht="15" customHeight="1" x14ac:dyDescent="0.4">
      <c r="B334" s="36"/>
      <c r="C334" s="443"/>
      <c r="D334" s="155"/>
      <c r="E334" s="7"/>
      <c r="F334" s="7"/>
      <c r="G334" s="7"/>
      <c r="P334" s="24"/>
      <c r="Q334" s="24"/>
      <c r="V334" s="38" t="s">
        <v>369</v>
      </c>
      <c r="W334" s="3" t="s">
        <v>370</v>
      </c>
      <c r="X334" s="38" t="s">
        <v>369</v>
      </c>
      <c r="Y334" s="1443">
        <v>207956003</v>
      </c>
      <c r="Z334" s="41"/>
      <c r="AE334" s="3"/>
      <c r="AF334" s="38"/>
      <c r="AH334" s="51">
        <v>1.6299999999999999E-2</v>
      </c>
      <c r="AI334" s="39"/>
      <c r="AJ334" s="39"/>
      <c r="AK334" s="39"/>
      <c r="AL334" s="39">
        <f>AD$304*AH334+SUM(AI334:AK334)</f>
        <v>0</v>
      </c>
      <c r="AQ334" s="139"/>
      <c r="AX334" s="139"/>
      <c r="AY334" s="139"/>
      <c r="AZ334" s="139"/>
      <c r="BA334" s="139"/>
      <c r="BB334" s="139"/>
    </row>
    <row r="335" spans="2:54" ht="15" customHeight="1" x14ac:dyDescent="0.4">
      <c r="B335" s="36"/>
      <c r="C335" s="36"/>
      <c r="D335" s="155"/>
      <c r="E335" s="155"/>
      <c r="F335" s="155"/>
      <c r="G335" s="7"/>
      <c r="P335" s="24"/>
      <c r="Q335" s="24"/>
      <c r="V335" s="38" t="s">
        <v>369</v>
      </c>
      <c r="W335" s="3" t="s">
        <v>372</v>
      </c>
      <c r="X335" s="38" t="s">
        <v>369</v>
      </c>
      <c r="Y335" s="1443">
        <v>207956021</v>
      </c>
      <c r="Z335" s="41"/>
      <c r="AE335" s="3"/>
      <c r="AF335" s="3"/>
      <c r="AH335" s="51">
        <v>1.83E-2</v>
      </c>
      <c r="AI335" s="39"/>
      <c r="AJ335" s="39"/>
      <c r="AK335" s="39"/>
      <c r="AL335" s="39">
        <f t="shared" ref="AL335:AL336" si="24">AD$304*AH335+SUM(AI335:AK335)</f>
        <v>0</v>
      </c>
      <c r="AQ335" s="139"/>
      <c r="AX335" s="139"/>
      <c r="AY335" s="139"/>
      <c r="AZ335" s="139"/>
      <c r="BA335" s="139"/>
      <c r="BB335" s="139"/>
    </row>
    <row r="336" spans="2:54" ht="15.75" customHeight="1" thickBot="1" x14ac:dyDescent="0.45">
      <c r="B336" s="943"/>
      <c r="C336" s="943"/>
      <c r="D336" s="925"/>
      <c r="E336" s="925"/>
      <c r="F336" s="925"/>
      <c r="G336" s="924"/>
      <c r="I336" s="889"/>
      <c r="J336" s="889"/>
      <c r="K336" s="889"/>
      <c r="L336" s="889"/>
      <c r="M336" s="945"/>
      <c r="N336" s="945"/>
      <c r="O336" s="945"/>
      <c r="P336" s="1020"/>
      <c r="Q336" s="1020"/>
      <c r="R336" s="889"/>
      <c r="S336" s="945"/>
      <c r="T336" s="889"/>
      <c r="V336" s="888" t="s">
        <v>369</v>
      </c>
      <c r="W336" s="889" t="s">
        <v>373</v>
      </c>
      <c r="X336" s="888" t="s">
        <v>369</v>
      </c>
      <c r="Y336" s="1444">
        <v>207956033</v>
      </c>
      <c r="Z336" s="41"/>
      <c r="AB336" s="889"/>
      <c r="AC336" s="889"/>
      <c r="AD336" s="945"/>
      <c r="AE336" s="889"/>
      <c r="AF336" s="889"/>
      <c r="AG336" s="945"/>
      <c r="AH336" s="937">
        <v>1.9900000000000001E-2</v>
      </c>
      <c r="AI336" s="947"/>
      <c r="AJ336" s="947"/>
      <c r="AK336" s="947"/>
      <c r="AL336" s="947">
        <f t="shared" si="24"/>
        <v>0</v>
      </c>
      <c r="AM336" s="889"/>
      <c r="AN336" s="889"/>
      <c r="AO336" s="889"/>
      <c r="AP336" s="889"/>
      <c r="AQ336" s="139"/>
      <c r="AX336" s="139"/>
      <c r="AY336" s="139"/>
      <c r="AZ336" s="139"/>
      <c r="BA336" s="139"/>
      <c r="BB336" s="139"/>
    </row>
    <row r="337" spans="1:47" ht="15" customHeight="1" x14ac:dyDescent="0.4">
      <c r="B337" s="173" t="s">
        <v>513</v>
      </c>
      <c r="C337" s="116"/>
      <c r="D337" s="116"/>
      <c r="E337" s="173"/>
      <c r="F337" s="173"/>
      <c r="G337" s="173"/>
      <c r="H337" s="175"/>
      <c r="I337" s="116"/>
      <c r="J337" s="116"/>
      <c r="K337" s="116"/>
      <c r="L337" s="116"/>
      <c r="M337" s="177"/>
      <c r="N337" s="177"/>
      <c r="O337" s="177"/>
      <c r="P337" s="177"/>
      <c r="Q337" s="177"/>
      <c r="R337" s="116"/>
      <c r="S337" s="177">
        <v>1</v>
      </c>
      <c r="T337" s="116" t="s">
        <v>385</v>
      </c>
      <c r="U337" s="175"/>
      <c r="V337" s="173"/>
      <c r="W337" s="173"/>
      <c r="X337" s="173"/>
      <c r="Y337" s="1449"/>
      <c r="Z337" s="116"/>
      <c r="AA337" s="175"/>
      <c r="AB337" s="116">
        <v>42</v>
      </c>
      <c r="AC337" s="116">
        <v>4</v>
      </c>
      <c r="AD337" s="177">
        <f>AC337*S337</f>
        <v>4</v>
      </c>
      <c r="AE337" s="116" t="s">
        <v>385</v>
      </c>
      <c r="AF337" s="179"/>
      <c r="AG337" s="177"/>
      <c r="AH337" s="185"/>
      <c r="AI337" s="185"/>
      <c r="AJ337" s="185"/>
      <c r="AK337" s="185"/>
      <c r="AL337" s="180"/>
      <c r="AQ337" s="139"/>
      <c r="AR337" s="139"/>
      <c r="AS337" s="139"/>
      <c r="AT337" s="139"/>
      <c r="AU337" s="139"/>
    </row>
    <row r="338" spans="1:47" ht="15.75" customHeight="1" x14ac:dyDescent="0.4">
      <c r="B338" s="36"/>
      <c r="C338" s="443"/>
      <c r="D338" s="155"/>
      <c r="E338" s="7"/>
      <c r="F338" s="7"/>
      <c r="G338" s="7"/>
      <c r="H338" s="20"/>
      <c r="P338" s="24"/>
      <c r="Q338" s="24"/>
      <c r="U338" s="20"/>
      <c r="V338" s="38" t="s">
        <v>369</v>
      </c>
      <c r="W338" s="3" t="s">
        <v>386</v>
      </c>
      <c r="X338" s="38" t="s">
        <v>369</v>
      </c>
      <c r="Y338" s="1443">
        <v>200182008</v>
      </c>
      <c r="Z338" s="41"/>
      <c r="AA338" s="20"/>
      <c r="AE338" s="3"/>
      <c r="AF338" s="38"/>
      <c r="AH338" s="39">
        <v>1.44E-2</v>
      </c>
      <c r="AI338" s="39"/>
      <c r="AJ338" s="39"/>
      <c r="AK338" s="39"/>
      <c r="AL338" s="39">
        <f>AH338*AD337</f>
        <v>5.7599999999999998E-2</v>
      </c>
      <c r="AQ338" s="139"/>
      <c r="AR338" s="139"/>
      <c r="AS338" s="139"/>
      <c r="AT338" s="139"/>
      <c r="AU338" s="139"/>
    </row>
    <row r="339" spans="1:47" ht="15.75" customHeight="1" x14ac:dyDescent="0.4">
      <c r="B339" s="36"/>
      <c r="C339" s="443"/>
      <c r="D339" s="155"/>
      <c r="E339" s="7"/>
      <c r="F339" s="7"/>
      <c r="G339" s="7"/>
      <c r="H339" s="20"/>
      <c r="P339" s="24"/>
      <c r="Q339" s="24"/>
      <c r="U339" s="20"/>
      <c r="V339" s="38"/>
      <c r="X339" s="38"/>
      <c r="Y339" s="1443"/>
      <c r="Z339" s="41"/>
      <c r="AA339" s="20"/>
      <c r="AE339" s="3"/>
      <c r="AF339" s="38"/>
      <c r="AH339" s="39"/>
      <c r="AI339" s="39"/>
      <c r="AJ339" s="39"/>
      <c r="AK339" s="39"/>
      <c r="AQ339" s="139"/>
      <c r="AR339" s="139"/>
      <c r="AS339" s="139"/>
      <c r="AT339" s="139"/>
      <c r="AU339" s="139"/>
    </row>
    <row r="340" spans="1:47" ht="15.75" customHeight="1" thickBot="1" x14ac:dyDescent="0.45">
      <c r="B340" s="36"/>
      <c r="C340" s="443"/>
      <c r="D340" s="155"/>
      <c r="E340" s="7"/>
      <c r="F340" s="7"/>
      <c r="G340" s="7"/>
      <c r="H340" s="20"/>
      <c r="P340" s="24"/>
      <c r="Q340" s="24"/>
      <c r="U340" s="20"/>
      <c r="V340" s="38"/>
      <c r="X340" s="38"/>
      <c r="Y340" s="1443"/>
      <c r="Z340" s="41"/>
      <c r="AA340" s="20"/>
      <c r="AE340" s="3"/>
      <c r="AF340" s="38"/>
      <c r="AH340" s="39"/>
      <c r="AI340" s="947"/>
      <c r="AJ340" s="947"/>
      <c r="AK340" s="947"/>
      <c r="AQ340" s="139"/>
      <c r="AR340" s="139"/>
      <c r="AS340" s="139"/>
      <c r="AT340" s="139"/>
      <c r="AU340" s="139"/>
    </row>
    <row r="341" spans="1:47" ht="15" customHeight="1" thickBot="1" x14ac:dyDescent="0.45">
      <c r="B341" s="483" t="s">
        <v>1082</v>
      </c>
      <c r="C341" s="484"/>
      <c r="D341" s="484"/>
      <c r="E341" s="484"/>
      <c r="F341" s="484"/>
      <c r="G341" s="484"/>
      <c r="H341" s="485"/>
      <c r="I341" s="485"/>
      <c r="J341" s="485"/>
      <c r="K341" s="485"/>
      <c r="L341" s="485"/>
      <c r="M341" s="486"/>
      <c r="N341" s="486"/>
      <c r="O341" s="486"/>
      <c r="P341" s="486"/>
      <c r="Q341" s="486"/>
      <c r="R341" s="485"/>
      <c r="S341" s="486"/>
      <c r="T341" s="485"/>
      <c r="U341" s="485"/>
      <c r="V341" s="484"/>
      <c r="W341" s="484"/>
      <c r="X341" s="484"/>
      <c r="Y341" s="1620"/>
      <c r="Z341" s="487"/>
      <c r="AA341" s="485"/>
      <c r="AB341" s="487"/>
      <c r="AC341" s="485"/>
      <c r="AD341" s="486"/>
      <c r="AE341" s="485"/>
      <c r="AF341" s="485"/>
      <c r="AG341" s="485"/>
      <c r="AH341" s="194"/>
      <c r="AI341" s="194"/>
      <c r="AJ341" s="194"/>
      <c r="AK341" s="194"/>
      <c r="AL341" s="194"/>
      <c r="AM341" s="194"/>
      <c r="AN341" s="194"/>
      <c r="AO341" s="194"/>
      <c r="AP341" s="194"/>
      <c r="AQ341" s="139"/>
      <c r="AR341" s="139"/>
      <c r="AS341" s="139"/>
      <c r="AT341" s="139"/>
      <c r="AU341" s="139"/>
    </row>
    <row r="342" spans="1:47" ht="15" customHeight="1" x14ac:dyDescent="0.4">
      <c r="A342" s="3" t="s">
        <v>1237</v>
      </c>
      <c r="B342" s="173" t="s">
        <v>1347</v>
      </c>
      <c r="C342" s="182"/>
      <c r="D342" s="138"/>
      <c r="E342" s="182"/>
      <c r="F342" s="430" t="s">
        <v>418</v>
      </c>
      <c r="G342" s="431">
        <v>3</v>
      </c>
      <c r="H342" s="175"/>
      <c r="I342" s="432" t="str">
        <f xml:space="preserve"> "Length = INT ( ( UH - " &amp;FIXED(G344,2)&amp;") / "&amp;FIXED(G342,2)&amp;" ) *"&amp;FIXED(G342,2)</f>
        <v>Length = INT ( ( UH - 5.50) / 3.00 ) *3.00</v>
      </c>
      <c r="J342" s="116"/>
      <c r="K342" s="116"/>
      <c r="L342" s="116"/>
      <c r="M342" s="177"/>
      <c r="N342" s="177"/>
      <c r="O342" s="177"/>
      <c r="P342" s="177"/>
      <c r="Q342" s="24" t="s">
        <v>522</v>
      </c>
      <c r="S342" s="24" t="s">
        <v>523</v>
      </c>
      <c r="U342" s="175"/>
      <c r="V342" s="179"/>
      <c r="W342" s="116"/>
      <c r="Y342" s="1443"/>
      <c r="AA342" s="20"/>
      <c r="AD342" s="3"/>
      <c r="AE342" s="3"/>
      <c r="AF342" s="3"/>
      <c r="AG342" s="3"/>
      <c r="AH342" s="3"/>
      <c r="AI342" s="39"/>
      <c r="AJ342" s="39"/>
      <c r="AK342" s="39"/>
      <c r="AL342" s="457">
        <v>0</v>
      </c>
      <c r="AQ342" s="139"/>
      <c r="AR342" s="139"/>
      <c r="AS342" s="139"/>
      <c r="AT342" s="139"/>
      <c r="AU342" s="139"/>
    </row>
    <row r="343" spans="1:47" ht="15" customHeight="1" x14ac:dyDescent="0.4">
      <c r="B343" s="7" t="s">
        <v>1242</v>
      </c>
      <c r="C343" s="155"/>
      <c r="E343" s="155"/>
      <c r="F343" s="434"/>
      <c r="G343" s="435"/>
      <c r="H343" s="20"/>
      <c r="I343" s="436"/>
      <c r="Q343" s="24" t="str">
        <f>LOOKUP(S343,S345:S363,Q345:Q363)</f>
        <v>J</v>
      </c>
      <c r="R343" s="500" t="s">
        <v>352</v>
      </c>
      <c r="S343" s="22">
        <f>LOOKUP(INT((SLQHQheight-G344)/G342)*G342,S345:S363)</f>
        <v>42</v>
      </c>
      <c r="T343" s="500" t="s">
        <v>366</v>
      </c>
      <c r="U343" s="20"/>
      <c r="V343" s="38"/>
      <c r="Y343" s="1443">
        <v>230193011</v>
      </c>
      <c r="Z343" s="56"/>
      <c r="AA343" s="20"/>
      <c r="AB343" s="3">
        <v>45</v>
      </c>
      <c r="AC343" s="3">
        <v>2</v>
      </c>
      <c r="AD343" s="5">
        <f>LOOKUP(S343,S345:S363,AD345:AD363)</f>
        <v>7</v>
      </c>
      <c r="AE343" s="3" t="s">
        <v>367</v>
      </c>
      <c r="AF343" s="38"/>
      <c r="AG343" s="38"/>
      <c r="AH343" s="51">
        <f>'Single Hung'!AI465</f>
        <v>0.3</v>
      </c>
      <c r="AL343" s="39">
        <f>AH343*AD343*AC343</f>
        <v>4.2</v>
      </c>
      <c r="AQ343" s="139"/>
      <c r="AR343" s="139"/>
      <c r="AS343" s="139"/>
      <c r="AT343" s="139"/>
      <c r="AU343" s="139"/>
    </row>
    <row r="344" spans="1:47" ht="15" customHeight="1" x14ac:dyDescent="0.4">
      <c r="B344" s="7"/>
      <c r="C344" s="155"/>
      <c r="D344" s="155"/>
      <c r="E344" s="155"/>
      <c r="F344" s="434" t="s">
        <v>419</v>
      </c>
      <c r="G344" s="435">
        <v>5.5</v>
      </c>
      <c r="H344" s="20"/>
      <c r="Q344" s="3"/>
      <c r="U344" s="20"/>
      <c r="V344" s="38"/>
      <c r="X344" s="38"/>
      <c r="Y344" s="1443"/>
      <c r="AA344" s="20"/>
      <c r="AE344" s="3"/>
      <c r="AF344" s="38"/>
      <c r="AG344" s="38"/>
      <c r="AH344" s="39"/>
      <c r="AI344" s="39"/>
      <c r="AJ344" s="39"/>
      <c r="AK344" s="39"/>
      <c r="AQ344" s="139"/>
      <c r="AR344" s="139"/>
      <c r="AS344" s="139"/>
      <c r="AT344" s="139"/>
      <c r="AU344" s="139"/>
    </row>
    <row r="345" spans="1:47" ht="15" customHeight="1" x14ac:dyDescent="0.4">
      <c r="B345" s="7"/>
      <c r="C345" s="155"/>
      <c r="D345" s="155"/>
      <c r="E345" s="155"/>
      <c r="F345" s="434"/>
      <c r="G345" s="435"/>
      <c r="H345" s="20"/>
      <c r="Q345" s="439" t="s">
        <v>529</v>
      </c>
      <c r="R345" s="3" t="s">
        <v>352</v>
      </c>
      <c r="S345" s="765">
        <v>0</v>
      </c>
      <c r="T345" s="3" t="s">
        <v>366</v>
      </c>
      <c r="U345" s="20"/>
      <c r="V345" s="38"/>
      <c r="X345" s="38"/>
      <c r="Y345" s="1443"/>
      <c r="AA345" s="20"/>
      <c r="AB345" s="3">
        <v>45</v>
      </c>
      <c r="AD345" s="5">
        <v>0</v>
      </c>
      <c r="AE345" s="3" t="s">
        <v>367</v>
      </c>
      <c r="AF345" s="38"/>
      <c r="AG345" s="38"/>
      <c r="AH345" s="39"/>
      <c r="AQ345" s="139"/>
      <c r="AR345" s="139"/>
      <c r="AS345" s="139"/>
      <c r="AT345" s="139"/>
      <c r="AU345" s="139"/>
    </row>
    <row r="346" spans="1:47" ht="15" customHeight="1" x14ac:dyDescent="0.4">
      <c r="B346" s="7"/>
      <c r="C346" s="155"/>
      <c r="D346" s="155"/>
      <c r="E346" s="155"/>
      <c r="F346" s="434" t="s">
        <v>878</v>
      </c>
      <c r="G346" s="435">
        <v>15</v>
      </c>
      <c r="H346" s="20"/>
      <c r="Q346" s="439" t="s">
        <v>70</v>
      </c>
      <c r="R346" s="440" t="s">
        <v>352</v>
      </c>
      <c r="S346" s="1623">
        <f>G346</f>
        <v>15</v>
      </c>
      <c r="T346" s="3" t="s">
        <v>366</v>
      </c>
      <c r="U346" s="20"/>
      <c r="V346" s="38"/>
      <c r="X346" s="38"/>
      <c r="Y346" s="1577"/>
      <c r="Z346" s="441"/>
      <c r="AA346" s="20"/>
      <c r="AB346" s="3">
        <v>45</v>
      </c>
      <c r="AC346" s="3">
        <v>2</v>
      </c>
      <c r="AD346" s="5">
        <f t="shared" ref="AD346:AD363" si="25">AC346*S346/12</f>
        <v>2.5</v>
      </c>
      <c r="AE346" s="3" t="s">
        <v>367</v>
      </c>
      <c r="AF346" s="38"/>
      <c r="AG346" s="38"/>
      <c r="AI346" s="39"/>
      <c r="AJ346" s="39"/>
      <c r="AK346" s="39"/>
      <c r="AQ346" s="139"/>
      <c r="AR346" s="139"/>
      <c r="AS346" s="139"/>
      <c r="AT346" s="139"/>
      <c r="AU346" s="139"/>
    </row>
    <row r="347" spans="1:47" ht="15" customHeight="1" x14ac:dyDescent="0.4">
      <c r="B347" s="7"/>
      <c r="C347" s="155"/>
      <c r="D347" s="155"/>
      <c r="E347" s="155"/>
      <c r="F347" s="434" t="s">
        <v>866</v>
      </c>
      <c r="G347" s="435">
        <v>0</v>
      </c>
      <c r="H347" s="20"/>
      <c r="Q347" s="439" t="s">
        <v>81</v>
      </c>
      <c r="R347" s="440" t="s">
        <v>352</v>
      </c>
      <c r="S347" s="1623">
        <f t="shared" ref="S347:S363" si="26">S346+$G$342</f>
        <v>18</v>
      </c>
      <c r="T347" s="3" t="s">
        <v>366</v>
      </c>
      <c r="U347" s="20"/>
      <c r="V347" s="38"/>
      <c r="X347" s="38"/>
      <c r="Y347" s="1577"/>
      <c r="Z347" s="441"/>
      <c r="AA347" s="20"/>
      <c r="AB347" s="3">
        <v>45</v>
      </c>
      <c r="AC347" s="3">
        <v>2</v>
      </c>
      <c r="AD347" s="5">
        <f t="shared" si="25"/>
        <v>3</v>
      </c>
      <c r="AE347" s="3" t="s">
        <v>367</v>
      </c>
      <c r="AF347" s="38"/>
      <c r="AG347" s="38"/>
      <c r="AH347" s="39"/>
      <c r="AI347" s="39"/>
      <c r="AJ347" s="39"/>
      <c r="AK347" s="39"/>
      <c r="AQ347" s="139"/>
      <c r="AR347" s="139"/>
      <c r="AS347" s="139"/>
      <c r="AT347" s="139"/>
      <c r="AU347" s="139"/>
    </row>
    <row r="348" spans="1:47" ht="15" customHeight="1" x14ac:dyDescent="0.4">
      <c r="B348" s="7"/>
      <c r="C348" s="155"/>
      <c r="D348" s="155"/>
      <c r="E348" s="155"/>
      <c r="H348" s="20"/>
      <c r="I348" s="442" t="s">
        <v>1348</v>
      </c>
      <c r="Q348" s="439" t="s">
        <v>531</v>
      </c>
      <c r="R348" s="440" t="s">
        <v>352</v>
      </c>
      <c r="S348" s="1623">
        <f t="shared" si="26"/>
        <v>21</v>
      </c>
      <c r="T348" s="3" t="s">
        <v>366</v>
      </c>
      <c r="U348" s="20"/>
      <c r="V348" s="38"/>
      <c r="X348" s="38"/>
      <c r="Y348" s="1577"/>
      <c r="Z348" s="441"/>
      <c r="AA348" s="20"/>
      <c r="AB348" s="3">
        <v>45</v>
      </c>
      <c r="AC348" s="3">
        <v>2</v>
      </c>
      <c r="AD348" s="5">
        <f t="shared" si="25"/>
        <v>3.5</v>
      </c>
      <c r="AE348" s="3" t="s">
        <v>367</v>
      </c>
      <c r="AF348" s="38"/>
      <c r="AG348" s="38"/>
      <c r="AH348" s="39"/>
      <c r="AI348" s="39"/>
      <c r="AJ348" s="39"/>
      <c r="AK348" s="39"/>
      <c r="AQ348" s="139"/>
      <c r="AR348" s="139"/>
      <c r="AS348" s="139"/>
      <c r="AT348" s="139"/>
      <c r="AU348" s="139"/>
    </row>
    <row r="349" spans="1:47" ht="15" customHeight="1" x14ac:dyDescent="0.4">
      <c r="B349" s="7"/>
      <c r="C349" s="155"/>
      <c r="D349" s="155"/>
      <c r="E349" s="155"/>
      <c r="F349" s="155"/>
      <c r="G349" s="7"/>
      <c r="H349" s="20"/>
      <c r="I349" s="443" t="s">
        <v>532</v>
      </c>
      <c r="Q349" s="439" t="s">
        <v>94</v>
      </c>
      <c r="R349" s="440" t="s">
        <v>352</v>
      </c>
      <c r="S349" s="1623">
        <f t="shared" si="26"/>
        <v>24</v>
      </c>
      <c r="T349" s="3" t="s">
        <v>366</v>
      </c>
      <c r="U349" s="20"/>
      <c r="V349" s="38"/>
      <c r="X349" s="38"/>
      <c r="Y349" s="1577"/>
      <c r="Z349" s="441"/>
      <c r="AA349" s="20"/>
      <c r="AB349" s="3">
        <v>45</v>
      </c>
      <c r="AC349" s="3">
        <v>2</v>
      </c>
      <c r="AD349" s="5">
        <f t="shared" si="25"/>
        <v>4</v>
      </c>
      <c r="AE349" s="3" t="s">
        <v>367</v>
      </c>
      <c r="AF349" s="38"/>
      <c r="AG349" s="38"/>
      <c r="AH349" s="39"/>
      <c r="AQ349" s="139"/>
      <c r="AR349" s="139"/>
      <c r="AS349" s="139"/>
      <c r="AT349" s="139"/>
      <c r="AU349" s="139"/>
    </row>
    <row r="350" spans="1:47" ht="15" customHeight="1" x14ac:dyDescent="0.4">
      <c r="B350" s="7"/>
      <c r="C350" s="155"/>
      <c r="D350" s="155"/>
      <c r="E350" s="155"/>
      <c r="F350" s="155"/>
      <c r="G350" s="7"/>
      <c r="H350" s="20"/>
      <c r="Q350" s="439" t="s">
        <v>112</v>
      </c>
      <c r="R350" s="440" t="s">
        <v>352</v>
      </c>
      <c r="S350" s="1623">
        <f t="shared" si="26"/>
        <v>27</v>
      </c>
      <c r="T350" s="3" t="s">
        <v>366</v>
      </c>
      <c r="U350" s="20"/>
      <c r="V350" s="38"/>
      <c r="X350" s="38"/>
      <c r="Y350" s="1577"/>
      <c r="Z350" s="441"/>
      <c r="AA350" s="20"/>
      <c r="AB350" s="3">
        <v>45</v>
      </c>
      <c r="AC350" s="3">
        <v>2</v>
      </c>
      <c r="AD350" s="5">
        <f t="shared" si="25"/>
        <v>4.5</v>
      </c>
      <c r="AE350" s="3" t="s">
        <v>367</v>
      </c>
      <c r="AF350" s="38"/>
      <c r="AG350" s="38"/>
      <c r="AH350" s="39"/>
      <c r="AI350" s="39"/>
      <c r="AJ350" s="39"/>
      <c r="AK350" s="39"/>
      <c r="AQ350" s="139"/>
      <c r="AR350" s="139"/>
      <c r="AS350" s="139"/>
      <c r="AT350" s="139"/>
      <c r="AU350" s="139"/>
    </row>
    <row r="351" spans="1:47" ht="15" customHeight="1" x14ac:dyDescent="0.4">
      <c r="B351" s="7"/>
      <c r="C351" s="155"/>
      <c r="D351" s="155"/>
      <c r="E351" s="155"/>
      <c r="F351" s="155"/>
      <c r="G351" s="7"/>
      <c r="H351" s="20"/>
      <c r="Q351" s="439" t="s">
        <v>128</v>
      </c>
      <c r="R351" s="440" t="s">
        <v>352</v>
      </c>
      <c r="S351" s="1623">
        <f t="shared" si="26"/>
        <v>30</v>
      </c>
      <c r="T351" s="3" t="s">
        <v>366</v>
      </c>
      <c r="U351" s="20"/>
      <c r="V351" s="38"/>
      <c r="X351" s="38"/>
      <c r="Y351" s="1577"/>
      <c r="Z351" s="441"/>
      <c r="AA351" s="20"/>
      <c r="AB351" s="3">
        <v>45</v>
      </c>
      <c r="AC351" s="3">
        <v>2</v>
      </c>
      <c r="AD351" s="5">
        <f t="shared" si="25"/>
        <v>5</v>
      </c>
      <c r="AE351" s="3" t="s">
        <v>367</v>
      </c>
      <c r="AF351" s="38"/>
      <c r="AG351" s="38"/>
      <c r="AH351" s="39"/>
      <c r="AI351" s="39"/>
      <c r="AJ351" s="39"/>
      <c r="AK351" s="39"/>
      <c r="AQ351" s="139"/>
      <c r="AR351" s="139"/>
      <c r="AS351" s="139"/>
      <c r="AT351" s="139"/>
      <c r="AU351" s="139"/>
    </row>
    <row r="352" spans="1:47" ht="15" customHeight="1" x14ac:dyDescent="0.4">
      <c r="B352" s="7"/>
      <c r="C352" s="155"/>
      <c r="D352" s="155"/>
      <c r="E352" s="155"/>
      <c r="F352" s="155"/>
      <c r="G352" s="7"/>
      <c r="H352" s="20"/>
      <c r="Q352" s="439" t="s">
        <v>155</v>
      </c>
      <c r="R352" s="440" t="s">
        <v>352</v>
      </c>
      <c r="S352" s="1623">
        <f t="shared" si="26"/>
        <v>33</v>
      </c>
      <c r="T352" s="3" t="s">
        <v>366</v>
      </c>
      <c r="U352" s="20"/>
      <c r="V352" s="38"/>
      <c r="X352" s="38"/>
      <c r="Y352" s="1577"/>
      <c r="Z352" s="441"/>
      <c r="AA352" s="20"/>
      <c r="AB352" s="3">
        <v>45</v>
      </c>
      <c r="AC352" s="3">
        <v>2</v>
      </c>
      <c r="AD352" s="5">
        <f t="shared" si="25"/>
        <v>5.5</v>
      </c>
      <c r="AE352" s="3" t="s">
        <v>367</v>
      </c>
      <c r="AF352" s="38"/>
      <c r="AG352" s="38"/>
      <c r="AH352" s="39"/>
      <c r="AI352" s="39"/>
      <c r="AJ352" s="39"/>
      <c r="AK352" s="39"/>
      <c r="AQ352" s="139"/>
      <c r="AR352" s="139"/>
      <c r="AS352" s="139"/>
      <c r="AT352" s="139"/>
      <c r="AU352" s="139"/>
    </row>
    <row r="353" spans="1:47" ht="15" customHeight="1" x14ac:dyDescent="0.4">
      <c r="B353" s="7"/>
      <c r="C353" s="155"/>
      <c r="D353" s="155"/>
      <c r="E353" s="155"/>
      <c r="F353" s="155"/>
      <c r="G353" s="7"/>
      <c r="H353" s="20"/>
      <c r="Q353" s="439" t="s">
        <v>163</v>
      </c>
      <c r="R353" s="440" t="s">
        <v>352</v>
      </c>
      <c r="S353" s="1623">
        <f t="shared" si="26"/>
        <v>36</v>
      </c>
      <c r="T353" s="3" t="s">
        <v>366</v>
      </c>
      <c r="U353" s="20"/>
      <c r="V353" s="38"/>
      <c r="X353" s="38"/>
      <c r="Y353" s="1577"/>
      <c r="Z353" s="441"/>
      <c r="AA353" s="20"/>
      <c r="AB353" s="3">
        <v>45</v>
      </c>
      <c r="AC353" s="3">
        <v>2</v>
      </c>
      <c r="AD353" s="5">
        <f t="shared" si="25"/>
        <v>6</v>
      </c>
      <c r="AE353" s="3" t="s">
        <v>367</v>
      </c>
      <c r="AF353" s="38"/>
      <c r="AG353" s="38"/>
      <c r="AH353" s="39"/>
      <c r="AQ353" s="139"/>
      <c r="AR353" s="139"/>
      <c r="AS353" s="139"/>
      <c r="AT353" s="139"/>
      <c r="AU353" s="139"/>
    </row>
    <row r="354" spans="1:47" ht="15" customHeight="1" x14ac:dyDescent="0.4">
      <c r="B354" s="7"/>
      <c r="C354" s="155"/>
      <c r="D354" s="155"/>
      <c r="E354" s="155"/>
      <c r="F354" s="155"/>
      <c r="G354" s="7"/>
      <c r="H354" s="20"/>
      <c r="Q354" s="439" t="s">
        <v>175</v>
      </c>
      <c r="R354" s="440" t="s">
        <v>352</v>
      </c>
      <c r="S354" s="1623">
        <f t="shared" si="26"/>
        <v>39</v>
      </c>
      <c r="T354" s="3" t="s">
        <v>366</v>
      </c>
      <c r="U354" s="20"/>
      <c r="V354" s="38"/>
      <c r="X354" s="38"/>
      <c r="Y354" s="1577"/>
      <c r="Z354" s="441"/>
      <c r="AA354" s="20"/>
      <c r="AB354" s="3">
        <v>45</v>
      </c>
      <c r="AC354" s="3">
        <v>2</v>
      </c>
      <c r="AD354" s="5">
        <f t="shared" si="25"/>
        <v>6.5</v>
      </c>
      <c r="AE354" s="3" t="s">
        <v>367</v>
      </c>
      <c r="AF354" s="38"/>
      <c r="AG354" s="38"/>
      <c r="AH354" s="39"/>
      <c r="AI354" s="39"/>
      <c r="AJ354" s="39"/>
      <c r="AK354" s="39"/>
      <c r="AQ354" s="139"/>
      <c r="AR354" s="139"/>
      <c r="AS354" s="139"/>
      <c r="AT354" s="139"/>
      <c r="AU354" s="139"/>
    </row>
    <row r="355" spans="1:47" ht="15" customHeight="1" x14ac:dyDescent="0.4">
      <c r="B355" s="7"/>
      <c r="C355" s="155"/>
      <c r="D355" s="155"/>
      <c r="E355" s="155"/>
      <c r="F355" s="155"/>
      <c r="G355" s="7"/>
      <c r="H355" s="20"/>
      <c r="Q355" s="439" t="s">
        <v>533</v>
      </c>
      <c r="R355" s="440" t="s">
        <v>352</v>
      </c>
      <c r="S355" s="1623">
        <f t="shared" si="26"/>
        <v>42</v>
      </c>
      <c r="T355" s="3" t="s">
        <v>366</v>
      </c>
      <c r="U355" s="20"/>
      <c r="V355" s="38"/>
      <c r="X355" s="38"/>
      <c r="Y355" s="1577"/>
      <c r="Z355" s="441"/>
      <c r="AA355" s="20"/>
      <c r="AB355" s="3">
        <v>45</v>
      </c>
      <c r="AC355" s="3">
        <v>2</v>
      </c>
      <c r="AD355" s="5">
        <f t="shared" si="25"/>
        <v>7</v>
      </c>
      <c r="AE355" s="3" t="s">
        <v>367</v>
      </c>
      <c r="AF355" s="38"/>
      <c r="AG355" s="38"/>
      <c r="AH355" s="39"/>
      <c r="AI355" s="39"/>
      <c r="AJ355" s="39"/>
      <c r="AK355" s="39"/>
      <c r="AQ355" s="139"/>
      <c r="AR355" s="139"/>
      <c r="AS355" s="139"/>
      <c r="AT355" s="139"/>
      <c r="AU355" s="139"/>
    </row>
    <row r="356" spans="1:47" ht="15" customHeight="1" x14ac:dyDescent="0.4">
      <c r="B356" s="7"/>
      <c r="C356" s="155"/>
      <c r="D356" s="155"/>
      <c r="E356" s="155"/>
      <c r="F356" s="155"/>
      <c r="G356" s="7"/>
      <c r="H356" s="20"/>
      <c r="Q356" s="439" t="s">
        <v>534</v>
      </c>
      <c r="R356" s="440" t="s">
        <v>352</v>
      </c>
      <c r="S356" s="1623">
        <f t="shared" si="26"/>
        <v>45</v>
      </c>
      <c r="T356" s="3" t="s">
        <v>366</v>
      </c>
      <c r="U356" s="20"/>
      <c r="V356" s="38"/>
      <c r="X356" s="38"/>
      <c r="Y356" s="1577"/>
      <c r="Z356" s="441"/>
      <c r="AA356" s="20"/>
      <c r="AB356" s="3">
        <v>45</v>
      </c>
      <c r="AC356" s="3">
        <v>2</v>
      </c>
      <c r="AD356" s="5">
        <f t="shared" si="25"/>
        <v>7.5</v>
      </c>
      <c r="AE356" s="3" t="s">
        <v>367</v>
      </c>
      <c r="AF356" s="38"/>
      <c r="AG356" s="38"/>
      <c r="AH356" s="39"/>
      <c r="AI356" s="39"/>
      <c r="AJ356" s="39"/>
      <c r="AK356" s="39"/>
      <c r="AQ356" s="139"/>
      <c r="AR356" s="139"/>
      <c r="AS356" s="139"/>
      <c r="AT356" s="139"/>
      <c r="AU356" s="139"/>
    </row>
    <row r="357" spans="1:47" ht="15" customHeight="1" x14ac:dyDescent="0.4">
      <c r="B357" s="7"/>
      <c r="C357" s="155"/>
      <c r="D357" s="155"/>
      <c r="E357" s="155"/>
      <c r="F357" s="155"/>
      <c r="G357" s="7"/>
      <c r="H357" s="20"/>
      <c r="Q357" s="439" t="s">
        <v>535</v>
      </c>
      <c r="R357" s="440" t="s">
        <v>352</v>
      </c>
      <c r="S357" s="1623">
        <f t="shared" si="26"/>
        <v>48</v>
      </c>
      <c r="T357" s="3" t="s">
        <v>366</v>
      </c>
      <c r="U357" s="20"/>
      <c r="V357" s="38"/>
      <c r="X357" s="38"/>
      <c r="Y357" s="1577"/>
      <c r="Z357" s="441"/>
      <c r="AA357" s="20"/>
      <c r="AB357" s="3">
        <v>45</v>
      </c>
      <c r="AC357" s="3">
        <v>2</v>
      </c>
      <c r="AD357" s="5">
        <f t="shared" si="25"/>
        <v>8</v>
      </c>
      <c r="AE357" s="3" t="s">
        <v>367</v>
      </c>
      <c r="AF357" s="38"/>
      <c r="AG357" s="38"/>
      <c r="AH357" s="39"/>
      <c r="AQ357" s="139"/>
      <c r="AR357" s="139"/>
      <c r="AS357" s="139"/>
      <c r="AT357" s="139"/>
      <c r="AU357" s="139"/>
    </row>
    <row r="358" spans="1:47" ht="15" customHeight="1" x14ac:dyDescent="0.4">
      <c r="B358" s="7"/>
      <c r="C358" s="155"/>
      <c r="D358" s="155"/>
      <c r="E358" s="155"/>
      <c r="F358" s="155"/>
      <c r="G358" s="7"/>
      <c r="H358" s="20"/>
      <c r="Q358" s="439" t="s">
        <v>536</v>
      </c>
      <c r="R358" s="440" t="s">
        <v>352</v>
      </c>
      <c r="S358" s="1623">
        <f t="shared" si="26"/>
        <v>51</v>
      </c>
      <c r="T358" s="3" t="s">
        <v>366</v>
      </c>
      <c r="U358" s="20"/>
      <c r="V358" s="38"/>
      <c r="X358" s="38"/>
      <c r="Y358" s="1577"/>
      <c r="Z358" s="441"/>
      <c r="AA358" s="20"/>
      <c r="AB358" s="3">
        <v>45</v>
      </c>
      <c r="AC358" s="3">
        <v>2</v>
      </c>
      <c r="AD358" s="5">
        <f t="shared" si="25"/>
        <v>8.5</v>
      </c>
      <c r="AE358" s="3" t="s">
        <v>367</v>
      </c>
      <c r="AF358" s="38"/>
      <c r="AG358" s="38"/>
      <c r="AH358" s="39"/>
      <c r="AI358" s="3"/>
      <c r="AJ358" s="3"/>
      <c r="AK358" s="3"/>
      <c r="AQ358" s="139"/>
      <c r="AR358" s="139"/>
      <c r="AS358" s="139"/>
      <c r="AT358" s="139"/>
      <c r="AU358" s="139"/>
    </row>
    <row r="359" spans="1:47" ht="15" customHeight="1" x14ac:dyDescent="0.4">
      <c r="B359" s="7"/>
      <c r="C359" s="155"/>
      <c r="D359" s="155"/>
      <c r="E359" s="155"/>
      <c r="F359" s="155"/>
      <c r="G359" s="7"/>
      <c r="H359" s="20"/>
      <c r="Q359" s="439" t="s">
        <v>537</v>
      </c>
      <c r="R359" s="440" t="s">
        <v>352</v>
      </c>
      <c r="S359" s="1623">
        <f t="shared" si="26"/>
        <v>54</v>
      </c>
      <c r="T359" s="3" t="s">
        <v>366</v>
      </c>
      <c r="U359" s="20"/>
      <c r="V359" s="38"/>
      <c r="X359" s="38"/>
      <c r="Y359" s="1577"/>
      <c r="Z359" s="441"/>
      <c r="AA359" s="20"/>
      <c r="AB359" s="3">
        <v>45</v>
      </c>
      <c r="AC359" s="3">
        <v>2</v>
      </c>
      <c r="AD359" s="5">
        <f t="shared" si="25"/>
        <v>9</v>
      </c>
      <c r="AE359" s="3" t="s">
        <v>367</v>
      </c>
      <c r="AF359" s="38"/>
      <c r="AG359" s="38"/>
      <c r="AH359" s="39"/>
      <c r="AI359" s="39"/>
      <c r="AJ359" s="39"/>
      <c r="AK359" s="39"/>
      <c r="AQ359" s="139"/>
      <c r="AR359" s="139"/>
      <c r="AS359" s="139"/>
      <c r="AT359" s="139"/>
      <c r="AU359" s="139"/>
    </row>
    <row r="360" spans="1:47" ht="15" customHeight="1" x14ac:dyDescent="0.4">
      <c r="B360" s="7"/>
      <c r="C360" s="155"/>
      <c r="D360" s="155"/>
      <c r="E360" s="155"/>
      <c r="F360" s="155"/>
      <c r="G360" s="7"/>
      <c r="H360" s="20"/>
      <c r="Q360" s="439" t="s">
        <v>371</v>
      </c>
      <c r="R360" s="440" t="s">
        <v>352</v>
      </c>
      <c r="S360" s="1623">
        <f t="shared" si="26"/>
        <v>57</v>
      </c>
      <c r="T360" s="3" t="s">
        <v>366</v>
      </c>
      <c r="U360" s="20"/>
      <c r="V360" s="38"/>
      <c r="X360" s="38"/>
      <c r="Y360" s="1577"/>
      <c r="Z360" s="441"/>
      <c r="AA360" s="20"/>
      <c r="AB360" s="3">
        <v>45</v>
      </c>
      <c r="AC360" s="3">
        <v>2</v>
      </c>
      <c r="AD360" s="5">
        <f t="shared" si="25"/>
        <v>9.5</v>
      </c>
      <c r="AE360" s="3" t="s">
        <v>367</v>
      </c>
      <c r="AF360" s="38"/>
      <c r="AG360" s="38"/>
      <c r="AH360" s="39"/>
      <c r="AQ360" s="139"/>
      <c r="AR360" s="139"/>
      <c r="AS360" s="139"/>
      <c r="AT360" s="139"/>
      <c r="AU360" s="139"/>
    </row>
    <row r="361" spans="1:47" ht="15" customHeight="1" x14ac:dyDescent="0.4">
      <c r="B361" s="7"/>
      <c r="C361" s="155"/>
      <c r="D361" s="155"/>
      <c r="E361" s="155"/>
      <c r="F361" s="155"/>
      <c r="G361" s="7"/>
      <c r="H361" s="20"/>
      <c r="Q361" s="439" t="s">
        <v>538</v>
      </c>
      <c r="R361" s="440" t="s">
        <v>352</v>
      </c>
      <c r="S361" s="1623">
        <f t="shared" si="26"/>
        <v>60</v>
      </c>
      <c r="T361" s="3" t="s">
        <v>366</v>
      </c>
      <c r="U361" s="20"/>
      <c r="V361" s="38"/>
      <c r="X361" s="38"/>
      <c r="Y361" s="1577"/>
      <c r="Z361" s="441"/>
      <c r="AA361" s="20"/>
      <c r="AB361" s="3">
        <v>45</v>
      </c>
      <c r="AC361" s="3">
        <v>2</v>
      </c>
      <c r="AD361" s="5">
        <f t="shared" si="25"/>
        <v>10</v>
      </c>
      <c r="AE361" s="3" t="s">
        <v>367</v>
      </c>
      <c r="AF361" s="38"/>
      <c r="AG361" s="38"/>
      <c r="AH361" s="39"/>
      <c r="AQ361" s="139"/>
      <c r="AR361" s="139"/>
      <c r="AS361" s="139"/>
      <c r="AT361" s="139"/>
      <c r="AU361" s="139"/>
    </row>
    <row r="362" spans="1:47" ht="15" customHeight="1" x14ac:dyDescent="0.4">
      <c r="B362" s="7"/>
      <c r="C362" s="155"/>
      <c r="D362" s="155"/>
      <c r="E362" s="155"/>
      <c r="F362" s="155"/>
      <c r="G362" s="7"/>
      <c r="H362" s="20"/>
      <c r="Q362" s="439" t="s">
        <v>539</v>
      </c>
      <c r="R362" s="440" t="s">
        <v>352</v>
      </c>
      <c r="S362" s="1623">
        <f t="shared" si="26"/>
        <v>63</v>
      </c>
      <c r="T362" s="3" t="s">
        <v>366</v>
      </c>
      <c r="U362" s="20"/>
      <c r="V362" s="38"/>
      <c r="X362" s="38"/>
      <c r="Y362" s="1577"/>
      <c r="Z362" s="441"/>
      <c r="AA362" s="20"/>
      <c r="AB362" s="3">
        <v>45</v>
      </c>
      <c r="AC362" s="3">
        <v>2</v>
      </c>
      <c r="AD362" s="5">
        <f t="shared" si="25"/>
        <v>10.5</v>
      </c>
      <c r="AE362" s="3" t="s">
        <v>367</v>
      </c>
      <c r="AF362" s="38"/>
      <c r="AG362" s="38"/>
      <c r="AH362" s="39"/>
      <c r="AI362" s="39"/>
      <c r="AJ362" s="39"/>
      <c r="AK362" s="39"/>
      <c r="AQ362" s="139"/>
      <c r="AR362" s="139"/>
      <c r="AS362" s="139"/>
      <c r="AT362" s="139"/>
      <c r="AU362" s="139"/>
    </row>
    <row r="363" spans="1:47" ht="15" customHeight="1" thickBot="1" x14ac:dyDescent="0.45">
      <c r="B363" s="924"/>
      <c r="C363" s="925"/>
      <c r="D363" s="925"/>
      <c r="E363" s="925"/>
      <c r="F363" s="925"/>
      <c r="G363" s="924"/>
      <c r="H363" s="887"/>
      <c r="I363" s="889"/>
      <c r="J363" s="889"/>
      <c r="K363" s="889"/>
      <c r="L363" s="889"/>
      <c r="M363" s="945"/>
      <c r="N363" s="945"/>
      <c r="O363" s="945"/>
      <c r="P363" s="945"/>
      <c r="Q363" s="1192" t="s">
        <v>540</v>
      </c>
      <c r="R363" s="1005" t="s">
        <v>352</v>
      </c>
      <c r="S363" s="1624">
        <f t="shared" si="26"/>
        <v>66</v>
      </c>
      <c r="T363" s="889" t="s">
        <v>366</v>
      </c>
      <c r="U363" s="887"/>
      <c r="V363" s="888"/>
      <c r="W363" s="889"/>
      <c r="X363" s="888"/>
      <c r="Y363" s="1578"/>
      <c r="Z363" s="1006"/>
      <c r="AA363" s="887"/>
      <c r="AB363" s="889">
        <v>45</v>
      </c>
      <c r="AC363" s="889">
        <v>2</v>
      </c>
      <c r="AD363" s="945">
        <f t="shared" si="25"/>
        <v>11</v>
      </c>
      <c r="AE363" s="889" t="s">
        <v>367</v>
      </c>
      <c r="AF363" s="888"/>
      <c r="AG363" s="888"/>
      <c r="AH363" s="947"/>
      <c r="AI363" s="947"/>
      <c r="AJ363" s="947"/>
      <c r="AK363" s="947"/>
      <c r="AL363" s="947"/>
      <c r="AM363" s="889"/>
      <c r="AN363" s="889"/>
      <c r="AO363" s="889"/>
      <c r="AP363" s="889"/>
      <c r="AQ363" s="139"/>
      <c r="AR363" s="139"/>
      <c r="AS363" s="139"/>
      <c r="AT363" s="139"/>
      <c r="AU363" s="139"/>
    </row>
    <row r="364" spans="1:47" ht="15" customHeight="1" x14ac:dyDescent="0.4">
      <c r="A364" s="3" t="s">
        <v>541</v>
      </c>
      <c r="B364" s="37" t="s">
        <v>542</v>
      </c>
      <c r="C364" s="37"/>
      <c r="D364" s="37"/>
      <c r="E364" s="37"/>
      <c r="F364" s="37"/>
      <c r="G364" s="37"/>
      <c r="H364" s="157"/>
      <c r="I364" s="157"/>
      <c r="J364" s="157"/>
      <c r="K364" s="157"/>
      <c r="L364" s="157"/>
      <c r="M364" s="158"/>
      <c r="N364" s="158"/>
      <c r="O364" s="158"/>
      <c r="P364" s="158"/>
      <c r="Q364" s="158"/>
      <c r="R364" s="157"/>
      <c r="S364" s="158"/>
      <c r="T364" s="157"/>
      <c r="U364" s="157"/>
      <c r="V364" s="37"/>
      <c r="W364" s="37"/>
      <c r="X364" s="37"/>
      <c r="Y364" s="1619"/>
      <c r="Z364" s="59"/>
      <c r="AA364" s="157"/>
      <c r="AB364" s="59"/>
      <c r="AC364" s="157"/>
      <c r="AD364" s="158"/>
      <c r="AE364" s="157"/>
      <c r="AF364" s="157"/>
      <c r="AG364" s="157"/>
      <c r="AH364" s="159"/>
      <c r="AI364" s="159"/>
      <c r="AJ364" s="159"/>
      <c r="AK364" s="159"/>
      <c r="AL364" s="159"/>
      <c r="AM364" s="159"/>
      <c r="AN364" s="159"/>
      <c r="AO364" s="159"/>
      <c r="AP364" s="159"/>
      <c r="AQ364" s="139"/>
      <c r="AR364" s="139"/>
      <c r="AS364" s="139"/>
      <c r="AT364" s="139"/>
      <c r="AU364" s="139"/>
    </row>
    <row r="365" spans="1:47" ht="15" customHeight="1" x14ac:dyDescent="0.4">
      <c r="C365" s="8" t="s">
        <v>1410</v>
      </c>
      <c r="G365" s="3"/>
      <c r="I365" s="3" t="s">
        <v>365</v>
      </c>
      <c r="L365" s="5" t="s">
        <v>348</v>
      </c>
      <c r="M365" s="5">
        <v>-2</v>
      </c>
      <c r="Q365" s="3"/>
      <c r="R365" s="5" t="s">
        <v>352</v>
      </c>
      <c r="S365" s="5">
        <f>SLQHQheight+M365</f>
        <v>45.5</v>
      </c>
      <c r="T365" s="3" t="s">
        <v>366</v>
      </c>
      <c r="V365" s="4"/>
      <c r="W365" s="4"/>
      <c r="X365" s="56"/>
      <c r="Y365" s="1443">
        <v>640016000</v>
      </c>
      <c r="AB365" s="3">
        <v>40</v>
      </c>
      <c r="AC365" s="56">
        <v>2</v>
      </c>
      <c r="AD365" s="376">
        <f>AC365*S365/12</f>
        <v>7.583333333333333</v>
      </c>
      <c r="AE365" s="3" t="s">
        <v>367</v>
      </c>
      <c r="AF365" s="38"/>
      <c r="AG365" s="38"/>
      <c r="AH365" s="477">
        <v>0</v>
      </c>
      <c r="AI365" s="39"/>
      <c r="AJ365" s="39"/>
      <c r="AK365" s="39"/>
      <c r="AL365" s="39">
        <f>AH365*AD365</f>
        <v>0</v>
      </c>
      <c r="AQ365" s="139"/>
      <c r="AR365" s="139"/>
      <c r="AS365" s="139"/>
      <c r="AT365" s="139"/>
      <c r="AU365" s="139"/>
    </row>
    <row r="366" spans="1:47" ht="15" customHeight="1" x14ac:dyDescent="0.4">
      <c r="C366" s="3"/>
      <c r="G366" s="3"/>
      <c r="L366" s="5"/>
      <c r="Q366" s="3"/>
      <c r="R366" s="5"/>
      <c r="V366" s="4"/>
      <c r="W366" s="4"/>
      <c r="X366" s="56"/>
      <c r="Y366" s="1443"/>
      <c r="AC366" s="56"/>
      <c r="AD366" s="376"/>
      <c r="AE366" s="3"/>
      <c r="AF366" s="38"/>
      <c r="AG366" s="38"/>
      <c r="AH366" s="477"/>
      <c r="AI366" s="39"/>
      <c r="AJ366" s="39"/>
      <c r="AK366" s="39"/>
      <c r="AQ366" s="139"/>
      <c r="AR366" s="139"/>
      <c r="AS366" s="139"/>
      <c r="AT366" s="139"/>
      <c r="AU366" s="139"/>
    </row>
    <row r="367" spans="1:47" ht="15" customHeight="1" x14ac:dyDescent="0.4">
      <c r="C367" s="4" t="s">
        <v>1411</v>
      </c>
      <c r="G367" s="3"/>
      <c r="I367" s="3" t="s">
        <v>365</v>
      </c>
      <c r="L367" s="5" t="s">
        <v>348</v>
      </c>
      <c r="M367" s="5">
        <v>-2</v>
      </c>
      <c r="Q367" s="3"/>
      <c r="R367" s="5" t="s">
        <v>352</v>
      </c>
      <c r="S367" s="5">
        <f>SLQHQwidth+M367</f>
        <v>69.5</v>
      </c>
      <c r="T367" s="3" t="s">
        <v>366</v>
      </c>
      <c r="V367" s="4"/>
      <c r="W367" s="4"/>
      <c r="X367" s="56"/>
      <c r="Y367" s="1443">
        <v>640016000</v>
      </c>
      <c r="AB367" s="3">
        <v>40</v>
      </c>
      <c r="AC367" s="56">
        <v>1</v>
      </c>
      <c r="AD367" s="376">
        <f>AC367*S367/12</f>
        <v>5.791666666666667</v>
      </c>
      <c r="AE367" s="3" t="s">
        <v>367</v>
      </c>
      <c r="AF367" s="38"/>
      <c r="AG367" s="38"/>
      <c r="AH367" s="477">
        <v>0</v>
      </c>
      <c r="AI367" s="39"/>
      <c r="AJ367" s="39"/>
      <c r="AK367" s="39"/>
      <c r="AL367" s="39">
        <f>AH367*AD365</f>
        <v>0</v>
      </c>
      <c r="AQ367" s="139"/>
      <c r="AR367" s="139"/>
      <c r="AS367" s="139"/>
      <c r="AT367" s="139"/>
      <c r="AU367" s="139"/>
    </row>
    <row r="368" spans="1:47" ht="15" customHeight="1" thickBot="1" x14ac:dyDescent="0.45">
      <c r="C368" s="889"/>
      <c r="D368" s="968"/>
      <c r="E368" s="968"/>
      <c r="F368" s="968"/>
      <c r="G368" s="889"/>
      <c r="H368" s="948"/>
      <c r="I368" s="889"/>
      <c r="J368" s="889"/>
      <c r="K368" s="889"/>
      <c r="L368" s="945"/>
      <c r="M368" s="945"/>
      <c r="N368" s="945"/>
      <c r="O368" s="945"/>
      <c r="P368" s="945"/>
      <c r="Q368" s="889"/>
      <c r="R368" s="945"/>
      <c r="S368" s="945"/>
      <c r="T368" s="889"/>
      <c r="U368" s="948"/>
      <c r="V368" s="968"/>
      <c r="W368" s="968"/>
      <c r="X368" s="1156"/>
      <c r="Y368" s="1444"/>
      <c r="Z368" s="889"/>
      <c r="AA368" s="948"/>
      <c r="AB368" s="889"/>
      <c r="AC368" s="1156"/>
      <c r="AD368" s="970"/>
      <c r="AE368" s="889"/>
      <c r="AF368" s="888"/>
      <c r="AG368" s="888"/>
      <c r="AH368" s="1157"/>
      <c r="AI368" s="947"/>
      <c r="AJ368" s="947"/>
      <c r="AK368" s="947"/>
      <c r="AL368" s="947"/>
      <c r="AM368" s="889"/>
      <c r="AN368" s="889"/>
      <c r="AO368" s="889"/>
      <c r="AP368" s="889"/>
      <c r="AQ368" s="139"/>
      <c r="AR368" s="139"/>
      <c r="AS368" s="139"/>
      <c r="AT368" s="139"/>
      <c r="AU368" s="139"/>
    </row>
    <row r="369" spans="1:50" ht="15" customHeight="1" x14ac:dyDescent="0.4">
      <c r="C369" s="4" t="s">
        <v>1412</v>
      </c>
      <c r="G369" s="3"/>
      <c r="I369" s="3" t="s">
        <v>392</v>
      </c>
      <c r="L369" s="5" t="s">
        <v>348</v>
      </c>
      <c r="M369" s="5">
        <v>-2</v>
      </c>
      <c r="Q369" s="3"/>
      <c r="R369" s="5" t="s">
        <v>352</v>
      </c>
      <c r="S369" s="5">
        <f>SLQHQheight+M369</f>
        <v>45.5</v>
      </c>
      <c r="T369" s="3" t="s">
        <v>366</v>
      </c>
      <c r="V369" s="4"/>
      <c r="W369" s="4"/>
      <c r="X369" s="56"/>
      <c r="Y369" s="1443">
        <v>640017000</v>
      </c>
      <c r="AB369" s="3">
        <v>40</v>
      </c>
      <c r="AC369" s="56">
        <v>2</v>
      </c>
      <c r="AD369" s="376">
        <f>AC369*S369/12</f>
        <v>7.583333333333333</v>
      </c>
      <c r="AE369" s="3" t="s">
        <v>367</v>
      </c>
      <c r="AF369" s="38"/>
      <c r="AG369" s="38"/>
      <c r="AH369" s="477">
        <v>0</v>
      </c>
      <c r="AI369" s="39"/>
      <c r="AJ369" s="39"/>
      <c r="AK369" s="39"/>
      <c r="AL369" s="39">
        <f>AH369*AD367</f>
        <v>0</v>
      </c>
      <c r="AQ369" s="139"/>
      <c r="AR369" s="139"/>
      <c r="AS369" s="139"/>
      <c r="AT369" s="139"/>
      <c r="AU369" s="139"/>
    </row>
    <row r="370" spans="1:50" ht="15" customHeight="1" x14ac:dyDescent="0.4">
      <c r="C370" s="4"/>
      <c r="G370" s="3"/>
      <c r="L370" s="5"/>
      <c r="Q370" s="3"/>
      <c r="R370" s="5"/>
      <c r="V370" s="4"/>
      <c r="W370" s="4"/>
      <c r="X370" s="56"/>
      <c r="Y370" s="1443"/>
      <c r="AC370" s="56"/>
      <c r="AD370" s="376"/>
      <c r="AE370" s="3"/>
      <c r="AF370" s="38"/>
      <c r="AG370" s="38"/>
      <c r="AH370" s="477"/>
      <c r="AI370" s="39"/>
      <c r="AJ370" s="39"/>
      <c r="AK370" s="39"/>
      <c r="AQ370" s="139"/>
      <c r="AR370" s="139"/>
      <c r="AS370" s="139"/>
      <c r="AT370" s="139"/>
      <c r="AU370" s="139"/>
    </row>
    <row r="371" spans="1:50" ht="15" customHeight="1" x14ac:dyDescent="0.4">
      <c r="C371" s="4" t="s">
        <v>1413</v>
      </c>
      <c r="G371" s="3"/>
      <c r="I371" s="3" t="s">
        <v>392</v>
      </c>
      <c r="L371" s="5" t="s">
        <v>348</v>
      </c>
      <c r="M371" s="5">
        <v>-2</v>
      </c>
      <c r="Q371" s="3"/>
      <c r="R371" s="5" t="s">
        <v>352</v>
      </c>
      <c r="S371" s="5">
        <f>SLQHQwidth+M371</f>
        <v>69.5</v>
      </c>
      <c r="T371" s="3" t="s">
        <v>366</v>
      </c>
      <c r="V371" s="4"/>
      <c r="W371" s="4"/>
      <c r="X371" s="56"/>
      <c r="Y371" s="1443">
        <v>640017000</v>
      </c>
      <c r="AB371" s="3">
        <v>40</v>
      </c>
      <c r="AC371" s="56">
        <v>1</v>
      </c>
      <c r="AD371" s="376">
        <f>AC371*S371/12</f>
        <v>5.791666666666667</v>
      </c>
      <c r="AE371" s="3" t="s">
        <v>367</v>
      </c>
      <c r="AF371" s="38"/>
      <c r="AG371" s="38"/>
      <c r="AH371" s="477">
        <v>0</v>
      </c>
      <c r="AI371" s="39"/>
      <c r="AJ371" s="39"/>
      <c r="AK371" s="39"/>
      <c r="AL371" s="39">
        <f>AH371*AD369</f>
        <v>0</v>
      </c>
      <c r="AQ371" s="139"/>
      <c r="AR371" s="139"/>
      <c r="AS371" s="139"/>
      <c r="AT371" s="139"/>
      <c r="AU371" s="139"/>
    </row>
    <row r="372" spans="1:50" ht="15" customHeight="1" thickBot="1" x14ac:dyDescent="0.45">
      <c r="C372" s="968"/>
      <c r="D372" s="968"/>
      <c r="E372" s="968"/>
      <c r="F372" s="968"/>
      <c r="G372" s="889"/>
      <c r="H372" s="948"/>
      <c r="I372" s="889"/>
      <c r="J372" s="889"/>
      <c r="K372" s="889"/>
      <c r="L372" s="945"/>
      <c r="M372" s="945"/>
      <c r="N372" s="945"/>
      <c r="O372" s="945"/>
      <c r="P372" s="945"/>
      <c r="Q372" s="889"/>
      <c r="R372" s="945"/>
      <c r="S372" s="945"/>
      <c r="T372" s="889"/>
      <c r="U372" s="948"/>
      <c r="V372" s="968"/>
      <c r="W372" s="968"/>
      <c r="X372" s="1156"/>
      <c r="Y372" s="1444"/>
      <c r="Z372" s="889"/>
      <c r="AA372" s="948"/>
      <c r="AB372" s="889"/>
      <c r="AC372" s="1156"/>
      <c r="AD372" s="970"/>
      <c r="AE372" s="889"/>
      <c r="AF372" s="888"/>
      <c r="AG372" s="888"/>
      <c r="AH372" s="1157"/>
      <c r="AI372" s="947"/>
      <c r="AJ372" s="947"/>
      <c r="AK372" s="947"/>
      <c r="AL372" s="947"/>
      <c r="AM372" s="889"/>
      <c r="AN372" s="889"/>
      <c r="AO372" s="889"/>
      <c r="AP372" s="889"/>
      <c r="AQ372" s="139"/>
      <c r="AR372" s="139"/>
      <c r="AS372" s="139"/>
      <c r="AT372" s="139"/>
      <c r="AU372" s="139"/>
    </row>
    <row r="373" spans="1:50" ht="15" customHeight="1" x14ac:dyDescent="0.4">
      <c r="C373" s="4" t="s">
        <v>1414</v>
      </c>
      <c r="G373" s="3"/>
      <c r="I373" s="3" t="s">
        <v>365</v>
      </c>
      <c r="L373" s="5" t="s">
        <v>348</v>
      </c>
      <c r="M373" s="5">
        <v>-4</v>
      </c>
      <c r="Q373" s="3"/>
      <c r="R373" s="5" t="s">
        <v>352</v>
      </c>
      <c r="S373" s="5">
        <f>SLQHQheight+M373</f>
        <v>43.5</v>
      </c>
      <c r="T373" s="3" t="s">
        <v>366</v>
      </c>
      <c r="V373" s="4"/>
      <c r="W373" s="4"/>
      <c r="X373" s="56"/>
      <c r="Y373" s="1443">
        <v>640024000</v>
      </c>
      <c r="AB373" s="3">
        <v>45</v>
      </c>
      <c r="AC373" s="56">
        <v>2</v>
      </c>
      <c r="AD373" s="376">
        <f>AC373*S373/12</f>
        <v>7.25</v>
      </c>
      <c r="AE373" s="3" t="s">
        <v>367</v>
      </c>
      <c r="AF373" s="38"/>
      <c r="AG373" s="38"/>
      <c r="AH373" s="477">
        <v>0.1118</v>
      </c>
      <c r="AI373" s="39"/>
      <c r="AJ373" s="39"/>
      <c r="AK373" s="39"/>
      <c r="AL373" s="39" t="e">
        <f>AH373*#REF!</f>
        <v>#REF!</v>
      </c>
      <c r="AQ373" s="139"/>
      <c r="AR373" s="139"/>
      <c r="AS373" s="139"/>
      <c r="AT373" s="139"/>
      <c r="AU373" s="139"/>
    </row>
    <row r="374" spans="1:50" ht="15" customHeight="1" x14ac:dyDescent="0.4">
      <c r="C374" s="4"/>
      <c r="G374" s="3"/>
      <c r="L374" s="5"/>
      <c r="Q374" s="3"/>
      <c r="R374" s="5"/>
      <c r="V374" s="4"/>
      <c r="W374" s="4"/>
      <c r="X374" s="56"/>
      <c r="Y374" s="1443"/>
      <c r="AC374" s="56"/>
      <c r="AD374" s="376"/>
      <c r="AE374" s="3"/>
      <c r="AF374" s="38"/>
      <c r="AG374" s="38"/>
      <c r="AH374" s="477"/>
      <c r="AI374" s="39"/>
      <c r="AJ374" s="39"/>
      <c r="AK374" s="39"/>
      <c r="AQ374" s="139"/>
      <c r="AR374" s="139"/>
      <c r="AS374" s="139"/>
      <c r="AT374" s="139"/>
      <c r="AU374" s="139"/>
    </row>
    <row r="375" spans="1:50" ht="15" customHeight="1" x14ac:dyDescent="0.4">
      <c r="C375" s="4"/>
      <c r="G375" s="3"/>
      <c r="L375" s="5"/>
      <c r="Q375" s="3"/>
      <c r="R375" s="5"/>
      <c r="V375" s="4"/>
      <c r="W375" s="4"/>
      <c r="X375" s="56"/>
      <c r="Y375" s="1443"/>
      <c r="AC375" s="56"/>
      <c r="AD375" s="376"/>
      <c r="AE375" s="3"/>
      <c r="AF375" s="38"/>
      <c r="AG375" s="38"/>
      <c r="AH375" s="477"/>
      <c r="AI375" s="39"/>
      <c r="AJ375" s="39"/>
      <c r="AK375" s="39"/>
      <c r="AQ375" s="139"/>
      <c r="AR375" s="139"/>
      <c r="AS375" s="139"/>
      <c r="AT375" s="139"/>
      <c r="AU375" s="139"/>
    </row>
    <row r="376" spans="1:50" ht="15" customHeight="1" thickBot="1" x14ac:dyDescent="0.45">
      <c r="B376" s="1257" t="s">
        <v>549</v>
      </c>
      <c r="C376" s="1258"/>
      <c r="D376" s="1258"/>
      <c r="E376" s="1258"/>
      <c r="F376" s="1258"/>
      <c r="G376" s="1258"/>
      <c r="H376" s="1259"/>
      <c r="I376" s="1259"/>
      <c r="J376" s="1259"/>
      <c r="K376" s="1259"/>
      <c r="L376" s="1259"/>
      <c r="M376" s="1260"/>
      <c r="N376" s="1260"/>
      <c r="O376" s="1260"/>
      <c r="P376" s="1260"/>
      <c r="Q376" s="1260"/>
      <c r="R376" s="1259"/>
      <c r="S376" s="1260"/>
      <c r="T376" s="1259"/>
      <c r="U376" s="1259"/>
      <c r="V376" s="1258"/>
      <c r="W376" s="1258"/>
      <c r="X376" s="1258"/>
      <c r="Y376" s="1617"/>
      <c r="Z376" s="1262"/>
      <c r="AA376" s="1259"/>
      <c r="AB376" s="1262"/>
      <c r="AC376" s="1259"/>
      <c r="AD376" s="1260"/>
      <c r="AE376" s="1259"/>
      <c r="AF376" s="1259"/>
      <c r="AG376" s="1259"/>
      <c r="AH376" s="1264"/>
      <c r="AI376" s="1264"/>
      <c r="AJ376" s="1264"/>
      <c r="AK376" s="1264"/>
      <c r="AL376" s="1264"/>
      <c r="AM376" s="1264"/>
      <c r="AN376" s="1264"/>
      <c r="AO376" s="1264"/>
      <c r="AP376" s="1264"/>
      <c r="AQ376" s="139"/>
      <c r="AR376" s="139"/>
      <c r="AS376" s="139"/>
      <c r="AT376" s="139"/>
      <c r="AU376" s="139"/>
    </row>
    <row r="377" spans="1:50" ht="15" customHeight="1" x14ac:dyDescent="0.4">
      <c r="B377" s="181" t="s">
        <v>1248</v>
      </c>
      <c r="C377" s="181"/>
      <c r="D377" s="964"/>
      <c r="E377" s="182"/>
      <c r="F377" s="182"/>
      <c r="G377" s="173"/>
      <c r="H377" s="175"/>
      <c r="I377" s="116"/>
      <c r="J377" s="116"/>
      <c r="K377" s="116"/>
      <c r="L377" s="116"/>
      <c r="M377" s="177"/>
      <c r="N377" s="177"/>
      <c r="O377" s="177"/>
      <c r="P377" s="177"/>
      <c r="Q377" s="177"/>
      <c r="R377" s="177" t="s">
        <v>352</v>
      </c>
      <c r="S377" s="198">
        <v>2</v>
      </c>
      <c r="T377" s="116" t="s">
        <v>385</v>
      </c>
      <c r="U377" s="175"/>
      <c r="V377" s="179"/>
      <c r="W377" s="116"/>
      <c r="X377" s="179"/>
      <c r="Y377" s="1449"/>
      <c r="Z377" s="184"/>
      <c r="AA377" s="175"/>
      <c r="AB377" s="116">
        <v>45</v>
      </c>
      <c r="AC377" s="116">
        <v>4</v>
      </c>
      <c r="AD377" s="177">
        <v>4</v>
      </c>
      <c r="AE377" s="116" t="s">
        <v>385</v>
      </c>
      <c r="AF377" s="179" t="s">
        <v>8</v>
      </c>
      <c r="AG377" s="179" t="s">
        <v>8</v>
      </c>
      <c r="AH377" s="185"/>
      <c r="AI377" s="180"/>
      <c r="AJ377" s="180"/>
      <c r="AK377" s="180"/>
      <c r="AL377" s="180"/>
      <c r="AQ377" s="139"/>
      <c r="AT377" s="140"/>
      <c r="AU377" s="140"/>
      <c r="AV377" s="139"/>
      <c r="AW377" s="139"/>
      <c r="AX377" s="139"/>
    </row>
    <row r="378" spans="1:50" ht="15" customHeight="1" x14ac:dyDescent="0.4">
      <c r="B378" s="36"/>
      <c r="C378" s="36"/>
      <c r="D378" s="447"/>
      <c r="E378" s="155"/>
      <c r="F378" s="155"/>
      <c r="G378" s="7"/>
      <c r="H378" s="20"/>
      <c r="T378" s="42"/>
      <c r="U378" s="20"/>
      <c r="V378" s="38"/>
      <c r="X378" s="38"/>
      <c r="Y378" s="1443"/>
      <c r="Z378" s="41"/>
      <c r="AA378" s="20"/>
      <c r="AE378" s="3"/>
      <c r="AF378" s="38"/>
      <c r="AG378" s="38"/>
      <c r="AI378" s="39"/>
      <c r="AJ378" s="39"/>
      <c r="AK378" s="39"/>
      <c r="AQ378" s="139"/>
      <c r="AT378" s="140"/>
      <c r="AU378" s="140"/>
      <c r="AV378" s="139"/>
      <c r="AW378" s="139"/>
      <c r="AX378" s="139"/>
    </row>
    <row r="379" spans="1:50" ht="15" customHeight="1" x14ac:dyDescent="0.4">
      <c r="B379" s="36"/>
      <c r="C379" s="36"/>
      <c r="D379" s="447"/>
      <c r="E379" s="155"/>
      <c r="F379" s="155"/>
      <c r="G379" s="7"/>
      <c r="H379" s="20"/>
      <c r="T379" s="42" t="s">
        <v>552</v>
      </c>
      <c r="U379" s="20"/>
      <c r="V379" s="38" t="s">
        <v>369</v>
      </c>
      <c r="W379" s="3" t="s">
        <v>405</v>
      </c>
      <c r="X379" s="38" t="s">
        <v>369</v>
      </c>
      <c r="Y379" s="1443">
        <v>600141010</v>
      </c>
      <c r="Z379" s="41"/>
      <c r="AA379" s="20"/>
      <c r="AE379" s="3"/>
      <c r="AF379" s="38"/>
      <c r="AG379" s="38"/>
      <c r="AH379" s="51">
        <f>'Single Hung'!AI495</f>
        <v>0.01</v>
      </c>
      <c r="AI379" s="39"/>
      <c r="AJ379" s="39"/>
      <c r="AK379" s="39"/>
      <c r="AL379" s="39">
        <f>AD$377*AH379+SUM(AI379:AK379)</f>
        <v>0.04</v>
      </c>
      <c r="AQ379" s="139"/>
      <c r="AT379" s="140"/>
      <c r="AU379" s="140"/>
      <c r="AV379" s="139"/>
      <c r="AW379" s="139"/>
      <c r="AX379" s="139"/>
    </row>
    <row r="380" spans="1:50" ht="15" customHeight="1" thickBot="1" x14ac:dyDescent="0.45">
      <c r="B380" s="943"/>
      <c r="C380" s="943"/>
      <c r="D380" s="944"/>
      <c r="E380" s="925"/>
      <c r="F380" s="925"/>
      <c r="G380" s="924"/>
      <c r="H380" s="887"/>
      <c r="I380" s="889"/>
      <c r="J380" s="889"/>
      <c r="K380" s="889"/>
      <c r="L380" s="889"/>
      <c r="M380" s="945"/>
      <c r="N380" s="945"/>
      <c r="O380" s="945"/>
      <c r="P380" s="945"/>
      <c r="Q380" s="945"/>
      <c r="R380" s="889"/>
      <c r="S380" s="945"/>
      <c r="T380" s="1154" t="s">
        <v>553</v>
      </c>
      <c r="U380" s="20"/>
      <c r="V380" s="888" t="s">
        <v>369</v>
      </c>
      <c r="W380" s="889" t="s">
        <v>375</v>
      </c>
      <c r="X380" s="888" t="s">
        <v>369</v>
      </c>
      <c r="Y380" s="1444">
        <v>600141012</v>
      </c>
      <c r="Z380" s="946"/>
      <c r="AA380" s="887"/>
      <c r="AB380" s="889"/>
      <c r="AC380" s="889"/>
      <c r="AD380" s="945"/>
      <c r="AE380" s="889"/>
      <c r="AF380" s="888"/>
      <c r="AG380" s="888"/>
      <c r="AH380" s="51">
        <f>'Single Hung'!AI496</f>
        <v>0.01</v>
      </c>
      <c r="AI380" s="947"/>
      <c r="AJ380" s="947"/>
      <c r="AK380" s="947"/>
      <c r="AL380" s="39">
        <f>AD$377*AH380+SUM(AI380:AK380)</f>
        <v>0.04</v>
      </c>
      <c r="AM380" s="889"/>
      <c r="AN380" s="889"/>
      <c r="AO380" s="889"/>
      <c r="AP380" s="889"/>
      <c r="AQ380" s="139"/>
      <c r="AT380" s="140"/>
      <c r="AU380" s="140"/>
      <c r="AV380" s="139"/>
      <c r="AW380" s="139"/>
      <c r="AX380" s="139"/>
    </row>
    <row r="381" spans="1:50" ht="15" customHeight="1" x14ac:dyDescent="0.4">
      <c r="A381" s="3" t="s">
        <v>473</v>
      </c>
      <c r="B381" s="173" t="s">
        <v>554</v>
      </c>
      <c r="C381" s="173"/>
      <c r="D381" s="173"/>
      <c r="E381" s="173"/>
      <c r="F381" s="173"/>
      <c r="G381" s="173"/>
      <c r="H381" s="193"/>
      <c r="I381" s="114"/>
      <c r="J381" s="116"/>
      <c r="K381" s="116"/>
      <c r="L381" s="116"/>
      <c r="M381" s="177"/>
      <c r="N381" s="177"/>
      <c r="O381" s="177"/>
      <c r="P381" s="177"/>
      <c r="Q381" s="178"/>
      <c r="R381" s="116" t="s">
        <v>352</v>
      </c>
      <c r="S381" s="198">
        <v>1</v>
      </c>
      <c r="T381" s="116" t="s">
        <v>385</v>
      </c>
      <c r="U381" s="193"/>
      <c r="V381" s="138"/>
      <c r="W381" s="138"/>
      <c r="X381" s="138"/>
      <c r="Y381" s="1449"/>
      <c r="Z381" s="116"/>
      <c r="AA381" s="193"/>
      <c r="AB381" s="3">
        <v>45</v>
      </c>
      <c r="AC381" s="56">
        <f>IF(SLQHQwidth&lt;M273,2,4)</f>
        <v>4</v>
      </c>
      <c r="AD381" s="56">
        <f>AC381*S381</f>
        <v>4</v>
      </c>
      <c r="AE381" s="3" t="s">
        <v>385</v>
      </c>
      <c r="AF381" s="116"/>
      <c r="AG381" s="177"/>
      <c r="AH381" s="180"/>
      <c r="AI381" s="39"/>
      <c r="AJ381" s="39"/>
      <c r="AK381" s="39"/>
      <c r="AL381" s="180"/>
      <c r="AQ381" s="139"/>
      <c r="AR381" s="139"/>
      <c r="AS381" s="139"/>
      <c r="AT381" s="139"/>
      <c r="AU381" s="139"/>
    </row>
    <row r="382" spans="1:50" ht="15" customHeight="1" x14ac:dyDescent="0.4">
      <c r="B382" s="7"/>
      <c r="C382" s="7"/>
      <c r="D382" s="7"/>
      <c r="E382" s="7"/>
      <c r="F382" s="7"/>
      <c r="G382" s="7"/>
      <c r="S382" s="56"/>
      <c r="V382" s="38" t="s">
        <v>369</v>
      </c>
      <c r="W382" s="3" t="s">
        <v>370</v>
      </c>
      <c r="X382" s="38" t="s">
        <v>369</v>
      </c>
      <c r="Y382" s="1443">
        <v>420130003</v>
      </c>
      <c r="Z382" s="41"/>
      <c r="AF382" s="3"/>
      <c r="AH382" s="51">
        <v>0.09</v>
      </c>
      <c r="AI382" s="39"/>
      <c r="AJ382" s="39"/>
      <c r="AK382" s="39"/>
      <c r="AL382" s="39">
        <f>AH382*AD381</f>
        <v>0.36</v>
      </c>
      <c r="AQ382" s="139"/>
      <c r="AR382" s="139"/>
      <c r="AS382" s="139"/>
      <c r="AT382" s="139"/>
      <c r="AU382" s="139"/>
    </row>
    <row r="383" spans="1:50" ht="15" customHeight="1" x14ac:dyDescent="0.4">
      <c r="B383" s="7"/>
      <c r="C383" s="7"/>
      <c r="D383" s="7"/>
      <c r="E383" s="7"/>
      <c r="F383" s="7"/>
      <c r="G383" s="7"/>
      <c r="V383" s="38" t="s">
        <v>369</v>
      </c>
      <c r="W383" s="3" t="s">
        <v>372</v>
      </c>
      <c r="X383" s="38" t="s">
        <v>369</v>
      </c>
      <c r="Y383" s="1443">
        <v>420130021</v>
      </c>
      <c r="Z383" s="41"/>
      <c r="AC383" s="56"/>
      <c r="AD383" s="56"/>
      <c r="AE383" s="3"/>
      <c r="AF383" s="3"/>
      <c r="AH383" s="51">
        <f>AH382</f>
        <v>0.09</v>
      </c>
      <c r="AI383" s="39"/>
      <c r="AJ383" s="39"/>
      <c r="AK383" s="39"/>
      <c r="AL383" s="39">
        <f>AH383*AD381</f>
        <v>0.36</v>
      </c>
      <c r="AQ383" s="139"/>
      <c r="AR383" s="139"/>
      <c r="AS383" s="139"/>
      <c r="AT383" s="139"/>
      <c r="AU383" s="139"/>
    </row>
    <row r="384" spans="1:50" ht="15" customHeight="1" x14ac:dyDescent="0.4">
      <c r="B384" s="7"/>
      <c r="C384" s="7"/>
      <c r="D384" s="7"/>
      <c r="E384" s="7"/>
      <c r="F384" s="7"/>
      <c r="G384" s="7"/>
      <c r="V384" s="38" t="s">
        <v>369</v>
      </c>
      <c r="W384" s="3" t="s">
        <v>373</v>
      </c>
      <c r="X384" s="38" t="s">
        <v>369</v>
      </c>
      <c r="Y384" s="1443">
        <v>420130033</v>
      </c>
      <c r="Z384" s="41"/>
      <c r="AC384" s="56"/>
      <c r="AD384" s="56"/>
      <c r="AE384" s="3"/>
      <c r="AF384" s="3"/>
      <c r="AH384" s="51">
        <f>AH383</f>
        <v>0.09</v>
      </c>
      <c r="AI384" s="39"/>
      <c r="AJ384" s="39"/>
      <c r="AK384" s="39"/>
      <c r="AL384" s="39">
        <f>AH384*AD381</f>
        <v>0.36</v>
      </c>
      <c r="AQ384" s="139"/>
      <c r="AR384" s="139"/>
      <c r="AS384" s="139"/>
      <c r="AT384" s="139"/>
      <c r="AU384" s="139"/>
    </row>
    <row r="385" spans="2:48" ht="15" customHeight="1" thickBot="1" x14ac:dyDescent="0.45">
      <c r="B385" s="924"/>
      <c r="C385" s="924"/>
      <c r="D385" s="924"/>
      <c r="E385" s="924"/>
      <c r="F385" s="924"/>
      <c r="G385" s="924"/>
      <c r="H385" s="948"/>
      <c r="I385" s="889"/>
      <c r="J385" s="889"/>
      <c r="K385" s="889"/>
      <c r="L385" s="889"/>
      <c r="M385" s="945"/>
      <c r="N385" s="945"/>
      <c r="O385" s="945"/>
      <c r="P385" s="945"/>
      <c r="Q385" s="945"/>
      <c r="R385" s="889"/>
      <c r="S385" s="945"/>
      <c r="T385" s="889"/>
      <c r="U385" s="948"/>
      <c r="V385" s="888" t="s">
        <v>369</v>
      </c>
      <c r="W385" s="889" t="s">
        <v>375</v>
      </c>
      <c r="X385" s="888" t="s">
        <v>369</v>
      </c>
      <c r="Y385" s="1444">
        <v>420131133</v>
      </c>
      <c r="Z385" s="946"/>
      <c r="AA385" s="948"/>
      <c r="AB385" s="889"/>
      <c r="AC385" s="1156"/>
      <c r="AD385" s="1156"/>
      <c r="AE385" s="889"/>
      <c r="AF385" s="889"/>
      <c r="AG385" s="945"/>
      <c r="AH385" s="937"/>
      <c r="AI385" s="947"/>
      <c r="AJ385" s="947"/>
      <c r="AK385" s="947"/>
      <c r="AL385" s="947"/>
      <c r="AM385" s="889"/>
      <c r="AN385" s="889"/>
      <c r="AO385" s="889"/>
      <c r="AP385" s="889"/>
      <c r="AQ385" s="139"/>
      <c r="AR385" s="139"/>
      <c r="AS385" s="139"/>
      <c r="AT385" s="139"/>
      <c r="AU385" s="139"/>
    </row>
    <row r="386" spans="2:48" ht="15" customHeight="1" x14ac:dyDescent="0.4">
      <c r="B386" s="7" t="s">
        <v>1249</v>
      </c>
      <c r="C386" s="7"/>
      <c r="D386" s="7"/>
      <c r="E386" s="7"/>
      <c r="F386" s="7"/>
      <c r="G386" s="7"/>
      <c r="I386" s="8"/>
      <c r="Q386" s="24"/>
      <c r="R386" s="3" t="s">
        <v>352</v>
      </c>
      <c r="S386" s="56">
        <v>1</v>
      </c>
      <c r="T386" s="3" t="s">
        <v>385</v>
      </c>
      <c r="V386" s="4"/>
      <c r="W386" s="4"/>
      <c r="X386" s="4"/>
      <c r="Y386" s="1443"/>
      <c r="AB386" s="3">
        <v>45</v>
      </c>
      <c r="AC386" s="56">
        <f>IF(SLQHQheight&lt;M224,1,2)</f>
        <v>2</v>
      </c>
      <c r="AD386" s="56">
        <f>AC386*S386</f>
        <v>2</v>
      </c>
      <c r="AE386" s="3" t="s">
        <v>385</v>
      </c>
      <c r="AF386" s="38" t="s">
        <v>8</v>
      </c>
      <c r="AG386" s="38" t="s">
        <v>8</v>
      </c>
      <c r="AH386" s="39"/>
      <c r="AI386" s="39"/>
      <c r="AJ386" s="39"/>
      <c r="AK386" s="39"/>
      <c r="AQ386" s="139"/>
      <c r="AR386" s="139"/>
      <c r="AS386" s="139"/>
      <c r="AT386" s="139"/>
    </row>
    <row r="387" spans="2:48" ht="15" customHeight="1" x14ac:dyDescent="0.4">
      <c r="B387" s="7"/>
      <c r="C387" s="7"/>
      <c r="D387" s="7"/>
      <c r="E387" s="7"/>
      <c r="F387" s="7"/>
      <c r="G387" s="7"/>
      <c r="S387" s="56"/>
      <c r="V387" s="38" t="s">
        <v>369</v>
      </c>
      <c r="W387" s="3" t="s">
        <v>370</v>
      </c>
      <c r="X387" s="38" t="s">
        <v>369</v>
      </c>
      <c r="Y387" s="1443">
        <v>420147003</v>
      </c>
      <c r="Z387" s="41"/>
      <c r="AF387" s="3"/>
      <c r="AH387" s="51">
        <v>0.39</v>
      </c>
      <c r="AI387" s="39"/>
      <c r="AJ387" s="39"/>
      <c r="AK387" s="39"/>
      <c r="AL387" s="39">
        <f>AH387*AD386</f>
        <v>0.78</v>
      </c>
      <c r="AQ387" s="139"/>
      <c r="AR387" s="139"/>
      <c r="AS387" s="139"/>
      <c r="AT387" s="139"/>
    </row>
    <row r="388" spans="2:48" ht="15" customHeight="1" x14ac:dyDescent="0.4">
      <c r="B388" s="7"/>
      <c r="C388" s="7"/>
      <c r="D388" s="7"/>
      <c r="E388" s="7"/>
      <c r="F388" s="7"/>
      <c r="G388" s="7"/>
      <c r="V388" s="38" t="s">
        <v>369</v>
      </c>
      <c r="W388" s="3" t="s">
        <v>372</v>
      </c>
      <c r="X388" s="38" t="s">
        <v>369</v>
      </c>
      <c r="Y388" s="1443">
        <v>420147021</v>
      </c>
      <c r="Z388" s="41"/>
      <c r="AC388" s="56"/>
      <c r="AD388" s="56"/>
      <c r="AE388" s="3"/>
      <c r="AF388" s="3"/>
      <c r="AH388" s="51">
        <v>0.39</v>
      </c>
      <c r="AI388" s="39"/>
      <c r="AJ388" s="39"/>
      <c r="AK388" s="39"/>
      <c r="AL388" s="39">
        <f>AH388*AD386</f>
        <v>0.78</v>
      </c>
      <c r="AQ388" s="139"/>
      <c r="AR388" s="139"/>
      <c r="AS388" s="139"/>
      <c r="AT388" s="139"/>
    </row>
    <row r="389" spans="2:48" ht="15" customHeight="1" x14ac:dyDescent="0.4">
      <c r="B389" s="7"/>
      <c r="C389" s="7"/>
      <c r="D389" s="7"/>
      <c r="E389" s="7"/>
      <c r="F389" s="7"/>
      <c r="G389" s="7"/>
      <c r="V389" s="38" t="s">
        <v>369</v>
      </c>
      <c r="W389" s="3" t="s">
        <v>373</v>
      </c>
      <c r="X389" s="38" t="s">
        <v>369</v>
      </c>
      <c r="Y389" s="1443">
        <v>420147033</v>
      </c>
      <c r="Z389" s="41"/>
      <c r="AC389" s="56"/>
      <c r="AD389" s="56"/>
      <c r="AE389" s="3"/>
      <c r="AF389" s="3"/>
      <c r="AH389" s="51">
        <v>0.39</v>
      </c>
      <c r="AI389" s="39"/>
      <c r="AJ389" s="39"/>
      <c r="AK389" s="39"/>
      <c r="AL389" s="39">
        <f>AH389*AD386</f>
        <v>0.78</v>
      </c>
      <c r="AQ389" s="139"/>
      <c r="AR389" s="139"/>
      <c r="AS389" s="139"/>
      <c r="AT389" s="139"/>
    </row>
    <row r="390" spans="2:48" ht="15" customHeight="1" thickBot="1" x14ac:dyDescent="0.45">
      <c r="B390" s="924"/>
      <c r="C390" s="924"/>
      <c r="D390" s="924"/>
      <c r="E390" s="924"/>
      <c r="F390" s="924"/>
      <c r="G390" s="924"/>
      <c r="H390" s="948"/>
      <c r="I390" s="889"/>
      <c r="J390" s="889"/>
      <c r="K390" s="889"/>
      <c r="L390" s="889"/>
      <c r="M390" s="945"/>
      <c r="N390" s="945"/>
      <c r="O390" s="945"/>
      <c r="P390" s="945"/>
      <c r="Q390" s="945"/>
      <c r="R390" s="889"/>
      <c r="S390" s="945"/>
      <c r="T390" s="889"/>
      <c r="U390" s="948"/>
      <c r="V390" s="888" t="s">
        <v>369</v>
      </c>
      <c r="W390" s="889" t="s">
        <v>375</v>
      </c>
      <c r="X390" s="888" t="s">
        <v>369</v>
      </c>
      <c r="Y390" s="1444">
        <v>420147133</v>
      </c>
      <c r="Z390" s="946"/>
      <c r="AA390" s="948"/>
      <c r="AB390" s="889"/>
      <c r="AC390" s="1156"/>
      <c r="AD390" s="1156"/>
      <c r="AE390" s="889"/>
      <c r="AF390" s="889"/>
      <c r="AG390" s="945"/>
      <c r="AH390" s="937"/>
      <c r="AI390" s="947"/>
      <c r="AJ390" s="947"/>
      <c r="AK390" s="947"/>
      <c r="AL390" s="947"/>
      <c r="AM390" s="889"/>
      <c r="AN390" s="889"/>
      <c r="AO390" s="889"/>
      <c r="AP390" s="889"/>
      <c r="AQ390" s="139"/>
      <c r="AR390" s="139"/>
      <c r="AS390" s="139"/>
      <c r="AT390" s="139"/>
    </row>
    <row r="391" spans="2:48" ht="15" customHeight="1" x14ac:dyDescent="0.4">
      <c r="B391" s="7" t="s">
        <v>1250</v>
      </c>
      <c r="C391" s="7"/>
      <c r="D391" s="3"/>
      <c r="E391" s="7"/>
      <c r="F391" s="7"/>
      <c r="G391" s="7"/>
      <c r="I391" s="8"/>
      <c r="S391" s="56">
        <v>2</v>
      </c>
      <c r="T391" s="3" t="s">
        <v>385</v>
      </c>
      <c r="V391" s="38"/>
      <c r="X391" s="38"/>
      <c r="Y391" s="1443"/>
      <c r="AB391" s="3">
        <v>45</v>
      </c>
      <c r="AC391" s="56">
        <f>AC381</f>
        <v>4</v>
      </c>
      <c r="AD391" s="3">
        <f>AC391*S391</f>
        <v>8</v>
      </c>
      <c r="AE391" s="3" t="s">
        <v>385</v>
      </c>
      <c r="AF391" s="38" t="s">
        <v>8</v>
      </c>
      <c r="AG391" s="38"/>
      <c r="AH391" s="39"/>
      <c r="AI391" s="39"/>
      <c r="AJ391" s="39"/>
      <c r="AK391" s="39"/>
      <c r="AQ391" s="139"/>
      <c r="AR391" s="139"/>
      <c r="AS391" s="139"/>
      <c r="AT391" s="139"/>
      <c r="AU391" s="139"/>
    </row>
    <row r="392" spans="2:48" ht="15" customHeight="1" x14ac:dyDescent="0.4">
      <c r="B392" s="7"/>
      <c r="C392" s="7"/>
      <c r="D392" s="7"/>
      <c r="E392" s="7"/>
      <c r="F392" s="7"/>
      <c r="G392" s="7"/>
      <c r="I392" s="8"/>
      <c r="R392" s="461"/>
      <c r="S392" s="56"/>
      <c r="V392" s="38" t="s">
        <v>369</v>
      </c>
      <c r="W392" s="3" t="s">
        <v>370</v>
      </c>
      <c r="X392" s="38" t="s">
        <v>369</v>
      </c>
      <c r="Y392" s="1443">
        <v>440030003</v>
      </c>
      <c r="Z392" s="41"/>
      <c r="AG392" s="38"/>
      <c r="AH392" s="51">
        <v>5.4999999999999997E-3</v>
      </c>
      <c r="AI392" s="39"/>
      <c r="AJ392" s="39"/>
      <c r="AK392" s="39"/>
      <c r="AL392" s="39">
        <f>AH392*AD391</f>
        <v>4.3999999999999997E-2</v>
      </c>
      <c r="AQ392" s="139"/>
      <c r="AR392" s="139"/>
      <c r="AS392" s="139"/>
      <c r="AT392" s="139"/>
      <c r="AU392" s="139"/>
    </row>
    <row r="393" spans="2:48" ht="15" customHeight="1" x14ac:dyDescent="0.4">
      <c r="B393" s="7"/>
      <c r="C393" s="7"/>
      <c r="D393" s="3"/>
      <c r="E393" s="7"/>
      <c r="F393" s="7"/>
      <c r="G393" s="7"/>
      <c r="I393" s="8"/>
      <c r="S393" s="56"/>
      <c r="V393" s="38" t="s">
        <v>369</v>
      </c>
      <c r="W393" s="3" t="s">
        <v>372</v>
      </c>
      <c r="X393" s="38" t="s">
        <v>369</v>
      </c>
      <c r="Y393" s="1443">
        <v>440030021</v>
      </c>
      <c r="Z393" s="41"/>
      <c r="AC393" s="56"/>
      <c r="AD393" s="3"/>
      <c r="AE393" s="3"/>
      <c r="AF393" s="38"/>
      <c r="AG393" s="38"/>
      <c r="AH393" s="51">
        <v>5.4999999999999997E-3</v>
      </c>
      <c r="AI393" s="39"/>
      <c r="AJ393" s="39"/>
      <c r="AK393" s="39"/>
      <c r="AL393" s="39">
        <f>AH393*AD391</f>
        <v>4.3999999999999997E-2</v>
      </c>
      <c r="AQ393" s="139"/>
      <c r="AR393" s="139"/>
      <c r="AS393" s="139"/>
      <c r="AT393" s="139"/>
      <c r="AU393" s="139"/>
    </row>
    <row r="394" spans="2:48" ht="15" customHeight="1" x14ac:dyDescent="0.4">
      <c r="B394" s="7"/>
      <c r="C394" s="7"/>
      <c r="D394" s="3"/>
      <c r="E394" s="7"/>
      <c r="F394" s="7"/>
      <c r="G394" s="7"/>
      <c r="I394" s="8"/>
      <c r="S394" s="56"/>
      <c r="V394" s="38" t="s">
        <v>369</v>
      </c>
      <c r="W394" s="3" t="s">
        <v>373</v>
      </c>
      <c r="X394" s="38" t="s">
        <v>369</v>
      </c>
      <c r="Y394" s="1443">
        <v>440030033</v>
      </c>
      <c r="Z394" s="41"/>
      <c r="AC394" s="56"/>
      <c r="AD394" s="3"/>
      <c r="AE394" s="3"/>
      <c r="AF394" s="38"/>
      <c r="AG394" s="38"/>
      <c r="AI394" s="39"/>
      <c r="AJ394" s="39"/>
      <c r="AK394" s="39"/>
      <c r="AQ394" s="139"/>
      <c r="AR394" s="139"/>
      <c r="AS394" s="139"/>
      <c r="AT394" s="139"/>
      <c r="AU394" s="139"/>
    </row>
    <row r="395" spans="2:48" ht="15" customHeight="1" thickBot="1" x14ac:dyDescent="0.45">
      <c r="B395" s="924"/>
      <c r="C395" s="924"/>
      <c r="D395" s="889"/>
      <c r="E395" s="924"/>
      <c r="F395" s="924"/>
      <c r="G395" s="924"/>
      <c r="H395" s="948"/>
      <c r="I395" s="949"/>
      <c r="J395" s="889"/>
      <c r="K395" s="889"/>
      <c r="L395" s="889"/>
      <c r="M395" s="945"/>
      <c r="N395" s="945"/>
      <c r="O395" s="945"/>
      <c r="P395" s="945"/>
      <c r="Q395" s="945"/>
      <c r="R395" s="889"/>
      <c r="S395" s="1156"/>
      <c r="T395" s="889"/>
      <c r="U395" s="948"/>
      <c r="V395" s="888" t="s">
        <v>369</v>
      </c>
      <c r="W395" s="889" t="s">
        <v>375</v>
      </c>
      <c r="X395" s="888" t="s">
        <v>369</v>
      </c>
      <c r="Y395" s="1444">
        <v>440030133</v>
      </c>
      <c r="Z395" s="946"/>
      <c r="AA395" s="948"/>
      <c r="AB395" s="889"/>
      <c r="AC395" s="1156"/>
      <c r="AD395" s="889"/>
      <c r="AE395" s="889"/>
      <c r="AF395" s="888"/>
      <c r="AG395" s="888"/>
      <c r="AH395" s="937"/>
      <c r="AI395" s="947"/>
      <c r="AJ395" s="947"/>
      <c r="AK395" s="947"/>
      <c r="AL395" s="947"/>
      <c r="AM395" s="889"/>
      <c r="AN395" s="889"/>
      <c r="AO395" s="889"/>
      <c r="AP395" s="889"/>
      <c r="AQ395" s="139"/>
      <c r="AR395" s="139"/>
      <c r="AS395" s="139"/>
      <c r="AT395" s="139"/>
      <c r="AU395" s="139"/>
    </row>
    <row r="396" spans="2:48" ht="15" customHeight="1" x14ac:dyDescent="0.4">
      <c r="B396" s="7" t="s">
        <v>2170</v>
      </c>
      <c r="C396" s="7"/>
      <c r="D396" s="3"/>
      <c r="E396" s="7"/>
      <c r="F396" s="7"/>
      <c r="G396" s="7"/>
      <c r="I396" s="8"/>
      <c r="S396" s="56"/>
      <c r="V396" s="38"/>
      <c r="X396" s="38"/>
      <c r="Y396" s="1443"/>
      <c r="Z396" s="1443"/>
      <c r="AC396" s="56"/>
      <c r="AD396" s="3"/>
      <c r="AE396" s="3"/>
      <c r="AF396" s="38"/>
      <c r="AG396" s="38"/>
      <c r="AI396" s="39"/>
      <c r="AJ396" s="39"/>
      <c r="AK396" s="39"/>
      <c r="AR396" s="139"/>
      <c r="AS396" s="139"/>
      <c r="AT396" s="139"/>
      <c r="AU396" s="139"/>
      <c r="AV396" s="139"/>
    </row>
    <row r="397" spans="2:48" ht="15" customHeight="1" x14ac:dyDescent="0.4">
      <c r="B397" s="3"/>
      <c r="C397" s="7" t="s">
        <v>2090</v>
      </c>
      <c r="D397" s="3"/>
      <c r="E397" s="7"/>
      <c r="F397" s="7"/>
      <c r="G397" s="7"/>
      <c r="I397" s="8"/>
      <c r="S397" s="56"/>
      <c r="V397" s="38" t="s">
        <v>369</v>
      </c>
      <c r="W397" s="3" t="s">
        <v>370</v>
      </c>
      <c r="X397" s="38" t="s">
        <v>369</v>
      </c>
      <c r="Y397" s="1443" t="s">
        <v>2370</v>
      </c>
      <c r="Z397" s="1443"/>
      <c r="AC397" s="56"/>
      <c r="AD397" s="3"/>
      <c r="AE397" s="3"/>
      <c r="AF397" s="38"/>
      <c r="AG397" s="38"/>
      <c r="AI397" s="39"/>
      <c r="AJ397" s="39"/>
      <c r="AK397" s="39"/>
      <c r="AR397" s="139"/>
      <c r="AS397" s="139"/>
      <c r="AT397" s="139"/>
      <c r="AU397" s="139"/>
      <c r="AV397" s="139"/>
    </row>
    <row r="398" spans="2:48" ht="15" customHeight="1" x14ac:dyDescent="0.4">
      <c r="B398" s="7"/>
      <c r="C398" s="7" t="s">
        <v>2171</v>
      </c>
      <c r="D398" s="3"/>
      <c r="E398" s="7"/>
      <c r="F398" s="7"/>
      <c r="G398" s="7"/>
      <c r="I398" s="8"/>
      <c r="S398" s="56"/>
      <c r="V398" s="38" t="s">
        <v>369</v>
      </c>
      <c r="W398" s="3" t="s">
        <v>372</v>
      </c>
      <c r="X398" s="38" t="s">
        <v>369</v>
      </c>
      <c r="Y398" s="1443">
        <v>420717021</v>
      </c>
      <c r="Z398" s="1443"/>
      <c r="AC398" s="56"/>
      <c r="AD398" s="3"/>
      <c r="AE398" s="3"/>
      <c r="AF398" s="38"/>
      <c r="AG398" s="38"/>
      <c r="AI398" s="39"/>
      <c r="AJ398" s="39"/>
      <c r="AK398" s="39"/>
      <c r="AR398" s="139"/>
      <c r="AS398" s="139"/>
      <c r="AT398" s="139"/>
      <c r="AU398" s="139"/>
      <c r="AV398" s="139"/>
    </row>
    <row r="399" spans="2:48" ht="15" customHeight="1" x14ac:dyDescent="0.4">
      <c r="B399" s="7"/>
      <c r="C399" s="7"/>
      <c r="D399" s="3"/>
      <c r="E399" s="7"/>
      <c r="F399" s="7"/>
      <c r="G399" s="7"/>
      <c r="I399" s="8"/>
      <c r="S399" s="56"/>
      <c r="V399" s="38" t="s">
        <v>369</v>
      </c>
      <c r="W399" s="3" t="s">
        <v>373</v>
      </c>
      <c r="X399" s="38" t="s">
        <v>369</v>
      </c>
      <c r="Y399" s="1443" t="s">
        <v>2371</v>
      </c>
      <c r="Z399" s="1443"/>
      <c r="AC399" s="56"/>
      <c r="AD399" s="3"/>
      <c r="AE399" s="3"/>
      <c r="AF399" s="38"/>
      <c r="AG399" s="38"/>
      <c r="AI399" s="39"/>
      <c r="AJ399" s="39"/>
      <c r="AK399" s="39"/>
      <c r="AR399" s="139"/>
      <c r="AS399" s="139"/>
      <c r="AT399" s="139"/>
      <c r="AU399" s="139"/>
      <c r="AV399" s="139"/>
    </row>
    <row r="400" spans="2:48" ht="15" customHeight="1" thickBot="1" x14ac:dyDescent="0.45">
      <c r="B400" s="924"/>
      <c r="C400" s="924"/>
      <c r="D400" s="889"/>
      <c r="E400" s="924"/>
      <c r="F400" s="924"/>
      <c r="G400" s="924"/>
      <c r="H400" s="948"/>
      <c r="I400" s="949"/>
      <c r="J400" s="889"/>
      <c r="K400" s="889"/>
      <c r="L400" s="889"/>
      <c r="M400" s="945"/>
      <c r="N400" s="945"/>
      <c r="O400" s="945"/>
      <c r="P400" s="945"/>
      <c r="Q400" s="945"/>
      <c r="R400" s="889"/>
      <c r="S400" s="1156"/>
      <c r="T400" s="889"/>
      <c r="U400" s="948"/>
      <c r="V400" s="888" t="s">
        <v>369</v>
      </c>
      <c r="W400" s="889" t="s">
        <v>375</v>
      </c>
      <c r="X400" s="888" t="s">
        <v>369</v>
      </c>
      <c r="Y400" s="1444">
        <v>420717133</v>
      </c>
      <c r="Z400" s="1444"/>
      <c r="AA400" s="948"/>
      <c r="AB400" s="889"/>
      <c r="AC400" s="1156"/>
      <c r="AD400" s="889"/>
      <c r="AE400" s="889"/>
      <c r="AF400" s="888"/>
      <c r="AG400" s="888"/>
      <c r="AH400" s="937"/>
      <c r="AI400" s="947"/>
      <c r="AJ400" s="947"/>
      <c r="AK400" s="947"/>
      <c r="AL400" s="947"/>
      <c r="AM400" s="889"/>
      <c r="AN400" s="889"/>
      <c r="AO400" s="889"/>
      <c r="AP400" s="889"/>
      <c r="AQ400" s="889"/>
      <c r="AR400" s="139"/>
      <c r="AS400" s="139"/>
      <c r="AT400" s="139"/>
      <c r="AU400" s="139"/>
      <c r="AV400" s="139"/>
    </row>
    <row r="401" spans="2:54" ht="15" customHeight="1" x14ac:dyDescent="0.4">
      <c r="B401" s="7" t="s">
        <v>2170</v>
      </c>
      <c r="C401" s="7"/>
      <c r="D401" s="3"/>
      <c r="E401" s="173"/>
      <c r="F401" s="173"/>
      <c r="G401" s="173"/>
      <c r="H401" s="193"/>
      <c r="I401" s="114"/>
      <c r="J401" s="116"/>
      <c r="K401" s="116"/>
      <c r="L401" s="116"/>
      <c r="M401" s="177"/>
      <c r="N401" s="177"/>
      <c r="O401" s="177"/>
      <c r="P401" s="177"/>
      <c r="Q401" s="177"/>
      <c r="R401" s="116"/>
      <c r="S401" s="198">
        <v>2</v>
      </c>
      <c r="T401" s="116" t="s">
        <v>385</v>
      </c>
      <c r="U401" s="193"/>
      <c r="V401" s="116"/>
      <c r="W401" s="116"/>
      <c r="X401" s="116"/>
      <c r="Y401" s="1449"/>
      <c r="Z401" s="1449"/>
      <c r="AA401" s="193"/>
      <c r="AB401" s="116"/>
      <c r="AC401" s="198"/>
      <c r="AD401" s="116"/>
      <c r="AE401" s="116"/>
      <c r="AF401" s="179"/>
      <c r="AG401" s="179"/>
      <c r="AH401" s="1484"/>
      <c r="AI401" s="180"/>
      <c r="AJ401" s="180"/>
      <c r="AK401" s="180"/>
      <c r="AL401" s="180"/>
      <c r="AQ401" s="139"/>
      <c r="AR401" s="139"/>
      <c r="AX401" s="139"/>
      <c r="AY401" s="139"/>
      <c r="AZ401" s="139"/>
      <c r="BA401" s="139"/>
      <c r="BB401" s="139"/>
    </row>
    <row r="402" spans="2:54" ht="15" customHeight="1" x14ac:dyDescent="0.4">
      <c r="B402" s="7"/>
      <c r="C402" s="7" t="s">
        <v>2090</v>
      </c>
      <c r="D402" s="3"/>
      <c r="E402" s="7"/>
      <c r="F402" s="7"/>
      <c r="G402" s="7"/>
      <c r="I402" s="8"/>
      <c r="S402" s="3"/>
      <c r="V402" s="38" t="s">
        <v>369</v>
      </c>
      <c r="W402" s="3" t="s">
        <v>370</v>
      </c>
      <c r="X402" s="38" t="s">
        <v>369</v>
      </c>
      <c r="Y402" s="1443" t="s">
        <v>2017</v>
      </c>
      <c r="Z402" s="1443"/>
      <c r="AB402" s="3">
        <v>45</v>
      </c>
      <c r="AC402" s="56">
        <v>1</v>
      </c>
      <c r="AD402" s="3">
        <v>1</v>
      </c>
      <c r="AE402" s="3" t="s">
        <v>385</v>
      </c>
      <c r="AF402" s="38"/>
      <c r="AG402" s="38"/>
      <c r="AH402" s="1485">
        <v>0.70199999999999996</v>
      </c>
      <c r="AI402" s="39"/>
      <c r="AJ402" s="39"/>
      <c r="AK402" s="39"/>
      <c r="AL402" s="39">
        <v>0.70199999999999996</v>
      </c>
      <c r="AQ402" s="139"/>
      <c r="AR402" s="139"/>
      <c r="AX402" s="139"/>
      <c r="AY402" s="139"/>
      <c r="AZ402" s="139"/>
      <c r="BA402" s="139"/>
      <c r="BB402" s="139"/>
    </row>
    <row r="403" spans="2:54" ht="15" customHeight="1" x14ac:dyDescent="0.4">
      <c r="B403" s="7"/>
      <c r="C403" s="7" t="s">
        <v>2171</v>
      </c>
      <c r="D403" s="3"/>
      <c r="E403" s="7"/>
      <c r="F403" s="7"/>
      <c r="G403" s="7"/>
      <c r="I403" s="8"/>
      <c r="S403" s="56"/>
      <c r="V403" s="38" t="s">
        <v>369</v>
      </c>
      <c r="W403" s="3" t="s">
        <v>1959</v>
      </c>
      <c r="X403" s="38" t="s">
        <v>369</v>
      </c>
      <c r="Y403" s="1443" t="s">
        <v>2015</v>
      </c>
      <c r="Z403" s="1443"/>
      <c r="AC403" s="56"/>
      <c r="AD403" s="3"/>
      <c r="AE403" s="3"/>
      <c r="AF403" s="38"/>
      <c r="AG403" s="38"/>
      <c r="AH403" s="1485">
        <v>0.70199999999999996</v>
      </c>
      <c r="AI403" s="39"/>
      <c r="AJ403" s="39"/>
      <c r="AK403" s="39"/>
      <c r="AL403" s="39">
        <v>0.70199999999999996</v>
      </c>
      <c r="AQ403" s="139"/>
      <c r="AR403" s="139"/>
      <c r="AX403" s="139"/>
      <c r="AY403" s="139"/>
      <c r="AZ403" s="139"/>
      <c r="BA403" s="139"/>
      <c r="BB403" s="139"/>
    </row>
    <row r="404" spans="2:54" ht="15" customHeight="1" thickBot="1" x14ac:dyDescent="0.45">
      <c r="B404" s="7"/>
      <c r="C404" s="924"/>
      <c r="D404" s="889"/>
      <c r="E404" s="924"/>
      <c r="F404" s="924"/>
      <c r="G404" s="924"/>
      <c r="H404" s="948"/>
      <c r="I404" s="949"/>
      <c r="J404" s="889"/>
      <c r="K404" s="889"/>
      <c r="L404" s="889"/>
      <c r="M404" s="945"/>
      <c r="N404" s="945"/>
      <c r="O404" s="945"/>
      <c r="P404" s="945"/>
      <c r="Q404" s="945"/>
      <c r="R404" s="889"/>
      <c r="S404" s="1156"/>
      <c r="T404" s="889"/>
      <c r="U404" s="948"/>
      <c r="V404" s="888" t="s">
        <v>369</v>
      </c>
      <c r="W404" s="889" t="s">
        <v>373</v>
      </c>
      <c r="X404" s="888" t="s">
        <v>369</v>
      </c>
      <c r="Y404" s="1444" t="s">
        <v>2016</v>
      </c>
      <c r="Z404" s="1444"/>
      <c r="AA404" s="948"/>
      <c r="AB404" s="889"/>
      <c r="AC404" s="1156"/>
      <c r="AD404" s="889"/>
      <c r="AE404" s="889"/>
      <c r="AF404" s="888"/>
      <c r="AG404" s="888"/>
      <c r="AH404" s="1486">
        <v>0.70199999999999996</v>
      </c>
      <c r="AI404" s="947"/>
      <c r="AJ404" s="947"/>
      <c r="AK404" s="947"/>
      <c r="AL404" s="947">
        <v>0.70199999999999996</v>
      </c>
      <c r="AM404" s="889"/>
      <c r="AN404" s="889"/>
      <c r="AO404" s="889"/>
      <c r="AP404" s="889"/>
      <c r="AQ404" s="139"/>
      <c r="AR404" s="139"/>
      <c r="AX404" s="139"/>
      <c r="AY404" s="139"/>
      <c r="AZ404" s="139"/>
      <c r="BA404" s="139"/>
      <c r="BB404" s="139"/>
    </row>
    <row r="405" spans="2:54" ht="15" customHeight="1" x14ac:dyDescent="0.4">
      <c r="B405" s="7"/>
      <c r="C405" s="509" t="s">
        <v>2169</v>
      </c>
      <c r="D405" s="3"/>
      <c r="E405" s="182"/>
      <c r="F405" s="182"/>
      <c r="G405" s="173"/>
      <c r="H405" s="175"/>
      <c r="I405" s="448"/>
      <c r="J405" s="448"/>
      <c r="K405" s="448"/>
      <c r="L405" s="448"/>
      <c r="M405" s="178"/>
      <c r="N405" s="178"/>
      <c r="O405" s="178"/>
      <c r="P405" s="178"/>
      <c r="Q405" s="178"/>
      <c r="R405" s="116" t="s">
        <v>352</v>
      </c>
      <c r="S405" s="198">
        <v>2</v>
      </c>
      <c r="T405" s="116" t="s">
        <v>385</v>
      </c>
      <c r="U405" s="175"/>
      <c r="V405" s="179"/>
      <c r="W405" s="116"/>
      <c r="X405" s="179"/>
      <c r="Y405" s="1449"/>
      <c r="Z405" s="184"/>
      <c r="AA405" s="175"/>
      <c r="AB405" s="3">
        <v>45</v>
      </c>
      <c r="AC405" s="3">
        <v>1</v>
      </c>
      <c r="AD405" s="56">
        <f>AC405*S405</f>
        <v>2</v>
      </c>
      <c r="AE405" s="3" t="s">
        <v>385</v>
      </c>
      <c r="AF405" s="38" t="s">
        <v>8</v>
      </c>
      <c r="AG405" s="38" t="s">
        <v>8</v>
      </c>
      <c r="AH405" s="180"/>
      <c r="AI405" s="180"/>
      <c r="AJ405" s="180"/>
      <c r="AK405" s="180"/>
      <c r="AL405" s="180"/>
      <c r="AQ405" s="139"/>
      <c r="AR405" s="139"/>
      <c r="AS405" s="139"/>
      <c r="AT405" s="139"/>
      <c r="AU405" s="139"/>
    </row>
    <row r="406" spans="2:54" ht="15" customHeight="1" x14ac:dyDescent="0.4">
      <c r="B406" s="155"/>
      <c r="C406" s="155"/>
      <c r="D406" s="155"/>
      <c r="E406" s="155"/>
      <c r="F406" s="155"/>
      <c r="G406" s="7"/>
      <c r="H406" s="20"/>
      <c r="I406" s="500"/>
      <c r="J406" s="500"/>
      <c r="K406" s="500"/>
      <c r="L406" s="500"/>
      <c r="M406" s="24"/>
      <c r="N406" s="24"/>
      <c r="O406" s="24"/>
      <c r="P406" s="24"/>
      <c r="Q406" s="24"/>
      <c r="S406" s="56"/>
      <c r="U406" s="20"/>
      <c r="V406" s="38" t="s">
        <v>369</v>
      </c>
      <c r="W406" s="3" t="s">
        <v>370</v>
      </c>
      <c r="X406" s="38" t="s">
        <v>369</v>
      </c>
      <c r="Y406" s="1443">
        <v>420034006</v>
      </c>
      <c r="Z406" s="41"/>
      <c r="AF406" s="3"/>
      <c r="AG406" s="3"/>
      <c r="AH406" s="51">
        <v>0.18010000000000001</v>
      </c>
      <c r="AI406" s="39"/>
      <c r="AJ406" s="39"/>
      <c r="AK406" s="39"/>
      <c r="AL406" s="39">
        <f>AH406*AD405</f>
        <v>0.36020000000000002</v>
      </c>
      <c r="AQ406" s="139"/>
      <c r="AR406" s="139"/>
      <c r="AS406" s="139"/>
      <c r="AT406" s="139"/>
      <c r="AU406" s="139"/>
    </row>
    <row r="407" spans="2:54" ht="15" customHeight="1" x14ac:dyDescent="0.4">
      <c r="B407" s="155"/>
      <c r="C407" s="155"/>
      <c r="D407" s="155"/>
      <c r="E407" s="155"/>
      <c r="F407" s="155"/>
      <c r="G407" s="7"/>
      <c r="H407" s="20"/>
      <c r="I407" s="500"/>
      <c r="J407" s="500"/>
      <c r="K407" s="500"/>
      <c r="L407" s="500"/>
      <c r="M407" s="24"/>
      <c r="N407" s="24"/>
      <c r="O407" s="24"/>
      <c r="P407" s="24"/>
      <c r="Q407" s="24"/>
      <c r="S407" s="56"/>
      <c r="U407" s="20"/>
      <c r="V407" s="38" t="s">
        <v>369</v>
      </c>
      <c r="W407" s="3" t="s">
        <v>372</v>
      </c>
      <c r="X407" s="38" t="s">
        <v>369</v>
      </c>
      <c r="Y407" s="1443">
        <v>420034021</v>
      </c>
      <c r="Z407" s="41"/>
      <c r="AC407" s="56"/>
      <c r="AD407" s="56"/>
      <c r="AE407" s="3"/>
      <c r="AF407" s="3"/>
      <c r="AG407" s="3"/>
      <c r="AH407" s="51">
        <v>0.17319999999999999</v>
      </c>
      <c r="AI407" s="39"/>
      <c r="AJ407" s="39"/>
      <c r="AK407" s="39"/>
      <c r="AL407" s="39">
        <f>AH407*AD405</f>
        <v>0.34639999999999999</v>
      </c>
      <c r="AQ407" s="139"/>
      <c r="AR407" s="139"/>
      <c r="AS407" s="139"/>
      <c r="AT407" s="139"/>
      <c r="AU407" s="139"/>
    </row>
    <row r="408" spans="2:54" ht="15" customHeight="1" thickBot="1" x14ac:dyDescent="0.45">
      <c r="B408" s="925"/>
      <c r="C408" s="925"/>
      <c r="D408" s="925"/>
      <c r="E408" s="925"/>
      <c r="F408" s="925"/>
      <c r="G408" s="924"/>
      <c r="H408" s="887"/>
      <c r="I408" s="1494"/>
      <c r="J408" s="1494"/>
      <c r="K408" s="1494"/>
      <c r="L408" s="1494"/>
      <c r="M408" s="1020"/>
      <c r="N408" s="1020"/>
      <c r="O408" s="1020"/>
      <c r="P408" s="1020"/>
      <c r="Q408" s="1020"/>
      <c r="R408" s="889"/>
      <c r="S408" s="1156"/>
      <c r="T408" s="889"/>
      <c r="U408" s="887"/>
      <c r="V408" s="888" t="s">
        <v>369</v>
      </c>
      <c r="W408" s="889" t="s">
        <v>373</v>
      </c>
      <c r="X408" s="888" t="s">
        <v>369</v>
      </c>
      <c r="Y408" s="1444">
        <v>420034034</v>
      </c>
      <c r="Z408" s="946"/>
      <c r="AA408" s="948"/>
      <c r="AB408" s="889"/>
      <c r="AC408" s="1156"/>
      <c r="AD408" s="1156"/>
      <c r="AE408" s="889"/>
      <c r="AF408" s="889"/>
      <c r="AG408" s="889"/>
      <c r="AH408" s="937">
        <v>0.89090000000000003</v>
      </c>
      <c r="AI408" s="947"/>
      <c r="AJ408" s="947"/>
      <c r="AK408" s="947"/>
      <c r="AL408" s="947">
        <f>AH408*AD405</f>
        <v>1.7818000000000001</v>
      </c>
      <c r="AM408" s="889"/>
      <c r="AN408" s="889"/>
      <c r="AO408" s="889"/>
      <c r="AP408" s="889"/>
      <c r="AQ408" s="139"/>
      <c r="AR408" s="139"/>
      <c r="AS408" s="139"/>
      <c r="AT408" s="139"/>
      <c r="AU408" s="139"/>
    </row>
    <row r="409" spans="2:54" ht="15" customHeight="1" x14ac:dyDescent="0.4">
      <c r="B409" s="1903" t="s">
        <v>1863</v>
      </c>
      <c r="D409" s="155"/>
      <c r="E409" s="155"/>
      <c r="F409" s="155"/>
      <c r="G409" s="7"/>
      <c r="H409" s="20"/>
      <c r="I409" s="500"/>
      <c r="J409" s="500"/>
      <c r="K409" s="500"/>
      <c r="L409" s="500"/>
      <c r="M409" s="24"/>
      <c r="N409" s="24"/>
      <c r="O409" s="24"/>
      <c r="P409" s="24"/>
      <c r="Q409" s="24"/>
      <c r="S409" s="56">
        <v>1</v>
      </c>
      <c r="T409" s="3" t="s">
        <v>385</v>
      </c>
      <c r="U409" s="20"/>
      <c r="V409" s="38"/>
      <c r="X409" s="38"/>
      <c r="Y409" s="1443"/>
      <c r="Z409" s="41"/>
      <c r="AA409" s="20"/>
      <c r="AB409" s="3">
        <v>45</v>
      </c>
      <c r="AC409" s="3">
        <v>1</v>
      </c>
      <c r="AD409" s="56">
        <f>S409*AC409</f>
        <v>1</v>
      </c>
      <c r="AE409" s="3" t="s">
        <v>385</v>
      </c>
      <c r="AF409" s="38" t="s">
        <v>8</v>
      </c>
      <c r="AG409" s="38" t="s">
        <v>8</v>
      </c>
      <c r="AI409" s="39"/>
      <c r="AJ409" s="39"/>
      <c r="AK409" s="39"/>
      <c r="AQ409" s="139"/>
      <c r="AR409" s="139"/>
      <c r="AX409" s="139"/>
      <c r="AY409" s="139"/>
      <c r="AZ409" s="139"/>
      <c r="BA409" s="139"/>
      <c r="BB409" s="139"/>
    </row>
    <row r="410" spans="2:54" ht="15" customHeight="1" x14ac:dyDescent="0.4">
      <c r="B410" s="155"/>
      <c r="C410" s="155"/>
      <c r="D410" s="155"/>
      <c r="E410" s="155"/>
      <c r="F410" s="155"/>
      <c r="G410" s="7"/>
      <c r="H410" s="20"/>
      <c r="I410" s="500"/>
      <c r="J410" s="500"/>
      <c r="K410" s="500"/>
      <c r="L410" s="500"/>
      <c r="M410" s="24"/>
      <c r="N410" s="24"/>
      <c r="O410" s="24"/>
      <c r="P410" s="24"/>
      <c r="Q410" s="24"/>
      <c r="S410" s="56"/>
      <c r="U410" s="20"/>
      <c r="V410" s="38" t="s">
        <v>369</v>
      </c>
      <c r="W410" s="3" t="s">
        <v>370</v>
      </c>
      <c r="X410" s="38" t="s">
        <v>369</v>
      </c>
      <c r="Y410" s="1443">
        <v>420045003</v>
      </c>
      <c r="Z410" s="41"/>
      <c r="AA410" s="20"/>
      <c r="AF410" s="3"/>
      <c r="AG410" s="3"/>
      <c r="AH410" s="51">
        <v>0.11788999999999999</v>
      </c>
      <c r="AI410" s="39"/>
      <c r="AJ410" s="39"/>
      <c r="AK410" s="39"/>
      <c r="AL410" s="39">
        <f>AD$393*AH410+SUM(AI410:AK410)</f>
        <v>0</v>
      </c>
      <c r="AQ410" s="139"/>
      <c r="AR410" s="139"/>
      <c r="AX410" s="139"/>
      <c r="AY410" s="139"/>
      <c r="AZ410" s="139"/>
      <c r="BA410" s="139"/>
      <c r="BB410" s="139"/>
    </row>
    <row r="411" spans="2:54" ht="15" customHeight="1" x14ac:dyDescent="0.4">
      <c r="B411" s="155"/>
      <c r="C411" s="155"/>
      <c r="D411" s="155"/>
      <c r="E411" s="155"/>
      <c r="F411" s="155"/>
      <c r="G411" s="7"/>
      <c r="H411" s="20"/>
      <c r="I411" s="500"/>
      <c r="J411" s="500"/>
      <c r="K411" s="500"/>
      <c r="L411" s="500"/>
      <c r="M411" s="24"/>
      <c r="N411" s="24"/>
      <c r="O411" s="24"/>
      <c r="P411" s="24"/>
      <c r="Q411" s="24"/>
      <c r="S411" s="56"/>
      <c r="U411" s="20"/>
      <c r="V411" s="38" t="s">
        <v>369</v>
      </c>
      <c r="W411" s="3" t="s">
        <v>372</v>
      </c>
      <c r="X411" s="38" t="s">
        <v>369</v>
      </c>
      <c r="Y411" s="1443">
        <v>420045021</v>
      </c>
      <c r="Z411" s="41"/>
      <c r="AA411" s="20"/>
      <c r="AC411" s="56"/>
      <c r="AD411" s="56"/>
      <c r="AE411" s="3"/>
      <c r="AF411" s="3"/>
      <c r="AG411" s="3"/>
      <c r="AH411" s="51">
        <v>0.11788999999999999</v>
      </c>
      <c r="AI411" s="39"/>
      <c r="AJ411" s="39"/>
      <c r="AK411" s="39"/>
      <c r="AL411" s="39">
        <f>AD$393*AH411+SUM(AI411:AK411)</f>
        <v>0</v>
      </c>
      <c r="AQ411" s="139"/>
      <c r="AR411" s="139"/>
      <c r="AX411" s="139"/>
      <c r="AY411" s="139"/>
      <c r="AZ411" s="139"/>
      <c r="BA411" s="139"/>
      <c r="BB411" s="139"/>
    </row>
    <row r="412" spans="2:54" ht="15" customHeight="1" x14ac:dyDescent="0.4">
      <c r="B412" s="155"/>
      <c r="C412" s="155"/>
      <c r="D412" s="155"/>
      <c r="E412" s="155"/>
      <c r="F412" s="155"/>
      <c r="G412" s="7"/>
      <c r="H412" s="20"/>
      <c r="I412" s="500"/>
      <c r="J412" s="500"/>
      <c r="K412" s="500"/>
      <c r="L412" s="500"/>
      <c r="M412" s="24"/>
      <c r="N412" s="24"/>
      <c r="O412" s="24"/>
      <c r="P412" s="24"/>
      <c r="Q412" s="24"/>
      <c r="S412" s="56"/>
      <c r="U412" s="20"/>
      <c r="V412" s="38" t="s">
        <v>369</v>
      </c>
      <c r="W412" s="3" t="s">
        <v>373</v>
      </c>
      <c r="X412" s="38" t="s">
        <v>369</v>
      </c>
      <c r="Y412" s="1443">
        <v>420034033</v>
      </c>
      <c r="Z412" s="41"/>
      <c r="AA412" s="20"/>
      <c r="AC412" s="56"/>
      <c r="AD412" s="56"/>
      <c r="AE412" s="3"/>
      <c r="AF412" s="3"/>
      <c r="AG412" s="3"/>
      <c r="AH412" s="51">
        <v>0.11788999999999999</v>
      </c>
      <c r="AI412" s="39"/>
      <c r="AJ412" s="39"/>
      <c r="AK412" s="39"/>
      <c r="AL412" s="39">
        <f>AD$393*AH412+SUM(AI412:AK412)</f>
        <v>0</v>
      </c>
      <c r="AQ412" s="139"/>
      <c r="AR412" s="139"/>
      <c r="AX412" s="139"/>
      <c r="AY412" s="139"/>
      <c r="AZ412" s="139"/>
      <c r="BA412" s="139"/>
      <c r="BB412" s="139"/>
    </row>
    <row r="413" spans="2:54" ht="15" customHeight="1" thickBot="1" x14ac:dyDescent="0.45">
      <c r="B413" s="925"/>
      <c r="C413" s="925"/>
      <c r="D413" s="925"/>
      <c r="E413" s="925"/>
      <c r="F413" s="925"/>
      <c r="G413" s="924"/>
      <c r="H413" s="887"/>
      <c r="I413" s="1494"/>
      <c r="J413" s="1494"/>
      <c r="K413" s="1494"/>
      <c r="L413" s="1494"/>
      <c r="M413" s="1020"/>
      <c r="N413" s="1020"/>
      <c r="O413" s="1020"/>
      <c r="P413" s="1020"/>
      <c r="Q413" s="1020"/>
      <c r="R413" s="889"/>
      <c r="S413" s="1156"/>
      <c r="T413" s="889"/>
      <c r="U413" s="887"/>
      <c r="V413" s="888" t="s">
        <v>369</v>
      </c>
      <c r="W413" s="889" t="s">
        <v>375</v>
      </c>
      <c r="X413" s="888" t="s">
        <v>369</v>
      </c>
      <c r="Y413" s="1444">
        <v>420034133</v>
      </c>
      <c r="Z413" s="946"/>
      <c r="AA413" s="887"/>
      <c r="AB413" s="889"/>
      <c r="AC413" s="1156"/>
      <c r="AD413" s="1156"/>
      <c r="AE413" s="889"/>
      <c r="AF413" s="889"/>
      <c r="AG413" s="889"/>
      <c r="AH413" s="937"/>
      <c r="AI413" s="947"/>
      <c r="AJ413" s="947"/>
      <c r="AK413" s="947"/>
      <c r="AL413" s="947"/>
      <c r="AM413" s="889"/>
      <c r="AN413" s="889"/>
      <c r="AO413" s="889"/>
      <c r="AP413" s="889"/>
      <c r="AQ413" s="139"/>
      <c r="AR413" s="139"/>
      <c r="AX413" s="139"/>
      <c r="AY413" s="139"/>
      <c r="AZ413" s="139"/>
      <c r="BA413" s="139"/>
      <c r="BB413" s="139"/>
    </row>
    <row r="414" spans="2:54" ht="63.75" customHeight="1" thickBot="1" x14ac:dyDescent="0.45">
      <c r="B414" s="494" t="s">
        <v>561</v>
      </c>
      <c r="C414" s="7"/>
      <c r="D414" s="7"/>
      <c r="E414" s="7"/>
      <c r="F414" s="7"/>
      <c r="G414" s="7"/>
      <c r="I414" s="8"/>
      <c r="S414" s="56">
        <v>1</v>
      </c>
      <c r="T414" s="3" t="s">
        <v>385</v>
      </c>
      <c r="U414" s="948"/>
      <c r="V414" s="38"/>
      <c r="X414" s="38"/>
      <c r="Y414" s="1444">
        <v>430063010</v>
      </c>
      <c r="Z414" s="946"/>
      <c r="AA414" s="948"/>
      <c r="AB414" s="889">
        <v>45</v>
      </c>
      <c r="AC414" s="889">
        <v>2</v>
      </c>
      <c r="AD414" s="1156">
        <f>AC414</f>
        <v>2</v>
      </c>
      <c r="AE414" s="889" t="s">
        <v>385</v>
      </c>
      <c r="AF414" s="888"/>
      <c r="AG414" s="888"/>
      <c r="AH414" s="942">
        <f>'Single Hung'!AI532</f>
        <v>8.9700000000000002E-2</v>
      </c>
      <c r="AI414" s="1157"/>
      <c r="AJ414" s="1157"/>
      <c r="AK414" s="1157"/>
      <c r="AL414" s="947">
        <f>AD$414*AH414+SUM(AI414:AK414)</f>
        <v>0.1794</v>
      </c>
      <c r="AM414" s="889"/>
      <c r="AN414" s="889"/>
      <c r="AO414" s="889"/>
      <c r="AP414" s="889"/>
      <c r="AQ414" s="139"/>
      <c r="AR414" s="139"/>
      <c r="AS414" s="139"/>
      <c r="AT414" s="139"/>
      <c r="AU414" s="139"/>
    </row>
    <row r="415" spans="2:54" ht="63.75" customHeight="1" thickBot="1" x14ac:dyDescent="0.45">
      <c r="B415" s="490" t="s">
        <v>563</v>
      </c>
      <c r="C415" s="173"/>
      <c r="D415" s="173"/>
      <c r="E415" s="173"/>
      <c r="F415" s="173"/>
      <c r="G415" s="173"/>
      <c r="H415" s="193"/>
      <c r="I415" s="114"/>
      <c r="J415" s="116"/>
      <c r="K415" s="116"/>
      <c r="L415" s="116"/>
      <c r="M415" s="177"/>
      <c r="N415" s="177"/>
      <c r="O415" s="177"/>
      <c r="P415" s="177"/>
      <c r="Q415" s="177"/>
      <c r="R415" s="116"/>
      <c r="S415" s="507">
        <v>1</v>
      </c>
      <c r="T415" s="136" t="s">
        <v>385</v>
      </c>
      <c r="U415" s="491"/>
      <c r="V415" s="1161"/>
      <c r="W415" s="1161"/>
      <c r="X415" s="1161"/>
      <c r="Y415" s="1516">
        <v>430064010</v>
      </c>
      <c r="Z415" s="136"/>
      <c r="AA415" s="491"/>
      <c r="AB415" s="136">
        <v>45</v>
      </c>
      <c r="AC415" s="136">
        <v>2</v>
      </c>
      <c r="AD415" s="507">
        <f>AC415</f>
        <v>2</v>
      </c>
      <c r="AE415" s="136" t="s">
        <v>385</v>
      </c>
      <c r="AF415" s="557"/>
      <c r="AG415" s="557"/>
      <c r="AH415" s="1159">
        <f>'Single Hung'!AI532</f>
        <v>8.9700000000000002E-2</v>
      </c>
      <c r="AI415" s="1160"/>
      <c r="AJ415" s="1160"/>
      <c r="AK415" s="1160"/>
      <c r="AL415" s="137">
        <f>AD$415*AH415+SUM(AI415:AK415)</f>
        <v>0.1794</v>
      </c>
      <c r="AM415" s="889"/>
      <c r="AN415" s="889"/>
      <c r="AO415" s="889"/>
      <c r="AP415" s="889"/>
      <c r="AQ415" s="139"/>
      <c r="AR415" s="139"/>
      <c r="AS415" s="139"/>
      <c r="AT415" s="139"/>
      <c r="AU415" s="139"/>
    </row>
    <row r="416" spans="2:54" ht="15" customHeight="1" x14ac:dyDescent="0.4">
      <c r="B416" s="494" t="s">
        <v>564</v>
      </c>
      <c r="C416" s="173"/>
      <c r="D416" s="173"/>
      <c r="E416" s="173"/>
      <c r="F416" s="173"/>
      <c r="G416" s="173"/>
      <c r="H416" s="193"/>
      <c r="I416" s="114"/>
      <c r="J416" s="116"/>
      <c r="K416" s="116"/>
      <c r="L416" s="116"/>
      <c r="M416" s="177"/>
      <c r="N416" s="177"/>
      <c r="O416" s="177"/>
      <c r="P416" s="177"/>
      <c r="Q416" s="177"/>
      <c r="R416" s="116"/>
      <c r="S416" s="56">
        <v>1</v>
      </c>
      <c r="T416" s="3" t="s">
        <v>385</v>
      </c>
      <c r="U416" s="20"/>
      <c r="V416" s="38"/>
      <c r="X416" s="38"/>
      <c r="Y416" s="1443"/>
      <c r="Z416" s="41"/>
      <c r="AB416" s="3">
        <v>45</v>
      </c>
      <c r="AC416" s="3">
        <v>4</v>
      </c>
      <c r="AD416" s="56">
        <f>S416*AC416</f>
        <v>4</v>
      </c>
      <c r="AE416" s="3" t="s">
        <v>385</v>
      </c>
      <c r="AF416" s="38"/>
      <c r="AG416" s="38"/>
      <c r="AH416" s="3"/>
      <c r="AI416" s="477"/>
      <c r="AJ416" s="477"/>
      <c r="AK416" s="477"/>
      <c r="AL416" s="3"/>
      <c r="AQ416" s="139"/>
      <c r="AT416" s="139"/>
      <c r="AU416" s="139"/>
      <c r="AV416" s="139"/>
      <c r="AW416" s="139"/>
      <c r="AX416" s="139"/>
    </row>
    <row r="417" spans="1:50" ht="15" customHeight="1" x14ac:dyDescent="0.4">
      <c r="B417" s="494"/>
      <c r="C417" s="7"/>
      <c r="D417" s="7"/>
      <c r="E417" s="7"/>
      <c r="F417" s="7"/>
      <c r="G417" s="7"/>
      <c r="I417" s="8"/>
      <c r="T417" s="42" t="s">
        <v>565</v>
      </c>
      <c r="U417" s="20"/>
      <c r="V417" s="38" t="s">
        <v>369</v>
      </c>
      <c r="W417" s="3" t="s">
        <v>370</v>
      </c>
      <c r="X417" s="38" t="s">
        <v>369</v>
      </c>
      <c r="Y417" s="1443">
        <v>600146003</v>
      </c>
      <c r="Z417" s="41"/>
      <c r="AD417" s="56"/>
      <c r="AE417" s="3"/>
      <c r="AF417" s="38"/>
      <c r="AG417" s="38"/>
      <c r="AH417" s="492">
        <f>'Single Hung'!AI535</f>
        <v>1.7100000000000001E-2</v>
      </c>
      <c r="AI417" s="477"/>
      <c r="AJ417" s="477"/>
      <c r="AK417" s="477"/>
      <c r="AL417" s="39">
        <f>AD$416*AH417+SUM(AI417:AK417)</f>
        <v>6.8400000000000002E-2</v>
      </c>
      <c r="AQ417" s="139"/>
      <c r="AT417" s="139"/>
      <c r="AU417" s="139"/>
      <c r="AV417" s="139"/>
      <c r="AW417" s="139"/>
      <c r="AX417" s="139"/>
    </row>
    <row r="418" spans="1:50" ht="15" customHeight="1" x14ac:dyDescent="0.4">
      <c r="B418" s="494"/>
      <c r="C418" s="7"/>
      <c r="D418" s="7"/>
      <c r="E418" s="7"/>
      <c r="F418" s="7"/>
      <c r="G418" s="7"/>
      <c r="I418" s="8"/>
      <c r="T418" s="42" t="s">
        <v>566</v>
      </c>
      <c r="U418" s="20"/>
      <c r="V418" s="38" t="s">
        <v>369</v>
      </c>
      <c r="W418" s="3" t="s">
        <v>372</v>
      </c>
      <c r="X418" s="38" t="s">
        <v>369</v>
      </c>
      <c r="Y418" s="1443">
        <v>600146021</v>
      </c>
      <c r="Z418" s="41"/>
      <c r="AD418" s="56"/>
      <c r="AE418" s="3"/>
      <c r="AF418" s="38"/>
      <c r="AG418" s="38"/>
      <c r="AH418" s="492">
        <f>'Single Hung'!AI536</f>
        <v>1.5100000000000001E-2</v>
      </c>
      <c r="AI418" s="477"/>
      <c r="AJ418" s="477"/>
      <c r="AK418" s="477"/>
      <c r="AL418" s="39">
        <f t="shared" ref="AL418:AL419" si="27">AD$416*AH418+SUM(AI418:AK418)</f>
        <v>6.0400000000000002E-2</v>
      </c>
      <c r="AQ418" s="139"/>
      <c r="AT418" s="139"/>
      <c r="AU418" s="139"/>
      <c r="AV418" s="139"/>
      <c r="AW418" s="139"/>
      <c r="AX418" s="139"/>
    </row>
    <row r="419" spans="1:50" ht="15" customHeight="1" x14ac:dyDescent="0.4">
      <c r="B419" s="494"/>
      <c r="C419" s="7"/>
      <c r="D419" s="7"/>
      <c r="E419" s="7"/>
      <c r="F419" s="7"/>
      <c r="G419" s="7"/>
      <c r="I419" s="8"/>
      <c r="T419" s="42" t="s">
        <v>567</v>
      </c>
      <c r="U419" s="20"/>
      <c r="V419" s="38" t="s">
        <v>369</v>
      </c>
      <c r="W419" s="3" t="s">
        <v>373</v>
      </c>
      <c r="X419" s="38" t="s">
        <v>369</v>
      </c>
      <c r="Y419" s="1443">
        <v>600146033</v>
      </c>
      <c r="Z419" s="41"/>
      <c r="AD419" s="56"/>
      <c r="AE419" s="3"/>
      <c r="AF419" s="38"/>
      <c r="AG419" s="38"/>
      <c r="AH419" s="492">
        <f>'Single Hung'!AI537</f>
        <v>1.5100000000000001E-2</v>
      </c>
      <c r="AI419" s="477"/>
      <c r="AJ419" s="477"/>
      <c r="AK419" s="477"/>
      <c r="AL419" s="39">
        <f t="shared" si="27"/>
        <v>6.0400000000000002E-2</v>
      </c>
      <c r="AQ419" s="139"/>
      <c r="AT419" s="139"/>
      <c r="AU419" s="139"/>
      <c r="AV419" s="139"/>
      <c r="AW419" s="139"/>
      <c r="AX419" s="139"/>
    </row>
    <row r="420" spans="1:50" ht="15" customHeight="1" thickBot="1" x14ac:dyDescent="0.45">
      <c r="B420" s="1193"/>
      <c r="C420" s="924"/>
      <c r="D420" s="924"/>
      <c r="E420" s="924"/>
      <c r="F420" s="924"/>
      <c r="G420" s="924"/>
      <c r="H420" s="948"/>
      <c r="I420" s="949"/>
      <c r="J420" s="889"/>
      <c r="K420" s="889"/>
      <c r="L420" s="889"/>
      <c r="M420" s="945"/>
      <c r="N420" s="945"/>
      <c r="O420" s="945"/>
      <c r="P420" s="945"/>
      <c r="Q420" s="945"/>
      <c r="R420" s="889"/>
      <c r="S420" s="945"/>
      <c r="T420" s="1154"/>
      <c r="U420" s="887"/>
      <c r="V420" s="888" t="s">
        <v>369</v>
      </c>
      <c r="W420" s="889" t="s">
        <v>375</v>
      </c>
      <c r="X420" s="888" t="s">
        <v>369</v>
      </c>
      <c r="Y420" s="1444">
        <v>600146133</v>
      </c>
      <c r="Z420" s="946"/>
      <c r="AA420" s="948"/>
      <c r="AB420" s="889"/>
      <c r="AC420" s="889"/>
      <c r="AD420" s="1156"/>
      <c r="AE420" s="889"/>
      <c r="AF420" s="888"/>
      <c r="AG420" s="888"/>
      <c r="AH420" s="942"/>
      <c r="AI420" s="1157"/>
      <c r="AJ420" s="1157"/>
      <c r="AK420" s="1157"/>
      <c r="AL420" s="947"/>
      <c r="AM420" s="889"/>
      <c r="AN420" s="889"/>
      <c r="AO420" s="889"/>
      <c r="AP420" s="889"/>
      <c r="AQ420" s="139"/>
      <c r="AT420" s="139"/>
      <c r="AU420" s="139"/>
      <c r="AV420" s="139"/>
      <c r="AW420" s="139"/>
      <c r="AX420" s="139"/>
    </row>
    <row r="421" spans="1:50" s="715" customFormat="1" ht="58.5" customHeight="1" thickBot="1" x14ac:dyDescent="0.45">
      <c r="B421" s="1155" t="s">
        <v>1251</v>
      </c>
      <c r="C421" s="973"/>
      <c r="D421" s="973"/>
      <c r="E421" s="1193"/>
      <c r="F421" s="973"/>
      <c r="G421" s="1193"/>
      <c r="H421" s="1913"/>
      <c r="I421" s="1914"/>
      <c r="J421" s="973"/>
      <c r="K421" s="973"/>
      <c r="L421" s="973"/>
      <c r="M421" s="1915"/>
      <c r="N421" s="1915"/>
      <c r="O421" s="1915"/>
      <c r="P421" s="1915"/>
      <c r="Q421" s="1915"/>
      <c r="R421" s="973"/>
      <c r="S421" s="1156">
        <v>1</v>
      </c>
      <c r="T421" s="889" t="s">
        <v>385</v>
      </c>
      <c r="U421" s="948"/>
      <c r="V421" s="888" t="s">
        <v>1252</v>
      </c>
      <c r="W421" s="889" t="s">
        <v>1252</v>
      </c>
      <c r="X421" s="888" t="s">
        <v>1252</v>
      </c>
      <c r="Y421" s="1444">
        <v>440151000</v>
      </c>
      <c r="Z421" s="889"/>
      <c r="AA421" s="948"/>
      <c r="AB421" s="889">
        <v>45</v>
      </c>
      <c r="AC421" s="889">
        <v>4</v>
      </c>
      <c r="AD421" s="1156">
        <f>S421*AC421</f>
        <v>4</v>
      </c>
      <c r="AE421" s="889" t="s">
        <v>385</v>
      </c>
      <c r="AF421" s="888"/>
      <c r="AG421" s="888"/>
      <c r="AH421" s="942">
        <f>'Single Hung'!AI539</f>
        <v>2.8899999999999999E-2</v>
      </c>
      <c r="AI421" s="947"/>
      <c r="AJ421" s="947"/>
      <c r="AK421" s="947"/>
      <c r="AL421" s="947">
        <f>AD$421*AH421+SUM(AI421:AK421)</f>
        <v>0.11559999999999999</v>
      </c>
      <c r="AM421" s="889"/>
      <c r="AN421" s="889"/>
      <c r="AO421" s="889"/>
      <c r="AP421" s="889"/>
      <c r="AQ421" s="139"/>
      <c r="AT421" s="1164"/>
      <c r="AU421" s="1164"/>
      <c r="AV421" s="1164"/>
      <c r="AW421" s="1164"/>
      <c r="AX421" s="1164"/>
    </row>
    <row r="422" spans="1:50" ht="15" customHeight="1" x14ac:dyDescent="0.4">
      <c r="B422" s="36" t="s">
        <v>1253</v>
      </c>
      <c r="C422" s="7"/>
      <c r="D422" s="7"/>
      <c r="E422" s="7"/>
      <c r="F422" s="7"/>
      <c r="G422" s="7"/>
      <c r="I422" s="8"/>
      <c r="S422" s="56">
        <v>2</v>
      </c>
      <c r="T422" s="3" t="s">
        <v>385</v>
      </c>
      <c r="V422" s="38"/>
      <c r="X422" s="38"/>
      <c r="Y422" s="1443"/>
      <c r="Z422" s="41"/>
      <c r="AB422" s="3">
        <v>45</v>
      </c>
      <c r="AC422" s="3">
        <v>2</v>
      </c>
      <c r="AD422" s="56">
        <f>S422*AC422</f>
        <v>4</v>
      </c>
      <c r="AE422" s="3" t="s">
        <v>385</v>
      </c>
      <c r="AF422" s="38"/>
      <c r="AG422" s="38"/>
      <c r="AI422" s="39"/>
      <c r="AJ422" s="39"/>
      <c r="AK422" s="39"/>
      <c r="AQ422" s="139"/>
      <c r="AT422" s="139"/>
      <c r="AU422" s="139"/>
      <c r="AV422" s="139"/>
      <c r="AW422" s="139"/>
      <c r="AX422" s="139"/>
    </row>
    <row r="423" spans="1:50" ht="15" customHeight="1" x14ac:dyDescent="0.4">
      <c r="B423" s="36"/>
      <c r="C423" s="7"/>
      <c r="D423" s="7"/>
      <c r="E423" s="7"/>
      <c r="F423" s="7"/>
      <c r="G423" s="7"/>
      <c r="I423" s="8"/>
      <c r="S423" s="56"/>
      <c r="V423" s="38" t="s">
        <v>369</v>
      </c>
      <c r="W423" s="3" t="s">
        <v>370</v>
      </c>
      <c r="X423" s="38" t="s">
        <v>369</v>
      </c>
      <c r="Y423" s="1443">
        <v>420027003</v>
      </c>
      <c r="Z423" s="41"/>
      <c r="AD423" s="56"/>
      <c r="AE423" s="3"/>
      <c r="AF423" s="38"/>
      <c r="AG423" s="38"/>
      <c r="AH423" s="492">
        <v>1E-3</v>
      </c>
      <c r="AI423" s="477"/>
      <c r="AJ423" s="477"/>
      <c r="AK423" s="477"/>
      <c r="AL423" s="39">
        <f>AD422*AH423+SUM(AI423:AK423)</f>
        <v>4.0000000000000001E-3</v>
      </c>
      <c r="AQ423" s="139"/>
      <c r="AT423" s="139"/>
      <c r="AU423" s="139"/>
      <c r="AV423" s="139"/>
      <c r="AW423" s="139"/>
      <c r="AX423" s="139"/>
    </row>
    <row r="424" spans="1:50" ht="15" customHeight="1" x14ac:dyDescent="0.4">
      <c r="B424" s="36"/>
      <c r="C424" s="7"/>
      <c r="D424" s="7"/>
      <c r="E424" s="7"/>
      <c r="F424" s="7"/>
      <c r="G424" s="7"/>
      <c r="I424" s="8"/>
      <c r="S424" s="56"/>
      <c r="V424" s="38" t="s">
        <v>369</v>
      </c>
      <c r="W424" s="3" t="s">
        <v>372</v>
      </c>
      <c r="X424" s="38" t="s">
        <v>369</v>
      </c>
      <c r="Y424" s="1443">
        <v>420027021</v>
      </c>
      <c r="Z424" s="41"/>
      <c r="AD424" s="56"/>
      <c r="AE424" s="3"/>
      <c r="AF424" s="38"/>
      <c r="AG424" s="38"/>
      <c r="AH424" s="492">
        <v>1E-3</v>
      </c>
      <c r="AI424" s="477"/>
      <c r="AJ424" s="477"/>
      <c r="AK424" s="477"/>
      <c r="AL424" s="39">
        <f>AD422*AH424+SUM(AI424:AK424)</f>
        <v>4.0000000000000001E-3</v>
      </c>
      <c r="AQ424" s="139"/>
      <c r="AT424" s="139"/>
      <c r="AU424" s="139"/>
      <c r="AV424" s="139"/>
      <c r="AW424" s="139"/>
      <c r="AX424" s="139"/>
    </row>
    <row r="425" spans="1:50" ht="15" customHeight="1" x14ac:dyDescent="0.4">
      <c r="B425" s="36"/>
      <c r="C425" s="7"/>
      <c r="D425" s="7"/>
      <c r="E425" s="7"/>
      <c r="F425" s="7"/>
      <c r="G425" s="7"/>
      <c r="I425" s="8"/>
      <c r="S425" s="56"/>
      <c r="V425" s="38" t="s">
        <v>369</v>
      </c>
      <c r="W425" s="3" t="s">
        <v>373</v>
      </c>
      <c r="X425" s="38" t="s">
        <v>369</v>
      </c>
      <c r="Y425" s="1443">
        <v>420027033</v>
      </c>
      <c r="Z425" s="41"/>
      <c r="AD425" s="56"/>
      <c r="AE425" s="3"/>
      <c r="AF425" s="38"/>
      <c r="AG425" s="38"/>
      <c r="AH425" s="492">
        <v>1E-3</v>
      </c>
      <c r="AI425" s="39"/>
      <c r="AJ425" s="39"/>
      <c r="AK425" s="39"/>
      <c r="AL425" s="39">
        <f>AD422*AH425+SUM(AI425:AK425)</f>
        <v>4.0000000000000001E-3</v>
      </c>
      <c r="AQ425" s="139"/>
      <c r="AT425" s="139"/>
      <c r="AU425" s="139"/>
      <c r="AV425" s="139"/>
      <c r="AW425" s="139"/>
      <c r="AX425" s="139"/>
    </row>
    <row r="426" spans="1:50" ht="15" customHeight="1" x14ac:dyDescent="0.4">
      <c r="B426" s="36"/>
      <c r="C426" s="7"/>
      <c r="D426" s="7"/>
      <c r="E426" s="7"/>
      <c r="F426" s="7"/>
      <c r="G426" s="7"/>
      <c r="I426" s="8"/>
      <c r="S426" s="56"/>
      <c r="V426" s="38" t="s">
        <v>369</v>
      </c>
      <c r="W426" s="3" t="s">
        <v>374</v>
      </c>
      <c r="X426" s="38" t="s">
        <v>369</v>
      </c>
      <c r="Y426" s="1443">
        <v>420027090</v>
      </c>
      <c r="Z426" s="41"/>
      <c r="AD426" s="56"/>
      <c r="AE426" s="3"/>
      <c r="AF426" s="38"/>
      <c r="AG426" s="38"/>
      <c r="AH426" s="51">
        <v>1E-3</v>
      </c>
      <c r="AI426" s="39"/>
      <c r="AJ426" s="39"/>
      <c r="AK426" s="39"/>
      <c r="AL426" s="39">
        <f>AD422*AH426+SUM(AI426:AK426)</f>
        <v>4.0000000000000001E-3</v>
      </c>
      <c r="AQ426" s="139"/>
      <c r="AT426" s="139"/>
      <c r="AU426" s="139"/>
      <c r="AV426" s="139"/>
      <c r="AW426" s="139"/>
      <c r="AX426" s="139"/>
    </row>
    <row r="427" spans="1:50" ht="15" customHeight="1" x14ac:dyDescent="0.4">
      <c r="B427" s="36"/>
      <c r="C427" s="7"/>
      <c r="D427" s="7"/>
      <c r="E427" s="7"/>
      <c r="F427" s="7"/>
      <c r="G427" s="7"/>
      <c r="I427" s="8"/>
      <c r="S427" s="56"/>
      <c r="V427" s="279" t="s">
        <v>369</v>
      </c>
      <c r="W427" s="112" t="s">
        <v>1849</v>
      </c>
      <c r="X427" s="279" t="s">
        <v>369</v>
      </c>
      <c r="Y427" s="1871">
        <v>420027148</v>
      </c>
      <c r="Z427" s="41"/>
      <c r="AD427" s="56"/>
      <c r="AE427" s="3"/>
      <c r="AF427" s="38"/>
      <c r="AG427" s="38"/>
      <c r="AH427" s="51">
        <v>0</v>
      </c>
      <c r="AI427" s="39"/>
      <c r="AJ427" s="39"/>
      <c r="AK427" s="39"/>
      <c r="AL427" s="39">
        <f>AD423*AH427+SUM(AI427:AK427)</f>
        <v>0</v>
      </c>
      <c r="AQ427" s="139"/>
      <c r="AT427" s="139"/>
      <c r="AU427" s="139"/>
      <c r="AV427" s="139"/>
      <c r="AW427" s="139"/>
      <c r="AX427" s="139"/>
    </row>
    <row r="428" spans="1:50" ht="15" customHeight="1" thickBot="1" x14ac:dyDescent="0.45">
      <c r="B428" s="943"/>
      <c r="C428" s="924"/>
      <c r="D428" s="924"/>
      <c r="E428" s="924"/>
      <c r="F428" s="924"/>
      <c r="G428" s="924"/>
      <c r="H428" s="948"/>
      <c r="I428" s="949"/>
      <c r="J428" s="889"/>
      <c r="K428" s="889"/>
      <c r="L428" s="889"/>
      <c r="M428" s="945"/>
      <c r="N428" s="945"/>
      <c r="O428" s="945"/>
      <c r="P428" s="945"/>
      <c r="Q428" s="945"/>
      <c r="R428" s="889"/>
      <c r="S428" s="1156"/>
      <c r="T428" s="889"/>
      <c r="U428" s="948"/>
      <c r="V428" s="888" t="s">
        <v>369</v>
      </c>
      <c r="W428" s="889" t="s">
        <v>375</v>
      </c>
      <c r="X428" s="888" t="s">
        <v>369</v>
      </c>
      <c r="Y428" s="1444">
        <v>420027133</v>
      </c>
      <c r="Z428" s="946"/>
      <c r="AA428" s="948"/>
      <c r="AB428" s="889"/>
      <c r="AC428" s="889"/>
      <c r="AD428" s="1156"/>
      <c r="AE428" s="889"/>
      <c r="AF428" s="888"/>
      <c r="AG428" s="888"/>
      <c r="AH428" s="937"/>
      <c r="AI428" s="947"/>
      <c r="AJ428" s="947"/>
      <c r="AK428" s="947"/>
      <c r="AL428" s="947"/>
      <c r="AM428" s="889"/>
      <c r="AN428" s="889"/>
      <c r="AO428" s="889"/>
      <c r="AP428" s="889"/>
      <c r="AQ428" s="139"/>
      <c r="AT428" s="139"/>
      <c r="AU428" s="139"/>
      <c r="AV428" s="139"/>
      <c r="AW428" s="139"/>
      <c r="AX428" s="139"/>
    </row>
    <row r="429" spans="1:50" ht="15" customHeight="1" x14ac:dyDescent="0.4">
      <c r="B429" s="156" t="s">
        <v>1355</v>
      </c>
      <c r="C429" s="37"/>
      <c r="D429" s="37"/>
      <c r="E429" s="37"/>
      <c r="F429" s="37"/>
      <c r="G429" s="37"/>
      <c r="H429" s="157"/>
      <c r="I429" s="157"/>
      <c r="J429" s="157"/>
      <c r="K429" s="157"/>
      <c r="L429" s="157"/>
      <c r="M429" s="158"/>
      <c r="N429" s="158"/>
      <c r="O429" s="158"/>
      <c r="P429" s="158"/>
      <c r="Q429" s="158"/>
      <c r="R429" s="157"/>
      <c r="S429" s="158"/>
      <c r="T429" s="157"/>
      <c r="U429" s="157"/>
      <c r="V429" s="37"/>
      <c r="W429" s="37"/>
      <c r="X429" s="37"/>
      <c r="Y429" s="1619"/>
      <c r="Z429" s="59"/>
      <c r="AA429" s="157"/>
      <c r="AB429" s="59"/>
      <c r="AC429" s="157"/>
      <c r="AD429" s="158"/>
      <c r="AE429" s="157"/>
      <c r="AF429" s="157"/>
      <c r="AG429" s="157"/>
      <c r="AH429" s="159"/>
      <c r="AI429" s="159"/>
      <c r="AJ429" s="159"/>
      <c r="AK429" s="159"/>
      <c r="AL429" s="159"/>
      <c r="AM429" s="159"/>
      <c r="AN429" s="159"/>
      <c r="AO429" s="159"/>
      <c r="AP429" s="159"/>
      <c r="AQ429" s="139"/>
      <c r="AR429" s="139"/>
      <c r="AS429" s="139"/>
      <c r="AT429" s="139"/>
    </row>
    <row r="430" spans="1:50" ht="15" customHeight="1" x14ac:dyDescent="0.4">
      <c r="A430" s="3" t="s">
        <v>809</v>
      </c>
      <c r="B430" s="4" t="s">
        <v>2059</v>
      </c>
      <c r="C430" s="3"/>
      <c r="D430" s="8"/>
      <c r="E430" s="8"/>
      <c r="F430" s="8"/>
      <c r="G430" s="3"/>
      <c r="I430" s="47" t="s">
        <v>1184</v>
      </c>
      <c r="L430" s="5"/>
      <c r="Q430" s="3"/>
      <c r="R430" s="5"/>
      <c r="S430" s="5">
        <f>((SLQHQFGW*2)+(SLQHQFGH*2))/12/1565</f>
        <v>8.2867944621938232E-3</v>
      </c>
      <c r="T430" s="3" t="s">
        <v>815</v>
      </c>
      <c r="V430" s="4"/>
      <c r="W430" s="4"/>
      <c r="X430" s="56"/>
      <c r="Y430" s="1443">
        <v>610023014</v>
      </c>
      <c r="Z430" s="56">
        <v>39844</v>
      </c>
      <c r="AB430" s="3">
        <v>45</v>
      </c>
      <c r="AC430" s="5"/>
      <c r="AD430" s="5">
        <f>S430</f>
        <v>8.2867944621938232E-3</v>
      </c>
      <c r="AE430" s="3" t="s">
        <v>815</v>
      </c>
      <c r="AF430" s="38" t="s">
        <v>369</v>
      </c>
      <c r="AG430" s="38" t="s">
        <v>369</v>
      </c>
      <c r="AH430" s="477">
        <v>27.652000000000001</v>
      </c>
      <c r="AI430" s="477"/>
      <c r="AJ430" s="477"/>
      <c r="AK430" s="477"/>
      <c r="AL430" s="39">
        <f>AH430*AD430</f>
        <v>0.2291464404685836</v>
      </c>
      <c r="AQ430" s="139"/>
      <c r="AR430" s="139"/>
      <c r="AS430" s="139"/>
      <c r="AT430" s="139"/>
    </row>
    <row r="431" spans="1:50" ht="15" customHeight="1" x14ac:dyDescent="0.4">
      <c r="B431" s="573" t="s">
        <v>1255</v>
      </c>
      <c r="C431" s="577"/>
      <c r="D431" s="694"/>
      <c r="E431" s="694"/>
      <c r="F431" s="694"/>
      <c r="G431" s="577"/>
      <c r="H431" s="574"/>
      <c r="I431" s="577"/>
      <c r="J431" s="577"/>
      <c r="K431" s="577"/>
      <c r="L431" s="575"/>
      <c r="M431" s="575"/>
      <c r="N431" s="575"/>
      <c r="O431" s="575"/>
      <c r="P431" s="575"/>
      <c r="Q431" s="577"/>
      <c r="R431" s="575"/>
      <c r="S431" s="575">
        <v>1</v>
      </c>
      <c r="T431" s="577" t="s">
        <v>811</v>
      </c>
      <c r="U431" s="574"/>
      <c r="V431" s="573"/>
      <c r="W431" s="573"/>
      <c r="X431" s="576"/>
      <c r="Y431" s="1460">
        <v>610023014001</v>
      </c>
      <c r="Z431" s="577">
        <v>30359</v>
      </c>
      <c r="AA431" s="574"/>
      <c r="AB431" s="577"/>
      <c r="AC431" s="575"/>
      <c r="AD431" s="575"/>
      <c r="AE431" s="577"/>
      <c r="AF431" s="579"/>
      <c r="AG431" s="579"/>
      <c r="AH431" s="580"/>
      <c r="AI431" s="580"/>
      <c r="AJ431" s="580"/>
      <c r="AK431" s="580"/>
      <c r="AL431" s="581"/>
      <c r="AM431" s="577"/>
      <c r="AN431" s="577"/>
      <c r="AO431" s="577"/>
      <c r="AP431" s="577"/>
      <c r="AQ431" s="139"/>
      <c r="AR431" s="139"/>
      <c r="AS431" s="139"/>
      <c r="AT431" s="139"/>
    </row>
    <row r="432" spans="1:50" ht="15" customHeight="1" x14ac:dyDescent="0.4">
      <c r="B432" s="4" t="s">
        <v>813</v>
      </c>
      <c r="C432" s="3"/>
      <c r="D432" s="36"/>
      <c r="E432" s="36"/>
      <c r="F432" s="36"/>
      <c r="G432" s="500"/>
      <c r="I432" s="47" t="s">
        <v>1356</v>
      </c>
      <c r="L432" s="5"/>
      <c r="Q432" s="3"/>
      <c r="R432" s="5"/>
      <c r="S432" s="5">
        <f>((SLQHQFGW*2)+(SLQHQFGH*2))/12/695*2</f>
        <v>3.7320383693045564E-2</v>
      </c>
      <c r="T432" s="3" t="s">
        <v>815</v>
      </c>
      <c r="V432" s="4"/>
      <c r="W432" s="4"/>
      <c r="X432" s="56"/>
      <c r="Y432" s="1443">
        <v>610027000</v>
      </c>
      <c r="Z432" s="56">
        <v>251924</v>
      </c>
      <c r="AB432" s="3">
        <v>40</v>
      </c>
      <c r="AC432" s="5"/>
      <c r="AD432" s="3">
        <v>0</v>
      </c>
      <c r="AE432" s="3" t="s">
        <v>815</v>
      </c>
      <c r="AF432" s="38" t="s">
        <v>369</v>
      </c>
      <c r="AG432" s="38" t="s">
        <v>369</v>
      </c>
      <c r="AH432" s="477">
        <v>0</v>
      </c>
      <c r="AI432" s="477"/>
      <c r="AJ432" s="477"/>
      <c r="AK432" s="477"/>
      <c r="AL432" s="39">
        <f>AH432*AD432</f>
        <v>0</v>
      </c>
      <c r="AQ432" s="139"/>
      <c r="AR432" s="139"/>
      <c r="AS432" s="139"/>
      <c r="AT432" s="139"/>
    </row>
    <row r="433" spans="1:47" ht="15" customHeight="1" x14ac:dyDescent="0.4">
      <c r="B433" s="4" t="s">
        <v>2172</v>
      </c>
      <c r="C433" s="3"/>
      <c r="D433" s="36"/>
      <c r="E433" s="36"/>
      <c r="F433" s="36"/>
      <c r="G433" s="500"/>
      <c r="I433" s="47"/>
      <c r="L433" s="5"/>
      <c r="Q433" s="3"/>
      <c r="R433" s="5"/>
      <c r="V433" s="4"/>
      <c r="W433" s="4"/>
      <c r="X433" s="56"/>
      <c r="Y433" s="1445">
        <v>610027000002</v>
      </c>
      <c r="Z433" s="56">
        <v>251931</v>
      </c>
      <c r="AC433" s="5"/>
      <c r="AD433" s="3"/>
      <c r="AE433" s="3"/>
      <c r="AF433" s="38"/>
      <c r="AG433" s="38"/>
      <c r="AH433" s="477"/>
      <c r="AI433" s="477"/>
      <c r="AJ433" s="477"/>
      <c r="AK433" s="477"/>
      <c r="AQ433" s="139"/>
      <c r="AR433" s="139"/>
      <c r="AS433" s="139"/>
      <c r="AT433" s="139"/>
    </row>
    <row r="434" spans="1:47" ht="15" customHeight="1" x14ac:dyDescent="0.4">
      <c r="B434" s="4" t="s">
        <v>816</v>
      </c>
      <c r="C434" s="3"/>
      <c r="D434" s="36"/>
      <c r="E434" s="36"/>
      <c r="F434" s="36"/>
      <c r="G434" s="500"/>
      <c r="I434" s="47" t="s">
        <v>1356</v>
      </c>
      <c r="L434" s="5"/>
      <c r="Q434" s="3"/>
      <c r="R434" s="5"/>
      <c r="S434" s="5">
        <f>((SLQHQFGW*2)+(SLQHQFGH*2))/12/695*2</f>
        <v>3.7320383693045564E-2</v>
      </c>
      <c r="T434" s="3" t="s">
        <v>815</v>
      </c>
      <c r="V434" s="4" t="s">
        <v>1368</v>
      </c>
      <c r="W434" s="4"/>
      <c r="X434" s="56"/>
      <c r="Y434" s="1445">
        <v>610007010002</v>
      </c>
      <c r="Z434" s="56"/>
      <c r="AC434" s="5"/>
      <c r="AD434" s="3"/>
      <c r="AE434" s="3"/>
      <c r="AF434" s="38"/>
      <c r="AG434" s="38"/>
      <c r="AH434" s="477"/>
      <c r="AI434" s="477"/>
      <c r="AJ434" s="477"/>
      <c r="AK434" s="477"/>
      <c r="AQ434" s="139"/>
      <c r="AR434" s="139"/>
      <c r="AS434" s="139"/>
      <c r="AT434" s="139"/>
    </row>
    <row r="435" spans="1:47" ht="15" customHeight="1" x14ac:dyDescent="0.4">
      <c r="B435" s="573" t="s">
        <v>818</v>
      </c>
      <c r="C435" s="577"/>
      <c r="D435" s="622"/>
      <c r="E435" s="622"/>
      <c r="F435" s="622"/>
      <c r="G435" s="223"/>
      <c r="H435" s="574"/>
      <c r="I435" s="577"/>
      <c r="J435" s="577"/>
      <c r="K435" s="577"/>
      <c r="L435" s="575"/>
      <c r="M435" s="575"/>
      <c r="N435" s="575"/>
      <c r="O435" s="575"/>
      <c r="P435" s="575"/>
      <c r="Q435" s="577"/>
      <c r="R435" s="575"/>
      <c r="S435" s="575">
        <v>1</v>
      </c>
      <c r="T435" s="577" t="s">
        <v>811</v>
      </c>
      <c r="U435" s="574"/>
      <c r="V435" s="573" t="s">
        <v>1369</v>
      </c>
      <c r="W435" s="573"/>
      <c r="X435" s="576"/>
      <c r="Y435" s="1460">
        <v>610007010001</v>
      </c>
      <c r="Z435" s="576"/>
      <c r="AA435" s="574"/>
      <c r="AB435" s="577"/>
      <c r="AC435" s="575"/>
      <c r="AD435" s="577"/>
      <c r="AE435" s="577"/>
      <c r="AF435" s="579"/>
      <c r="AG435" s="579"/>
      <c r="AH435" s="580"/>
      <c r="AI435" s="580"/>
      <c r="AJ435" s="580"/>
      <c r="AK435" s="580"/>
      <c r="AL435" s="581"/>
      <c r="AM435" s="577"/>
      <c r="AN435" s="577"/>
      <c r="AO435" s="577"/>
      <c r="AP435" s="577"/>
      <c r="AQ435" s="139"/>
      <c r="AR435" s="139"/>
      <c r="AS435" s="139"/>
      <c r="AT435" s="139"/>
    </row>
    <row r="436" spans="1:47" ht="15" customHeight="1" x14ac:dyDescent="0.4">
      <c r="B436" s="4" t="s">
        <v>819</v>
      </c>
      <c r="C436" s="3"/>
      <c r="D436" s="8"/>
      <c r="E436" s="8"/>
      <c r="F436" s="8"/>
      <c r="G436" s="3"/>
      <c r="J436" s="495"/>
      <c r="L436" s="5"/>
      <c r="Q436" s="3"/>
      <c r="R436" s="5"/>
      <c r="S436" s="5">
        <v>1</v>
      </c>
      <c r="T436" s="3" t="s">
        <v>385</v>
      </c>
      <c r="V436" s="4"/>
      <c r="W436" s="4"/>
      <c r="X436" s="56"/>
      <c r="Y436" s="1443">
        <v>620001000</v>
      </c>
      <c r="AA436" s="14">
        <v>45</v>
      </c>
      <c r="AB436" s="3">
        <v>45</v>
      </c>
      <c r="AC436" s="5"/>
      <c r="AD436" s="56">
        <v>0</v>
      </c>
      <c r="AE436" s="3" t="s">
        <v>385</v>
      </c>
      <c r="AF436" s="38" t="s">
        <v>369</v>
      </c>
      <c r="AG436" s="38" t="s">
        <v>369</v>
      </c>
      <c r="AH436" s="477">
        <v>0</v>
      </c>
      <c r="AI436" s="39"/>
      <c r="AJ436" s="39"/>
      <c r="AK436" s="39"/>
      <c r="AL436" s="39">
        <f t="shared" ref="AL436:AL441" si="28">AH436*AD436</f>
        <v>0</v>
      </c>
      <c r="AQ436" s="139"/>
      <c r="AR436" s="139"/>
      <c r="AS436" s="139"/>
      <c r="AT436" s="139"/>
    </row>
    <row r="437" spans="1:47" ht="15" customHeight="1" x14ac:dyDescent="0.4">
      <c r="B437" s="4" t="s">
        <v>822</v>
      </c>
      <c r="C437" s="3"/>
      <c r="D437" s="8"/>
      <c r="E437" s="3"/>
      <c r="F437" s="8"/>
      <c r="G437" s="3"/>
      <c r="L437" s="5"/>
      <c r="Q437" s="3"/>
      <c r="R437" s="5"/>
      <c r="S437" s="5">
        <v>1</v>
      </c>
      <c r="T437" s="3" t="s">
        <v>385</v>
      </c>
      <c r="V437" s="4"/>
      <c r="W437" s="4"/>
      <c r="X437" s="56"/>
      <c r="Y437" s="1443">
        <v>620007000</v>
      </c>
      <c r="AB437" s="3">
        <v>40</v>
      </c>
      <c r="AC437" s="5"/>
      <c r="AD437" s="56">
        <v>0</v>
      </c>
      <c r="AE437" s="3" t="s">
        <v>385</v>
      </c>
      <c r="AF437" s="38" t="s">
        <v>369</v>
      </c>
      <c r="AG437" s="38" t="s">
        <v>369</v>
      </c>
      <c r="AH437" s="477">
        <v>0</v>
      </c>
      <c r="AI437" s="39"/>
      <c r="AJ437" s="39"/>
      <c r="AK437" s="39"/>
      <c r="AL437" s="39">
        <f t="shared" si="28"/>
        <v>0</v>
      </c>
      <c r="AQ437" s="139"/>
      <c r="AR437" s="139"/>
      <c r="AS437" s="139"/>
      <c r="AT437" s="139"/>
    </row>
    <row r="438" spans="1:47" ht="15" customHeight="1" x14ac:dyDescent="0.4">
      <c r="B438" s="4" t="s">
        <v>823</v>
      </c>
      <c r="C438" s="3"/>
      <c r="D438" s="8"/>
      <c r="E438" s="8"/>
      <c r="F438" s="8"/>
      <c r="G438" s="3"/>
      <c r="L438" s="5"/>
      <c r="Q438" s="3"/>
      <c r="R438" s="5"/>
      <c r="S438" s="5">
        <v>1</v>
      </c>
      <c r="T438" s="3" t="s">
        <v>385</v>
      </c>
      <c r="V438" s="4"/>
      <c r="W438" s="4"/>
      <c r="X438" s="56"/>
      <c r="Y438" s="1443">
        <v>620002000</v>
      </c>
      <c r="AA438" s="14">
        <v>45</v>
      </c>
      <c r="AB438" s="3">
        <v>45</v>
      </c>
      <c r="AC438" s="5"/>
      <c r="AD438" s="56">
        <v>24</v>
      </c>
      <c r="AE438" s="3" t="s">
        <v>385</v>
      </c>
      <c r="AF438" s="38" t="s">
        <v>369</v>
      </c>
      <c r="AG438" s="38" t="s">
        <v>369</v>
      </c>
      <c r="AH438" s="477">
        <v>0</v>
      </c>
      <c r="AI438" s="39"/>
      <c r="AJ438" s="39"/>
      <c r="AK438" s="39"/>
      <c r="AL438" s="39">
        <f t="shared" si="28"/>
        <v>0</v>
      </c>
      <c r="AQ438" s="139"/>
      <c r="AR438" s="139"/>
      <c r="AS438" s="139"/>
      <c r="AT438" s="139"/>
    </row>
    <row r="439" spans="1:47" ht="15" customHeight="1" x14ac:dyDescent="0.4">
      <c r="B439" s="4" t="s">
        <v>825</v>
      </c>
      <c r="C439" s="3"/>
      <c r="D439" s="8"/>
      <c r="E439" s="8"/>
      <c r="F439" s="8"/>
      <c r="G439" s="3"/>
      <c r="L439" s="5"/>
      <c r="Q439" s="3"/>
      <c r="R439" s="5"/>
      <c r="S439" s="5">
        <v>1</v>
      </c>
      <c r="T439" s="3" t="s">
        <v>385</v>
      </c>
      <c r="V439" s="4"/>
      <c r="W439" s="4"/>
      <c r="X439" s="56"/>
      <c r="Y439" s="1443">
        <v>620003000</v>
      </c>
      <c r="AA439" s="14">
        <v>45</v>
      </c>
      <c r="AB439" s="3">
        <v>45</v>
      </c>
      <c r="AC439" s="5"/>
      <c r="AD439" s="56">
        <v>0</v>
      </c>
      <c r="AE439" s="3" t="s">
        <v>385</v>
      </c>
      <c r="AF439" s="38" t="s">
        <v>369</v>
      </c>
      <c r="AG439" s="38" t="s">
        <v>369</v>
      </c>
      <c r="AH439" s="477">
        <v>1.2E-2</v>
      </c>
      <c r="AI439" s="39"/>
      <c r="AJ439" s="39"/>
      <c r="AK439" s="39"/>
      <c r="AL439" s="39">
        <f t="shared" si="28"/>
        <v>0</v>
      </c>
      <c r="AQ439" s="139"/>
      <c r="AR439" s="139"/>
      <c r="AS439" s="139"/>
      <c r="AT439" s="139"/>
    </row>
    <row r="440" spans="1:47" ht="15" customHeight="1" x14ac:dyDescent="0.4">
      <c r="B440" s="4" t="s">
        <v>827</v>
      </c>
      <c r="C440" s="3"/>
      <c r="D440" s="8"/>
      <c r="E440" s="3"/>
      <c r="F440" s="8"/>
      <c r="G440" s="3"/>
      <c r="L440" s="5"/>
      <c r="Q440" s="3"/>
      <c r="R440" s="5"/>
      <c r="S440" s="5">
        <v>1</v>
      </c>
      <c r="T440" s="3" t="s">
        <v>385</v>
      </c>
      <c r="V440" s="4"/>
      <c r="W440" s="4"/>
      <c r="X440" s="56"/>
      <c r="Y440" s="1443">
        <v>620008000</v>
      </c>
      <c r="AB440" s="3">
        <v>40</v>
      </c>
      <c r="AC440" s="5"/>
      <c r="AD440" s="56">
        <v>0</v>
      </c>
      <c r="AE440" s="3" t="s">
        <v>385</v>
      </c>
      <c r="AF440" s="38" t="s">
        <v>369</v>
      </c>
      <c r="AG440" s="38" t="s">
        <v>369</v>
      </c>
      <c r="AH440" s="477">
        <v>0</v>
      </c>
      <c r="AI440" s="39"/>
      <c r="AJ440" s="39"/>
      <c r="AK440" s="39"/>
      <c r="AL440" s="39">
        <f t="shared" si="28"/>
        <v>0</v>
      </c>
      <c r="AQ440" s="139"/>
      <c r="AR440" s="139"/>
      <c r="AS440" s="139"/>
      <c r="AT440" s="139"/>
    </row>
    <row r="441" spans="1:47" ht="15" customHeight="1" thickBot="1" x14ac:dyDescent="0.45">
      <c r="B441" s="968" t="s">
        <v>828</v>
      </c>
      <c r="C441" s="889"/>
      <c r="D441" s="949"/>
      <c r="E441" s="949"/>
      <c r="F441" s="949"/>
      <c r="G441" s="889"/>
      <c r="H441" s="948"/>
      <c r="I441" s="889"/>
      <c r="J441" s="889"/>
      <c r="K441" s="889"/>
      <c r="L441" s="945"/>
      <c r="M441" s="945"/>
      <c r="N441" s="945"/>
      <c r="O441" s="945"/>
      <c r="P441" s="945"/>
      <c r="Q441" s="889"/>
      <c r="R441" s="945"/>
      <c r="S441" s="945">
        <v>1</v>
      </c>
      <c r="T441" s="889" t="s">
        <v>385</v>
      </c>
      <c r="U441" s="948"/>
      <c r="V441" s="968"/>
      <c r="W441" s="968"/>
      <c r="X441" s="1156"/>
      <c r="Y441" s="1444">
        <v>620004000</v>
      </c>
      <c r="Z441" s="889"/>
      <c r="AA441" s="948">
        <v>45</v>
      </c>
      <c r="AB441" s="889">
        <v>45</v>
      </c>
      <c r="AC441" s="945"/>
      <c r="AD441" s="1156">
        <v>0</v>
      </c>
      <c r="AE441" s="889" t="s">
        <v>385</v>
      </c>
      <c r="AF441" s="888" t="s">
        <v>369</v>
      </c>
      <c r="AG441" s="888" t="s">
        <v>369</v>
      </c>
      <c r="AH441" s="1157">
        <v>1.84E-2</v>
      </c>
      <c r="AI441" s="947"/>
      <c r="AJ441" s="947"/>
      <c r="AK441" s="947"/>
      <c r="AL441" s="947">
        <f t="shared" si="28"/>
        <v>0</v>
      </c>
      <c r="AM441" s="889"/>
      <c r="AN441" s="889"/>
      <c r="AO441" s="889"/>
      <c r="AP441" s="889"/>
      <c r="AQ441" s="139"/>
      <c r="AR441" s="139"/>
      <c r="AS441" s="139"/>
      <c r="AT441" s="139"/>
    </row>
    <row r="442" spans="1:47" ht="27" customHeight="1" thickBot="1" x14ac:dyDescent="0.45">
      <c r="B442" s="1904" t="str">
        <f>"Sash: "&amp;FIXED(SLQHQSW,3)&amp;" x "&amp;FIXED(SLQHQSH,3)</f>
        <v>Sash: 16.375 x 44.625</v>
      </c>
      <c r="C442" s="1905"/>
      <c r="D442" s="1906"/>
      <c r="E442" s="1906"/>
      <c r="F442" s="1906"/>
      <c r="G442" s="1906"/>
      <c r="H442" s="1907"/>
      <c r="I442" s="1907"/>
      <c r="J442" s="1907"/>
      <c r="K442" s="1907"/>
      <c r="L442" s="1907"/>
      <c r="M442" s="1908"/>
      <c r="N442" s="1908"/>
      <c r="O442" s="1908"/>
      <c r="P442" s="1908"/>
      <c r="Q442" s="1908"/>
      <c r="R442" s="1907"/>
      <c r="S442" s="1908"/>
      <c r="T442" s="1907"/>
      <c r="U442" s="1907"/>
      <c r="V442" s="1909"/>
      <c r="W442" s="1907"/>
      <c r="X442" s="1909"/>
      <c r="Y442" s="1910"/>
      <c r="Z442" s="1907"/>
      <c r="AA442" s="1907"/>
      <c r="AB442" s="1907"/>
      <c r="AC442" s="1907"/>
      <c r="AD442" s="1908"/>
      <c r="AE442" s="1907"/>
      <c r="AF442" s="1907"/>
      <c r="AG442" s="1907"/>
      <c r="AH442" s="1911"/>
      <c r="AI442" s="1911"/>
      <c r="AJ442" s="1911"/>
      <c r="AK442" s="1911"/>
      <c r="AL442" s="1912" t="e">
        <f>SUBTOTAL(109,AL443:AL593)</f>
        <v>#REF!</v>
      </c>
      <c r="AM442" s="1911"/>
      <c r="AN442" s="1911"/>
      <c r="AO442" s="1911"/>
      <c r="AP442" s="1911"/>
      <c r="AQ442" s="139"/>
      <c r="AR442" s="139"/>
      <c r="AS442" s="139"/>
      <c r="AT442" s="139"/>
      <c r="AU442" s="139"/>
    </row>
    <row r="443" spans="1:47" ht="15" customHeight="1" x14ac:dyDescent="0.4">
      <c r="A443" s="3" t="s">
        <v>830</v>
      </c>
      <c r="B443" s="7" t="s">
        <v>830</v>
      </c>
      <c r="C443" s="7"/>
      <c r="D443" s="4" t="s">
        <v>831</v>
      </c>
      <c r="E443" s="7"/>
      <c r="F443" s="7"/>
      <c r="G443" s="7"/>
      <c r="I443" s="3" t="s">
        <v>392</v>
      </c>
      <c r="J443" s="3" t="s">
        <v>346</v>
      </c>
      <c r="K443" s="3">
        <v>4</v>
      </c>
      <c r="L443" s="3" t="s">
        <v>348</v>
      </c>
      <c r="M443" s="5">
        <v>-1.5</v>
      </c>
      <c r="P443" s="3"/>
      <c r="R443" s="3" t="s">
        <v>352</v>
      </c>
      <c r="S443" s="5">
        <f>SLQHQwidth/K443+M443</f>
        <v>16.375</v>
      </c>
      <c r="T443" s="3" t="s">
        <v>366</v>
      </c>
      <c r="V443" s="38"/>
      <c r="X443" s="38"/>
      <c r="Y443" s="1443"/>
      <c r="AH443" s="477"/>
      <c r="AI443" s="477"/>
      <c r="AJ443" s="477"/>
      <c r="AK443" s="477"/>
      <c r="AL443" s="477"/>
      <c r="AQ443" s="139"/>
      <c r="AR443" s="139"/>
      <c r="AS443" s="139"/>
      <c r="AT443" s="139"/>
      <c r="AU443" s="139"/>
    </row>
    <row r="444" spans="1:47" ht="15" customHeight="1" thickBot="1" x14ac:dyDescent="0.45">
      <c r="A444" s="3" t="s">
        <v>832</v>
      </c>
      <c r="B444" s="7" t="s">
        <v>832</v>
      </c>
      <c r="C444" s="7"/>
      <c r="D444" s="4" t="s">
        <v>831</v>
      </c>
      <c r="E444" s="7"/>
      <c r="F444" s="7"/>
      <c r="G444" s="7"/>
      <c r="I444" s="3" t="s">
        <v>365</v>
      </c>
      <c r="L444" s="3" t="s">
        <v>348</v>
      </c>
      <c r="M444" s="5">
        <v>-2.875</v>
      </c>
      <c r="P444" s="3"/>
      <c r="R444" s="3" t="s">
        <v>352</v>
      </c>
      <c r="S444" s="5">
        <f>SLQHQheight+M444</f>
        <v>44.625</v>
      </c>
      <c r="T444" s="3" t="s">
        <v>366</v>
      </c>
      <c r="V444" s="38"/>
      <c r="X444" s="38"/>
      <c r="Y444" s="1443"/>
      <c r="AH444" s="477"/>
      <c r="AI444" s="477"/>
      <c r="AJ444" s="477"/>
      <c r="AK444" s="477"/>
      <c r="AL444" s="477"/>
      <c r="AQ444" s="139"/>
      <c r="AR444" s="139"/>
      <c r="AS444" s="139"/>
      <c r="AT444" s="139"/>
      <c r="AU444" s="139"/>
    </row>
    <row r="445" spans="1:47" ht="15" customHeight="1" thickBot="1" x14ac:dyDescent="0.45">
      <c r="B445" s="484" t="s">
        <v>449</v>
      </c>
      <c r="C445" s="484"/>
      <c r="D445" s="484"/>
      <c r="E445" s="484"/>
      <c r="F445" s="484"/>
      <c r="G445" s="484"/>
      <c r="H445" s="485"/>
      <c r="I445" s="485"/>
      <c r="J445" s="485"/>
      <c r="K445" s="485"/>
      <c r="L445" s="485"/>
      <c r="M445" s="485"/>
      <c r="N445" s="485"/>
      <c r="O445" s="485"/>
      <c r="P445" s="485"/>
      <c r="Q445" s="485"/>
      <c r="R445" s="485"/>
      <c r="S445" s="486"/>
      <c r="T445" s="485"/>
      <c r="U445" s="485"/>
      <c r="V445" s="484"/>
      <c r="W445" s="484"/>
      <c r="X445" s="484"/>
      <c r="Y445" s="1620"/>
      <c r="Z445" s="487"/>
      <c r="AA445" s="485"/>
      <c r="AB445" s="487"/>
      <c r="AC445" s="485"/>
      <c r="AD445" s="486"/>
      <c r="AE445" s="485"/>
      <c r="AF445" s="485"/>
      <c r="AG445" s="485"/>
      <c r="AH445" s="194"/>
      <c r="AI445" s="194"/>
      <c r="AJ445" s="194"/>
      <c r="AK445" s="194"/>
      <c r="AL445" s="194"/>
      <c r="AM445" s="194"/>
      <c r="AN445" s="194"/>
      <c r="AO445" s="194"/>
      <c r="AP445" s="194"/>
      <c r="AQ445" s="139"/>
      <c r="AR445" s="139"/>
      <c r="AS445" s="139"/>
      <c r="AT445" s="139"/>
      <c r="AU445" s="139"/>
    </row>
    <row r="446" spans="1:47" ht="15" customHeight="1" x14ac:dyDescent="0.4">
      <c r="A446" s="3" t="s">
        <v>1260</v>
      </c>
      <c r="B446" s="181" t="s">
        <v>1357</v>
      </c>
      <c r="C446" s="173"/>
      <c r="D446" s="138" t="s">
        <v>848</v>
      </c>
      <c r="E446" s="173"/>
      <c r="F446" s="173"/>
      <c r="G446" s="173"/>
      <c r="H446" s="193"/>
      <c r="I446" s="116" t="s">
        <v>392</v>
      </c>
      <c r="J446" s="116" t="s">
        <v>346</v>
      </c>
      <c r="K446" s="116">
        <v>4</v>
      </c>
      <c r="L446" s="116" t="s">
        <v>348</v>
      </c>
      <c r="M446" s="177">
        <v>-1.5</v>
      </c>
      <c r="N446" s="177" t="s">
        <v>348</v>
      </c>
      <c r="O446" s="177">
        <v>0.25</v>
      </c>
      <c r="P446" s="116"/>
      <c r="Q446" s="177"/>
      <c r="R446" s="116" t="s">
        <v>352</v>
      </c>
      <c r="S446" s="177">
        <f>SLQHQwidth/K446+M446+O446</f>
        <v>16.625</v>
      </c>
      <c r="T446" s="116" t="s">
        <v>366</v>
      </c>
      <c r="U446" s="193"/>
      <c r="V446" s="179"/>
      <c r="W446" s="116"/>
      <c r="X446" s="179"/>
      <c r="Y446" s="1449"/>
      <c r="Z446" s="116"/>
      <c r="AA446" s="193"/>
      <c r="AB446" s="116">
        <v>42</v>
      </c>
      <c r="AC446" s="116">
        <v>4</v>
      </c>
      <c r="AD446" s="177">
        <f>AC446*S446/12</f>
        <v>5.541666666666667</v>
      </c>
      <c r="AE446" s="116" t="s">
        <v>367</v>
      </c>
      <c r="AF446" s="179">
        <v>0.39600000000000002</v>
      </c>
      <c r="AG446" s="177">
        <f>AF446*AtolbperftQHQ</f>
        <v>0.25046999999999997</v>
      </c>
      <c r="AH446" s="185"/>
      <c r="AI446" s="180"/>
      <c r="AJ446" s="180"/>
      <c r="AK446" s="180"/>
      <c r="AL446" s="180"/>
      <c r="AQ446" s="139"/>
      <c r="AR446" s="139"/>
      <c r="AS446" s="139"/>
      <c r="AT446" s="139"/>
      <c r="AU446" s="139"/>
    </row>
    <row r="447" spans="1:47" ht="15" customHeight="1" x14ac:dyDescent="0.4">
      <c r="B447" s="36"/>
      <c r="C447" s="155"/>
      <c r="D447" s="155"/>
      <c r="E447" s="155"/>
      <c r="F447" s="155"/>
      <c r="G447" s="155"/>
      <c r="V447" s="38" t="s">
        <v>369</v>
      </c>
      <c r="W447" s="3" t="s">
        <v>370</v>
      </c>
      <c r="X447" s="38" t="s">
        <v>369</v>
      </c>
      <c r="Y447" s="1443">
        <v>200184003</v>
      </c>
      <c r="Z447" s="41"/>
      <c r="AE447" s="3"/>
      <c r="AF447" s="38"/>
      <c r="AH447" s="39">
        <f>0.91*AG446</f>
        <v>0.22792769999999998</v>
      </c>
      <c r="AI447" s="39"/>
      <c r="AJ447" s="39"/>
      <c r="AK447" s="39"/>
      <c r="AL447" s="39">
        <f>AH447*AD446</f>
        <v>1.2630993374999999</v>
      </c>
      <c r="AQ447" s="139"/>
      <c r="AR447" s="139"/>
      <c r="AS447" s="139"/>
      <c r="AT447" s="139"/>
      <c r="AU447" s="139"/>
    </row>
    <row r="448" spans="1:47" ht="15" customHeight="1" x14ac:dyDescent="0.4">
      <c r="B448" s="36"/>
      <c r="C448" s="155"/>
      <c r="D448" s="155"/>
      <c r="E448" s="155"/>
      <c r="F448" s="155"/>
      <c r="G448" s="155"/>
      <c r="P448" s="3"/>
      <c r="V448" s="38" t="s">
        <v>369</v>
      </c>
      <c r="W448" s="3" t="s">
        <v>372</v>
      </c>
      <c r="X448" s="38" t="s">
        <v>369</v>
      </c>
      <c r="Y448" s="1443">
        <v>200184021</v>
      </c>
      <c r="Z448" s="41"/>
      <c r="AE448" s="3"/>
      <c r="AF448" s="3"/>
      <c r="AH448" s="39">
        <f>1*AG446</f>
        <v>0.25046999999999997</v>
      </c>
      <c r="AI448" s="39"/>
      <c r="AJ448" s="39"/>
      <c r="AK448" s="39"/>
      <c r="AL448" s="39">
        <f>AH448*AD446</f>
        <v>1.38802125</v>
      </c>
      <c r="AQ448" s="139"/>
      <c r="AR448" s="139"/>
      <c r="AS448" s="139"/>
      <c r="AT448" s="139"/>
      <c r="AU448" s="139"/>
    </row>
    <row r="449" spans="1:47" ht="15" customHeight="1" x14ac:dyDescent="0.4">
      <c r="B449" s="36"/>
      <c r="C449" s="155"/>
      <c r="D449" s="155"/>
      <c r="E449" s="155"/>
      <c r="F449" s="155"/>
      <c r="G449" s="155"/>
      <c r="P449" s="3"/>
      <c r="V449" s="38" t="s">
        <v>369</v>
      </c>
      <c r="W449" s="3" t="s">
        <v>373</v>
      </c>
      <c r="X449" s="38" t="s">
        <v>369</v>
      </c>
      <c r="Y449" s="1443">
        <v>200184033</v>
      </c>
      <c r="Z449" s="41"/>
      <c r="AE449" s="3"/>
      <c r="AF449" s="3"/>
      <c r="AH449" s="39">
        <f>1*AG446</f>
        <v>0.25046999999999997</v>
      </c>
      <c r="AI449" s="39"/>
      <c r="AJ449" s="39"/>
      <c r="AK449" s="39"/>
      <c r="AL449" s="39">
        <f>AH449*AD446</f>
        <v>1.38802125</v>
      </c>
      <c r="AQ449" s="139"/>
      <c r="AR449" s="139"/>
      <c r="AS449" s="139"/>
      <c r="AT449" s="139"/>
      <c r="AU449" s="139"/>
    </row>
    <row r="450" spans="1:47" ht="15" customHeight="1" x14ac:dyDescent="0.4">
      <c r="B450" s="36"/>
      <c r="C450" s="155"/>
      <c r="D450" s="155"/>
      <c r="E450" s="155"/>
      <c r="F450" s="155"/>
      <c r="G450" s="155"/>
      <c r="P450" s="3"/>
      <c r="V450" s="3" t="s">
        <v>2363</v>
      </c>
      <c r="W450" s="3" t="s">
        <v>370</v>
      </c>
      <c r="X450" s="38" t="s">
        <v>369</v>
      </c>
      <c r="Y450" s="1443">
        <v>200184127</v>
      </c>
      <c r="Z450" s="41"/>
      <c r="AE450" s="3"/>
      <c r="AF450" s="3"/>
      <c r="AH450" s="39"/>
      <c r="AI450" s="39"/>
      <c r="AJ450" s="39"/>
      <c r="AK450" s="39"/>
      <c r="AQ450" s="139"/>
      <c r="AR450" s="139"/>
      <c r="AS450" s="139"/>
      <c r="AT450" s="139"/>
      <c r="AU450" s="139"/>
    </row>
    <row r="451" spans="1:47" ht="15" customHeight="1" x14ac:dyDescent="0.4">
      <c r="B451" s="36"/>
      <c r="C451" s="155"/>
      <c r="D451" s="155"/>
      <c r="E451" s="155"/>
      <c r="F451" s="155"/>
      <c r="G451" s="155"/>
      <c r="P451" s="3"/>
      <c r="V451" s="112" t="s">
        <v>2366</v>
      </c>
      <c r="W451" s="112" t="s">
        <v>370</v>
      </c>
      <c r="X451" s="279" t="s">
        <v>369</v>
      </c>
      <c r="Y451" s="1871">
        <v>200184128</v>
      </c>
      <c r="Z451" s="41"/>
      <c r="AE451" s="3"/>
      <c r="AF451" s="3"/>
      <c r="AH451" s="39"/>
      <c r="AI451" s="39"/>
      <c r="AJ451" s="39"/>
      <c r="AK451" s="39"/>
      <c r="AQ451" s="139"/>
      <c r="AR451" s="139"/>
      <c r="AS451" s="139"/>
      <c r="AT451" s="139"/>
      <c r="AU451" s="139"/>
    </row>
    <row r="452" spans="1:47" ht="15" customHeight="1" x14ac:dyDescent="0.4">
      <c r="B452" s="36"/>
      <c r="C452" s="155"/>
      <c r="D452" s="155"/>
      <c r="E452" s="155"/>
      <c r="F452" s="155"/>
      <c r="G452" s="155"/>
      <c r="P452" s="3"/>
      <c r="V452" s="3" t="s">
        <v>2364</v>
      </c>
      <c r="W452" s="3" t="s">
        <v>370</v>
      </c>
      <c r="X452" s="38" t="s">
        <v>369</v>
      </c>
      <c r="Y452" s="1443">
        <v>200184129</v>
      </c>
      <c r="Z452" s="41"/>
      <c r="AE452" s="3"/>
      <c r="AF452" s="3"/>
      <c r="AH452" s="39">
        <v>0</v>
      </c>
      <c r="AI452" s="39"/>
      <c r="AJ452" s="39"/>
      <c r="AK452" s="39"/>
      <c r="AL452" s="39">
        <f>AH452*AD449</f>
        <v>0</v>
      </c>
      <c r="AQ452" s="139"/>
      <c r="AR452" s="139"/>
      <c r="AS452" s="139"/>
      <c r="AT452" s="139"/>
      <c r="AU452" s="139"/>
    </row>
    <row r="453" spans="1:47" ht="15" customHeight="1" x14ac:dyDescent="0.4">
      <c r="B453" s="36"/>
      <c r="C453" s="155"/>
      <c r="D453" s="155"/>
      <c r="E453" s="155"/>
      <c r="F453" s="155"/>
      <c r="G453" s="155"/>
      <c r="P453" s="3"/>
      <c r="V453" s="3" t="s">
        <v>2365</v>
      </c>
      <c r="W453" s="3" t="s">
        <v>370</v>
      </c>
      <c r="X453" s="38" t="s">
        <v>369</v>
      </c>
      <c r="Y453" s="1443">
        <v>200184180</v>
      </c>
      <c r="Z453" s="41"/>
      <c r="AE453" s="3"/>
      <c r="AF453" s="3"/>
      <c r="AH453" s="39"/>
      <c r="AI453" s="39"/>
      <c r="AJ453" s="39"/>
      <c r="AK453" s="39"/>
      <c r="AL453" s="39">
        <f t="shared" ref="AL453:AL454" si="29">AH453*AD450</f>
        <v>0</v>
      </c>
      <c r="AQ453" s="139"/>
      <c r="AR453" s="139"/>
      <c r="AS453" s="139"/>
      <c r="AT453" s="139"/>
      <c r="AU453" s="139"/>
    </row>
    <row r="454" spans="1:47" ht="15" customHeight="1" x14ac:dyDescent="0.4">
      <c r="B454" s="36"/>
      <c r="C454" s="155"/>
      <c r="D454" s="155"/>
      <c r="E454" s="155"/>
      <c r="F454" s="155"/>
      <c r="G454" s="155"/>
      <c r="P454" s="3"/>
      <c r="V454" s="112" t="s">
        <v>2367</v>
      </c>
      <c r="W454" s="112" t="s">
        <v>370</v>
      </c>
      <c r="X454" s="279" t="s">
        <v>369</v>
      </c>
      <c r="Y454" s="1871">
        <v>200184152</v>
      </c>
      <c r="Z454" s="41"/>
      <c r="AE454" s="3"/>
      <c r="AF454" s="3"/>
      <c r="AH454" s="39">
        <v>0</v>
      </c>
      <c r="AI454" s="39"/>
      <c r="AJ454" s="39"/>
      <c r="AK454" s="39"/>
      <c r="AL454" s="39">
        <f t="shared" si="29"/>
        <v>0</v>
      </c>
      <c r="AQ454" s="139"/>
      <c r="AR454" s="139"/>
      <c r="AS454" s="139"/>
      <c r="AT454" s="139"/>
      <c r="AU454" s="139"/>
    </row>
    <row r="455" spans="1:47" ht="15" customHeight="1" x14ac:dyDescent="0.4">
      <c r="B455" s="36"/>
      <c r="C455" s="623"/>
      <c r="D455" s="623"/>
      <c r="E455" s="623"/>
      <c r="F455" s="623"/>
      <c r="G455" s="623"/>
      <c r="H455" s="574"/>
      <c r="I455" s="577"/>
      <c r="J455" s="577"/>
      <c r="K455" s="577"/>
      <c r="L455" s="577"/>
      <c r="M455" s="575"/>
      <c r="N455" s="575"/>
      <c r="O455" s="575"/>
      <c r="P455" s="577"/>
      <c r="Q455" s="575"/>
      <c r="R455" s="577"/>
      <c r="S455" s="575"/>
      <c r="T455" s="577"/>
      <c r="U455" s="574"/>
      <c r="V455" s="577" t="s">
        <v>2365</v>
      </c>
      <c r="W455" s="577" t="s">
        <v>370</v>
      </c>
      <c r="X455" s="579" t="s">
        <v>2365</v>
      </c>
      <c r="Y455" s="1446">
        <v>200184181</v>
      </c>
      <c r="Z455" s="864"/>
      <c r="AA455" s="574"/>
      <c r="AB455" s="577"/>
      <c r="AC455" s="577"/>
      <c r="AD455" s="575"/>
      <c r="AE455" s="577"/>
      <c r="AF455" s="577"/>
      <c r="AG455" s="575"/>
      <c r="AH455" s="581"/>
      <c r="AI455" s="581"/>
      <c r="AJ455" s="581"/>
      <c r="AK455" s="581"/>
      <c r="AL455" s="581"/>
      <c r="AM455" s="577"/>
      <c r="AN455" s="577"/>
      <c r="AO455" s="577"/>
      <c r="AP455" s="577"/>
      <c r="AQ455" s="139"/>
      <c r="AR455" s="139"/>
      <c r="AS455" s="139"/>
      <c r="AT455" s="139"/>
      <c r="AU455" s="139"/>
    </row>
    <row r="456" spans="1:47" ht="15" customHeight="1" x14ac:dyDescent="0.4">
      <c r="B456" s="36"/>
      <c r="C456" s="447" t="s">
        <v>1220</v>
      </c>
      <c r="D456" s="155"/>
      <c r="E456" s="155"/>
      <c r="F456" s="155"/>
      <c r="G456" s="155"/>
      <c r="I456" s="3" t="s">
        <v>392</v>
      </c>
      <c r="J456" s="3" t="s">
        <v>346</v>
      </c>
      <c r="K456" s="3">
        <v>3</v>
      </c>
      <c r="L456" s="3" t="s">
        <v>348</v>
      </c>
      <c r="M456" s="5">
        <f>M446</f>
        <v>-1.5</v>
      </c>
      <c r="N456" s="5" t="s">
        <v>348</v>
      </c>
      <c r="O456" s="5">
        <v>0.25</v>
      </c>
      <c r="P456" s="3" t="s">
        <v>348</v>
      </c>
      <c r="Q456" s="5" t="s">
        <v>2315</v>
      </c>
      <c r="R456" s="3" t="s">
        <v>352</v>
      </c>
      <c r="S456" s="5">
        <f>SLEQwidth/K456+M456+O456+SLEQSORnd</f>
        <v>22.583333333333332</v>
      </c>
      <c r="T456" s="3" t="s">
        <v>366</v>
      </c>
      <c r="V456" s="38" t="s">
        <v>369</v>
      </c>
      <c r="W456" s="3" t="s">
        <v>405</v>
      </c>
      <c r="X456" s="38" t="s">
        <v>369</v>
      </c>
      <c r="Y456" s="1443">
        <v>600042010</v>
      </c>
      <c r="Z456" s="41"/>
      <c r="AB456" s="3">
        <v>45</v>
      </c>
      <c r="AC456" s="3">
        <v>2</v>
      </c>
      <c r="AD456" s="5">
        <f>S456*AC456/12</f>
        <v>3.7638888888888888</v>
      </c>
      <c r="AE456" s="3" t="s">
        <v>367</v>
      </c>
      <c r="AF456" s="3"/>
      <c r="AG456" s="3"/>
      <c r="AH456" s="51">
        <f>'Single Hung'!AI782</f>
        <v>3.3500000000000002E-2</v>
      </c>
      <c r="AI456" s="39"/>
      <c r="AJ456" s="39"/>
      <c r="AK456" s="39"/>
      <c r="AL456" s="51">
        <f>AD$456*AH456+SUM(AI456:AK456)</f>
        <v>0.12609027777777779</v>
      </c>
      <c r="AR456" s="139"/>
      <c r="AS456" s="139"/>
      <c r="AT456" s="139"/>
      <c r="AU456" s="139"/>
    </row>
    <row r="457" spans="1:47" ht="15" customHeight="1" thickBot="1" x14ac:dyDescent="0.45">
      <c r="B457" s="943"/>
      <c r="C457" s="944" t="s">
        <v>1221</v>
      </c>
      <c r="D457" s="925"/>
      <c r="E457" s="925"/>
      <c r="F457" s="925"/>
      <c r="G457" s="925"/>
      <c r="H457" s="948"/>
      <c r="I457" s="889"/>
      <c r="J457" s="889"/>
      <c r="K457" s="889"/>
      <c r="L457" s="889"/>
      <c r="M457" s="945"/>
      <c r="N457" s="945"/>
      <c r="O457" s="945"/>
      <c r="P457" s="889"/>
      <c r="Q457" s="945"/>
      <c r="R457" s="889"/>
      <c r="S457" s="945"/>
      <c r="T457" s="889"/>
      <c r="U457" s="948"/>
      <c r="V457" s="888" t="s">
        <v>369</v>
      </c>
      <c r="W457" s="889" t="s">
        <v>405</v>
      </c>
      <c r="X457" s="888" t="s">
        <v>369</v>
      </c>
      <c r="Y457" s="1443">
        <v>600050010</v>
      </c>
      <c r="Z457" s="946"/>
      <c r="AA457" s="948"/>
      <c r="AB457" s="889"/>
      <c r="AC457" s="889"/>
      <c r="AD457" s="945"/>
      <c r="AE457" s="889"/>
      <c r="AF457" s="889"/>
      <c r="AG457" s="945"/>
      <c r="AH457" s="947"/>
      <c r="AI457" s="947"/>
      <c r="AJ457" s="947"/>
      <c r="AK457" s="947"/>
      <c r="AM457" s="889"/>
      <c r="AN457" s="889"/>
      <c r="AO457" s="889"/>
      <c r="AP457" s="889"/>
      <c r="AR457" s="139"/>
      <c r="AS457" s="139"/>
      <c r="AT457" s="139"/>
      <c r="AU457" s="139"/>
    </row>
    <row r="458" spans="1:47" ht="15" customHeight="1" x14ac:dyDescent="0.4">
      <c r="A458" s="3" t="s">
        <v>1262</v>
      </c>
      <c r="B458" s="181" t="s">
        <v>1263</v>
      </c>
      <c r="C458" s="173"/>
      <c r="D458" s="138" t="s">
        <v>848</v>
      </c>
      <c r="E458" s="173"/>
      <c r="F458" s="173"/>
      <c r="G458" s="173"/>
      <c r="H458" s="193"/>
      <c r="I458" s="116" t="s">
        <v>365</v>
      </c>
      <c r="J458" s="116"/>
      <c r="K458" s="116"/>
      <c r="L458" s="116" t="s">
        <v>348</v>
      </c>
      <c r="M458" s="177">
        <v>-2.875</v>
      </c>
      <c r="N458" s="177" t="s">
        <v>348</v>
      </c>
      <c r="O458" s="177">
        <v>0.25</v>
      </c>
      <c r="P458" s="177"/>
      <c r="Q458" s="177"/>
      <c r="R458" s="381" t="s">
        <v>352</v>
      </c>
      <c r="S458" s="177">
        <f>SLQHQheight+M458+O458</f>
        <v>44.875</v>
      </c>
      <c r="T458" s="381" t="s">
        <v>366</v>
      </c>
      <c r="U458" s="193"/>
      <c r="V458" s="179"/>
      <c r="W458" s="116"/>
      <c r="X458" s="179"/>
      <c r="Y458" s="1449"/>
      <c r="Z458" s="116"/>
      <c r="AA458" s="193"/>
      <c r="AB458" s="116">
        <v>42</v>
      </c>
      <c r="AC458" s="116">
        <v>2</v>
      </c>
      <c r="AD458" s="177">
        <f>AC458*S458/12</f>
        <v>7.479166666666667</v>
      </c>
      <c r="AE458" s="116" t="s">
        <v>367</v>
      </c>
      <c r="AF458" s="179">
        <v>0.495</v>
      </c>
      <c r="AG458" s="177">
        <f>AF458*AtolbperftQHQ</f>
        <v>0.31308749999999996</v>
      </c>
      <c r="AH458" s="185"/>
      <c r="AI458" s="180"/>
      <c r="AJ458" s="180"/>
      <c r="AK458" s="180"/>
      <c r="AL458" s="180"/>
      <c r="AQ458" s="139"/>
      <c r="AR458" s="139"/>
      <c r="AS458" s="139"/>
      <c r="AT458" s="139"/>
      <c r="AU458" s="139"/>
    </row>
    <row r="459" spans="1:47" ht="15" customHeight="1" x14ac:dyDescent="0.4">
      <c r="B459" s="36"/>
      <c r="C459" s="7"/>
      <c r="D459" s="7"/>
      <c r="E459" s="7"/>
      <c r="F459" s="7"/>
      <c r="G459" s="7"/>
      <c r="R459" s="376"/>
      <c r="T459" s="376"/>
      <c r="V459" s="38" t="s">
        <v>369</v>
      </c>
      <c r="W459" s="3" t="s">
        <v>370</v>
      </c>
      <c r="X459" s="38" t="s">
        <v>369</v>
      </c>
      <c r="Y459" s="1443">
        <v>200131003</v>
      </c>
      <c r="Z459" s="41"/>
      <c r="AE459" s="3"/>
      <c r="AF459" s="38"/>
      <c r="AH459" s="39">
        <f>0.91*AG458</f>
        <v>0.284909625</v>
      </c>
      <c r="AI459" s="39"/>
      <c r="AJ459" s="39"/>
      <c r="AK459" s="39"/>
      <c r="AL459" s="39">
        <f>AH459*AD458</f>
        <v>2.1308865703125002</v>
      </c>
      <c r="AQ459" s="139"/>
      <c r="AR459" s="139"/>
      <c r="AS459" s="139"/>
      <c r="AT459" s="139"/>
      <c r="AU459" s="139"/>
    </row>
    <row r="460" spans="1:47" ht="15" customHeight="1" x14ac:dyDescent="0.4">
      <c r="B460" s="36"/>
      <c r="C460" s="7"/>
      <c r="D460" s="7"/>
      <c r="E460" s="7"/>
      <c r="F460" s="7"/>
      <c r="G460" s="7"/>
      <c r="R460" s="376"/>
      <c r="T460" s="376"/>
      <c r="V460" s="38" t="s">
        <v>369</v>
      </c>
      <c r="W460" s="3" t="s">
        <v>372</v>
      </c>
      <c r="X460" s="38" t="s">
        <v>369</v>
      </c>
      <c r="Y460" s="1443">
        <v>200131021</v>
      </c>
      <c r="Z460" s="41"/>
      <c r="AE460" s="3"/>
      <c r="AF460" s="3"/>
      <c r="AH460" s="39">
        <f>1*AG458</f>
        <v>0.31308749999999996</v>
      </c>
      <c r="AI460" s="39"/>
      <c r="AJ460" s="39"/>
      <c r="AK460" s="39"/>
      <c r="AL460" s="39">
        <f>AH460*AD458</f>
        <v>2.3416335937499997</v>
      </c>
      <c r="AQ460" s="139"/>
      <c r="AR460" s="139"/>
      <c r="AS460" s="139"/>
      <c r="AT460" s="139"/>
      <c r="AU460" s="139"/>
    </row>
    <row r="461" spans="1:47" ht="15" customHeight="1" x14ac:dyDescent="0.4">
      <c r="B461" s="36"/>
      <c r="C461" s="3"/>
      <c r="D461" s="3"/>
      <c r="E461" s="3"/>
      <c r="F461" s="3"/>
      <c r="G461" s="7"/>
      <c r="R461" s="376"/>
      <c r="T461" s="376"/>
      <c r="V461" s="38" t="s">
        <v>369</v>
      </c>
      <c r="W461" s="3" t="s">
        <v>373</v>
      </c>
      <c r="X461" s="38" t="s">
        <v>369</v>
      </c>
      <c r="Y461" s="1443">
        <v>200131033</v>
      </c>
      <c r="Z461" s="41"/>
      <c r="AE461" s="3"/>
      <c r="AF461" s="3"/>
      <c r="AH461" s="39">
        <f>1*AG458</f>
        <v>0.31308749999999996</v>
      </c>
      <c r="AL461" s="39">
        <f>AH461*AD458</f>
        <v>2.3416335937499997</v>
      </c>
      <c r="AQ461" s="139"/>
      <c r="AR461" s="139"/>
      <c r="AS461" s="139"/>
      <c r="AT461" s="139"/>
      <c r="AU461" s="139"/>
    </row>
    <row r="462" spans="1:47" ht="15" customHeight="1" x14ac:dyDescent="0.4">
      <c r="B462" s="36"/>
      <c r="C462" s="3"/>
      <c r="D462" s="3"/>
      <c r="E462" s="3"/>
      <c r="F462" s="3"/>
      <c r="G462" s="7"/>
      <c r="R462" s="376"/>
      <c r="T462" s="376"/>
      <c r="V462" s="3" t="s">
        <v>2363</v>
      </c>
      <c r="W462" s="3" t="s">
        <v>370</v>
      </c>
      <c r="X462" s="38" t="s">
        <v>369</v>
      </c>
      <c r="Y462" s="1443">
        <v>200131127</v>
      </c>
      <c r="Z462" s="41"/>
      <c r="AE462" s="3"/>
      <c r="AF462" s="3"/>
      <c r="AH462" s="39"/>
      <c r="AQ462" s="139"/>
      <c r="AR462" s="139"/>
      <c r="AS462" s="139"/>
      <c r="AT462" s="139"/>
      <c r="AU462" s="139"/>
    </row>
    <row r="463" spans="1:47" ht="15" customHeight="1" x14ac:dyDescent="0.4">
      <c r="B463" s="36"/>
      <c r="C463" s="3"/>
      <c r="D463" s="3"/>
      <c r="E463" s="3"/>
      <c r="F463" s="3"/>
      <c r="G463" s="7"/>
      <c r="R463" s="376"/>
      <c r="T463" s="376"/>
      <c r="V463" s="112" t="s">
        <v>2366</v>
      </c>
      <c r="W463" s="112" t="s">
        <v>370</v>
      </c>
      <c r="X463" s="279" t="s">
        <v>369</v>
      </c>
      <c r="Y463" s="1871">
        <v>200131128</v>
      </c>
      <c r="Z463" s="41"/>
      <c r="AE463" s="3"/>
      <c r="AF463" s="3"/>
      <c r="AH463" s="39"/>
      <c r="AQ463" s="139"/>
      <c r="AR463" s="139"/>
      <c r="AS463" s="139"/>
      <c r="AT463" s="139"/>
      <c r="AU463" s="139"/>
    </row>
    <row r="464" spans="1:47" ht="15" customHeight="1" x14ac:dyDescent="0.4">
      <c r="B464" s="36"/>
      <c r="C464" s="3"/>
      <c r="D464" s="3"/>
      <c r="E464" s="3"/>
      <c r="F464" s="3"/>
      <c r="G464" s="7"/>
      <c r="R464" s="376"/>
      <c r="T464" s="376"/>
      <c r="V464" s="3" t="s">
        <v>2364</v>
      </c>
      <c r="W464" s="3" t="s">
        <v>370</v>
      </c>
      <c r="X464" s="38" t="s">
        <v>369</v>
      </c>
      <c r="Y464" s="1443">
        <v>200131129</v>
      </c>
      <c r="Z464" s="41"/>
      <c r="AE464" s="3"/>
      <c r="AF464" s="3"/>
      <c r="AH464" s="39">
        <v>0</v>
      </c>
      <c r="AL464" s="39">
        <f>AH464*AD461</f>
        <v>0</v>
      </c>
      <c r="AQ464" s="139"/>
      <c r="AR464" s="139"/>
      <c r="AS464" s="139"/>
      <c r="AT464" s="139"/>
      <c r="AU464" s="139"/>
    </row>
    <row r="465" spans="1:47" ht="15" customHeight="1" x14ac:dyDescent="0.4">
      <c r="B465" s="36"/>
      <c r="C465" s="3"/>
      <c r="D465" s="3"/>
      <c r="E465" s="3"/>
      <c r="F465" s="3"/>
      <c r="G465" s="7"/>
      <c r="R465" s="376"/>
      <c r="T465" s="376"/>
      <c r="V465" s="3" t="s">
        <v>2365</v>
      </c>
      <c r="W465" s="3" t="s">
        <v>370</v>
      </c>
      <c r="X465" s="38" t="s">
        <v>369</v>
      </c>
      <c r="Y465" s="1443">
        <v>200131180</v>
      </c>
      <c r="Z465" s="41"/>
      <c r="AE465" s="3"/>
      <c r="AF465" s="3"/>
      <c r="AH465" s="39"/>
      <c r="AQ465" s="139"/>
      <c r="AR465" s="139"/>
      <c r="AS465" s="139"/>
      <c r="AT465" s="139"/>
      <c r="AU465" s="139"/>
    </row>
    <row r="466" spans="1:47" ht="15" customHeight="1" x14ac:dyDescent="0.4">
      <c r="B466" s="36"/>
      <c r="C466" s="3"/>
      <c r="D466" s="3"/>
      <c r="E466" s="3"/>
      <c r="F466" s="3"/>
      <c r="G466" s="7"/>
      <c r="R466" s="376"/>
      <c r="T466" s="376"/>
      <c r="V466" s="112" t="s">
        <v>2367</v>
      </c>
      <c r="W466" s="112" t="s">
        <v>370</v>
      </c>
      <c r="X466" s="279" t="s">
        <v>369</v>
      </c>
      <c r="Y466" s="1871">
        <v>200131152</v>
      </c>
      <c r="Z466" s="41"/>
      <c r="AE466" s="3"/>
      <c r="AF466" s="3"/>
      <c r="AH466" s="39">
        <v>0</v>
      </c>
      <c r="AL466" s="39">
        <f t="shared" ref="AL466" si="30">AH466*AD463</f>
        <v>0</v>
      </c>
      <c r="AQ466" s="139"/>
      <c r="AR466" s="139"/>
      <c r="AS466" s="139"/>
      <c r="AT466" s="139"/>
      <c r="AU466" s="139"/>
    </row>
    <row r="467" spans="1:47" ht="15" customHeight="1" x14ac:dyDescent="0.4">
      <c r="B467" s="36"/>
      <c r="C467" s="577"/>
      <c r="D467" s="577"/>
      <c r="E467" s="577"/>
      <c r="F467" s="577"/>
      <c r="G467" s="221"/>
      <c r="H467" s="574"/>
      <c r="I467" s="577"/>
      <c r="J467" s="577"/>
      <c r="K467" s="577"/>
      <c r="L467" s="577"/>
      <c r="M467" s="575"/>
      <c r="N467" s="575"/>
      <c r="O467" s="575"/>
      <c r="P467" s="575"/>
      <c r="Q467" s="575"/>
      <c r="R467" s="578"/>
      <c r="S467" s="575"/>
      <c r="T467" s="578"/>
      <c r="U467" s="574"/>
      <c r="V467" s="577" t="s">
        <v>2365</v>
      </c>
      <c r="W467" s="577" t="s">
        <v>370</v>
      </c>
      <c r="X467" s="579" t="s">
        <v>2365</v>
      </c>
      <c r="Y467" s="1446">
        <v>200131181</v>
      </c>
      <c r="Z467" s="864"/>
      <c r="AA467" s="574"/>
      <c r="AB467" s="577"/>
      <c r="AC467" s="577"/>
      <c r="AD467" s="575"/>
      <c r="AE467" s="577"/>
      <c r="AF467" s="577"/>
      <c r="AG467" s="575"/>
      <c r="AH467" s="581"/>
      <c r="AI467" s="626"/>
      <c r="AJ467" s="626"/>
      <c r="AK467" s="626"/>
      <c r="AL467" s="581"/>
      <c r="AM467" s="577"/>
      <c r="AN467" s="577"/>
      <c r="AO467" s="577"/>
      <c r="AP467" s="577"/>
      <c r="AQ467" s="139"/>
      <c r="AR467" s="139"/>
      <c r="AS467" s="139"/>
      <c r="AT467" s="139"/>
      <c r="AU467" s="139"/>
    </row>
    <row r="468" spans="1:47" ht="15" customHeight="1" thickBot="1" x14ac:dyDescent="0.45">
      <c r="B468" s="36"/>
      <c r="C468" s="447" t="s">
        <v>1264</v>
      </c>
      <c r="D468" s="3"/>
      <c r="E468" s="155"/>
      <c r="F468" s="155"/>
      <c r="G468" s="7"/>
      <c r="H468" s="20"/>
      <c r="I468" s="3" t="s">
        <v>365</v>
      </c>
      <c r="L468" s="3" t="s">
        <v>348</v>
      </c>
      <c r="M468" s="5">
        <f>M458</f>
        <v>-2.875</v>
      </c>
      <c r="N468" s="5" t="s">
        <v>348</v>
      </c>
      <c r="O468" s="5">
        <v>0.25</v>
      </c>
      <c r="R468" s="376" t="s">
        <v>352</v>
      </c>
      <c r="S468" s="5">
        <f>SLQHQheight+M468+O468</f>
        <v>44.875</v>
      </c>
      <c r="T468" s="376" t="s">
        <v>366</v>
      </c>
      <c r="U468" s="20"/>
      <c r="V468" s="38" t="s">
        <v>369</v>
      </c>
      <c r="W468" s="3" t="s">
        <v>405</v>
      </c>
      <c r="X468" s="38" t="s">
        <v>369</v>
      </c>
      <c r="Y468" s="1443">
        <v>600041010</v>
      </c>
      <c r="Z468" s="1443"/>
      <c r="AA468" s="20"/>
      <c r="AB468" s="3">
        <v>45</v>
      </c>
      <c r="AC468" s="3">
        <v>1</v>
      </c>
      <c r="AD468" s="5">
        <f>S468*AC468/12</f>
        <v>3.7395833333333335</v>
      </c>
      <c r="AE468" s="3" t="s">
        <v>367</v>
      </c>
      <c r="AF468" s="3"/>
      <c r="AG468" s="3"/>
      <c r="AH468" s="51">
        <f>'Single Hung'!AI830</f>
        <v>0</v>
      </c>
      <c r="AI468" s="947"/>
      <c r="AJ468" s="947"/>
      <c r="AK468" s="947"/>
      <c r="AL468" s="51">
        <f>AD$478*AH468+SUM(AI468:AK468)</f>
        <v>0</v>
      </c>
      <c r="AM468" s="889"/>
      <c r="AN468" s="889"/>
      <c r="AO468" s="889"/>
      <c r="AP468" s="889"/>
      <c r="AQ468" s="139"/>
      <c r="AR468" s="139"/>
      <c r="AS468" s="139"/>
      <c r="AT468" s="139"/>
      <c r="AU468" s="139"/>
    </row>
    <row r="469" spans="1:47" ht="15" customHeight="1" x14ac:dyDescent="0.4">
      <c r="A469" s="3" t="s">
        <v>835</v>
      </c>
      <c r="B469" s="181" t="s">
        <v>1259</v>
      </c>
      <c r="C469" s="114"/>
      <c r="D469" s="138"/>
      <c r="E469" s="138"/>
      <c r="F469" s="138"/>
      <c r="G469" s="173"/>
      <c r="H469" s="193"/>
      <c r="I469" s="448" t="s">
        <v>461</v>
      </c>
      <c r="J469" s="116"/>
      <c r="K469" s="116" t="s">
        <v>365</v>
      </c>
      <c r="L469" s="116" t="s">
        <v>465</v>
      </c>
      <c r="M469" s="178">
        <v>25</v>
      </c>
      <c r="N469" s="177"/>
      <c r="O469" s="177"/>
      <c r="P469" s="177"/>
      <c r="Q469" s="177"/>
      <c r="R469" s="381"/>
      <c r="S469" s="177"/>
      <c r="T469" s="381"/>
      <c r="U469" s="193"/>
      <c r="V469" s="179"/>
      <c r="W469" s="116"/>
      <c r="X469" s="179"/>
      <c r="Y469" s="1449"/>
      <c r="Z469" s="116"/>
      <c r="AA469" s="193"/>
      <c r="AB469" s="116"/>
      <c r="AC469" s="480"/>
      <c r="AD469" s="177"/>
      <c r="AE469" s="177"/>
      <c r="AF469" s="177"/>
      <c r="AG469" s="177"/>
      <c r="AH469" s="481"/>
      <c r="AI469" s="39"/>
      <c r="AJ469" s="39"/>
      <c r="AK469" s="39"/>
      <c r="AL469" s="481"/>
      <c r="AQ469" s="139"/>
      <c r="AR469" s="139"/>
      <c r="AS469" s="139"/>
      <c r="AT469" s="139"/>
      <c r="AU469" s="139"/>
    </row>
    <row r="470" spans="1:47" ht="15" customHeight="1" x14ac:dyDescent="0.4">
      <c r="B470" s="36"/>
      <c r="C470" s="3"/>
      <c r="D470" s="3"/>
      <c r="E470" s="3"/>
      <c r="F470" s="3"/>
      <c r="G470" s="7"/>
      <c r="H470" s="20"/>
      <c r="I470" s="3" t="s">
        <v>365</v>
      </c>
      <c r="J470" s="38" t="s">
        <v>346</v>
      </c>
      <c r="K470" s="3">
        <v>2</v>
      </c>
      <c r="L470" s="3" t="s">
        <v>348</v>
      </c>
      <c r="M470" s="5">
        <v>-2.3130000000000002</v>
      </c>
      <c r="P470" s="3"/>
      <c r="R470" s="3" t="s">
        <v>352</v>
      </c>
      <c r="S470" s="24">
        <f>SLQHQheight/K470+M470</f>
        <v>21.437000000000001</v>
      </c>
      <c r="T470" s="3" t="s">
        <v>366</v>
      </c>
      <c r="U470" s="20"/>
      <c r="V470" s="3" t="str">
        <f>IF(SLQHQwidth&lt;M469,"√","")</f>
        <v/>
      </c>
      <c r="W470" s="7"/>
      <c r="X470" s="7"/>
      <c r="Y470" s="1443"/>
      <c r="AA470" s="20"/>
      <c r="AE470" s="3"/>
      <c r="AF470" s="38"/>
      <c r="AG470" s="3"/>
      <c r="AH470" s="39"/>
      <c r="AQ470" s="139"/>
      <c r="AR470" s="139"/>
      <c r="AS470" s="139"/>
      <c r="AT470" s="139"/>
      <c r="AU470" s="139"/>
    </row>
    <row r="471" spans="1:47" ht="15" customHeight="1" x14ac:dyDescent="0.4">
      <c r="B471" s="36"/>
      <c r="C471" s="3"/>
      <c r="D471" s="3"/>
      <c r="E471" s="3"/>
      <c r="F471" s="3"/>
      <c r="G471" s="7"/>
      <c r="H471" s="20"/>
      <c r="I471" s="36" t="s">
        <v>464</v>
      </c>
      <c r="J471" s="38"/>
      <c r="K471" s="3" t="s">
        <v>365</v>
      </c>
      <c r="L471" s="3" t="s">
        <v>463</v>
      </c>
      <c r="M471" s="5">
        <f>M469</f>
        <v>25</v>
      </c>
      <c r="N471" s="5" t="s">
        <v>747</v>
      </c>
      <c r="O471" s="5">
        <v>38</v>
      </c>
      <c r="P471" s="3"/>
      <c r="U471" s="20"/>
      <c r="V471" s="7"/>
      <c r="W471" s="7"/>
      <c r="X471" s="7"/>
      <c r="Y471" s="1443"/>
      <c r="AA471" s="20"/>
      <c r="AE471" s="3"/>
      <c r="AF471" s="38"/>
      <c r="AG471" s="3"/>
      <c r="AH471" s="39"/>
      <c r="AI471" s="39"/>
      <c r="AJ471" s="39"/>
      <c r="AK471" s="39"/>
      <c r="AQ471" s="139"/>
      <c r="AR471" s="139"/>
      <c r="AS471" s="139"/>
      <c r="AT471" s="139"/>
      <c r="AU471" s="139"/>
    </row>
    <row r="472" spans="1:47" ht="15" customHeight="1" x14ac:dyDescent="0.4">
      <c r="B472" s="36"/>
      <c r="C472" s="3"/>
      <c r="D472" s="3"/>
      <c r="E472" s="3"/>
      <c r="F472" s="3"/>
      <c r="G472" s="7"/>
      <c r="H472" s="20"/>
      <c r="J472" s="38"/>
      <c r="M472" s="5">
        <v>7.3129999999999997</v>
      </c>
      <c r="P472" s="3"/>
      <c r="R472" s="3" t="s">
        <v>352</v>
      </c>
      <c r="S472" s="24">
        <f>M472</f>
        <v>7.3129999999999997</v>
      </c>
      <c r="T472" s="3" t="s">
        <v>366</v>
      </c>
      <c r="U472" s="20"/>
      <c r="V472" s="3" t="str">
        <f>IF(AND(SLQHQwidth&gt;=M471,SLQHQwidth&lt;=O471),"√","")</f>
        <v/>
      </c>
      <c r="W472" s="7"/>
      <c r="X472" s="7"/>
      <c r="Y472" s="1443"/>
      <c r="AA472" s="20"/>
      <c r="AE472" s="3"/>
      <c r="AF472" s="38"/>
      <c r="AG472" s="3"/>
      <c r="AH472" s="39"/>
      <c r="AI472" s="39"/>
      <c r="AJ472" s="39"/>
      <c r="AK472" s="39"/>
      <c r="AQ472" s="139"/>
      <c r="AR472" s="139"/>
      <c r="AS472" s="139"/>
      <c r="AT472" s="139"/>
      <c r="AU472" s="139"/>
    </row>
    <row r="473" spans="1:47" ht="15" customHeight="1" x14ac:dyDescent="0.4">
      <c r="B473" s="36"/>
      <c r="C473" s="3"/>
      <c r="D473" s="3"/>
      <c r="E473" s="3"/>
      <c r="F473" s="3"/>
      <c r="G473" s="7"/>
      <c r="I473" s="36" t="s">
        <v>464</v>
      </c>
      <c r="J473" s="38"/>
      <c r="K473" s="3" t="s">
        <v>365</v>
      </c>
      <c r="L473" s="3" t="s">
        <v>1234</v>
      </c>
      <c r="M473" s="5">
        <f>O471</f>
        <v>38</v>
      </c>
      <c r="R473" s="376"/>
      <c r="T473" s="376"/>
      <c r="V473" s="38"/>
      <c r="X473" s="38"/>
      <c r="Y473" s="1443"/>
      <c r="AC473" s="42"/>
      <c r="AH473" s="477"/>
      <c r="AI473" s="39"/>
      <c r="AJ473" s="39"/>
      <c r="AK473" s="39"/>
      <c r="AL473" s="477"/>
      <c r="AQ473" s="139"/>
      <c r="AR473" s="139"/>
      <c r="AS473" s="139"/>
      <c r="AT473" s="139"/>
      <c r="AU473" s="139"/>
    </row>
    <row r="474" spans="1:47" ht="15" customHeight="1" x14ac:dyDescent="0.4">
      <c r="B474" s="36"/>
      <c r="C474" s="3"/>
      <c r="D474" s="3"/>
      <c r="E474" s="3"/>
      <c r="F474" s="3"/>
      <c r="G474" s="7"/>
      <c r="H474" s="20"/>
      <c r="J474" s="38"/>
      <c r="M474" s="5">
        <v>11.313000000000001</v>
      </c>
      <c r="P474" s="3"/>
      <c r="R474" s="3" t="s">
        <v>352</v>
      </c>
      <c r="S474" s="24">
        <f>M474</f>
        <v>11.313000000000001</v>
      </c>
      <c r="T474" s="3" t="s">
        <v>366</v>
      </c>
      <c r="U474" s="20"/>
      <c r="V474" s="3" t="str">
        <f>IF(SLQHQwidth&gt;M473,"√","")</f>
        <v>√</v>
      </c>
      <c r="W474" s="7"/>
      <c r="X474" s="7"/>
      <c r="Y474" s="1443"/>
      <c r="AA474" s="20"/>
      <c r="AE474" s="3"/>
      <c r="AF474" s="38"/>
      <c r="AG474" s="3"/>
      <c r="AH474" s="39"/>
      <c r="AI474" s="39"/>
      <c r="AJ474" s="39"/>
      <c r="AK474" s="39"/>
      <c r="AQ474" s="139"/>
      <c r="AR474" s="139"/>
      <c r="AS474" s="139"/>
      <c r="AT474" s="139"/>
      <c r="AU474" s="139"/>
    </row>
    <row r="475" spans="1:47" ht="15" customHeight="1" thickBot="1" x14ac:dyDescent="0.45">
      <c r="B475" s="943"/>
      <c r="C475" s="889"/>
      <c r="D475" s="889"/>
      <c r="E475" s="889"/>
      <c r="F475" s="889"/>
      <c r="G475" s="924"/>
      <c r="H475" s="948"/>
      <c r="I475" s="889"/>
      <c r="J475" s="889"/>
      <c r="K475" s="889"/>
      <c r="L475" s="889"/>
      <c r="M475" s="945"/>
      <c r="N475" s="945"/>
      <c r="O475" s="945"/>
      <c r="P475" s="945"/>
      <c r="Q475" s="945"/>
      <c r="R475" s="970"/>
      <c r="S475" s="945"/>
      <c r="T475" s="970"/>
      <c r="U475" s="948"/>
      <c r="V475" s="888"/>
      <c r="W475" s="889"/>
      <c r="X475" s="888"/>
      <c r="Y475" s="1444"/>
      <c r="Z475" s="889"/>
      <c r="AA475" s="948"/>
      <c r="AB475" s="889"/>
      <c r="AC475" s="1154"/>
      <c r="AD475" s="945"/>
      <c r="AE475" s="945"/>
      <c r="AF475" s="945"/>
      <c r="AG475" s="945"/>
      <c r="AH475" s="1157"/>
      <c r="AI475" s="947"/>
      <c r="AJ475" s="947"/>
      <c r="AK475" s="947"/>
      <c r="AL475" s="1157"/>
      <c r="AM475" s="889"/>
      <c r="AN475" s="889"/>
      <c r="AO475" s="889"/>
      <c r="AP475" s="889"/>
      <c r="AQ475" s="139"/>
      <c r="AR475" s="139"/>
      <c r="AS475" s="139"/>
      <c r="AT475" s="139"/>
      <c r="AU475" s="139"/>
    </row>
    <row r="476" spans="1:47" ht="15" customHeight="1" x14ac:dyDescent="0.4">
      <c r="A476" s="3" t="s">
        <v>1265</v>
      </c>
      <c r="B476" s="173" t="s">
        <v>1266</v>
      </c>
      <c r="C476" s="173"/>
      <c r="D476" s="173"/>
      <c r="E476" s="173"/>
      <c r="F476" s="173"/>
      <c r="G476" s="173"/>
      <c r="H476" s="193"/>
      <c r="I476" s="116" t="s">
        <v>365</v>
      </c>
      <c r="J476" s="116"/>
      <c r="K476" s="116"/>
      <c r="L476" s="116" t="s">
        <v>348</v>
      </c>
      <c r="M476" s="177">
        <v>-2.875</v>
      </c>
      <c r="N476" s="177"/>
      <c r="O476" s="177">
        <v>0.25</v>
      </c>
      <c r="P476" s="177"/>
      <c r="Q476" s="177"/>
      <c r="R476" s="116" t="s">
        <v>352</v>
      </c>
      <c r="S476" s="177">
        <f>SLQHQheight+M476+O476</f>
        <v>44.875</v>
      </c>
      <c r="T476" s="116" t="s">
        <v>366</v>
      </c>
      <c r="U476" s="193"/>
      <c r="V476" s="179"/>
      <c r="W476" s="179"/>
      <c r="X476" s="179"/>
      <c r="Y476" s="1449"/>
      <c r="Z476" s="116"/>
      <c r="AA476" s="193"/>
      <c r="AB476" s="116">
        <v>42</v>
      </c>
      <c r="AC476" s="116">
        <v>2</v>
      </c>
      <c r="AD476" s="177">
        <f>AC476*S476/12</f>
        <v>7.479166666666667</v>
      </c>
      <c r="AE476" s="116" t="s">
        <v>367</v>
      </c>
      <c r="AF476" s="179">
        <v>0.49</v>
      </c>
      <c r="AG476" s="177">
        <f>AF476*AtolbperftQHQ</f>
        <v>0.30992499999999995</v>
      </c>
      <c r="AH476" s="185"/>
      <c r="AI476" s="9"/>
      <c r="AJ476" s="9"/>
      <c r="AK476" s="9"/>
      <c r="AL476" s="180"/>
      <c r="AQ476" s="139"/>
      <c r="AR476" s="139"/>
      <c r="AS476" s="139"/>
      <c r="AT476" s="139"/>
      <c r="AU476" s="139"/>
    </row>
    <row r="477" spans="1:47" ht="15" customHeight="1" x14ac:dyDescent="0.4">
      <c r="B477" s="8"/>
      <c r="C477" s="7"/>
      <c r="D477" s="7"/>
      <c r="E477" s="7"/>
      <c r="F477" s="7"/>
      <c r="G477" s="7"/>
      <c r="M477" s="350"/>
      <c r="N477" s="350"/>
      <c r="O477" s="350"/>
      <c r="V477" s="38" t="s">
        <v>369</v>
      </c>
      <c r="W477" s="3" t="s">
        <v>370</v>
      </c>
      <c r="X477" s="38" t="s">
        <v>369</v>
      </c>
      <c r="Y477" s="1443">
        <v>200184003</v>
      </c>
      <c r="Z477" s="41"/>
      <c r="AE477" s="3"/>
      <c r="AF477" s="38"/>
      <c r="AH477" s="39">
        <f>0.91*AG476</f>
        <v>0.28203174999999997</v>
      </c>
      <c r="AI477" s="9"/>
      <c r="AJ477" s="9"/>
      <c r="AK477" s="9"/>
      <c r="AL477" s="39">
        <f>AH477*AD476</f>
        <v>2.1093624635416663</v>
      </c>
      <c r="AQ477" s="139"/>
      <c r="AR477" s="139"/>
      <c r="AS477" s="139"/>
      <c r="AT477" s="139"/>
      <c r="AU477" s="139"/>
    </row>
    <row r="478" spans="1:47" ht="15" customHeight="1" x14ac:dyDescent="0.4">
      <c r="B478" s="8"/>
      <c r="C478" s="7"/>
      <c r="D478" s="7"/>
      <c r="E478" s="7"/>
      <c r="F478" s="7"/>
      <c r="G478" s="7"/>
      <c r="M478" s="350"/>
      <c r="N478" s="350"/>
      <c r="O478" s="350"/>
      <c r="V478" s="38" t="s">
        <v>369</v>
      </c>
      <c r="W478" s="3" t="s">
        <v>372</v>
      </c>
      <c r="X478" s="38" t="s">
        <v>369</v>
      </c>
      <c r="Y478" s="1443">
        <v>200184021</v>
      </c>
      <c r="Z478" s="41"/>
      <c r="AE478" s="3"/>
      <c r="AF478" s="3"/>
      <c r="AH478" s="39">
        <f>1*AG476</f>
        <v>0.30992499999999995</v>
      </c>
      <c r="AI478" s="9"/>
      <c r="AJ478" s="9"/>
      <c r="AK478" s="9"/>
      <c r="AL478" s="39">
        <f>AH478*AD476</f>
        <v>2.3179807291666665</v>
      </c>
      <c r="AQ478" s="139"/>
      <c r="AR478" s="139"/>
      <c r="AS478" s="139"/>
      <c r="AT478" s="139"/>
      <c r="AU478" s="139"/>
    </row>
    <row r="479" spans="1:47" ht="15" customHeight="1" x14ac:dyDescent="0.4">
      <c r="B479" s="8"/>
      <c r="C479" s="7"/>
      <c r="D479" s="7"/>
      <c r="E479" s="7"/>
      <c r="F479" s="7"/>
      <c r="G479" s="7"/>
      <c r="M479" s="350"/>
      <c r="N479" s="350"/>
      <c r="O479" s="350"/>
      <c r="V479" s="38" t="s">
        <v>369</v>
      </c>
      <c r="W479" s="3" t="s">
        <v>373</v>
      </c>
      <c r="X479" s="38" t="s">
        <v>369</v>
      </c>
      <c r="Y479" s="1443">
        <v>200184033</v>
      </c>
      <c r="Z479" s="41"/>
      <c r="AE479" s="3"/>
      <c r="AF479" s="3"/>
      <c r="AH479" s="39">
        <f>1*AG476</f>
        <v>0.30992499999999995</v>
      </c>
      <c r="AL479" s="39">
        <f>AH479*AD476</f>
        <v>2.3179807291666665</v>
      </c>
      <c r="AQ479" s="139"/>
      <c r="AR479" s="139"/>
      <c r="AS479" s="139"/>
      <c r="AT479" s="139"/>
      <c r="AU479" s="139"/>
    </row>
    <row r="480" spans="1:47" ht="15" customHeight="1" x14ac:dyDescent="0.4">
      <c r="B480" s="8"/>
      <c r="C480" s="7"/>
      <c r="D480" s="7"/>
      <c r="E480" s="7"/>
      <c r="F480" s="7"/>
      <c r="G480" s="7"/>
      <c r="M480" s="350"/>
      <c r="N480" s="350"/>
      <c r="O480" s="350"/>
      <c r="V480" s="3" t="s">
        <v>2363</v>
      </c>
      <c r="W480" s="3" t="s">
        <v>370</v>
      </c>
      <c r="X480" s="38" t="s">
        <v>369</v>
      </c>
      <c r="Y480" s="1443">
        <v>200184127</v>
      </c>
      <c r="Z480" s="41"/>
      <c r="AE480" s="3"/>
      <c r="AF480" s="3"/>
      <c r="AH480" s="39"/>
      <c r="AQ480" s="139"/>
      <c r="AR480" s="139"/>
      <c r="AS480" s="139"/>
      <c r="AT480" s="139"/>
      <c r="AU480" s="139"/>
    </row>
    <row r="481" spans="1:47" ht="15" customHeight="1" x14ac:dyDescent="0.4">
      <c r="B481" s="8"/>
      <c r="C481" s="7"/>
      <c r="D481" s="7"/>
      <c r="E481" s="7"/>
      <c r="F481" s="7"/>
      <c r="G481" s="7"/>
      <c r="M481" s="350"/>
      <c r="N481" s="350"/>
      <c r="O481" s="350"/>
      <c r="V481" s="112" t="s">
        <v>2366</v>
      </c>
      <c r="W481" s="112" t="s">
        <v>370</v>
      </c>
      <c r="X481" s="279" t="s">
        <v>369</v>
      </c>
      <c r="Y481" s="1871">
        <v>200184128</v>
      </c>
      <c r="Z481" s="41"/>
      <c r="AE481" s="3"/>
      <c r="AF481" s="3"/>
      <c r="AH481" s="39"/>
      <c r="AQ481" s="139"/>
      <c r="AR481" s="139"/>
      <c r="AS481" s="139"/>
      <c r="AT481" s="139"/>
      <c r="AU481" s="139"/>
    </row>
    <row r="482" spans="1:47" ht="15" customHeight="1" x14ac:dyDescent="0.4">
      <c r="B482" s="8"/>
      <c r="C482" s="7"/>
      <c r="D482" s="7"/>
      <c r="E482" s="7"/>
      <c r="F482" s="7"/>
      <c r="G482" s="7"/>
      <c r="M482" s="350"/>
      <c r="N482" s="350"/>
      <c r="O482" s="350"/>
      <c r="V482" s="3" t="s">
        <v>2364</v>
      </c>
      <c r="W482" s="3" t="s">
        <v>370</v>
      </c>
      <c r="X482" s="38" t="s">
        <v>369</v>
      </c>
      <c r="Y482" s="1443">
        <v>200184129</v>
      </c>
      <c r="Z482" s="41"/>
      <c r="AE482" s="3"/>
      <c r="AF482" s="3"/>
      <c r="AH482" s="1919">
        <v>0</v>
      </c>
      <c r="AL482" s="39">
        <f>AH482*AD479</f>
        <v>0</v>
      </c>
      <c r="AQ482" s="139"/>
      <c r="AR482" s="139"/>
      <c r="AS482" s="139"/>
      <c r="AT482" s="139"/>
      <c r="AU482" s="139"/>
    </row>
    <row r="483" spans="1:47" ht="15" customHeight="1" x14ac:dyDescent="0.4">
      <c r="B483" s="8"/>
      <c r="C483" s="7"/>
      <c r="D483" s="7"/>
      <c r="E483" s="7"/>
      <c r="F483" s="7"/>
      <c r="G483" s="7"/>
      <c r="M483" s="350"/>
      <c r="N483" s="350"/>
      <c r="O483" s="350"/>
      <c r="V483" s="3" t="s">
        <v>2365</v>
      </c>
      <c r="W483" s="3" t="s">
        <v>370</v>
      </c>
      <c r="X483" s="38" t="s">
        <v>369</v>
      </c>
      <c r="Y483" s="1443">
        <v>200184180</v>
      </c>
      <c r="Z483" s="41"/>
      <c r="AE483" s="3"/>
      <c r="AF483" s="3"/>
      <c r="AH483" s="39"/>
      <c r="AQ483" s="139"/>
      <c r="AR483" s="139"/>
      <c r="AS483" s="139"/>
      <c r="AT483" s="139"/>
      <c r="AU483" s="139"/>
    </row>
    <row r="484" spans="1:47" ht="15" customHeight="1" x14ac:dyDescent="0.4">
      <c r="B484" s="8"/>
      <c r="C484" s="7"/>
      <c r="D484" s="7"/>
      <c r="E484" s="7"/>
      <c r="F484" s="7"/>
      <c r="G484" s="7"/>
      <c r="M484" s="350"/>
      <c r="N484" s="350"/>
      <c r="O484" s="350"/>
      <c r="V484" s="112" t="s">
        <v>2367</v>
      </c>
      <c r="W484" s="112" t="s">
        <v>370</v>
      </c>
      <c r="X484" s="279" t="s">
        <v>369</v>
      </c>
      <c r="Y484" s="1871">
        <v>200184152</v>
      </c>
      <c r="Z484" s="41"/>
      <c r="AE484" s="3"/>
      <c r="AF484" s="3"/>
      <c r="AH484" s="39">
        <v>0</v>
      </c>
      <c r="AL484" s="39">
        <f t="shared" ref="AL484" si="31">AH484*AD481</f>
        <v>0</v>
      </c>
      <c r="AQ484" s="139"/>
      <c r="AR484" s="139"/>
      <c r="AS484" s="139"/>
      <c r="AT484" s="139"/>
      <c r="AU484" s="139"/>
    </row>
    <row r="485" spans="1:47" ht="15" customHeight="1" x14ac:dyDescent="0.4">
      <c r="B485" s="8"/>
      <c r="C485" s="221"/>
      <c r="D485" s="221"/>
      <c r="E485" s="221"/>
      <c r="F485" s="221"/>
      <c r="G485" s="221"/>
      <c r="H485" s="574"/>
      <c r="I485" s="577"/>
      <c r="J485" s="577"/>
      <c r="K485" s="577"/>
      <c r="L485" s="577"/>
      <c r="M485" s="808"/>
      <c r="N485" s="808"/>
      <c r="O485" s="808"/>
      <c r="P485" s="575"/>
      <c r="Q485" s="575"/>
      <c r="R485" s="577"/>
      <c r="S485" s="575"/>
      <c r="T485" s="577"/>
      <c r="U485" s="574"/>
      <c r="V485" s="577" t="s">
        <v>2365</v>
      </c>
      <c r="W485" s="577" t="s">
        <v>370</v>
      </c>
      <c r="X485" s="579" t="s">
        <v>2365</v>
      </c>
      <c r="Y485" s="1446">
        <v>200184181</v>
      </c>
      <c r="Z485" s="864"/>
      <c r="AA485" s="574"/>
      <c r="AB485" s="577"/>
      <c r="AC485" s="577"/>
      <c r="AD485" s="575"/>
      <c r="AE485" s="577"/>
      <c r="AF485" s="577"/>
      <c r="AG485" s="575"/>
      <c r="AH485" s="581"/>
      <c r="AI485" s="626"/>
      <c r="AJ485" s="626"/>
      <c r="AK485" s="626"/>
      <c r="AL485" s="581"/>
      <c r="AM485" s="577"/>
      <c r="AN485" s="577"/>
      <c r="AO485" s="577"/>
      <c r="AP485" s="577"/>
      <c r="AQ485" s="139"/>
      <c r="AR485" s="139"/>
      <c r="AS485" s="139"/>
      <c r="AT485" s="139"/>
      <c r="AU485" s="139"/>
    </row>
    <row r="486" spans="1:47" ht="15" customHeight="1" x14ac:dyDescent="0.4">
      <c r="B486" s="36"/>
      <c r="C486" s="447" t="s">
        <v>1220</v>
      </c>
      <c r="D486" s="155"/>
      <c r="E486" s="155"/>
      <c r="F486" s="155"/>
      <c r="G486" s="155"/>
      <c r="I486" s="3" t="s">
        <v>392</v>
      </c>
      <c r="J486" s="3" t="s">
        <v>346</v>
      </c>
      <c r="K486" s="3">
        <v>4</v>
      </c>
      <c r="L486" s="3" t="s">
        <v>348</v>
      </c>
      <c r="M486" s="5">
        <f>M476</f>
        <v>-2.875</v>
      </c>
      <c r="N486" s="5" t="s">
        <v>348</v>
      </c>
      <c r="O486" s="5">
        <v>0.25</v>
      </c>
      <c r="P486" s="3"/>
      <c r="R486" s="3" t="s">
        <v>352</v>
      </c>
      <c r="S486" s="5">
        <f>SLQHQheight+M486+O486</f>
        <v>44.875</v>
      </c>
      <c r="T486" s="3" t="s">
        <v>366</v>
      </c>
      <c r="V486" s="38" t="s">
        <v>369</v>
      </c>
      <c r="W486" s="3" t="s">
        <v>405</v>
      </c>
      <c r="X486" s="38" t="s">
        <v>369</v>
      </c>
      <c r="Y486" s="1443">
        <v>600042010</v>
      </c>
      <c r="Z486" s="41"/>
      <c r="AA486" s="20"/>
      <c r="AE486" s="3"/>
      <c r="AF486" s="3"/>
      <c r="AG486" s="3"/>
      <c r="AH486" s="39"/>
      <c r="AI486" s="9"/>
      <c r="AJ486" s="9"/>
      <c r="AK486" s="9"/>
      <c r="AQ486" s="140"/>
      <c r="AR486" s="140"/>
      <c r="AS486" s="139"/>
      <c r="AT486" s="139"/>
      <c r="AU486" s="139"/>
    </row>
    <row r="487" spans="1:47" ht="15" customHeight="1" thickBot="1" x14ac:dyDescent="0.45">
      <c r="B487" s="943"/>
      <c r="C487" s="944" t="s">
        <v>1221</v>
      </c>
      <c r="D487" s="925"/>
      <c r="E487" s="925"/>
      <c r="F487" s="925"/>
      <c r="G487" s="925"/>
      <c r="H487" s="948"/>
      <c r="I487" s="889"/>
      <c r="J487" s="889"/>
      <c r="K487" s="889"/>
      <c r="L487" s="889"/>
      <c r="M487" s="945"/>
      <c r="N487" s="945"/>
      <c r="O487" s="945"/>
      <c r="P487" s="889"/>
      <c r="Q487" s="945"/>
      <c r="R487" s="889"/>
      <c r="S487" s="945"/>
      <c r="T487" s="889"/>
      <c r="U487" s="948"/>
      <c r="V487" s="888" t="s">
        <v>369</v>
      </c>
      <c r="W487" s="889" t="s">
        <v>405</v>
      </c>
      <c r="X487" s="888" t="s">
        <v>369</v>
      </c>
      <c r="Y487" s="1444">
        <v>600050010</v>
      </c>
      <c r="Z487" s="946"/>
      <c r="AA487" s="887"/>
      <c r="AB487" s="889">
        <v>42</v>
      </c>
      <c r="AC487" s="889"/>
      <c r="AD487" s="945" t="e">
        <f>AC487*#REF!/12</f>
        <v>#REF!</v>
      </c>
      <c r="AE487" s="889" t="s">
        <v>367</v>
      </c>
      <c r="AF487" s="889"/>
      <c r="AG487" s="889"/>
      <c r="AH487" s="947">
        <v>0</v>
      </c>
      <c r="AI487" s="1213"/>
      <c r="AJ487" s="1213"/>
      <c r="AK487" s="1213"/>
      <c r="AL487" s="947"/>
      <c r="AM487" s="889"/>
      <c r="AN487" s="889"/>
      <c r="AO487" s="889"/>
      <c r="AP487" s="889"/>
      <c r="AQ487" s="140"/>
      <c r="AR487" s="140"/>
      <c r="AS487" s="139"/>
      <c r="AT487" s="139"/>
      <c r="AU487" s="139"/>
    </row>
    <row r="488" spans="1:47" ht="15" customHeight="1" x14ac:dyDescent="0.4">
      <c r="A488" s="3" t="s">
        <v>503</v>
      </c>
      <c r="B488" s="173" t="s">
        <v>1267</v>
      </c>
      <c r="C488" s="138"/>
      <c r="D488" s="138"/>
      <c r="E488" s="138"/>
      <c r="F488" s="138"/>
      <c r="G488" s="173"/>
      <c r="H488" s="193"/>
      <c r="I488" s="116" t="s">
        <v>392</v>
      </c>
      <c r="J488" s="116" t="s">
        <v>346</v>
      </c>
      <c r="K488" s="116">
        <v>4</v>
      </c>
      <c r="L488" s="116" t="s">
        <v>348</v>
      </c>
      <c r="M488" s="177">
        <v>-3.7810000000000001</v>
      </c>
      <c r="N488" s="177"/>
      <c r="O488" s="177"/>
      <c r="P488" s="177"/>
      <c r="Q488" s="177"/>
      <c r="R488" s="116" t="s">
        <v>352</v>
      </c>
      <c r="S488" s="177">
        <f>SLQHQwidth/K488+M488</f>
        <v>14.093999999999999</v>
      </c>
      <c r="T488" s="116" t="s">
        <v>366</v>
      </c>
      <c r="U488" s="193"/>
      <c r="V488" s="4"/>
      <c r="W488" s="4"/>
      <c r="X488" s="4"/>
      <c r="Y488" s="1443"/>
      <c r="AB488" s="3">
        <v>42</v>
      </c>
      <c r="AC488" s="3">
        <v>4</v>
      </c>
      <c r="AD488" s="5">
        <f>AC488*S488/12</f>
        <v>4.6979999999999995</v>
      </c>
      <c r="AE488" s="3" t="s">
        <v>367</v>
      </c>
      <c r="AF488" s="38">
        <v>2.8000000000000001E-2</v>
      </c>
      <c r="AG488" s="5">
        <f>AF488*AtolbperftQHQ</f>
        <v>1.771E-2</v>
      </c>
      <c r="AI488" s="39"/>
      <c r="AJ488" s="39"/>
      <c r="AK488" s="39"/>
      <c r="AL488" s="180"/>
      <c r="AQ488" s="139"/>
      <c r="AR488" s="139"/>
      <c r="AS488" s="139"/>
      <c r="AT488" s="139"/>
      <c r="AU488" s="139"/>
    </row>
    <row r="489" spans="1:47" ht="15" customHeight="1" x14ac:dyDescent="0.4">
      <c r="B489" s="36"/>
      <c r="C489" s="7"/>
      <c r="D489" s="7"/>
      <c r="E489" s="7"/>
      <c r="F489" s="7"/>
      <c r="G489" s="7"/>
      <c r="V489" s="38" t="s">
        <v>369</v>
      </c>
      <c r="W489" s="3" t="s">
        <v>370</v>
      </c>
      <c r="X489" s="38" t="s">
        <v>369</v>
      </c>
      <c r="Y489" s="1443">
        <v>200170003</v>
      </c>
      <c r="Z489" s="41"/>
      <c r="AE489" s="3"/>
      <c r="AF489" s="38"/>
      <c r="AH489" s="39">
        <f>1.3*AG488</f>
        <v>2.3023000000000002E-2</v>
      </c>
      <c r="AI489" s="39"/>
      <c r="AJ489" s="39"/>
      <c r="AK489" s="39"/>
      <c r="AL489" s="39">
        <f>AH489*AD488</f>
        <v>0.10816205399999999</v>
      </c>
      <c r="AQ489" s="139"/>
      <c r="AR489" s="139"/>
      <c r="AS489" s="139"/>
      <c r="AT489" s="139"/>
      <c r="AU489" s="139"/>
    </row>
    <row r="490" spans="1:47" ht="15" customHeight="1" x14ac:dyDescent="0.4">
      <c r="B490" s="1947" t="s">
        <v>2393</v>
      </c>
      <c r="C490" s="7"/>
      <c r="D490" s="7"/>
      <c r="E490" s="7"/>
      <c r="F490" s="7"/>
      <c r="G490" s="7"/>
      <c r="V490" s="38" t="s">
        <v>369</v>
      </c>
      <c r="W490" s="3" t="s">
        <v>372</v>
      </c>
      <c r="X490" s="38" t="s">
        <v>369</v>
      </c>
      <c r="Y490" s="1443">
        <v>200170021</v>
      </c>
      <c r="Z490" s="41"/>
      <c r="AE490" s="3"/>
      <c r="AF490" s="38"/>
      <c r="AH490" s="39">
        <f>1.3*AG488</f>
        <v>2.3023000000000002E-2</v>
      </c>
      <c r="AI490" s="39"/>
      <c r="AJ490" s="39"/>
      <c r="AK490" s="39"/>
      <c r="AL490" s="39">
        <f>AH490*AD488</f>
        <v>0.10816205399999999</v>
      </c>
      <c r="AQ490" s="139"/>
      <c r="AR490" s="139"/>
      <c r="AS490" s="139"/>
      <c r="AT490" s="139"/>
      <c r="AU490" s="139"/>
    </row>
    <row r="491" spans="1:47" ht="15" customHeight="1" x14ac:dyDescent="0.4">
      <c r="B491" s="8"/>
      <c r="C491" s="7"/>
      <c r="D491" s="7"/>
      <c r="E491" s="7"/>
      <c r="F491" s="7"/>
      <c r="G491" s="7"/>
      <c r="M491" s="350"/>
      <c r="N491" s="350"/>
      <c r="O491" s="350"/>
      <c r="V491" s="38" t="s">
        <v>369</v>
      </c>
      <c r="W491" s="3" t="s">
        <v>373</v>
      </c>
      <c r="X491" s="38" t="s">
        <v>369</v>
      </c>
      <c r="Y491" s="1443">
        <v>200170033</v>
      </c>
      <c r="Z491" s="41"/>
      <c r="AE491" s="3"/>
      <c r="AF491" s="38"/>
      <c r="AH491" s="39">
        <f>1.3*AG488</f>
        <v>2.3023000000000002E-2</v>
      </c>
      <c r="AI491" s="9"/>
      <c r="AJ491" s="9"/>
      <c r="AK491" s="9"/>
      <c r="AL491" s="39">
        <f>AH491*AD488</f>
        <v>0.10816205399999999</v>
      </c>
      <c r="AQ491" s="139"/>
      <c r="AR491" s="139"/>
      <c r="AS491" s="139"/>
      <c r="AT491" s="139"/>
      <c r="AU491" s="139"/>
    </row>
    <row r="492" spans="1:47" ht="15" customHeight="1" x14ac:dyDescent="0.4">
      <c r="B492" s="8"/>
      <c r="C492" s="7"/>
      <c r="D492" s="7"/>
      <c r="E492" s="7"/>
      <c r="F492" s="7"/>
      <c r="G492" s="7"/>
      <c r="M492" s="350"/>
      <c r="N492" s="350"/>
      <c r="O492" s="350"/>
      <c r="V492" s="38" t="s">
        <v>369</v>
      </c>
      <c r="W492" s="3" t="s">
        <v>374</v>
      </c>
      <c r="X492" s="38" t="s">
        <v>369</v>
      </c>
      <c r="Y492" s="1443">
        <v>200170090</v>
      </c>
      <c r="Z492" s="41"/>
      <c r="AE492" s="3"/>
      <c r="AF492" s="38"/>
      <c r="AH492" s="39">
        <f>1.3*AG489</f>
        <v>0</v>
      </c>
      <c r="AI492" s="9"/>
      <c r="AJ492" s="9"/>
      <c r="AK492" s="9"/>
      <c r="AL492" s="39">
        <f>AH492*AD489</f>
        <v>0</v>
      </c>
      <c r="AQ492" s="139"/>
      <c r="AR492" s="139"/>
      <c r="AS492" s="139"/>
      <c r="AT492" s="139"/>
      <c r="AU492" s="139"/>
    </row>
    <row r="493" spans="1:47" ht="15" customHeight="1" x14ac:dyDescent="0.4">
      <c r="B493" s="8"/>
      <c r="C493" s="7"/>
      <c r="D493" s="7"/>
      <c r="E493" s="7"/>
      <c r="F493" s="7"/>
      <c r="G493" s="7"/>
      <c r="M493" s="350"/>
      <c r="N493" s="350"/>
      <c r="O493" s="350"/>
      <c r="T493" s="842"/>
      <c r="V493" s="279" t="s">
        <v>369</v>
      </c>
      <c r="W493" s="112" t="s">
        <v>375</v>
      </c>
      <c r="X493" s="279" t="s">
        <v>369</v>
      </c>
      <c r="Y493" s="1871">
        <v>200170133</v>
      </c>
      <c r="Z493" s="41"/>
      <c r="AE493" s="3"/>
      <c r="AF493" s="38"/>
      <c r="AH493" s="39"/>
      <c r="AI493" s="9"/>
      <c r="AJ493" s="9"/>
      <c r="AK493" s="9"/>
      <c r="AQ493" s="139"/>
      <c r="AR493" s="139"/>
      <c r="AS493" s="139"/>
      <c r="AT493" s="139"/>
      <c r="AU493" s="139"/>
    </row>
    <row r="494" spans="1:47" ht="15" customHeight="1" thickBot="1" x14ac:dyDescent="0.45">
      <c r="B494" s="8"/>
      <c r="C494" s="7"/>
      <c r="D494" s="7"/>
      <c r="E494" s="7"/>
      <c r="F494" s="7"/>
      <c r="G494" s="7"/>
      <c r="M494" s="350"/>
      <c r="N494" s="350"/>
      <c r="O494" s="350"/>
      <c r="V494" s="1876" t="s">
        <v>369</v>
      </c>
      <c r="W494" s="1877" t="s">
        <v>1849</v>
      </c>
      <c r="X494" s="1876" t="s">
        <v>369</v>
      </c>
      <c r="Y494" s="1878">
        <v>200170148</v>
      </c>
      <c r="Z494" s="946"/>
      <c r="AA494" s="948"/>
      <c r="AB494" s="889"/>
      <c r="AC494" s="889"/>
      <c r="AD494" s="945"/>
      <c r="AE494" s="889"/>
      <c r="AF494" s="888"/>
      <c r="AG494" s="945"/>
      <c r="AH494" s="947">
        <v>0</v>
      </c>
      <c r="AI494" s="1213"/>
      <c r="AJ494" s="1213"/>
      <c r="AK494" s="1213"/>
      <c r="AL494" s="947">
        <f t="shared" ref="AL494" si="32">AH494*AD491</f>
        <v>0</v>
      </c>
      <c r="AM494" s="889"/>
      <c r="AN494" s="889"/>
      <c r="AO494" s="889"/>
      <c r="AP494" s="889"/>
      <c r="AQ494" s="139"/>
      <c r="AR494" s="139"/>
      <c r="AS494" s="139"/>
      <c r="AT494" s="139"/>
      <c r="AU494" s="139"/>
    </row>
    <row r="495" spans="1:47" ht="15" customHeight="1" x14ac:dyDescent="0.4">
      <c r="A495" s="3" t="s">
        <v>1166</v>
      </c>
      <c r="B495" s="173" t="s">
        <v>1268</v>
      </c>
      <c r="C495" s="138"/>
      <c r="D495" s="138"/>
      <c r="E495" s="138"/>
      <c r="F495" s="138"/>
      <c r="G495" s="173"/>
      <c r="H495" s="193"/>
      <c r="I495" s="116" t="s">
        <v>392</v>
      </c>
      <c r="J495" s="116" t="s">
        <v>346</v>
      </c>
      <c r="K495" s="116">
        <v>4</v>
      </c>
      <c r="L495" s="116" t="s">
        <v>348</v>
      </c>
      <c r="M495" s="177">
        <v>-3.718</v>
      </c>
      <c r="N495" s="177"/>
      <c r="O495" s="177"/>
      <c r="P495" s="177"/>
      <c r="Q495" s="177"/>
      <c r="R495" s="116" t="s">
        <v>352</v>
      </c>
      <c r="S495" s="177">
        <f>SLQHQwidth/K495+M495</f>
        <v>14.157</v>
      </c>
      <c r="T495" s="116" t="s">
        <v>366</v>
      </c>
      <c r="U495" s="193"/>
      <c r="V495" s="4"/>
      <c r="W495" s="4"/>
      <c r="X495" s="4"/>
      <c r="Y495" s="1443"/>
      <c r="AB495" s="3">
        <v>40</v>
      </c>
      <c r="AC495" s="3">
        <v>2</v>
      </c>
      <c r="AD495" s="5">
        <f>AC495*S495/12</f>
        <v>2.3595000000000002</v>
      </c>
      <c r="AE495" s="3" t="s">
        <v>367</v>
      </c>
      <c r="AF495" s="38">
        <v>4.3999999999999997E-2</v>
      </c>
      <c r="AG495" s="5">
        <f>AF495*AtolbperftQHQ</f>
        <v>2.7829999999999997E-2</v>
      </c>
      <c r="AI495" s="39"/>
      <c r="AJ495" s="39"/>
      <c r="AK495" s="39"/>
      <c r="AQ495" s="139"/>
      <c r="AR495" s="139"/>
      <c r="AS495" s="139"/>
      <c r="AT495" s="139"/>
      <c r="AU495" s="139"/>
    </row>
    <row r="496" spans="1:47" ht="15" customHeight="1" x14ac:dyDescent="0.4">
      <c r="B496" s="36"/>
      <c r="C496" s="7"/>
      <c r="D496" s="7"/>
      <c r="E496" s="7"/>
      <c r="F496" s="7"/>
      <c r="G496" s="7"/>
      <c r="V496" s="38" t="s">
        <v>369</v>
      </c>
      <c r="W496" s="3" t="s">
        <v>370</v>
      </c>
      <c r="X496" s="38" t="s">
        <v>369</v>
      </c>
      <c r="Y496" s="1443">
        <v>200171003</v>
      </c>
      <c r="Z496" s="41"/>
      <c r="AE496" s="3"/>
      <c r="AF496" s="38"/>
      <c r="AH496" s="39">
        <f>1.3*AG495</f>
        <v>3.6178999999999996E-2</v>
      </c>
      <c r="AI496" s="39"/>
      <c r="AJ496" s="39"/>
      <c r="AK496" s="39"/>
      <c r="AL496" s="39">
        <f>AH496*AD495</f>
        <v>8.5364350499999991E-2</v>
      </c>
      <c r="AQ496" s="139"/>
      <c r="AR496" s="139"/>
      <c r="AS496" s="139"/>
      <c r="AT496" s="139"/>
      <c r="AU496" s="139"/>
    </row>
    <row r="497" spans="1:47" ht="15" customHeight="1" x14ac:dyDescent="0.4">
      <c r="B497" s="36"/>
      <c r="C497" s="7"/>
      <c r="D497" s="7"/>
      <c r="E497" s="7"/>
      <c r="F497" s="7"/>
      <c r="G497" s="7"/>
      <c r="V497" s="38" t="s">
        <v>369</v>
      </c>
      <c r="W497" s="3" t="s">
        <v>372</v>
      </c>
      <c r="X497" s="38" t="s">
        <v>369</v>
      </c>
      <c r="Y497" s="1443">
        <v>200171021</v>
      </c>
      <c r="Z497" s="41"/>
      <c r="AE497" s="3"/>
      <c r="AF497" s="38"/>
      <c r="AH497" s="39">
        <f>1.3*AG495</f>
        <v>3.6178999999999996E-2</v>
      </c>
      <c r="AI497" s="39"/>
      <c r="AJ497" s="39"/>
      <c r="AK497" s="39"/>
      <c r="AL497" s="39">
        <f>AH497*AD495</f>
        <v>8.5364350499999991E-2</v>
      </c>
      <c r="AQ497" s="139"/>
      <c r="AR497" s="139"/>
      <c r="AS497" s="139"/>
      <c r="AT497" s="139"/>
      <c r="AU497" s="139"/>
    </row>
    <row r="498" spans="1:47" ht="15" customHeight="1" x14ac:dyDescent="0.4">
      <c r="B498" s="8"/>
      <c r="C498" s="7"/>
      <c r="D498" s="7"/>
      <c r="E498" s="7"/>
      <c r="F498" s="7"/>
      <c r="G498" s="7"/>
      <c r="M498" s="350"/>
      <c r="N498" s="350"/>
      <c r="O498" s="350"/>
      <c r="V498" s="38" t="s">
        <v>369</v>
      </c>
      <c r="W498" s="3" t="s">
        <v>373</v>
      </c>
      <c r="X498" s="38" t="s">
        <v>369</v>
      </c>
      <c r="Y498" s="1443">
        <v>200171033</v>
      </c>
      <c r="Z498" s="41"/>
      <c r="AE498" s="3"/>
      <c r="AF498" s="38"/>
      <c r="AH498" s="39">
        <f>1.3*AG495</f>
        <v>3.6178999999999996E-2</v>
      </c>
      <c r="AI498" s="9"/>
      <c r="AJ498" s="9"/>
      <c r="AK498" s="9"/>
      <c r="AL498" s="39">
        <f>AH498*AD495</f>
        <v>8.5364350499999991E-2</v>
      </c>
      <c r="AQ498" s="139"/>
      <c r="AR498" s="139"/>
      <c r="AS498" s="139"/>
      <c r="AT498" s="139"/>
      <c r="AU498" s="139"/>
    </row>
    <row r="499" spans="1:47" ht="15" customHeight="1" x14ac:dyDescent="0.4">
      <c r="B499" s="8"/>
      <c r="C499" s="7"/>
      <c r="D499" s="7"/>
      <c r="E499" s="7"/>
      <c r="F499" s="7"/>
      <c r="G499" s="7"/>
      <c r="M499" s="350"/>
      <c r="N499" s="350"/>
      <c r="O499" s="350"/>
      <c r="V499" s="38" t="s">
        <v>369</v>
      </c>
      <c r="W499" s="3" t="s">
        <v>374</v>
      </c>
      <c r="X499" s="38" t="s">
        <v>369</v>
      </c>
      <c r="Y499" s="1443">
        <v>200171090</v>
      </c>
      <c r="Z499" s="41"/>
      <c r="AE499" s="3"/>
      <c r="AF499" s="38"/>
      <c r="AH499" s="39">
        <f>1.3*AG496</f>
        <v>0</v>
      </c>
      <c r="AI499" s="9"/>
      <c r="AJ499" s="9"/>
      <c r="AK499" s="9"/>
      <c r="AL499" s="39">
        <f>AH499*AD496</f>
        <v>0</v>
      </c>
      <c r="AQ499" s="139"/>
      <c r="AR499" s="139"/>
      <c r="AS499" s="139"/>
      <c r="AT499" s="139"/>
      <c r="AU499" s="139"/>
    </row>
    <row r="500" spans="1:47" ht="15" customHeight="1" x14ac:dyDescent="0.4">
      <c r="B500" s="8"/>
      <c r="C500" s="7"/>
      <c r="D500" s="7"/>
      <c r="E500" s="7"/>
      <c r="F500" s="7"/>
      <c r="G500" s="7"/>
      <c r="M500" s="350"/>
      <c r="N500" s="350"/>
      <c r="O500" s="350"/>
      <c r="V500" s="38" t="s">
        <v>369</v>
      </c>
      <c r="W500" s="3" t="s">
        <v>375</v>
      </c>
      <c r="X500" s="38" t="s">
        <v>369</v>
      </c>
      <c r="Y500" s="1443">
        <v>200171133</v>
      </c>
      <c r="Z500" s="41"/>
      <c r="AE500" s="3"/>
      <c r="AF500" s="38"/>
      <c r="AH500" s="39"/>
      <c r="AI500" s="9"/>
      <c r="AJ500" s="9"/>
      <c r="AK500" s="9"/>
      <c r="AQ500" s="139"/>
      <c r="AR500" s="139"/>
      <c r="AS500" s="139"/>
      <c r="AT500" s="139"/>
      <c r="AU500" s="139"/>
    </row>
    <row r="501" spans="1:47" ht="15" customHeight="1" thickBot="1" x14ac:dyDescent="0.45">
      <c r="B501" s="8"/>
      <c r="C501" s="7"/>
      <c r="D501" s="7"/>
      <c r="E501" s="7"/>
      <c r="F501" s="7"/>
      <c r="G501" s="7"/>
      <c r="M501" s="350"/>
      <c r="N501" s="350"/>
      <c r="O501" s="350"/>
      <c r="U501" s="948"/>
      <c r="V501" s="1876" t="s">
        <v>369</v>
      </c>
      <c r="W501" s="1877" t="s">
        <v>1849</v>
      </c>
      <c r="X501" s="1876" t="s">
        <v>369</v>
      </c>
      <c r="Y501" s="1878">
        <v>200171148</v>
      </c>
      <c r="Z501" s="946"/>
      <c r="AA501" s="948"/>
      <c r="AB501" s="889"/>
      <c r="AC501" s="889"/>
      <c r="AD501" s="945"/>
      <c r="AE501" s="889"/>
      <c r="AF501" s="888"/>
      <c r="AG501" s="945"/>
      <c r="AH501" s="947">
        <v>0</v>
      </c>
      <c r="AI501" s="1213"/>
      <c r="AJ501" s="1213"/>
      <c r="AK501" s="1213"/>
      <c r="AL501" s="947">
        <f t="shared" ref="AL501" si="33">AH501*AD498</f>
        <v>0</v>
      </c>
      <c r="AM501" s="889"/>
      <c r="AN501" s="889"/>
      <c r="AO501" s="889"/>
      <c r="AP501" s="889"/>
      <c r="AQ501" s="139"/>
      <c r="AR501" s="139"/>
      <c r="AS501" s="139"/>
      <c r="AT501" s="139"/>
      <c r="AU501" s="139"/>
    </row>
    <row r="502" spans="1:47" ht="15" customHeight="1" x14ac:dyDescent="0.4">
      <c r="B502" s="173" t="s">
        <v>1269</v>
      </c>
      <c r="C502" s="138"/>
      <c r="D502" s="138"/>
      <c r="E502" s="138"/>
      <c r="F502" s="138"/>
      <c r="G502" s="173"/>
      <c r="H502" s="193"/>
      <c r="I502" s="116" t="s">
        <v>392</v>
      </c>
      <c r="J502" s="116" t="s">
        <v>346</v>
      </c>
      <c r="K502" s="116">
        <v>4</v>
      </c>
      <c r="L502" s="116" t="s">
        <v>348</v>
      </c>
      <c r="M502" s="177">
        <v>-3.718</v>
      </c>
      <c r="N502" s="177"/>
      <c r="O502" s="177"/>
      <c r="P502" s="177"/>
      <c r="Q502" s="177"/>
      <c r="R502" s="116" t="s">
        <v>352</v>
      </c>
      <c r="S502" s="177">
        <f>SLQHQwidth/K502+M502</f>
        <v>14.157</v>
      </c>
      <c r="T502" s="116" t="s">
        <v>366</v>
      </c>
      <c r="V502" s="38"/>
      <c r="X502" s="38"/>
      <c r="Y502" s="1443"/>
      <c r="Z502" s="41"/>
      <c r="AB502" s="3">
        <v>40</v>
      </c>
      <c r="AC502" s="3">
        <v>2</v>
      </c>
      <c r="AD502" s="5">
        <f>AC502*S502/12</f>
        <v>2.3595000000000002</v>
      </c>
      <c r="AE502" s="3" t="s">
        <v>367</v>
      </c>
      <c r="AF502" s="38">
        <v>4.1000000000000002E-2</v>
      </c>
      <c r="AG502" s="5">
        <f>AF502*AtolbperftQHQ</f>
        <v>2.5932500000000001E-2</v>
      </c>
      <c r="AH502" s="39"/>
      <c r="AI502" s="9"/>
      <c r="AJ502" s="9"/>
      <c r="AK502" s="9"/>
      <c r="AQ502" s="139"/>
      <c r="AR502" s="139"/>
      <c r="AS502" s="139"/>
      <c r="AT502" s="139"/>
      <c r="AU502" s="139"/>
    </row>
    <row r="503" spans="1:47" ht="15" customHeight="1" x14ac:dyDescent="0.4">
      <c r="B503" s="8"/>
      <c r="C503" s="7"/>
      <c r="D503" s="7"/>
      <c r="E503" s="7"/>
      <c r="F503" s="7"/>
      <c r="G503" s="7"/>
      <c r="M503" s="350"/>
      <c r="N503" s="350"/>
      <c r="O503" s="350"/>
      <c r="V503" s="38" t="s">
        <v>369</v>
      </c>
      <c r="W503" s="3" t="s">
        <v>370</v>
      </c>
      <c r="X503" s="38" t="s">
        <v>369</v>
      </c>
      <c r="Y503" s="1443">
        <v>200190003</v>
      </c>
      <c r="Z503" s="41"/>
      <c r="AE503" s="3"/>
      <c r="AF503" s="38"/>
      <c r="AH503" s="39">
        <v>3.4000000000000002E-2</v>
      </c>
      <c r="AI503" s="9"/>
      <c r="AJ503" s="9"/>
      <c r="AK503" s="9"/>
      <c r="AL503" s="39">
        <f>AD$502*AH503</f>
        <v>8.0223000000000017E-2</v>
      </c>
      <c r="AQ503" s="139"/>
      <c r="AR503" s="139"/>
      <c r="AS503" s="139"/>
      <c r="AT503" s="139"/>
      <c r="AU503" s="139"/>
    </row>
    <row r="504" spans="1:47" ht="15" customHeight="1" x14ac:dyDescent="0.4">
      <c r="B504" s="8"/>
      <c r="C504" s="7"/>
      <c r="D504" s="7"/>
      <c r="E504" s="7"/>
      <c r="F504" s="7"/>
      <c r="G504" s="7"/>
      <c r="M504" s="350"/>
      <c r="N504" s="350"/>
      <c r="O504" s="350"/>
      <c r="V504" s="38" t="s">
        <v>369</v>
      </c>
      <c r="W504" s="3" t="s">
        <v>372</v>
      </c>
      <c r="X504" s="38" t="s">
        <v>369</v>
      </c>
      <c r="Y504" s="1443">
        <v>200190021</v>
      </c>
      <c r="Z504" s="41"/>
      <c r="AE504" s="3"/>
      <c r="AF504" s="38"/>
      <c r="AH504" s="39">
        <v>3.4000000000000002E-2</v>
      </c>
      <c r="AI504" s="9"/>
      <c r="AJ504" s="9"/>
      <c r="AK504" s="9"/>
      <c r="AL504" s="39">
        <f t="shared" ref="AL504:AL508" si="34">AD$502*AH504</f>
        <v>8.0223000000000017E-2</v>
      </c>
      <c r="AQ504" s="139"/>
      <c r="AR504" s="139"/>
      <c r="AS504" s="139"/>
      <c r="AT504" s="139"/>
      <c r="AU504" s="139"/>
    </row>
    <row r="505" spans="1:47" ht="15" customHeight="1" x14ac:dyDescent="0.4">
      <c r="B505" s="8"/>
      <c r="C505" s="7"/>
      <c r="D505" s="7"/>
      <c r="E505" s="7"/>
      <c r="F505" s="7"/>
      <c r="G505" s="7"/>
      <c r="M505" s="350"/>
      <c r="N505" s="350"/>
      <c r="O505" s="350"/>
      <c r="V505" s="38" t="s">
        <v>369</v>
      </c>
      <c r="W505" s="3" t="s">
        <v>373</v>
      </c>
      <c r="X505" s="38" t="s">
        <v>369</v>
      </c>
      <c r="Y505" s="1443">
        <v>200190033</v>
      </c>
      <c r="Z505" s="41"/>
      <c r="AE505" s="3"/>
      <c r="AF505" s="38"/>
      <c r="AH505" s="39">
        <v>3.4000000000000002E-2</v>
      </c>
      <c r="AI505" s="9"/>
      <c r="AJ505" s="9"/>
      <c r="AK505" s="9"/>
      <c r="AL505" s="39">
        <f t="shared" si="34"/>
        <v>8.0223000000000017E-2</v>
      </c>
      <c r="AQ505" s="139"/>
      <c r="AR505" s="139"/>
      <c r="AS505" s="139"/>
      <c r="AT505" s="139"/>
      <c r="AU505" s="139"/>
    </row>
    <row r="506" spans="1:47" ht="15" customHeight="1" x14ac:dyDescent="0.4">
      <c r="A506" s="3" t="s">
        <v>1420</v>
      </c>
      <c r="B506" s="8"/>
      <c r="C506" s="7"/>
      <c r="D506" s="7"/>
      <c r="E506" s="7"/>
      <c r="F506" s="7"/>
      <c r="G506" s="7"/>
      <c r="M506" s="350"/>
      <c r="N506" s="350"/>
      <c r="O506" s="350"/>
      <c r="V506" s="38" t="s">
        <v>369</v>
      </c>
      <c r="W506" s="3" t="s">
        <v>374</v>
      </c>
      <c r="X506" s="38" t="s">
        <v>369</v>
      </c>
      <c r="Y506" s="1443">
        <v>200190090</v>
      </c>
      <c r="Z506" s="41"/>
      <c r="AE506" s="3"/>
      <c r="AF506" s="38"/>
      <c r="AH506" s="39">
        <v>3.4000000000000002E-2</v>
      </c>
      <c r="AI506" s="9"/>
      <c r="AJ506" s="9"/>
      <c r="AK506" s="9"/>
      <c r="AL506" s="39">
        <f t="shared" si="34"/>
        <v>8.0223000000000017E-2</v>
      </c>
      <c r="AQ506" s="139"/>
      <c r="AR506" s="139"/>
      <c r="AS506" s="139"/>
      <c r="AT506" s="139"/>
      <c r="AU506" s="139"/>
    </row>
    <row r="507" spans="1:47" ht="15" customHeight="1" x14ac:dyDescent="0.4">
      <c r="B507" s="8"/>
      <c r="C507" s="7"/>
      <c r="D507" s="7"/>
      <c r="E507" s="7"/>
      <c r="F507" s="7"/>
      <c r="G507" s="7"/>
      <c r="M507" s="350"/>
      <c r="N507" s="350"/>
      <c r="O507" s="350"/>
      <c r="V507" s="38" t="s">
        <v>369</v>
      </c>
      <c r="W507" s="3" t="s">
        <v>375</v>
      </c>
      <c r="X507" s="38" t="s">
        <v>369</v>
      </c>
      <c r="Y507" s="1443">
        <v>200190133</v>
      </c>
      <c r="Z507" s="41"/>
      <c r="AE507" s="3"/>
      <c r="AF507" s="38"/>
      <c r="AH507" s="39">
        <v>3.4000000000000002E-2</v>
      </c>
      <c r="AI507" s="9"/>
      <c r="AJ507" s="9"/>
      <c r="AK507" s="9"/>
      <c r="AL507" s="39">
        <f t="shared" si="34"/>
        <v>8.0223000000000017E-2</v>
      </c>
      <c r="AQ507" s="139"/>
      <c r="AR507" s="139"/>
      <c r="AS507" s="139"/>
      <c r="AT507" s="139"/>
      <c r="AU507" s="139"/>
    </row>
    <row r="508" spans="1:47" ht="15" customHeight="1" thickBot="1" x14ac:dyDescent="0.45">
      <c r="B508" s="8"/>
      <c r="C508" s="7"/>
      <c r="D508" s="7"/>
      <c r="E508" s="7"/>
      <c r="F508" s="7"/>
      <c r="G508" s="7"/>
      <c r="M508" s="350"/>
      <c r="N508" s="350"/>
      <c r="O508" s="350"/>
      <c r="V508" s="1876" t="s">
        <v>369</v>
      </c>
      <c r="W508" s="1877" t="s">
        <v>1849</v>
      </c>
      <c r="X508" s="1876" t="s">
        <v>369</v>
      </c>
      <c r="Y508" s="1878">
        <v>200190148</v>
      </c>
      <c r="Z508" s="946"/>
      <c r="AA508" s="948"/>
      <c r="AB508" s="889"/>
      <c r="AC508" s="889"/>
      <c r="AD508" s="945"/>
      <c r="AE508" s="889"/>
      <c r="AF508" s="888"/>
      <c r="AG508" s="945"/>
      <c r="AH508" s="947">
        <v>3.4000000000000002E-2</v>
      </c>
      <c r="AI508" s="1213"/>
      <c r="AJ508" s="1213"/>
      <c r="AK508" s="1213"/>
      <c r="AL508" s="39">
        <f t="shared" si="34"/>
        <v>8.0223000000000017E-2</v>
      </c>
      <c r="AM508" s="889"/>
      <c r="AN508" s="889"/>
      <c r="AO508" s="889"/>
      <c r="AP508" s="889"/>
      <c r="AQ508" s="139"/>
      <c r="AR508" s="139"/>
      <c r="AS508" s="139"/>
      <c r="AT508" s="139"/>
      <c r="AU508" s="139"/>
    </row>
    <row r="509" spans="1:47" ht="15" customHeight="1" x14ac:dyDescent="0.4">
      <c r="A509" s="3" t="s">
        <v>1169</v>
      </c>
      <c r="B509" s="173" t="s">
        <v>1270</v>
      </c>
      <c r="C509" s="138"/>
      <c r="D509" s="138"/>
      <c r="E509" s="138"/>
      <c r="F509" s="138"/>
      <c r="G509" s="173"/>
      <c r="H509" s="193"/>
      <c r="I509" s="116" t="s">
        <v>392</v>
      </c>
      <c r="J509" s="116" t="s">
        <v>346</v>
      </c>
      <c r="K509" s="116">
        <v>4</v>
      </c>
      <c r="L509" s="116" t="s">
        <v>348</v>
      </c>
      <c r="M509" s="177">
        <v>-3.7810000000000001</v>
      </c>
      <c r="N509" s="177"/>
      <c r="O509" s="177"/>
      <c r="P509" s="177"/>
      <c r="Q509" s="177"/>
      <c r="R509" s="116" t="s">
        <v>352</v>
      </c>
      <c r="S509" s="177">
        <f>SLQHQwidth/K509+M509</f>
        <v>14.093999999999999</v>
      </c>
      <c r="T509" s="116" t="s">
        <v>366</v>
      </c>
      <c r="U509" s="193"/>
      <c r="V509" s="4"/>
      <c r="W509" s="4"/>
      <c r="X509" s="4"/>
      <c r="Y509" s="1443"/>
      <c r="AB509" s="3">
        <v>40</v>
      </c>
      <c r="AC509" s="3">
        <v>2</v>
      </c>
      <c r="AD509" s="5">
        <f>AC509*S509/12</f>
        <v>2.3489999999999998</v>
      </c>
      <c r="AE509" s="3" t="s">
        <v>367</v>
      </c>
      <c r="AF509" s="38">
        <v>4.3999999999999997E-2</v>
      </c>
      <c r="AG509" s="5">
        <f>AF509*AtolbperftQHQ</f>
        <v>2.7829999999999997E-2</v>
      </c>
      <c r="AI509" s="39"/>
      <c r="AJ509" s="39"/>
      <c r="AK509" s="39"/>
      <c r="AL509" s="180"/>
      <c r="AQ509" s="139"/>
      <c r="AR509" s="139"/>
      <c r="AS509" s="139"/>
      <c r="AT509" s="139"/>
      <c r="AU509" s="139"/>
    </row>
    <row r="510" spans="1:47" ht="15" customHeight="1" x14ac:dyDescent="0.4">
      <c r="B510" s="36"/>
      <c r="C510" s="7"/>
      <c r="D510" s="7"/>
      <c r="E510" s="7"/>
      <c r="F510" s="7"/>
      <c r="G510" s="7"/>
      <c r="V510" s="38" t="s">
        <v>369</v>
      </c>
      <c r="W510" s="3" t="s">
        <v>370</v>
      </c>
      <c r="X510" s="38" t="s">
        <v>369</v>
      </c>
      <c r="Y510" s="1443">
        <v>200171003</v>
      </c>
      <c r="Z510" s="41"/>
      <c r="AE510" s="3"/>
      <c r="AF510" s="38"/>
      <c r="AH510" s="39">
        <f>1.3*AG509</f>
        <v>3.6178999999999996E-2</v>
      </c>
      <c r="AI510" s="39"/>
      <c r="AJ510" s="39"/>
      <c r="AK510" s="39"/>
      <c r="AL510" s="39">
        <f>AH510*AD509</f>
        <v>8.4984470999999978E-2</v>
      </c>
      <c r="AQ510" s="139"/>
      <c r="AR510" s="139"/>
      <c r="AS510" s="139"/>
      <c r="AT510" s="139"/>
      <c r="AU510" s="139"/>
    </row>
    <row r="511" spans="1:47" ht="15" customHeight="1" x14ac:dyDescent="0.4">
      <c r="B511" s="36"/>
      <c r="C511" s="7"/>
      <c r="D511" s="7"/>
      <c r="E511" s="7"/>
      <c r="F511" s="7"/>
      <c r="G511" s="7"/>
      <c r="V511" s="38" t="s">
        <v>369</v>
      </c>
      <c r="W511" s="3" t="s">
        <v>372</v>
      </c>
      <c r="X511" s="38" t="s">
        <v>369</v>
      </c>
      <c r="Y511" s="1443">
        <v>200171021</v>
      </c>
      <c r="Z511" s="41"/>
      <c r="AE511" s="3"/>
      <c r="AF511" s="38"/>
      <c r="AH511" s="39">
        <f>1.3*AG509</f>
        <v>3.6178999999999996E-2</v>
      </c>
      <c r="AI511" s="39"/>
      <c r="AJ511" s="39"/>
      <c r="AK511" s="39"/>
      <c r="AL511" s="39">
        <f>AH511*AD509</f>
        <v>8.4984470999999978E-2</v>
      </c>
      <c r="AQ511" s="139"/>
      <c r="AR511" s="139"/>
      <c r="AS511" s="139"/>
      <c r="AT511" s="139"/>
      <c r="AU511" s="139"/>
    </row>
    <row r="512" spans="1:47" ht="15" customHeight="1" x14ac:dyDescent="0.4">
      <c r="B512" s="8"/>
      <c r="C512" s="7"/>
      <c r="D512" s="7"/>
      <c r="E512" s="7"/>
      <c r="F512" s="7"/>
      <c r="G512" s="7"/>
      <c r="M512" s="350"/>
      <c r="N512" s="350"/>
      <c r="O512" s="350"/>
      <c r="V512" s="38" t="s">
        <v>369</v>
      </c>
      <c r="W512" s="3" t="s">
        <v>373</v>
      </c>
      <c r="X512" s="38" t="s">
        <v>369</v>
      </c>
      <c r="Y512" s="1443">
        <v>200171033</v>
      </c>
      <c r="Z512" s="41"/>
      <c r="AE512" s="3"/>
      <c r="AF512" s="38"/>
      <c r="AH512" s="39">
        <f>1.3*AG509</f>
        <v>3.6178999999999996E-2</v>
      </c>
      <c r="AI512" s="9"/>
      <c r="AJ512" s="9"/>
      <c r="AK512" s="9"/>
      <c r="AL512" s="39">
        <f>AH512*AD509</f>
        <v>8.4984470999999978E-2</v>
      </c>
      <c r="AQ512" s="139"/>
      <c r="AR512" s="139"/>
      <c r="AS512" s="139"/>
      <c r="AT512" s="139"/>
      <c r="AU512" s="139"/>
    </row>
    <row r="513" spans="1:47" ht="15" customHeight="1" x14ac:dyDescent="0.4">
      <c r="B513" s="8"/>
      <c r="C513" s="7"/>
      <c r="D513" s="7"/>
      <c r="E513" s="7"/>
      <c r="F513" s="7"/>
      <c r="G513" s="7"/>
      <c r="M513" s="350"/>
      <c r="N513" s="350"/>
      <c r="O513" s="350"/>
      <c r="V513" s="38" t="s">
        <v>369</v>
      </c>
      <c r="W513" s="3" t="s">
        <v>374</v>
      </c>
      <c r="X513" s="38" t="s">
        <v>369</v>
      </c>
      <c r="Y513" s="1443">
        <v>200171090</v>
      </c>
      <c r="Z513" s="41"/>
      <c r="AE513" s="3"/>
      <c r="AF513" s="38"/>
      <c r="AH513" s="39">
        <f>1.3*AG510</f>
        <v>0</v>
      </c>
      <c r="AI513" s="9"/>
      <c r="AJ513" s="9"/>
      <c r="AK513" s="9"/>
      <c r="AL513" s="39">
        <f>AH513*AD510</f>
        <v>0</v>
      </c>
      <c r="AQ513" s="139"/>
      <c r="AR513" s="139"/>
      <c r="AS513" s="139"/>
      <c r="AT513" s="139"/>
      <c r="AU513" s="139"/>
    </row>
    <row r="514" spans="1:47" ht="15" customHeight="1" x14ac:dyDescent="0.4">
      <c r="B514" s="8"/>
      <c r="C514" s="7"/>
      <c r="D514" s="7"/>
      <c r="E514" s="7"/>
      <c r="F514" s="7"/>
      <c r="G514" s="7"/>
      <c r="M514" s="350"/>
      <c r="N514" s="350"/>
      <c r="O514" s="350"/>
      <c r="V514" s="38" t="s">
        <v>369</v>
      </c>
      <c r="W514" s="3" t="s">
        <v>375</v>
      </c>
      <c r="X514" s="38" t="s">
        <v>369</v>
      </c>
      <c r="Y514" s="1443">
        <v>200171133</v>
      </c>
      <c r="Z514" s="41"/>
      <c r="AE514" s="3"/>
      <c r="AF514" s="38"/>
      <c r="AH514" s="39"/>
      <c r="AI514" s="9"/>
      <c r="AJ514" s="9"/>
      <c r="AK514" s="9"/>
      <c r="AQ514" s="139"/>
      <c r="AR514" s="139"/>
      <c r="AS514" s="139"/>
      <c r="AT514" s="139"/>
      <c r="AU514" s="139"/>
    </row>
    <row r="515" spans="1:47" ht="15" customHeight="1" thickBot="1" x14ac:dyDescent="0.45">
      <c r="B515" s="949"/>
      <c r="C515" s="924"/>
      <c r="D515" s="924"/>
      <c r="E515" s="924"/>
      <c r="F515" s="924"/>
      <c r="G515" s="924"/>
      <c r="H515" s="948"/>
      <c r="I515" s="889"/>
      <c r="J515" s="889"/>
      <c r="K515" s="889"/>
      <c r="L515" s="889"/>
      <c r="M515" s="950"/>
      <c r="N515" s="950"/>
      <c r="O515" s="950"/>
      <c r="P515" s="945"/>
      <c r="Q515" s="945"/>
      <c r="R515" s="889"/>
      <c r="S515" s="945"/>
      <c r="T515" s="889"/>
      <c r="U515" s="948"/>
      <c r="V515" s="1876" t="s">
        <v>369</v>
      </c>
      <c r="W515" s="1877" t="s">
        <v>1849</v>
      </c>
      <c r="X515" s="1876" t="s">
        <v>369</v>
      </c>
      <c r="Y515" s="1878">
        <v>200171148</v>
      </c>
      <c r="Z515" s="946"/>
      <c r="AA515" s="948"/>
      <c r="AB515" s="889"/>
      <c r="AC515" s="889"/>
      <c r="AD515" s="945"/>
      <c r="AE515" s="889"/>
      <c r="AF515" s="888"/>
      <c r="AG515" s="945"/>
      <c r="AH515" s="947">
        <v>0</v>
      </c>
      <c r="AI515" s="1213"/>
      <c r="AJ515" s="1213"/>
      <c r="AK515" s="1213"/>
      <c r="AL515" s="947">
        <f t="shared" ref="AL515" si="35">AH515*AD512</f>
        <v>0</v>
      </c>
      <c r="AM515" s="889"/>
      <c r="AN515" s="889"/>
      <c r="AO515" s="889"/>
      <c r="AP515" s="889"/>
      <c r="AQ515" s="139"/>
      <c r="AR515" s="139"/>
      <c r="AS515" s="139"/>
      <c r="AT515" s="139"/>
      <c r="AU515" s="139"/>
    </row>
    <row r="516" spans="1:47" ht="15" customHeight="1" x14ac:dyDescent="0.4">
      <c r="B516" s="7" t="s">
        <v>1271</v>
      </c>
      <c r="C516" s="4"/>
      <c r="G516" s="7"/>
      <c r="I516" s="3" t="s">
        <v>392</v>
      </c>
      <c r="J516" s="3" t="s">
        <v>346</v>
      </c>
      <c r="K516" s="3">
        <v>4</v>
      </c>
      <c r="L516" s="3" t="s">
        <v>348</v>
      </c>
      <c r="M516" s="5">
        <v>-3.7810000000000001</v>
      </c>
      <c r="R516" s="3" t="s">
        <v>352</v>
      </c>
      <c r="S516" s="5">
        <f>SLQHQwidth/K516+M516</f>
        <v>14.093999999999999</v>
      </c>
      <c r="T516" s="3" t="s">
        <v>366</v>
      </c>
      <c r="V516" s="38"/>
      <c r="X516" s="38"/>
      <c r="Y516" s="1443"/>
      <c r="Z516" s="41"/>
      <c r="AB516" s="3">
        <v>40</v>
      </c>
      <c r="AC516" s="3">
        <v>2</v>
      </c>
      <c r="AD516" s="5">
        <f>AC516*S516/12</f>
        <v>2.3489999999999998</v>
      </c>
      <c r="AE516" s="3" t="s">
        <v>367</v>
      </c>
      <c r="AF516" s="38">
        <v>4.1000000000000002E-2</v>
      </c>
      <c r="AG516" s="5">
        <f>AF516*AtolbperftQHQ</f>
        <v>2.5932500000000001E-2</v>
      </c>
      <c r="AH516" s="39"/>
      <c r="AI516" s="9"/>
      <c r="AJ516" s="9"/>
      <c r="AK516" s="9"/>
      <c r="AQ516" s="139"/>
      <c r="AR516" s="139"/>
      <c r="AS516" s="139"/>
      <c r="AT516" s="139"/>
      <c r="AU516" s="139"/>
    </row>
    <row r="517" spans="1:47" ht="15" customHeight="1" x14ac:dyDescent="0.4">
      <c r="B517" s="8"/>
      <c r="C517" s="7"/>
      <c r="D517" s="7"/>
      <c r="E517" s="7"/>
      <c r="F517" s="7"/>
      <c r="G517" s="7"/>
      <c r="M517" s="350"/>
      <c r="N517" s="350"/>
      <c r="O517" s="350"/>
      <c r="V517" s="38" t="s">
        <v>369</v>
      </c>
      <c r="W517" s="3" t="s">
        <v>370</v>
      </c>
      <c r="X517" s="38" t="s">
        <v>369</v>
      </c>
      <c r="Y517" s="1443">
        <v>200190003</v>
      </c>
      <c r="Z517" s="41"/>
      <c r="AE517" s="3"/>
      <c r="AF517" s="38"/>
      <c r="AH517" s="39">
        <v>3.4000000000000002E-2</v>
      </c>
      <c r="AI517" s="9"/>
      <c r="AJ517" s="9"/>
      <c r="AK517" s="9"/>
      <c r="AL517" s="39">
        <f>AD$516*AH517</f>
        <v>7.9865999999999993E-2</v>
      </c>
      <c r="AQ517" s="139"/>
      <c r="AR517" s="139"/>
      <c r="AS517" s="139"/>
      <c r="AT517" s="139"/>
      <c r="AU517" s="139"/>
    </row>
    <row r="518" spans="1:47" ht="15" customHeight="1" x14ac:dyDescent="0.4">
      <c r="B518" s="8"/>
      <c r="C518" s="7"/>
      <c r="D518" s="7"/>
      <c r="E518" s="7"/>
      <c r="F518" s="7"/>
      <c r="G518" s="7"/>
      <c r="M518" s="350"/>
      <c r="N518" s="350"/>
      <c r="O518" s="350"/>
      <c r="V518" s="38" t="s">
        <v>369</v>
      </c>
      <c r="W518" s="3" t="s">
        <v>372</v>
      </c>
      <c r="X518" s="38" t="s">
        <v>369</v>
      </c>
      <c r="Y518" s="1443">
        <v>200190021</v>
      </c>
      <c r="Z518" s="41"/>
      <c r="AE518" s="3"/>
      <c r="AF518" s="38"/>
      <c r="AH518" s="39">
        <v>3.4000000000000002E-2</v>
      </c>
      <c r="AI518" s="9"/>
      <c r="AJ518" s="9"/>
      <c r="AK518" s="9"/>
      <c r="AL518" s="39">
        <f t="shared" ref="AL518:AL522" si="36">AD$516*AH518</f>
        <v>7.9865999999999993E-2</v>
      </c>
      <c r="AQ518" s="139"/>
      <c r="AR518" s="139"/>
      <c r="AS518" s="139"/>
      <c r="AT518" s="139"/>
      <c r="AU518" s="139"/>
    </row>
    <row r="519" spans="1:47" ht="15" customHeight="1" x14ac:dyDescent="0.4">
      <c r="B519" s="8"/>
      <c r="C519" s="7"/>
      <c r="D519" s="7"/>
      <c r="E519" s="7"/>
      <c r="F519" s="7"/>
      <c r="G519" s="7"/>
      <c r="M519" s="350"/>
      <c r="N519" s="350"/>
      <c r="O519" s="350"/>
      <c r="V519" s="38" t="s">
        <v>369</v>
      </c>
      <c r="W519" s="3" t="s">
        <v>373</v>
      </c>
      <c r="X519" s="38" t="s">
        <v>369</v>
      </c>
      <c r="Y519" s="1443">
        <v>200190033</v>
      </c>
      <c r="Z519" s="41"/>
      <c r="AE519" s="3"/>
      <c r="AF519" s="38"/>
      <c r="AH519" s="39">
        <v>3.4000000000000002E-2</v>
      </c>
      <c r="AI519" s="9"/>
      <c r="AJ519" s="9"/>
      <c r="AK519" s="9"/>
      <c r="AL519" s="39">
        <f t="shared" si="36"/>
        <v>7.9865999999999993E-2</v>
      </c>
      <c r="AQ519" s="139"/>
      <c r="AR519" s="139"/>
      <c r="AS519" s="139"/>
      <c r="AT519" s="139"/>
      <c r="AU519" s="139"/>
    </row>
    <row r="520" spans="1:47" ht="15" customHeight="1" x14ac:dyDescent="0.4">
      <c r="A520" s="3" t="s">
        <v>1420</v>
      </c>
      <c r="B520" s="8"/>
      <c r="C520" s="7"/>
      <c r="D520" s="7"/>
      <c r="E520" s="7"/>
      <c r="F520" s="7"/>
      <c r="G520" s="7"/>
      <c r="M520" s="350"/>
      <c r="N520" s="350"/>
      <c r="O520" s="350"/>
      <c r="V520" s="38" t="s">
        <v>369</v>
      </c>
      <c r="W520" s="3" t="s">
        <v>374</v>
      </c>
      <c r="X520" s="38" t="s">
        <v>369</v>
      </c>
      <c r="Y520" s="1443">
        <v>200190090</v>
      </c>
      <c r="Z520" s="41"/>
      <c r="AE520" s="3"/>
      <c r="AF520" s="38"/>
      <c r="AH520" s="39">
        <v>3.4000000000000002E-2</v>
      </c>
      <c r="AI520" s="9"/>
      <c r="AJ520" s="9"/>
      <c r="AK520" s="9"/>
      <c r="AL520" s="39">
        <f t="shared" si="36"/>
        <v>7.9865999999999993E-2</v>
      </c>
      <c r="AQ520" s="139"/>
      <c r="AR520" s="139"/>
      <c r="AS520" s="139"/>
      <c r="AT520" s="139"/>
      <c r="AU520" s="139"/>
    </row>
    <row r="521" spans="1:47" ht="15" customHeight="1" x14ac:dyDescent="0.4">
      <c r="B521" s="8"/>
      <c r="C521" s="7"/>
      <c r="D521" s="7"/>
      <c r="E521" s="7"/>
      <c r="F521" s="7"/>
      <c r="G521" s="7"/>
      <c r="M521" s="350"/>
      <c r="N521" s="350"/>
      <c r="O521" s="350"/>
      <c r="V521" s="38" t="s">
        <v>369</v>
      </c>
      <c r="W521" s="3" t="s">
        <v>375</v>
      </c>
      <c r="X521" s="38" t="s">
        <v>369</v>
      </c>
      <c r="Y521" s="1443">
        <v>200190133</v>
      </c>
      <c r="Z521" s="41"/>
      <c r="AE521" s="3"/>
      <c r="AF521" s="38"/>
      <c r="AH521" s="39">
        <v>3.4000000000000002E-2</v>
      </c>
      <c r="AI521" s="9"/>
      <c r="AJ521" s="9"/>
      <c r="AK521" s="9"/>
      <c r="AL521" s="39">
        <f t="shared" si="36"/>
        <v>7.9865999999999993E-2</v>
      </c>
      <c r="AQ521" s="139"/>
      <c r="AR521" s="139"/>
      <c r="AS521" s="139"/>
      <c r="AT521" s="139"/>
      <c r="AU521" s="139"/>
    </row>
    <row r="522" spans="1:47" ht="15" customHeight="1" thickBot="1" x14ac:dyDescent="0.45">
      <c r="B522" s="949"/>
      <c r="C522" s="924"/>
      <c r="D522" s="924"/>
      <c r="E522" s="924"/>
      <c r="F522" s="924"/>
      <c r="G522" s="924"/>
      <c r="H522" s="948"/>
      <c r="I522" s="889"/>
      <c r="J522" s="889"/>
      <c r="K522" s="889"/>
      <c r="L522" s="889"/>
      <c r="M522" s="950"/>
      <c r="N522" s="950"/>
      <c r="O522" s="950"/>
      <c r="P522" s="945"/>
      <c r="Q522" s="945"/>
      <c r="R522" s="889"/>
      <c r="S522" s="945"/>
      <c r="T522" s="889"/>
      <c r="U522" s="948"/>
      <c r="V522" s="1876" t="s">
        <v>369</v>
      </c>
      <c r="W522" s="1877" t="s">
        <v>1849</v>
      </c>
      <c r="X522" s="1876" t="s">
        <v>369</v>
      </c>
      <c r="Y522" s="1878">
        <v>200190148</v>
      </c>
      <c r="Z522" s="946"/>
      <c r="AA522" s="948"/>
      <c r="AB522" s="889"/>
      <c r="AC522" s="889"/>
      <c r="AD522" s="945"/>
      <c r="AE522" s="889"/>
      <c r="AF522" s="888"/>
      <c r="AG522" s="945"/>
      <c r="AH522" s="947">
        <v>3.4000000000000002E-2</v>
      </c>
      <c r="AI522" s="1213"/>
      <c r="AJ522" s="1213"/>
      <c r="AK522" s="1213"/>
      <c r="AL522" s="39">
        <f t="shared" si="36"/>
        <v>7.9865999999999993E-2</v>
      </c>
      <c r="AM522" s="889"/>
      <c r="AN522" s="889"/>
      <c r="AO522" s="889"/>
      <c r="AP522" s="889"/>
      <c r="AQ522" s="139"/>
      <c r="AR522" s="139"/>
      <c r="AS522" s="139"/>
      <c r="AT522" s="139"/>
      <c r="AU522" s="139"/>
    </row>
    <row r="523" spans="1:47" ht="15" customHeight="1" x14ac:dyDescent="0.4">
      <c r="A523" s="3" t="s">
        <v>496</v>
      </c>
      <c r="B523" s="173" t="s">
        <v>853</v>
      </c>
      <c r="C523" s="173"/>
      <c r="D523" s="173"/>
      <c r="E523" s="173"/>
      <c r="F523" s="173"/>
      <c r="G523" s="173"/>
      <c r="H523" s="193"/>
      <c r="I523" s="116" t="s">
        <v>365</v>
      </c>
      <c r="J523" s="116"/>
      <c r="K523" s="116"/>
      <c r="L523" s="116" t="s">
        <v>348</v>
      </c>
      <c r="M523" s="177">
        <v>-5.0629999999999997</v>
      </c>
      <c r="N523" s="497"/>
      <c r="O523" s="497"/>
      <c r="P523" s="177"/>
      <c r="Q523" s="177"/>
      <c r="R523" s="116" t="s">
        <v>352</v>
      </c>
      <c r="S523" s="177">
        <f>SLQHQheight+M523</f>
        <v>42.436999999999998</v>
      </c>
      <c r="T523" s="116" t="s">
        <v>366</v>
      </c>
      <c r="U523" s="193"/>
      <c r="V523" s="138"/>
      <c r="W523" s="138"/>
      <c r="X523" s="138"/>
      <c r="Y523" s="1449"/>
      <c r="Z523" s="116"/>
      <c r="AA523" s="193"/>
      <c r="AB523" s="116">
        <v>42</v>
      </c>
      <c r="AC523" s="116">
        <v>4</v>
      </c>
      <c r="AD523" s="177">
        <f>AC523*S523/12</f>
        <v>14.145666666666665</v>
      </c>
      <c r="AE523" s="116" t="s">
        <v>367</v>
      </c>
      <c r="AF523" s="179">
        <v>2.8000000000000001E-2</v>
      </c>
      <c r="AG523" s="177">
        <f>AF523*AtolbperftQHQ</f>
        <v>1.771E-2</v>
      </c>
      <c r="AH523" s="185"/>
      <c r="AI523" s="39"/>
      <c r="AJ523" s="39"/>
      <c r="AK523" s="39"/>
      <c r="AL523" s="180"/>
      <c r="AQ523" s="139"/>
      <c r="AR523" s="139"/>
      <c r="AS523" s="139"/>
      <c r="AT523" s="139"/>
      <c r="AU523" s="139"/>
    </row>
    <row r="524" spans="1:47" ht="15" customHeight="1" x14ac:dyDescent="0.25">
      <c r="B524" s="7"/>
      <c r="C524" s="7"/>
      <c r="D524" s="7"/>
      <c r="E524" s="7"/>
      <c r="F524" s="7"/>
      <c r="G524" s="7"/>
      <c r="V524" s="38" t="s">
        <v>369</v>
      </c>
      <c r="W524" s="3" t="s">
        <v>370</v>
      </c>
      <c r="X524" s="38" t="s">
        <v>369</v>
      </c>
      <c r="Y524" s="1443">
        <v>200170003</v>
      </c>
      <c r="Z524" s="41"/>
      <c r="AE524" s="3"/>
      <c r="AF524" s="38"/>
      <c r="AH524" s="39">
        <f>1.3*AG523</f>
        <v>2.3023000000000002E-2</v>
      </c>
      <c r="AI524" s="290"/>
      <c r="AJ524" s="290"/>
      <c r="AK524" s="290"/>
      <c r="AL524" s="39">
        <f>AH524*AD523</f>
        <v>0.32567568366666666</v>
      </c>
      <c r="AQ524" s="139"/>
      <c r="AR524" s="139"/>
      <c r="AS524" s="139"/>
      <c r="AT524" s="139"/>
      <c r="AU524" s="139"/>
    </row>
    <row r="525" spans="1:47" ht="15" customHeight="1" x14ac:dyDescent="0.25">
      <c r="B525" s="1947" t="s">
        <v>2393</v>
      </c>
      <c r="C525" s="7"/>
      <c r="D525" s="7"/>
      <c r="E525" s="7"/>
      <c r="F525" s="7"/>
      <c r="G525" s="7"/>
      <c r="V525" s="38" t="s">
        <v>369</v>
      </c>
      <c r="W525" s="3" t="s">
        <v>372</v>
      </c>
      <c r="X525" s="38" t="s">
        <v>369</v>
      </c>
      <c r="Y525" s="1443">
        <v>200170021</v>
      </c>
      <c r="Z525" s="41"/>
      <c r="AE525" s="3"/>
      <c r="AF525" s="38"/>
      <c r="AH525" s="39">
        <f>1.3*AG523</f>
        <v>2.3023000000000002E-2</v>
      </c>
      <c r="AI525" s="1920"/>
      <c r="AJ525" s="1920"/>
      <c r="AK525" s="1920"/>
      <c r="AL525" s="39">
        <f>AH525*AD523</f>
        <v>0.32567568366666666</v>
      </c>
      <c r="AQ525" s="139"/>
      <c r="AR525" s="139"/>
      <c r="AS525" s="139"/>
      <c r="AT525" s="139"/>
      <c r="AU525" s="139"/>
    </row>
    <row r="526" spans="1:47" ht="15" customHeight="1" x14ac:dyDescent="0.4">
      <c r="B526" s="8"/>
      <c r="C526" s="7"/>
      <c r="D526" s="7"/>
      <c r="E526" s="7"/>
      <c r="F526" s="7"/>
      <c r="G526" s="7"/>
      <c r="M526" s="350"/>
      <c r="N526" s="350"/>
      <c r="O526" s="350"/>
      <c r="V526" s="38" t="s">
        <v>369</v>
      </c>
      <c r="W526" s="3" t="s">
        <v>373</v>
      </c>
      <c r="X526" s="38" t="s">
        <v>369</v>
      </c>
      <c r="Y526" s="1443">
        <v>200170033</v>
      </c>
      <c r="Z526" s="41"/>
      <c r="AE526" s="3"/>
      <c r="AF526" s="38"/>
      <c r="AH526" s="39">
        <f>1.3*AG523</f>
        <v>2.3023000000000002E-2</v>
      </c>
      <c r="AI526" s="9"/>
      <c r="AJ526" s="9"/>
      <c r="AK526" s="9"/>
      <c r="AL526" s="39">
        <f>AH526*AD523</f>
        <v>0.32567568366666666</v>
      </c>
      <c r="AQ526" s="139"/>
      <c r="AR526" s="139"/>
      <c r="AS526" s="139"/>
      <c r="AT526" s="139"/>
      <c r="AU526" s="139"/>
    </row>
    <row r="527" spans="1:47" ht="15" customHeight="1" x14ac:dyDescent="0.4">
      <c r="B527" s="8"/>
      <c r="C527" s="7"/>
      <c r="D527" s="7"/>
      <c r="E527" s="7"/>
      <c r="F527" s="7"/>
      <c r="G527" s="7"/>
      <c r="M527" s="350"/>
      <c r="N527" s="350"/>
      <c r="O527" s="350"/>
      <c r="V527" s="38" t="s">
        <v>369</v>
      </c>
      <c r="W527" s="3" t="s">
        <v>374</v>
      </c>
      <c r="X527" s="38" t="s">
        <v>369</v>
      </c>
      <c r="Y527" s="1443">
        <v>200170090</v>
      </c>
      <c r="Z527" s="41"/>
      <c r="AE527" s="3"/>
      <c r="AF527" s="38"/>
      <c r="AH527" s="39">
        <f>1.3*AG524</f>
        <v>0</v>
      </c>
      <c r="AI527" s="9"/>
      <c r="AJ527" s="9"/>
      <c r="AK527" s="9"/>
      <c r="AL527" s="39">
        <f>AH527*AD524</f>
        <v>0</v>
      </c>
      <c r="AQ527" s="139"/>
      <c r="AR527" s="139"/>
      <c r="AS527" s="139"/>
      <c r="AT527" s="139"/>
      <c r="AU527" s="139"/>
    </row>
    <row r="528" spans="1:47" ht="15" customHeight="1" x14ac:dyDescent="0.4">
      <c r="B528" s="8"/>
      <c r="C528" s="7"/>
      <c r="D528" s="7"/>
      <c r="E528" s="7"/>
      <c r="F528" s="7"/>
      <c r="G528" s="7"/>
      <c r="M528" s="350"/>
      <c r="N528" s="350"/>
      <c r="O528" s="350"/>
      <c r="T528" s="842"/>
      <c r="V528" s="279" t="s">
        <v>369</v>
      </c>
      <c r="W528" s="112" t="s">
        <v>375</v>
      </c>
      <c r="X528" s="279" t="s">
        <v>369</v>
      </c>
      <c r="Y528" s="1871">
        <v>200170133</v>
      </c>
      <c r="Z528" s="41"/>
      <c r="AE528" s="3"/>
      <c r="AF528" s="38"/>
      <c r="AH528" s="39"/>
      <c r="AI528" s="9"/>
      <c r="AJ528" s="9"/>
      <c r="AK528" s="9"/>
      <c r="AQ528" s="139"/>
      <c r="AR528" s="139"/>
      <c r="AS528" s="139"/>
      <c r="AT528" s="139"/>
      <c r="AU528" s="139"/>
    </row>
    <row r="529" spans="1:47" ht="15" customHeight="1" thickBot="1" x14ac:dyDescent="0.45">
      <c r="B529" s="8"/>
      <c r="C529" s="7"/>
      <c r="D529" s="7"/>
      <c r="E529" s="7"/>
      <c r="F529" s="7"/>
      <c r="G529" s="7"/>
      <c r="M529" s="350"/>
      <c r="N529" s="350"/>
      <c r="O529" s="350"/>
      <c r="V529" s="1876" t="s">
        <v>369</v>
      </c>
      <c r="W529" s="1877" t="s">
        <v>1849</v>
      </c>
      <c r="X529" s="1876" t="s">
        <v>369</v>
      </c>
      <c r="Y529" s="1878">
        <v>200170148</v>
      </c>
      <c r="Z529" s="41"/>
      <c r="AE529" s="3"/>
      <c r="AF529" s="38"/>
      <c r="AH529" s="39"/>
      <c r="AI529" s="1213"/>
      <c r="AJ529" s="1213"/>
      <c r="AK529" s="1213"/>
      <c r="AM529" s="889"/>
      <c r="AN529" s="889"/>
      <c r="AO529" s="889"/>
      <c r="AP529" s="889"/>
      <c r="AQ529" s="139"/>
      <c r="AR529" s="139"/>
      <c r="AS529" s="139"/>
      <c r="AT529" s="139"/>
      <c r="AU529" s="139"/>
    </row>
    <row r="530" spans="1:47" ht="15" customHeight="1" x14ac:dyDescent="0.4">
      <c r="A530" s="3" t="s">
        <v>498</v>
      </c>
      <c r="B530" s="173" t="s">
        <v>854</v>
      </c>
      <c r="C530" s="173"/>
      <c r="D530" s="173"/>
      <c r="E530" s="173"/>
      <c r="F530" s="173"/>
      <c r="G530" s="173"/>
      <c r="H530" s="193"/>
      <c r="I530" s="116" t="s">
        <v>365</v>
      </c>
      <c r="J530" s="116"/>
      <c r="K530" s="116"/>
      <c r="L530" s="116" t="s">
        <v>348</v>
      </c>
      <c r="M530" s="177">
        <v>-5.0629999999999997</v>
      </c>
      <c r="N530" s="497"/>
      <c r="O530" s="497"/>
      <c r="P530" s="177"/>
      <c r="Q530" s="177"/>
      <c r="R530" s="116" t="s">
        <v>352</v>
      </c>
      <c r="S530" s="177">
        <f>SLQHQheight+M530</f>
        <v>42.436999999999998</v>
      </c>
      <c r="T530" s="116" t="s">
        <v>366</v>
      </c>
      <c r="U530" s="193"/>
      <c r="V530" s="138"/>
      <c r="W530" s="138"/>
      <c r="X530" s="138"/>
      <c r="Y530" s="1449"/>
      <c r="Z530" s="116"/>
      <c r="AA530" s="193"/>
      <c r="AB530" s="116">
        <v>40</v>
      </c>
      <c r="AC530" s="116">
        <v>4</v>
      </c>
      <c r="AD530" s="177">
        <f>AC530*S530/12</f>
        <v>14.145666666666665</v>
      </c>
      <c r="AE530" s="116" t="s">
        <v>367</v>
      </c>
      <c r="AF530" s="179">
        <v>4.3999999999999997E-2</v>
      </c>
      <c r="AG530" s="177">
        <f>AF530*AtolbperftQHQ</f>
        <v>2.7829999999999997E-2</v>
      </c>
      <c r="AH530" s="185"/>
      <c r="AI530" s="39"/>
      <c r="AJ530" s="39"/>
      <c r="AK530" s="39"/>
      <c r="AL530" s="180"/>
      <c r="AQ530" s="139"/>
      <c r="AR530" s="139"/>
      <c r="AS530" s="139"/>
      <c r="AT530" s="139"/>
      <c r="AU530" s="139"/>
    </row>
    <row r="531" spans="1:47" ht="15" customHeight="1" x14ac:dyDescent="0.4">
      <c r="B531" s="7"/>
      <c r="C531" s="7"/>
      <c r="D531" s="7"/>
      <c r="E531" s="7"/>
      <c r="F531" s="7"/>
      <c r="G531" s="7"/>
      <c r="V531" s="38" t="s">
        <v>369</v>
      </c>
      <c r="W531" s="3" t="s">
        <v>370</v>
      </c>
      <c r="X531" s="38" t="s">
        <v>369</v>
      </c>
      <c r="Y531" s="1443">
        <v>200171003</v>
      </c>
      <c r="Z531" s="41"/>
      <c r="AE531" s="3"/>
      <c r="AF531" s="38"/>
      <c r="AH531" s="39">
        <f>1.3*AG530</f>
        <v>3.6178999999999996E-2</v>
      </c>
      <c r="AI531" s="39"/>
      <c r="AJ531" s="39"/>
      <c r="AK531" s="39"/>
      <c r="AL531" s="39">
        <f>AH531*AD530</f>
        <v>0.51177607433333328</v>
      </c>
      <c r="AQ531" s="139"/>
      <c r="AR531" s="139"/>
      <c r="AS531" s="139"/>
      <c r="AT531" s="139"/>
      <c r="AU531" s="139"/>
    </row>
    <row r="532" spans="1:47" ht="15" customHeight="1" x14ac:dyDescent="0.4">
      <c r="B532" s="7"/>
      <c r="C532" s="7"/>
      <c r="D532" s="7"/>
      <c r="E532" s="7"/>
      <c r="F532" s="7"/>
      <c r="G532" s="7"/>
      <c r="V532" s="38" t="s">
        <v>369</v>
      </c>
      <c r="W532" s="3" t="s">
        <v>372</v>
      </c>
      <c r="X532" s="38" t="s">
        <v>369</v>
      </c>
      <c r="Y532" s="1443">
        <v>200171021</v>
      </c>
      <c r="Z532" s="41"/>
      <c r="AE532" s="3"/>
      <c r="AF532" s="38"/>
      <c r="AH532" s="39">
        <f>1.3*AG530</f>
        <v>3.6178999999999996E-2</v>
      </c>
      <c r="AI532" s="39"/>
      <c r="AJ532" s="39"/>
      <c r="AK532" s="39"/>
      <c r="AL532" s="39">
        <f>AH532*AD530</f>
        <v>0.51177607433333328</v>
      </c>
      <c r="AQ532" s="139"/>
      <c r="AR532" s="139"/>
      <c r="AS532" s="139"/>
      <c r="AT532" s="139"/>
      <c r="AU532" s="139"/>
    </row>
    <row r="533" spans="1:47" ht="15" customHeight="1" x14ac:dyDescent="0.4">
      <c r="B533" s="8"/>
      <c r="C533" s="7"/>
      <c r="D533" s="7"/>
      <c r="E533" s="7"/>
      <c r="F533" s="7"/>
      <c r="G533" s="7"/>
      <c r="M533" s="350"/>
      <c r="N533" s="350"/>
      <c r="O533" s="350"/>
      <c r="V533" s="38" t="s">
        <v>369</v>
      </c>
      <c r="W533" s="3" t="s">
        <v>373</v>
      </c>
      <c r="X533" s="38" t="s">
        <v>369</v>
      </c>
      <c r="Y533" s="1443">
        <v>200171033</v>
      </c>
      <c r="Z533" s="41"/>
      <c r="AE533" s="3"/>
      <c r="AF533" s="38"/>
      <c r="AH533" s="39">
        <f>1.3*AG530</f>
        <v>3.6178999999999996E-2</v>
      </c>
      <c r="AI533" s="9"/>
      <c r="AJ533" s="9"/>
      <c r="AK533" s="9"/>
      <c r="AL533" s="39">
        <f>AH533*AD530</f>
        <v>0.51177607433333328</v>
      </c>
      <c r="AQ533" s="139"/>
      <c r="AR533" s="139"/>
      <c r="AS533" s="139"/>
      <c r="AT533" s="139"/>
      <c r="AU533" s="139"/>
    </row>
    <row r="534" spans="1:47" ht="15" customHeight="1" x14ac:dyDescent="0.4">
      <c r="B534" s="8"/>
      <c r="C534" s="7"/>
      <c r="D534" s="7"/>
      <c r="E534" s="7"/>
      <c r="F534" s="7"/>
      <c r="G534" s="7"/>
      <c r="M534" s="350"/>
      <c r="N534" s="350"/>
      <c r="O534" s="350"/>
      <c r="V534" s="38" t="s">
        <v>369</v>
      </c>
      <c r="W534" s="3" t="s">
        <v>374</v>
      </c>
      <c r="X534" s="38" t="s">
        <v>369</v>
      </c>
      <c r="Y534" s="1443">
        <v>200171090</v>
      </c>
      <c r="Z534" s="41"/>
      <c r="AE534" s="3"/>
      <c r="AF534" s="38"/>
      <c r="AH534" s="39">
        <f>1.3*AG531</f>
        <v>0</v>
      </c>
      <c r="AI534" s="9"/>
      <c r="AJ534" s="9"/>
      <c r="AK534" s="9"/>
      <c r="AL534" s="39">
        <f>AH534*AD531</f>
        <v>0</v>
      </c>
      <c r="AQ534" s="139"/>
      <c r="AR534" s="139"/>
      <c r="AS534" s="139"/>
      <c r="AT534" s="139"/>
      <c r="AU534" s="139"/>
    </row>
    <row r="535" spans="1:47" ht="15" customHeight="1" x14ac:dyDescent="0.4">
      <c r="B535" s="8"/>
      <c r="C535" s="7"/>
      <c r="D535" s="7"/>
      <c r="E535" s="7"/>
      <c r="F535" s="7"/>
      <c r="G535" s="7"/>
      <c r="M535" s="350"/>
      <c r="N535" s="350"/>
      <c r="O535" s="350"/>
      <c r="V535" s="38" t="s">
        <v>369</v>
      </c>
      <c r="W535" s="3" t="s">
        <v>375</v>
      </c>
      <c r="X535" s="38" t="s">
        <v>369</v>
      </c>
      <c r="Y535" s="1443">
        <v>200171133</v>
      </c>
      <c r="Z535" s="41"/>
      <c r="AE535" s="3"/>
      <c r="AF535" s="38"/>
      <c r="AH535" s="39"/>
      <c r="AI535" s="9"/>
      <c r="AJ535" s="9"/>
      <c r="AK535" s="9"/>
      <c r="AQ535" s="139"/>
      <c r="AR535" s="139"/>
      <c r="AS535" s="139"/>
      <c r="AT535" s="139"/>
      <c r="AU535" s="139"/>
    </row>
    <row r="536" spans="1:47" ht="15" customHeight="1" thickBot="1" x14ac:dyDescent="0.45">
      <c r="B536" s="8"/>
      <c r="C536" s="7"/>
      <c r="D536" s="7"/>
      <c r="E536" s="7"/>
      <c r="F536" s="7"/>
      <c r="G536" s="7"/>
      <c r="M536" s="350"/>
      <c r="N536" s="350"/>
      <c r="O536" s="350"/>
      <c r="U536" s="948"/>
      <c r="V536" s="1876" t="s">
        <v>369</v>
      </c>
      <c r="W536" s="1877" t="s">
        <v>1849</v>
      </c>
      <c r="X536" s="1876" t="s">
        <v>369</v>
      </c>
      <c r="Y536" s="1878">
        <v>200171148</v>
      </c>
      <c r="Z536" s="946"/>
      <c r="AA536" s="948"/>
      <c r="AB536" s="889"/>
      <c r="AC536" s="889"/>
      <c r="AD536" s="945"/>
      <c r="AE536" s="889"/>
      <c r="AF536" s="888"/>
      <c r="AG536" s="945"/>
      <c r="AH536" s="947">
        <v>0</v>
      </c>
      <c r="AI536" s="1213"/>
      <c r="AJ536" s="1213"/>
      <c r="AK536" s="1213"/>
      <c r="AL536" s="947">
        <f t="shared" ref="AL536" si="37">AH536*AD533</f>
        <v>0</v>
      </c>
      <c r="AM536" s="889"/>
      <c r="AN536" s="889"/>
      <c r="AO536" s="889"/>
      <c r="AP536" s="889"/>
      <c r="AQ536" s="139"/>
      <c r="AR536" s="139"/>
      <c r="AS536" s="139"/>
      <c r="AT536" s="139"/>
      <c r="AU536" s="139"/>
    </row>
    <row r="537" spans="1:47" ht="15" customHeight="1" x14ac:dyDescent="0.4">
      <c r="B537" s="173" t="s">
        <v>855</v>
      </c>
      <c r="C537" s="173"/>
      <c r="D537" s="173"/>
      <c r="E537" s="173"/>
      <c r="F537" s="173"/>
      <c r="G537" s="173"/>
      <c r="H537" s="193"/>
      <c r="I537" s="116" t="s">
        <v>365</v>
      </c>
      <c r="J537" s="116"/>
      <c r="K537" s="116"/>
      <c r="L537" s="116" t="s">
        <v>348</v>
      </c>
      <c r="M537" s="177">
        <v>-5.0629999999999997</v>
      </c>
      <c r="N537" s="497"/>
      <c r="O537" s="497"/>
      <c r="P537" s="177"/>
      <c r="Q537" s="177"/>
      <c r="R537" s="116" t="s">
        <v>352</v>
      </c>
      <c r="S537" s="177">
        <f>SLQHQheight+M537</f>
        <v>42.436999999999998</v>
      </c>
      <c r="T537" s="116" t="s">
        <v>366</v>
      </c>
      <c r="V537" s="38"/>
      <c r="X537" s="38"/>
      <c r="Y537" s="1443"/>
      <c r="Z537" s="41"/>
      <c r="AB537" s="3">
        <v>40</v>
      </c>
      <c r="AC537" s="3">
        <v>4</v>
      </c>
      <c r="AD537" s="5">
        <f>AC537*S537/12</f>
        <v>14.145666666666665</v>
      </c>
      <c r="AE537" s="3" t="s">
        <v>367</v>
      </c>
      <c r="AF537" s="38">
        <v>4.1000000000000002E-2</v>
      </c>
      <c r="AG537" s="5">
        <f>AF537*AtolbperftQHQ</f>
        <v>2.5932500000000001E-2</v>
      </c>
      <c r="AH537" s="39"/>
      <c r="AI537" s="9"/>
      <c r="AJ537" s="9"/>
      <c r="AK537" s="9"/>
      <c r="AQ537" s="139"/>
      <c r="AR537" s="139"/>
      <c r="AS537" s="139"/>
      <c r="AT537" s="139"/>
      <c r="AU537" s="139"/>
    </row>
    <row r="538" spans="1:47" ht="15" customHeight="1" x14ac:dyDescent="0.4">
      <c r="B538" s="8"/>
      <c r="C538" s="7"/>
      <c r="D538" s="7"/>
      <c r="E538" s="7"/>
      <c r="F538" s="7"/>
      <c r="G538" s="7"/>
      <c r="M538" s="350"/>
      <c r="N538" s="350"/>
      <c r="O538" s="350"/>
      <c r="V538" s="38" t="s">
        <v>369</v>
      </c>
      <c r="W538" s="3" t="s">
        <v>370</v>
      </c>
      <c r="X538" s="38" t="s">
        <v>369</v>
      </c>
      <c r="Y538" s="1443">
        <v>200190003</v>
      </c>
      <c r="Z538" s="41"/>
      <c r="AE538" s="3"/>
      <c r="AF538" s="38"/>
      <c r="AH538" s="39">
        <v>3.4000000000000002E-2</v>
      </c>
      <c r="AI538" s="9"/>
      <c r="AJ538" s="9"/>
      <c r="AK538" s="9"/>
      <c r="AL538" s="39">
        <f>AD$537*AH538</f>
        <v>0.48095266666666664</v>
      </c>
      <c r="AQ538" s="139"/>
      <c r="AR538" s="139"/>
      <c r="AS538" s="139"/>
      <c r="AT538" s="139"/>
      <c r="AU538" s="139"/>
    </row>
    <row r="539" spans="1:47" ht="15" customHeight="1" x14ac:dyDescent="0.4">
      <c r="B539" s="8"/>
      <c r="C539" s="7"/>
      <c r="D539" s="7"/>
      <c r="E539" s="7"/>
      <c r="F539" s="7"/>
      <c r="G539" s="7"/>
      <c r="M539" s="350"/>
      <c r="N539" s="350"/>
      <c r="O539" s="350"/>
      <c r="V539" s="38" t="s">
        <v>369</v>
      </c>
      <c r="W539" s="3" t="s">
        <v>372</v>
      </c>
      <c r="X539" s="38" t="s">
        <v>369</v>
      </c>
      <c r="Y539" s="1443">
        <v>200190021</v>
      </c>
      <c r="Z539" s="41"/>
      <c r="AE539" s="3"/>
      <c r="AF539" s="38"/>
      <c r="AH539" s="39">
        <v>3.4000000000000002E-2</v>
      </c>
      <c r="AI539" s="9"/>
      <c r="AJ539" s="9"/>
      <c r="AK539" s="9"/>
      <c r="AL539" s="39">
        <f t="shared" ref="AL539:AL543" si="38">AD$537*AH539</f>
        <v>0.48095266666666664</v>
      </c>
      <c r="AQ539" s="139"/>
      <c r="AR539" s="139"/>
      <c r="AS539" s="139"/>
      <c r="AT539" s="139"/>
      <c r="AU539" s="139"/>
    </row>
    <row r="540" spans="1:47" ht="15" customHeight="1" x14ac:dyDescent="0.4">
      <c r="B540" s="8"/>
      <c r="C540" s="7"/>
      <c r="D540" s="7"/>
      <c r="E540" s="7"/>
      <c r="F540" s="7"/>
      <c r="G540" s="7"/>
      <c r="M540" s="350"/>
      <c r="N540" s="350"/>
      <c r="O540" s="350"/>
      <c r="V540" s="38" t="s">
        <v>369</v>
      </c>
      <c r="W540" s="3" t="s">
        <v>373</v>
      </c>
      <c r="X540" s="38" t="s">
        <v>369</v>
      </c>
      <c r="Y540" s="1443">
        <v>200190033</v>
      </c>
      <c r="Z540" s="41"/>
      <c r="AE540" s="3"/>
      <c r="AF540" s="38"/>
      <c r="AH540" s="39">
        <v>3.4000000000000002E-2</v>
      </c>
      <c r="AI540" s="9"/>
      <c r="AJ540" s="9"/>
      <c r="AK540" s="9"/>
      <c r="AL540" s="39">
        <f t="shared" si="38"/>
        <v>0.48095266666666664</v>
      </c>
      <c r="AQ540" s="139"/>
      <c r="AR540" s="139"/>
      <c r="AS540" s="139"/>
      <c r="AT540" s="139"/>
      <c r="AU540" s="139"/>
    </row>
    <row r="541" spans="1:47" ht="15" customHeight="1" x14ac:dyDescent="0.4">
      <c r="B541" s="8"/>
      <c r="C541" s="7"/>
      <c r="D541" s="7"/>
      <c r="E541" s="7"/>
      <c r="F541" s="7"/>
      <c r="G541" s="7"/>
      <c r="M541" s="350"/>
      <c r="N541" s="350"/>
      <c r="O541" s="350"/>
      <c r="V541" s="38" t="s">
        <v>369</v>
      </c>
      <c r="W541" s="3" t="s">
        <v>374</v>
      </c>
      <c r="X541" s="38" t="s">
        <v>369</v>
      </c>
      <c r="Y541" s="1443">
        <v>200190090</v>
      </c>
      <c r="Z541" s="41"/>
      <c r="AE541" s="3"/>
      <c r="AF541" s="38"/>
      <c r="AH541" s="39">
        <v>3.4000000000000002E-2</v>
      </c>
      <c r="AI541" s="9"/>
      <c r="AJ541" s="9"/>
      <c r="AK541" s="9"/>
      <c r="AL541" s="39">
        <f t="shared" si="38"/>
        <v>0.48095266666666664</v>
      </c>
      <c r="AQ541" s="139"/>
      <c r="AR541" s="139"/>
      <c r="AS541" s="139"/>
      <c r="AT541" s="139"/>
      <c r="AU541" s="139"/>
    </row>
    <row r="542" spans="1:47" ht="15" customHeight="1" x14ac:dyDescent="0.4">
      <c r="B542" s="8"/>
      <c r="C542" s="7"/>
      <c r="D542" s="7"/>
      <c r="E542" s="7"/>
      <c r="F542" s="7"/>
      <c r="G542" s="7"/>
      <c r="M542" s="350"/>
      <c r="N542" s="350"/>
      <c r="O542" s="350"/>
      <c r="V542" s="38" t="s">
        <v>369</v>
      </c>
      <c r="W542" s="3" t="s">
        <v>375</v>
      </c>
      <c r="X542" s="38" t="s">
        <v>369</v>
      </c>
      <c r="Y542" s="1443">
        <v>200190133</v>
      </c>
      <c r="Z542" s="41"/>
      <c r="AE542" s="3"/>
      <c r="AF542" s="38"/>
      <c r="AH542" s="39">
        <v>3.4000000000000002E-2</v>
      </c>
      <c r="AI542" s="9"/>
      <c r="AJ542" s="9"/>
      <c r="AK542" s="9"/>
      <c r="AL542" s="39">
        <f t="shared" si="38"/>
        <v>0.48095266666666664</v>
      </c>
      <c r="AQ542" s="139"/>
      <c r="AR542" s="139"/>
      <c r="AS542" s="139"/>
      <c r="AT542" s="139"/>
      <c r="AU542" s="139"/>
    </row>
    <row r="543" spans="1:47" ht="15" customHeight="1" thickBot="1" x14ac:dyDescent="0.45">
      <c r="B543" s="949"/>
      <c r="C543" s="924"/>
      <c r="D543" s="924"/>
      <c r="E543" s="924"/>
      <c r="F543" s="924"/>
      <c r="G543" s="924"/>
      <c r="H543" s="948"/>
      <c r="I543" s="889"/>
      <c r="J543" s="889"/>
      <c r="K543" s="889"/>
      <c r="L543" s="889"/>
      <c r="M543" s="950"/>
      <c r="N543" s="950"/>
      <c r="O543" s="950"/>
      <c r="P543" s="945"/>
      <c r="Q543" s="945"/>
      <c r="R543" s="889"/>
      <c r="S543" s="945"/>
      <c r="T543" s="889"/>
      <c r="U543" s="948"/>
      <c r="V543" s="1876" t="s">
        <v>369</v>
      </c>
      <c r="W543" s="1877" t="s">
        <v>1849</v>
      </c>
      <c r="X543" s="1876" t="s">
        <v>369</v>
      </c>
      <c r="Y543" s="1878">
        <v>200190148</v>
      </c>
      <c r="Z543" s="946"/>
      <c r="AA543" s="948"/>
      <c r="AB543" s="889"/>
      <c r="AC543" s="889"/>
      <c r="AD543" s="945"/>
      <c r="AE543" s="889"/>
      <c r="AF543" s="888"/>
      <c r="AG543" s="945"/>
      <c r="AH543" s="947">
        <v>3.4000000000000002E-2</v>
      </c>
      <c r="AI543" s="1213"/>
      <c r="AJ543" s="1213"/>
      <c r="AK543" s="1213"/>
      <c r="AL543" s="947">
        <f t="shared" si="38"/>
        <v>0.48095266666666664</v>
      </c>
      <c r="AM543" s="889"/>
      <c r="AN543" s="889"/>
      <c r="AO543" s="889"/>
      <c r="AP543" s="889"/>
      <c r="AQ543" s="139"/>
      <c r="AR543" s="139"/>
      <c r="AS543" s="139"/>
      <c r="AT543" s="139"/>
      <c r="AU543" s="139"/>
    </row>
    <row r="544" spans="1:47" ht="15" customHeight="1" x14ac:dyDescent="0.4">
      <c r="B544" s="156" t="s">
        <v>1082</v>
      </c>
      <c r="C544" s="37"/>
      <c r="D544" s="37"/>
      <c r="E544" s="37"/>
      <c r="F544" s="37"/>
      <c r="G544" s="37"/>
      <c r="H544" s="157"/>
      <c r="I544" s="157"/>
      <c r="J544" s="157"/>
      <c r="K544" s="157"/>
      <c r="L544" s="157"/>
      <c r="M544" s="158"/>
      <c r="N544" s="158"/>
      <c r="O544" s="158"/>
      <c r="P544" s="158"/>
      <c r="Q544" s="158"/>
      <c r="R544" s="157"/>
      <c r="S544" s="158"/>
      <c r="T544" s="157"/>
      <c r="U544" s="157"/>
      <c r="V544" s="37"/>
      <c r="W544" s="37"/>
      <c r="X544" s="37"/>
      <c r="Y544" s="1619"/>
      <c r="Z544" s="59"/>
      <c r="AA544" s="157"/>
      <c r="AB544" s="59"/>
      <c r="AC544" s="157"/>
      <c r="AD544" s="158"/>
      <c r="AE544" s="157"/>
      <c r="AF544" s="157"/>
      <c r="AG544" s="157"/>
      <c r="AH544" s="159"/>
      <c r="AI544" s="159"/>
      <c r="AJ544" s="159"/>
      <c r="AK544" s="159"/>
      <c r="AL544" s="159"/>
      <c r="AM544" s="159"/>
      <c r="AN544" s="159"/>
      <c r="AO544" s="159"/>
      <c r="AP544" s="159"/>
      <c r="AQ544" s="139"/>
      <c r="AR544" s="139"/>
      <c r="AS544" s="139"/>
      <c r="AT544" s="139"/>
      <c r="AU544" s="139"/>
    </row>
    <row r="545" spans="1:47" ht="15" customHeight="1" thickBot="1" x14ac:dyDescent="0.45">
      <c r="C545" s="155"/>
      <c r="D545" s="155"/>
      <c r="E545" s="155"/>
      <c r="F545" s="155"/>
      <c r="G545" s="7"/>
      <c r="Q545" s="24" t="s">
        <v>1359</v>
      </c>
      <c r="S545" s="24" t="s">
        <v>523</v>
      </c>
      <c r="V545" s="500" t="s">
        <v>524</v>
      </c>
      <c r="W545" s="500" t="s">
        <v>1360</v>
      </c>
      <c r="X545" s="500" t="s">
        <v>522</v>
      </c>
      <c r="Y545" s="1443"/>
      <c r="AI545" s="947"/>
      <c r="AJ545" s="947"/>
      <c r="AK545" s="947"/>
      <c r="AM545" s="889"/>
      <c r="AN545" s="889"/>
      <c r="AO545" s="889"/>
      <c r="AP545" s="889"/>
      <c r="AQ545" s="139"/>
      <c r="AR545" s="139"/>
      <c r="AS545" s="139"/>
      <c r="AT545" s="139"/>
      <c r="AU545" s="139"/>
    </row>
    <row r="546" spans="1:47" ht="15" customHeight="1" x14ac:dyDescent="0.4">
      <c r="A546" s="3" t="s">
        <v>1361</v>
      </c>
      <c r="B546" s="173" t="s">
        <v>1272</v>
      </c>
      <c r="C546" s="182"/>
      <c r="D546" s="138"/>
      <c r="E546" s="182"/>
      <c r="F546" s="430" t="s">
        <v>1362</v>
      </c>
      <c r="G546" s="431">
        <v>3</v>
      </c>
      <c r="H546" s="193"/>
      <c r="I546" s="432" t="str">
        <f xml:space="preserve"> "Length = INT ( ( UH - " &amp;FIXED(G547,2)&amp;") / "&amp;FIXED(G546,2)&amp;" ) *"&amp;FIXED(G546,2)</f>
        <v>Length = INT ( ( UH - 6.00) / 3.00 ) *3.00</v>
      </c>
      <c r="J546" s="116"/>
      <c r="K546" s="116"/>
      <c r="L546" s="116"/>
      <c r="M546" s="177"/>
      <c r="N546" s="177"/>
      <c r="O546" s="177"/>
      <c r="P546" s="177"/>
      <c r="Q546" s="178" t="s">
        <v>1363</v>
      </c>
      <c r="R546" s="116" t="s">
        <v>352</v>
      </c>
      <c r="S546" s="177">
        <v>0</v>
      </c>
      <c r="T546" s="116" t="s">
        <v>366</v>
      </c>
      <c r="U546" s="193"/>
      <c r="V546" s="488" t="e">
        <f>IF(NOT(OR(#REF!,#REF!)),"√","")</f>
        <v>#REF!</v>
      </c>
      <c r="W546" s="489">
        <v>0</v>
      </c>
      <c r="X546" s="448" t="s">
        <v>529</v>
      </c>
      <c r="Y546" s="1449" t="s">
        <v>529</v>
      </c>
      <c r="Z546" s="116"/>
      <c r="AA546" s="193"/>
      <c r="AB546" s="116"/>
      <c r="AC546" s="116"/>
      <c r="AD546" s="177"/>
      <c r="AE546" s="177"/>
      <c r="AF546" s="177"/>
      <c r="AG546" s="177"/>
      <c r="AH546" s="185">
        <v>0</v>
      </c>
      <c r="AI546" s="39"/>
      <c r="AJ546" s="39"/>
      <c r="AK546" s="39"/>
      <c r="AL546" s="180">
        <v>0</v>
      </c>
      <c r="AQ546" s="139"/>
      <c r="AR546" s="139"/>
      <c r="AS546" s="139"/>
      <c r="AT546" s="139"/>
      <c r="AU546" s="139"/>
    </row>
    <row r="547" spans="1:47" ht="15" customHeight="1" x14ac:dyDescent="0.4">
      <c r="B547" s="7"/>
      <c r="C547" s="155"/>
      <c r="D547" s="155"/>
      <c r="E547" s="155"/>
      <c r="F547" s="434" t="s">
        <v>419</v>
      </c>
      <c r="G547" s="435">
        <v>6</v>
      </c>
      <c r="H547" s="20"/>
      <c r="I547" s="443" t="s">
        <v>1364</v>
      </c>
      <c r="Q547" s="437" t="s">
        <v>528</v>
      </c>
      <c r="R547" s="500" t="s">
        <v>352</v>
      </c>
      <c r="S547" s="376" t="e">
        <f>IF(#REF!,LOOKUP(INT((SLQHQheight-G547)/G546)*G546,S554:S572),0)</f>
        <v>#REF!</v>
      </c>
      <c r="T547" s="3" t="s">
        <v>366</v>
      </c>
      <c r="U547" s="20"/>
      <c r="V547" s="438" t="e">
        <f>IF(#REF!,"√","")</f>
        <v>#REF!</v>
      </c>
      <c r="W547" s="376" t="e">
        <f>LOOKUP(S547,S554:S572,O554:O572)</f>
        <v>#REF!</v>
      </c>
      <c r="X547" s="24" t="e">
        <f>LOOKUP(S547,S554:S572,Q554:Q572)</f>
        <v>#REF!</v>
      </c>
      <c r="Y547" s="1443" t="e">
        <f>LOOKUP(S547,S554:S572,Y554:Y572)</f>
        <v>#REF!</v>
      </c>
      <c r="Z547" s="56"/>
      <c r="AA547" s="20"/>
      <c r="AB547" s="3">
        <v>42</v>
      </c>
      <c r="AC547" s="3" t="e">
        <f>IF(V547&lt;&gt;"",1,0)</f>
        <v>#REF!</v>
      </c>
      <c r="AD547" s="5" t="e">
        <f>LOOKUP(S547,S554:S572,AD554:AD572)</f>
        <v>#REF!</v>
      </c>
      <c r="AE547" s="3" t="s">
        <v>367</v>
      </c>
      <c r="AF547" s="38"/>
      <c r="AG547" s="38"/>
      <c r="AH547" s="39">
        <v>0.34670000000000001</v>
      </c>
      <c r="AI547" s="39"/>
      <c r="AJ547" s="39"/>
      <c r="AK547" s="39"/>
      <c r="AL547" s="39" t="e">
        <f>AH547*AD547*AC547</f>
        <v>#REF!</v>
      </c>
      <c r="AQ547" s="139"/>
      <c r="AR547" s="139"/>
      <c r="AS547" s="139"/>
      <c r="AT547" s="139"/>
      <c r="AU547" s="139"/>
    </row>
    <row r="548" spans="1:47" ht="15" customHeight="1" x14ac:dyDescent="0.4">
      <c r="B548" s="7"/>
      <c r="C548" s="155"/>
      <c r="D548" s="155"/>
      <c r="E548" s="155"/>
      <c r="F548" s="434" t="s">
        <v>866</v>
      </c>
      <c r="G548" s="435">
        <v>0</v>
      </c>
      <c r="H548" s="20"/>
      <c r="Q548" s="437" t="s">
        <v>1365</v>
      </c>
      <c r="R548" s="500" t="s">
        <v>352</v>
      </c>
      <c r="S548" s="376" t="e">
        <f>IF(#REF!,LOOKUP(INT((SLQHQheight-G547)/G546)*G546,S575:S593),0)</f>
        <v>#REF!</v>
      </c>
      <c r="T548" s="3" t="s">
        <v>366</v>
      </c>
      <c r="V548" s="438" t="e">
        <f>IF(#REF!,"√","")</f>
        <v>#REF!</v>
      </c>
      <c r="W548" s="376" t="e">
        <f>LOOKUP(S548,S575:S593,O575:O593)</f>
        <v>#REF!</v>
      </c>
      <c r="X548" s="24" t="e">
        <f>LOOKUP(S548,S575:S593,Q575:Q593)</f>
        <v>#REF!</v>
      </c>
      <c r="Y548" s="1443" t="e">
        <f>LOOKUP(S548,S575:S593,Y575:Y593)</f>
        <v>#REF!</v>
      </c>
      <c r="Z548" s="56"/>
      <c r="AA548" s="20"/>
      <c r="AB548" s="3">
        <v>42</v>
      </c>
      <c r="AC548" s="3">
        <v>2</v>
      </c>
      <c r="AD548" s="5" t="e">
        <f>LOOKUP(S548,S575:S593,AD575:AD593)</f>
        <v>#REF!</v>
      </c>
      <c r="AE548" s="3" t="s">
        <v>367</v>
      </c>
      <c r="AF548" s="38"/>
      <c r="AG548" s="38"/>
      <c r="AH548" s="39">
        <v>0.48049999999999998</v>
      </c>
      <c r="AI548" s="39"/>
      <c r="AJ548" s="39"/>
      <c r="AK548" s="39"/>
      <c r="AL548" s="39" t="e">
        <f>AH548*AD548*AC548</f>
        <v>#REF!</v>
      </c>
      <c r="AQ548" s="139"/>
      <c r="AR548" s="139"/>
      <c r="AS548" s="139"/>
      <c r="AT548" s="139"/>
      <c r="AU548" s="139"/>
    </row>
    <row r="549" spans="1:47" ht="15" customHeight="1" thickBot="1" x14ac:dyDescent="0.45">
      <c r="B549" s="924"/>
      <c r="C549" s="925"/>
      <c r="D549" s="968"/>
      <c r="E549" s="925"/>
      <c r="F549" s="968"/>
      <c r="G549" s="968"/>
      <c r="H549" s="948"/>
      <c r="I549" s="889"/>
      <c r="J549" s="889"/>
      <c r="K549" s="889"/>
      <c r="L549" s="889"/>
      <c r="M549" s="945"/>
      <c r="N549" s="945"/>
      <c r="O549" s="945"/>
      <c r="P549" s="945"/>
      <c r="Q549" s="945"/>
      <c r="R549" s="889"/>
      <c r="S549" s="945"/>
      <c r="T549" s="889"/>
      <c r="U549" s="948"/>
      <c r="V549" s="889"/>
      <c r="W549" s="970"/>
      <c r="X549" s="889"/>
      <c r="Y549" s="1444"/>
      <c r="Z549" s="889"/>
      <c r="AA549" s="948"/>
      <c r="AB549" s="889"/>
      <c r="AC549" s="889"/>
      <c r="AD549" s="945"/>
      <c r="AE549" s="945"/>
      <c r="AF549" s="889"/>
      <c r="AG549" s="1494"/>
      <c r="AH549" s="1213"/>
      <c r="AI549" s="947"/>
      <c r="AJ549" s="947"/>
      <c r="AK549" s="947"/>
      <c r="AL549" s="947"/>
      <c r="AM549" s="889"/>
      <c r="AN549" s="889"/>
      <c r="AO549" s="889"/>
      <c r="AP549" s="889"/>
      <c r="AQ549" s="139"/>
      <c r="AR549" s="139"/>
      <c r="AS549" s="139"/>
      <c r="AT549" s="139"/>
      <c r="AU549" s="139"/>
    </row>
    <row r="550" spans="1:47" ht="15" customHeight="1" x14ac:dyDescent="0.4">
      <c r="B550" s="7"/>
      <c r="C550" s="155"/>
      <c r="D550" s="155"/>
      <c r="E550" s="155"/>
      <c r="F550" s="434"/>
      <c r="G550" s="498"/>
      <c r="H550" s="20"/>
      <c r="Y550" s="1443"/>
      <c r="AF550" s="38"/>
      <c r="AG550" s="39"/>
      <c r="AH550" s="39"/>
      <c r="AI550" s="39"/>
      <c r="AJ550" s="39"/>
      <c r="AK550" s="39"/>
      <c r="AQ550" s="139"/>
      <c r="AR550" s="139"/>
      <c r="AS550" s="139"/>
      <c r="AT550" s="139"/>
      <c r="AU550" s="139"/>
    </row>
    <row r="551" spans="1:47" ht="15" customHeight="1" thickBot="1" x14ac:dyDescent="0.45">
      <c r="B551" s="7"/>
      <c r="C551" s="925"/>
      <c r="D551" s="925"/>
      <c r="E551" s="925"/>
      <c r="F551" s="1243"/>
      <c r="G551" s="1246"/>
      <c r="H551" s="887"/>
      <c r="I551" s="889"/>
      <c r="J551" s="889"/>
      <c r="K551" s="889"/>
      <c r="L551" s="889"/>
      <c r="M551" s="945"/>
      <c r="N551" s="945"/>
      <c r="O551" s="945"/>
      <c r="P551" s="945"/>
      <c r="Q551" s="945"/>
      <c r="R551" s="889"/>
      <c r="S551" s="945"/>
      <c r="T551" s="889"/>
      <c r="U551" s="948"/>
      <c r="V551" s="889"/>
      <c r="W551" s="889"/>
      <c r="X551" s="889"/>
      <c r="Y551" s="1444"/>
      <c r="Z551" s="889"/>
      <c r="AA551" s="948"/>
      <c r="AB551" s="889"/>
      <c r="AC551" s="889"/>
      <c r="AD551" s="945"/>
      <c r="AE551" s="945"/>
      <c r="AF551" s="888"/>
      <c r="AG551" s="947"/>
      <c r="AH551" s="947"/>
      <c r="AI551" s="947"/>
      <c r="AJ551" s="947"/>
      <c r="AK551" s="947"/>
      <c r="AL551" s="947"/>
      <c r="AM551" s="889"/>
      <c r="AN551" s="889"/>
      <c r="AO551" s="889"/>
      <c r="AP551" s="889"/>
      <c r="AQ551" s="139"/>
      <c r="AR551" s="139"/>
      <c r="AS551" s="139"/>
      <c r="AT551" s="139"/>
      <c r="AU551" s="139"/>
    </row>
    <row r="552" spans="1:47" ht="15" customHeight="1" x14ac:dyDescent="0.4">
      <c r="C552" s="173" t="s">
        <v>1366</v>
      </c>
      <c r="D552" s="182"/>
      <c r="E552" s="182"/>
      <c r="F552" s="138"/>
      <c r="G552" s="138"/>
      <c r="H552" s="193"/>
      <c r="I552" s="116"/>
      <c r="J552" s="116"/>
      <c r="K552" s="116"/>
      <c r="L552" s="116"/>
      <c r="M552" s="177"/>
      <c r="N552" s="177"/>
      <c r="O552" s="177"/>
      <c r="P552" s="177"/>
      <c r="Q552" s="177"/>
      <c r="R552" s="116"/>
      <c r="S552" s="177"/>
      <c r="T552" s="116"/>
      <c r="U552" s="193"/>
      <c r="V552" s="116"/>
      <c r="W552" s="116"/>
      <c r="X552" s="116"/>
      <c r="Y552" s="1449"/>
      <c r="Z552" s="116"/>
      <c r="AA552" s="193"/>
      <c r="AB552" s="116"/>
      <c r="AC552" s="116"/>
      <c r="AD552" s="177"/>
      <c r="AE552" s="177"/>
      <c r="AF552" s="179"/>
      <c r="AG552" s="180"/>
      <c r="AH552" s="180"/>
      <c r="AI552" s="39"/>
      <c r="AJ552" s="39"/>
      <c r="AK552" s="39"/>
      <c r="AL552" s="499"/>
      <c r="AQ552" s="139"/>
      <c r="AR552" s="139"/>
      <c r="AS552" s="139"/>
      <c r="AT552" s="139"/>
      <c r="AU552" s="139"/>
    </row>
    <row r="553" spans="1:47" ht="15" customHeight="1" x14ac:dyDescent="0.4">
      <c r="C553" s="4"/>
      <c r="D553" s="155"/>
      <c r="E553" s="155"/>
      <c r="F553" s="434" t="s">
        <v>418</v>
      </c>
      <c r="G553" s="435">
        <v>3</v>
      </c>
      <c r="O553" s="24" t="s">
        <v>1277</v>
      </c>
      <c r="Q553" s="24" t="s">
        <v>522</v>
      </c>
      <c r="S553" s="24" t="s">
        <v>523</v>
      </c>
      <c r="V553" s="4"/>
      <c r="W553" s="4"/>
      <c r="X553" s="4"/>
      <c r="Y553" s="1621" t="s">
        <v>356</v>
      </c>
      <c r="Z553" s="500"/>
      <c r="AE553" s="3"/>
      <c r="AF553" s="38"/>
      <c r="AG553" s="39"/>
      <c r="AH553" s="39"/>
      <c r="AI553" s="39"/>
      <c r="AJ553" s="39"/>
      <c r="AK553" s="39"/>
      <c r="AL553" s="501"/>
      <c r="AQ553" s="139"/>
      <c r="AR553" s="139"/>
      <c r="AS553" s="139"/>
      <c r="AT553" s="139"/>
      <c r="AU553" s="139"/>
    </row>
    <row r="554" spans="1:47" ht="15" customHeight="1" x14ac:dyDescent="0.4">
      <c r="C554" s="4"/>
      <c r="D554" s="155"/>
      <c r="E554" s="155"/>
      <c r="F554" s="434"/>
      <c r="G554" s="498"/>
      <c r="O554" s="1625">
        <v>0</v>
      </c>
      <c r="P554" s="1625"/>
      <c r="Q554" s="1632" t="s">
        <v>529</v>
      </c>
      <c r="R554" s="572"/>
      <c r="S554" s="1625">
        <v>0</v>
      </c>
      <c r="T554" s="572" t="s">
        <v>366</v>
      </c>
      <c r="U554" s="1633"/>
      <c r="V554" s="274"/>
      <c r="W554" s="274"/>
      <c r="X554" s="274"/>
      <c r="Y554" s="1871" t="s">
        <v>529</v>
      </c>
      <c r="AE554" s="3"/>
      <c r="AF554" s="38"/>
      <c r="AG554" s="39"/>
      <c r="AH554" s="39"/>
      <c r="AI554" s="39"/>
      <c r="AJ554" s="39"/>
      <c r="AK554" s="39"/>
      <c r="AL554" s="501"/>
      <c r="AQ554" s="139"/>
      <c r="AR554" s="139"/>
      <c r="AS554" s="139"/>
      <c r="AT554" s="139"/>
      <c r="AU554" s="139"/>
    </row>
    <row r="555" spans="1:47" ht="15" customHeight="1" x14ac:dyDescent="0.4">
      <c r="B555" s="3"/>
      <c r="C555" s="4"/>
      <c r="D555" s="155"/>
      <c r="E555" s="155"/>
      <c r="F555" s="434" t="s">
        <v>878</v>
      </c>
      <c r="G555" s="435">
        <v>15</v>
      </c>
      <c r="O555" s="1625">
        <f t="shared" ref="O555:O572" si="39">S555/12*$G$556</f>
        <v>0.40500000000000003</v>
      </c>
      <c r="P555" s="1625"/>
      <c r="Q555" s="1632" t="s">
        <v>70</v>
      </c>
      <c r="R555" s="1634" t="s">
        <v>352</v>
      </c>
      <c r="S555" s="1626">
        <f>G555</f>
        <v>15</v>
      </c>
      <c r="T555" s="572" t="s">
        <v>366</v>
      </c>
      <c r="U555" s="1633"/>
      <c r="V555" s="274"/>
      <c r="W555" s="274"/>
      <c r="X555" s="274"/>
      <c r="Y555" s="1921">
        <v>250012000001</v>
      </c>
      <c r="Z555" s="441"/>
      <c r="AA555" s="20"/>
      <c r="AB555" s="3">
        <v>42</v>
      </c>
      <c r="AC555" s="3">
        <v>2</v>
      </c>
      <c r="AD555" s="5">
        <f t="shared" ref="AD555:AD572" si="40">AC555*S555/12</f>
        <v>2.5</v>
      </c>
      <c r="AE555" s="3" t="s">
        <v>367</v>
      </c>
      <c r="AF555" s="38"/>
      <c r="AG555" s="39"/>
      <c r="AH555" s="39"/>
      <c r="AI555" s="39"/>
      <c r="AJ555" s="39"/>
      <c r="AK555" s="39"/>
      <c r="AL555" s="501"/>
      <c r="AQ555" s="139"/>
      <c r="AR555" s="139"/>
      <c r="AS555" s="139"/>
      <c r="AT555" s="139"/>
      <c r="AU555" s="139"/>
    </row>
    <row r="556" spans="1:47" ht="15" customHeight="1" x14ac:dyDescent="0.4">
      <c r="D556" s="155"/>
      <c r="E556" s="155"/>
      <c r="F556" s="461" t="s">
        <v>868</v>
      </c>
      <c r="G556" s="502">
        <v>0.32400000000000001</v>
      </c>
      <c r="O556" s="1625">
        <f t="shared" si="39"/>
        <v>0.48599999999999999</v>
      </c>
      <c r="P556" s="1625"/>
      <c r="Q556" s="1632" t="s">
        <v>81</v>
      </c>
      <c r="R556" s="1634" t="s">
        <v>352</v>
      </c>
      <c r="S556" s="1626">
        <f t="shared" ref="S556:S572" si="41">S555+$G$553</f>
        <v>18</v>
      </c>
      <c r="T556" s="572" t="s">
        <v>366</v>
      </c>
      <c r="U556" s="1633"/>
      <c r="V556" s="274"/>
      <c r="W556" s="274"/>
      <c r="X556" s="274"/>
      <c r="Y556" s="1921">
        <v>250012000002</v>
      </c>
      <c r="Z556" s="441"/>
      <c r="AA556" s="20"/>
      <c r="AB556" s="3">
        <v>42</v>
      </c>
      <c r="AC556" s="3">
        <v>2</v>
      </c>
      <c r="AD556" s="5">
        <f t="shared" si="40"/>
        <v>3</v>
      </c>
      <c r="AE556" s="3" t="s">
        <v>367</v>
      </c>
      <c r="AF556" s="38"/>
      <c r="AG556" s="39"/>
      <c r="AH556" s="39"/>
      <c r="AI556" s="39"/>
      <c r="AJ556" s="39"/>
      <c r="AK556" s="39"/>
      <c r="AL556" s="501"/>
      <c r="AQ556" s="139"/>
      <c r="AR556" s="139"/>
      <c r="AS556" s="139"/>
      <c r="AT556" s="139"/>
      <c r="AU556" s="139"/>
    </row>
    <row r="557" spans="1:47" ht="15" customHeight="1" x14ac:dyDescent="0.4">
      <c r="D557" s="155"/>
      <c r="E557" s="155"/>
      <c r="F557" s="155"/>
      <c r="G557" s="155"/>
      <c r="O557" s="1625">
        <f t="shared" si="39"/>
        <v>0.56700000000000006</v>
      </c>
      <c r="P557" s="1625"/>
      <c r="Q557" s="1632" t="s">
        <v>531</v>
      </c>
      <c r="R557" s="1634" t="s">
        <v>352</v>
      </c>
      <c r="S557" s="1626">
        <f t="shared" si="41"/>
        <v>21</v>
      </c>
      <c r="T557" s="572" t="s">
        <v>366</v>
      </c>
      <c r="U557" s="1633"/>
      <c r="V557" s="274"/>
      <c r="W557" s="274"/>
      <c r="X557" s="274"/>
      <c r="Y557" s="1921">
        <v>250012000003</v>
      </c>
      <c r="Z557" s="441"/>
      <c r="AA557" s="20"/>
      <c r="AB557" s="3">
        <v>42</v>
      </c>
      <c r="AC557" s="3">
        <v>2</v>
      </c>
      <c r="AD557" s="5">
        <f t="shared" si="40"/>
        <v>3.5</v>
      </c>
      <c r="AE557" s="3" t="s">
        <v>367</v>
      </c>
      <c r="AF557" s="38"/>
      <c r="AG557" s="39"/>
      <c r="AH557" s="39"/>
      <c r="AI557" s="39"/>
      <c r="AJ557" s="39"/>
      <c r="AK557" s="39"/>
      <c r="AL557" s="501"/>
      <c r="AQ557" s="139"/>
      <c r="AR557" s="139"/>
      <c r="AS557" s="139"/>
      <c r="AT557" s="139"/>
      <c r="AU557" s="139"/>
    </row>
    <row r="558" spans="1:47" ht="15" customHeight="1" x14ac:dyDescent="0.4">
      <c r="B558" s="3"/>
      <c r="D558" s="155"/>
      <c r="E558" s="155"/>
      <c r="F558" s="155"/>
      <c r="G558" s="155"/>
      <c r="O558" s="1625">
        <f t="shared" si="39"/>
        <v>0.64800000000000002</v>
      </c>
      <c r="P558" s="1625"/>
      <c r="Q558" s="1632" t="s">
        <v>94</v>
      </c>
      <c r="R558" s="1634" t="s">
        <v>352</v>
      </c>
      <c r="S558" s="1626">
        <f t="shared" si="41"/>
        <v>24</v>
      </c>
      <c r="T558" s="572" t="s">
        <v>366</v>
      </c>
      <c r="U558" s="1633"/>
      <c r="V558" s="274"/>
      <c r="W558" s="274"/>
      <c r="X558" s="274"/>
      <c r="Y558" s="1921">
        <v>250012000004</v>
      </c>
      <c r="Z558" s="441"/>
      <c r="AA558" s="20"/>
      <c r="AB558" s="3">
        <v>42</v>
      </c>
      <c r="AC558" s="3">
        <v>2</v>
      </c>
      <c r="AD558" s="5">
        <f t="shared" si="40"/>
        <v>4</v>
      </c>
      <c r="AE558" s="3" t="s">
        <v>367</v>
      </c>
      <c r="AF558" s="38"/>
      <c r="AG558" s="39"/>
      <c r="AH558" s="39"/>
      <c r="AI558" s="39"/>
      <c r="AJ558" s="39"/>
      <c r="AK558" s="39"/>
      <c r="AL558" s="501"/>
      <c r="AQ558" s="139"/>
      <c r="AR558" s="139"/>
      <c r="AS558" s="139"/>
      <c r="AT558" s="139"/>
      <c r="AU558" s="139"/>
    </row>
    <row r="559" spans="1:47" ht="15" customHeight="1" x14ac:dyDescent="0.4">
      <c r="B559" s="3"/>
      <c r="C559" s="4"/>
      <c r="D559" s="155"/>
      <c r="E559" s="155"/>
      <c r="F559" s="155"/>
      <c r="G559" s="155"/>
      <c r="O559" s="1625">
        <f t="shared" si="39"/>
        <v>0.72899999999999998</v>
      </c>
      <c r="P559" s="1625"/>
      <c r="Q559" s="1632" t="s">
        <v>112</v>
      </c>
      <c r="R559" s="1634" t="s">
        <v>352</v>
      </c>
      <c r="S559" s="1626">
        <f t="shared" si="41"/>
        <v>27</v>
      </c>
      <c r="T559" s="572" t="s">
        <v>366</v>
      </c>
      <c r="U559" s="1633"/>
      <c r="V559" s="274"/>
      <c r="W559" s="274"/>
      <c r="X559" s="274"/>
      <c r="Y559" s="1921">
        <v>250012000005</v>
      </c>
      <c r="Z559" s="441"/>
      <c r="AA559" s="20"/>
      <c r="AB559" s="3">
        <v>42</v>
      </c>
      <c r="AC559" s="3">
        <v>2</v>
      </c>
      <c r="AD559" s="5">
        <f t="shared" si="40"/>
        <v>4.5</v>
      </c>
      <c r="AE559" s="3" t="s">
        <v>367</v>
      </c>
      <c r="AF559" s="38"/>
      <c r="AG559" s="39"/>
      <c r="AH559" s="39"/>
      <c r="AI559" s="39"/>
      <c r="AJ559" s="39"/>
      <c r="AK559" s="39"/>
      <c r="AL559" s="501"/>
      <c r="AQ559" s="139"/>
      <c r="AR559" s="139"/>
      <c r="AS559" s="139"/>
      <c r="AT559" s="139"/>
      <c r="AU559" s="139"/>
    </row>
    <row r="560" spans="1:47" ht="15" customHeight="1" x14ac:dyDescent="0.4">
      <c r="C560" s="442"/>
      <c r="D560" s="155"/>
      <c r="E560" s="155"/>
      <c r="F560" s="155"/>
      <c r="G560" s="155"/>
      <c r="O560" s="1625">
        <f t="shared" si="39"/>
        <v>0.81</v>
      </c>
      <c r="P560" s="1625"/>
      <c r="Q560" s="1632" t="s">
        <v>128</v>
      </c>
      <c r="R560" s="1634" t="s">
        <v>352</v>
      </c>
      <c r="S560" s="1626">
        <f t="shared" si="41"/>
        <v>30</v>
      </c>
      <c r="T560" s="572" t="s">
        <v>366</v>
      </c>
      <c r="U560" s="1633"/>
      <c r="V560" s="274"/>
      <c r="W560" s="274"/>
      <c r="X560" s="274"/>
      <c r="Y560" s="1921">
        <v>250012000006</v>
      </c>
      <c r="Z560" s="441"/>
      <c r="AA560" s="20"/>
      <c r="AB560" s="3">
        <v>42</v>
      </c>
      <c r="AC560" s="3">
        <v>2</v>
      </c>
      <c r="AD560" s="5">
        <f t="shared" si="40"/>
        <v>5</v>
      </c>
      <c r="AE560" s="3" t="s">
        <v>367</v>
      </c>
      <c r="AF560" s="38"/>
      <c r="AG560" s="39"/>
      <c r="AH560" s="39"/>
      <c r="AI560" s="39"/>
      <c r="AJ560" s="39"/>
      <c r="AK560" s="39"/>
      <c r="AL560" s="501"/>
      <c r="AQ560" s="139"/>
      <c r="AR560" s="139"/>
      <c r="AS560" s="139"/>
      <c r="AT560" s="139"/>
      <c r="AU560" s="139"/>
    </row>
    <row r="561" spans="2:47" ht="15" customHeight="1" x14ac:dyDescent="0.4">
      <c r="C561" s="443"/>
      <c r="D561" s="155"/>
      <c r="E561" s="155"/>
      <c r="F561" s="155"/>
      <c r="G561" s="155"/>
      <c r="O561" s="1625">
        <f t="shared" si="39"/>
        <v>0.89100000000000001</v>
      </c>
      <c r="P561" s="1625"/>
      <c r="Q561" s="1632" t="s">
        <v>155</v>
      </c>
      <c r="R561" s="1634" t="s">
        <v>352</v>
      </c>
      <c r="S561" s="1626">
        <f t="shared" si="41"/>
        <v>33</v>
      </c>
      <c r="T561" s="572" t="s">
        <v>366</v>
      </c>
      <c r="U561" s="1633"/>
      <c r="V561" s="274"/>
      <c r="W561" s="274"/>
      <c r="X561" s="274"/>
      <c r="Y561" s="1921">
        <v>250012000007</v>
      </c>
      <c r="Z561" s="441"/>
      <c r="AA561" s="20"/>
      <c r="AB561" s="3">
        <v>42</v>
      </c>
      <c r="AC561" s="3">
        <v>2</v>
      </c>
      <c r="AD561" s="5">
        <f t="shared" si="40"/>
        <v>5.5</v>
      </c>
      <c r="AE561" s="3" t="s">
        <v>367</v>
      </c>
      <c r="AF561" s="38"/>
      <c r="AG561" s="39"/>
      <c r="AH561" s="39"/>
      <c r="AI561" s="39"/>
      <c r="AJ561" s="39"/>
      <c r="AK561" s="39"/>
      <c r="AL561" s="501"/>
      <c r="AQ561" s="139"/>
      <c r="AR561" s="139"/>
      <c r="AS561" s="139"/>
      <c r="AT561" s="139"/>
      <c r="AU561" s="139"/>
    </row>
    <row r="562" spans="2:47" ht="15" customHeight="1" x14ac:dyDescent="0.4">
      <c r="C562" s="4"/>
      <c r="D562" s="155"/>
      <c r="E562" s="155"/>
      <c r="F562" s="155"/>
      <c r="G562" s="155"/>
      <c r="O562" s="1625">
        <f t="shared" si="39"/>
        <v>0.97199999999999998</v>
      </c>
      <c r="P562" s="1625"/>
      <c r="Q562" s="1632" t="s">
        <v>163</v>
      </c>
      <c r="R562" s="1634" t="s">
        <v>352</v>
      </c>
      <c r="S562" s="1626">
        <f t="shared" si="41"/>
        <v>36</v>
      </c>
      <c r="T562" s="572" t="s">
        <v>366</v>
      </c>
      <c r="U562" s="1633"/>
      <c r="V562" s="274"/>
      <c r="W562" s="274"/>
      <c r="X562" s="274"/>
      <c r="Y562" s="1921">
        <v>250012000008</v>
      </c>
      <c r="Z562" s="441"/>
      <c r="AA562" s="20"/>
      <c r="AB562" s="3">
        <v>42</v>
      </c>
      <c r="AC562" s="3">
        <v>2</v>
      </c>
      <c r="AD562" s="5">
        <f t="shared" si="40"/>
        <v>6</v>
      </c>
      <c r="AE562" s="3" t="s">
        <v>367</v>
      </c>
      <c r="AF562" s="38"/>
      <c r="AG562" s="39"/>
      <c r="AH562" s="39"/>
      <c r="AI562" s="39"/>
      <c r="AJ562" s="39"/>
      <c r="AK562" s="39"/>
      <c r="AL562" s="501"/>
      <c r="AQ562" s="139"/>
      <c r="AR562" s="139"/>
      <c r="AS562" s="139"/>
      <c r="AT562" s="139"/>
      <c r="AU562" s="139"/>
    </row>
    <row r="563" spans="2:47" ht="15" customHeight="1" x14ac:dyDescent="0.4">
      <c r="C563" s="4"/>
      <c r="D563" s="155"/>
      <c r="E563" s="155"/>
      <c r="F563" s="155"/>
      <c r="G563" s="155"/>
      <c r="O563" s="1625">
        <f t="shared" si="39"/>
        <v>1.0529999999999999</v>
      </c>
      <c r="P563" s="1625"/>
      <c r="Q563" s="1632" t="s">
        <v>175</v>
      </c>
      <c r="R563" s="1634" t="s">
        <v>352</v>
      </c>
      <c r="S563" s="1626">
        <f t="shared" si="41"/>
        <v>39</v>
      </c>
      <c r="T563" s="572" t="s">
        <v>366</v>
      </c>
      <c r="U563" s="1633"/>
      <c r="V563" s="274"/>
      <c r="W563" s="274"/>
      <c r="X563" s="274"/>
      <c r="Y563" s="1921">
        <v>250012000009</v>
      </c>
      <c r="Z563" s="441"/>
      <c r="AA563" s="20"/>
      <c r="AB563" s="3">
        <v>42</v>
      </c>
      <c r="AC563" s="3">
        <v>2</v>
      </c>
      <c r="AD563" s="5">
        <f t="shared" si="40"/>
        <v>6.5</v>
      </c>
      <c r="AE563" s="3" t="s">
        <v>367</v>
      </c>
      <c r="AF563" s="38"/>
      <c r="AG563" s="39"/>
      <c r="AH563" s="39"/>
      <c r="AI563" s="39"/>
      <c r="AJ563" s="39"/>
      <c r="AK563" s="39"/>
      <c r="AL563" s="501"/>
      <c r="AQ563" s="139"/>
      <c r="AR563" s="139"/>
      <c r="AS563" s="139"/>
      <c r="AT563" s="139"/>
      <c r="AU563" s="139"/>
    </row>
    <row r="564" spans="2:47" ht="15" customHeight="1" x14ac:dyDescent="0.4">
      <c r="C564" s="4"/>
      <c r="D564" s="155"/>
      <c r="E564" s="155"/>
      <c r="F564" s="155"/>
      <c r="G564" s="155"/>
      <c r="O564" s="1625">
        <f t="shared" si="39"/>
        <v>1.1340000000000001</v>
      </c>
      <c r="P564" s="1625"/>
      <c r="Q564" s="1632" t="s">
        <v>533</v>
      </c>
      <c r="R564" s="1634" t="s">
        <v>352</v>
      </c>
      <c r="S564" s="1626">
        <f t="shared" si="41"/>
        <v>42</v>
      </c>
      <c r="T564" s="572" t="s">
        <v>366</v>
      </c>
      <c r="U564" s="1633"/>
      <c r="V564" s="274"/>
      <c r="W564" s="274"/>
      <c r="X564" s="274"/>
      <c r="Y564" s="1921">
        <v>250012000010</v>
      </c>
      <c r="Z564" s="441"/>
      <c r="AA564" s="20"/>
      <c r="AB564" s="3">
        <v>42</v>
      </c>
      <c r="AC564" s="3">
        <v>2</v>
      </c>
      <c r="AD564" s="5">
        <f t="shared" si="40"/>
        <v>7</v>
      </c>
      <c r="AE564" s="3" t="s">
        <v>367</v>
      </c>
      <c r="AF564" s="38"/>
      <c r="AG564" s="39"/>
      <c r="AH564" s="39"/>
      <c r="AI564" s="39"/>
      <c r="AJ564" s="39"/>
      <c r="AK564" s="39"/>
      <c r="AL564" s="501"/>
      <c r="AQ564" s="139"/>
      <c r="AR564" s="139"/>
      <c r="AS564" s="139"/>
      <c r="AT564" s="139"/>
      <c r="AU564" s="139"/>
    </row>
    <row r="565" spans="2:47" ht="15" customHeight="1" x14ac:dyDescent="0.4">
      <c r="C565" s="4"/>
      <c r="D565" s="155"/>
      <c r="E565" s="155"/>
      <c r="F565" s="155"/>
      <c r="G565" s="155"/>
      <c r="O565" s="1625">
        <f t="shared" si="39"/>
        <v>1.2150000000000001</v>
      </c>
      <c r="P565" s="1625"/>
      <c r="Q565" s="1632" t="s">
        <v>534</v>
      </c>
      <c r="R565" s="1634" t="s">
        <v>352</v>
      </c>
      <c r="S565" s="1626">
        <f t="shared" si="41"/>
        <v>45</v>
      </c>
      <c r="T565" s="572" t="s">
        <v>366</v>
      </c>
      <c r="U565" s="1633"/>
      <c r="V565" s="274"/>
      <c r="W565" s="274"/>
      <c r="X565" s="274"/>
      <c r="Y565" s="1921">
        <v>250012000011</v>
      </c>
      <c r="Z565" s="441"/>
      <c r="AA565" s="20"/>
      <c r="AB565" s="3">
        <v>42</v>
      </c>
      <c r="AC565" s="3">
        <v>2</v>
      </c>
      <c r="AD565" s="5">
        <f t="shared" si="40"/>
        <v>7.5</v>
      </c>
      <c r="AE565" s="3" t="s">
        <v>367</v>
      </c>
      <c r="AF565" s="38"/>
      <c r="AG565" s="39"/>
      <c r="AH565" s="39"/>
      <c r="AI565" s="39"/>
      <c r="AJ565" s="39"/>
      <c r="AK565" s="39"/>
      <c r="AL565" s="501"/>
      <c r="AQ565" s="139"/>
      <c r="AR565" s="139"/>
      <c r="AS565" s="139"/>
      <c r="AT565" s="139"/>
      <c r="AU565" s="139"/>
    </row>
    <row r="566" spans="2:47" ht="15" customHeight="1" x14ac:dyDescent="0.4">
      <c r="C566" s="4"/>
      <c r="D566" s="155"/>
      <c r="E566" s="155"/>
      <c r="F566" s="155"/>
      <c r="G566" s="155"/>
      <c r="O566" s="1625">
        <f t="shared" si="39"/>
        <v>1.296</v>
      </c>
      <c r="P566" s="1625"/>
      <c r="Q566" s="1632" t="s">
        <v>535</v>
      </c>
      <c r="R566" s="1634" t="s">
        <v>352</v>
      </c>
      <c r="S566" s="1626">
        <f t="shared" si="41"/>
        <v>48</v>
      </c>
      <c r="T566" s="572" t="s">
        <v>366</v>
      </c>
      <c r="U566" s="1633"/>
      <c r="V566" s="274"/>
      <c r="W566" s="274"/>
      <c r="X566" s="274"/>
      <c r="Y566" s="1921">
        <v>250012000012</v>
      </c>
      <c r="Z566" s="441"/>
      <c r="AA566" s="20"/>
      <c r="AB566" s="3">
        <v>42</v>
      </c>
      <c r="AC566" s="3">
        <v>2</v>
      </c>
      <c r="AD566" s="5">
        <f t="shared" si="40"/>
        <v>8</v>
      </c>
      <c r="AE566" s="3" t="s">
        <v>367</v>
      </c>
      <c r="AF566" s="38"/>
      <c r="AG566" s="39"/>
      <c r="AH566" s="39"/>
      <c r="AI566" s="39"/>
      <c r="AJ566" s="39"/>
      <c r="AK566" s="39"/>
      <c r="AL566" s="501"/>
      <c r="AQ566" s="139"/>
      <c r="AR566" s="139"/>
      <c r="AS566" s="139"/>
      <c r="AT566" s="139"/>
      <c r="AU566" s="139"/>
    </row>
    <row r="567" spans="2:47" ht="15" customHeight="1" x14ac:dyDescent="0.4">
      <c r="C567" s="4"/>
      <c r="D567" s="155"/>
      <c r="E567" s="155"/>
      <c r="F567" s="155"/>
      <c r="G567" s="155"/>
      <c r="O567" s="1625">
        <f t="shared" si="39"/>
        <v>1.377</v>
      </c>
      <c r="P567" s="1625"/>
      <c r="Q567" s="1632" t="s">
        <v>536</v>
      </c>
      <c r="R567" s="1634" t="s">
        <v>352</v>
      </c>
      <c r="S567" s="1626">
        <f t="shared" si="41"/>
        <v>51</v>
      </c>
      <c r="T567" s="572" t="s">
        <v>366</v>
      </c>
      <c r="U567" s="1633"/>
      <c r="V567" s="274"/>
      <c r="W567" s="274"/>
      <c r="X567" s="274"/>
      <c r="Y567" s="1921">
        <v>250012000013</v>
      </c>
      <c r="Z567" s="441"/>
      <c r="AA567" s="20"/>
      <c r="AB567" s="3">
        <v>42</v>
      </c>
      <c r="AC567" s="3">
        <v>2</v>
      </c>
      <c r="AD567" s="5">
        <f t="shared" si="40"/>
        <v>8.5</v>
      </c>
      <c r="AE567" s="3" t="s">
        <v>367</v>
      </c>
      <c r="AF567" s="38"/>
      <c r="AG567" s="39"/>
      <c r="AH567" s="39"/>
      <c r="AI567" s="39"/>
      <c r="AJ567" s="39"/>
      <c r="AK567" s="39"/>
      <c r="AL567" s="501"/>
      <c r="AQ567" s="139"/>
      <c r="AR567" s="139"/>
      <c r="AS567" s="139"/>
      <c r="AT567" s="139"/>
      <c r="AU567" s="139"/>
    </row>
    <row r="568" spans="2:47" ht="15" customHeight="1" x14ac:dyDescent="0.4">
      <c r="C568" s="4"/>
      <c r="D568" s="155"/>
      <c r="E568" s="155"/>
      <c r="F568" s="155"/>
      <c r="G568" s="155"/>
      <c r="O568" s="1625">
        <f t="shared" si="39"/>
        <v>1.458</v>
      </c>
      <c r="P568" s="1625"/>
      <c r="Q568" s="1632" t="s">
        <v>537</v>
      </c>
      <c r="R568" s="1634" t="s">
        <v>352</v>
      </c>
      <c r="S568" s="1626">
        <f t="shared" si="41"/>
        <v>54</v>
      </c>
      <c r="T568" s="572" t="s">
        <v>366</v>
      </c>
      <c r="U568" s="1633"/>
      <c r="V568" s="274"/>
      <c r="W568" s="274"/>
      <c r="X568" s="274"/>
      <c r="Y568" s="1921">
        <v>250012000014</v>
      </c>
      <c r="Z568" s="441"/>
      <c r="AA568" s="20"/>
      <c r="AB568" s="3">
        <v>42</v>
      </c>
      <c r="AC568" s="3">
        <v>2</v>
      </c>
      <c r="AD568" s="5">
        <f t="shared" si="40"/>
        <v>9</v>
      </c>
      <c r="AE568" s="3" t="s">
        <v>367</v>
      </c>
      <c r="AF568" s="38"/>
      <c r="AG568" s="39"/>
      <c r="AH568" s="39"/>
      <c r="AI568" s="39"/>
      <c r="AJ568" s="39"/>
      <c r="AK568" s="39"/>
      <c r="AL568" s="501"/>
      <c r="AQ568" s="139"/>
      <c r="AR568" s="139"/>
      <c r="AS568" s="139"/>
      <c r="AT568" s="139"/>
      <c r="AU568" s="139"/>
    </row>
    <row r="569" spans="2:47" ht="15" customHeight="1" x14ac:dyDescent="0.4">
      <c r="C569" s="4"/>
      <c r="D569" s="155"/>
      <c r="E569" s="155"/>
      <c r="F569" s="155"/>
      <c r="G569" s="155"/>
      <c r="O569" s="1625">
        <f t="shared" si="39"/>
        <v>1.5390000000000001</v>
      </c>
      <c r="P569" s="1625"/>
      <c r="Q569" s="1632" t="s">
        <v>371</v>
      </c>
      <c r="R569" s="1634" t="s">
        <v>352</v>
      </c>
      <c r="S569" s="1626">
        <f t="shared" si="41"/>
        <v>57</v>
      </c>
      <c r="T569" s="572" t="s">
        <v>366</v>
      </c>
      <c r="U569" s="1633"/>
      <c r="V569" s="274"/>
      <c r="W569" s="274"/>
      <c r="X569" s="274"/>
      <c r="Y569" s="1921">
        <v>250012000015</v>
      </c>
      <c r="Z569" s="441"/>
      <c r="AA569" s="20"/>
      <c r="AB569" s="3">
        <v>42</v>
      </c>
      <c r="AC569" s="3">
        <v>2</v>
      </c>
      <c r="AD569" s="5">
        <f t="shared" si="40"/>
        <v>9.5</v>
      </c>
      <c r="AE569" s="3" t="s">
        <v>367</v>
      </c>
      <c r="AF569" s="38"/>
      <c r="AG569" s="39"/>
      <c r="AH569" s="39"/>
      <c r="AI569" s="39"/>
      <c r="AJ569" s="39"/>
      <c r="AK569" s="39"/>
      <c r="AL569" s="501"/>
      <c r="AQ569" s="139"/>
      <c r="AR569" s="139"/>
      <c r="AS569" s="139"/>
      <c r="AT569" s="139"/>
      <c r="AU569" s="139"/>
    </row>
    <row r="570" spans="2:47" ht="15" customHeight="1" x14ac:dyDescent="0.4">
      <c r="C570" s="4"/>
      <c r="D570" s="155"/>
      <c r="E570" s="155"/>
      <c r="F570" s="155"/>
      <c r="G570" s="155"/>
      <c r="O570" s="1625">
        <f t="shared" si="39"/>
        <v>1.62</v>
      </c>
      <c r="P570" s="1625"/>
      <c r="Q570" s="1632" t="s">
        <v>538</v>
      </c>
      <c r="R570" s="1634" t="s">
        <v>352</v>
      </c>
      <c r="S570" s="1626">
        <f t="shared" si="41"/>
        <v>60</v>
      </c>
      <c r="T570" s="572" t="s">
        <v>366</v>
      </c>
      <c r="U570" s="1633"/>
      <c r="V570" s="274"/>
      <c r="W570" s="274"/>
      <c r="X570" s="274"/>
      <c r="Y570" s="1921">
        <v>250012000016</v>
      </c>
      <c r="Z570" s="441"/>
      <c r="AA570" s="20"/>
      <c r="AB570" s="3">
        <v>42</v>
      </c>
      <c r="AC570" s="3">
        <v>2</v>
      </c>
      <c r="AD570" s="5">
        <f t="shared" si="40"/>
        <v>10</v>
      </c>
      <c r="AE570" s="3" t="s">
        <v>367</v>
      </c>
      <c r="AF570" s="38"/>
      <c r="AG570" s="39"/>
      <c r="AH570" s="39"/>
      <c r="AI570" s="39"/>
      <c r="AJ570" s="39"/>
      <c r="AK570" s="39"/>
      <c r="AL570" s="501"/>
      <c r="AQ570" s="139"/>
      <c r="AR570" s="139"/>
      <c r="AS570" s="139"/>
      <c r="AT570" s="139"/>
      <c r="AU570" s="139"/>
    </row>
    <row r="571" spans="2:47" ht="15" customHeight="1" x14ac:dyDescent="0.4">
      <c r="C571" s="4"/>
      <c r="D571" s="155"/>
      <c r="E571" s="155"/>
      <c r="F571" s="155"/>
      <c r="G571" s="155"/>
      <c r="O571" s="1625">
        <f t="shared" si="39"/>
        <v>1.7010000000000001</v>
      </c>
      <c r="P571" s="1625"/>
      <c r="Q571" s="1632" t="s">
        <v>539</v>
      </c>
      <c r="R571" s="1634" t="s">
        <v>352</v>
      </c>
      <c r="S571" s="1626">
        <f t="shared" si="41"/>
        <v>63</v>
      </c>
      <c r="T571" s="572" t="s">
        <v>366</v>
      </c>
      <c r="U571" s="1633"/>
      <c r="V571" s="274"/>
      <c r="W571" s="274"/>
      <c r="X571" s="274"/>
      <c r="Y571" s="1921">
        <v>250012000017</v>
      </c>
      <c r="Z571" s="441"/>
      <c r="AA571" s="20"/>
      <c r="AB571" s="3">
        <v>42</v>
      </c>
      <c r="AC571" s="3">
        <v>2</v>
      </c>
      <c r="AD571" s="5">
        <f t="shared" si="40"/>
        <v>10.5</v>
      </c>
      <c r="AE571" s="3" t="s">
        <v>367</v>
      </c>
      <c r="AF571" s="38"/>
      <c r="AG571" s="39"/>
      <c r="AH571" s="39"/>
      <c r="AI571" s="39"/>
      <c r="AJ571" s="39"/>
      <c r="AK571" s="39"/>
      <c r="AL571" s="501"/>
      <c r="AQ571" s="139"/>
      <c r="AR571" s="139"/>
      <c r="AS571" s="139"/>
      <c r="AT571" s="139"/>
      <c r="AU571" s="139"/>
    </row>
    <row r="572" spans="2:47" ht="15" customHeight="1" thickBot="1" x14ac:dyDescent="0.45">
      <c r="C572" s="968"/>
      <c r="D572" s="925"/>
      <c r="E572" s="925"/>
      <c r="F572" s="925"/>
      <c r="G572" s="925"/>
      <c r="H572" s="948"/>
      <c r="I572" s="889"/>
      <c r="J572" s="889"/>
      <c r="K572" s="889"/>
      <c r="L572" s="889"/>
      <c r="M572" s="945"/>
      <c r="N572" s="945"/>
      <c r="O572" s="1625">
        <f t="shared" si="39"/>
        <v>1.782</v>
      </c>
      <c r="P572" s="1635"/>
      <c r="Q572" s="1636" t="s">
        <v>540</v>
      </c>
      <c r="R572" s="1637" t="s">
        <v>352</v>
      </c>
      <c r="S572" s="1627">
        <f t="shared" si="41"/>
        <v>66</v>
      </c>
      <c r="T572" s="1189" t="s">
        <v>366</v>
      </c>
      <c r="U572" s="1638"/>
      <c r="V572" s="1922"/>
      <c r="W572" s="1922"/>
      <c r="X572" s="1922"/>
      <c r="Y572" s="1923">
        <v>250012000018</v>
      </c>
      <c r="Z572" s="1006"/>
      <c r="AA572" s="887"/>
      <c r="AB572" s="889">
        <v>42</v>
      </c>
      <c r="AC572" s="889">
        <v>2</v>
      </c>
      <c r="AD572" s="945">
        <f t="shared" si="40"/>
        <v>11</v>
      </c>
      <c r="AE572" s="889" t="s">
        <v>367</v>
      </c>
      <c r="AF572" s="888"/>
      <c r="AG572" s="947"/>
      <c r="AH572" s="947"/>
      <c r="AI572" s="947"/>
      <c r="AJ572" s="947"/>
      <c r="AK572" s="947"/>
      <c r="AL572" s="1247"/>
      <c r="AM572" s="889"/>
      <c r="AN572" s="889"/>
      <c r="AO572" s="889"/>
      <c r="AP572" s="889"/>
      <c r="AQ572" s="139"/>
      <c r="AR572" s="139"/>
      <c r="AS572" s="139"/>
      <c r="AT572" s="139"/>
      <c r="AU572" s="139"/>
    </row>
    <row r="573" spans="2:47" ht="15" customHeight="1" x14ac:dyDescent="0.4">
      <c r="C573" s="173" t="s">
        <v>1367</v>
      </c>
      <c r="D573" s="182"/>
      <c r="E573" s="182"/>
      <c r="F573" s="182"/>
      <c r="G573" s="173"/>
      <c r="H573" s="193"/>
      <c r="I573" s="503"/>
      <c r="J573" s="116"/>
      <c r="K573" s="116"/>
      <c r="L573" s="116"/>
      <c r="M573" s="177"/>
      <c r="N573" s="177"/>
      <c r="O573" s="177"/>
      <c r="P573" s="177"/>
      <c r="Q573" s="178"/>
      <c r="R573" s="448"/>
      <c r="S573" s="504"/>
      <c r="T573" s="448"/>
      <c r="U573" s="175"/>
      <c r="V573" s="179"/>
      <c r="W573" s="116"/>
      <c r="X573" s="179"/>
      <c r="Y573" s="1630"/>
      <c r="Z573" s="179"/>
      <c r="AA573" s="175"/>
      <c r="AB573" s="179"/>
      <c r="AC573" s="179"/>
      <c r="AD573" s="179"/>
      <c r="AE573" s="179"/>
      <c r="AF573" s="179"/>
      <c r="AG573" s="179"/>
      <c r="AH573" s="179"/>
      <c r="AI573" s="39"/>
      <c r="AJ573" s="39"/>
      <c r="AK573" s="39"/>
      <c r="AL573" s="179"/>
      <c r="AQ573" s="139"/>
      <c r="AR573" s="139"/>
      <c r="AS573" s="139"/>
      <c r="AT573" s="139"/>
      <c r="AU573" s="139"/>
    </row>
    <row r="574" spans="2:47" ht="15" customHeight="1" x14ac:dyDescent="0.4">
      <c r="B574" s="7"/>
      <c r="C574" s="155"/>
      <c r="E574" s="155"/>
      <c r="F574" s="461" t="s">
        <v>868</v>
      </c>
      <c r="G574" s="502">
        <v>0.504</v>
      </c>
      <c r="O574" s="24" t="s">
        <v>1277</v>
      </c>
      <c r="Q574" s="24" t="s">
        <v>522</v>
      </c>
      <c r="S574" s="24" t="s">
        <v>523</v>
      </c>
      <c r="V574" s="4"/>
      <c r="W574" s="4"/>
      <c r="X574" s="4"/>
      <c r="Y574" s="1631" t="s">
        <v>356</v>
      </c>
      <c r="Z574" s="500"/>
      <c r="AE574" s="3"/>
      <c r="AF574" s="3"/>
      <c r="AG574" s="3"/>
      <c r="AH574" s="39"/>
      <c r="AI574" s="39"/>
      <c r="AJ574" s="39"/>
      <c r="AK574" s="39"/>
      <c r="AQ574" s="139"/>
      <c r="AR574" s="139"/>
      <c r="AS574" s="139"/>
      <c r="AT574" s="139"/>
      <c r="AU574" s="139"/>
    </row>
    <row r="575" spans="2:47" ht="15" customHeight="1" x14ac:dyDescent="0.4">
      <c r="B575" s="7"/>
      <c r="C575" s="155"/>
      <c r="E575" s="155"/>
      <c r="F575" s="461"/>
      <c r="G575" s="505"/>
      <c r="O575" s="5">
        <v>0</v>
      </c>
      <c r="Q575" s="439" t="s">
        <v>529</v>
      </c>
      <c r="S575" s="5">
        <v>0</v>
      </c>
      <c r="T575" s="3" t="s">
        <v>366</v>
      </c>
      <c r="V575" s="4"/>
      <c r="W575" s="4"/>
      <c r="X575" s="4"/>
      <c r="Y575" s="1445" t="s">
        <v>529</v>
      </c>
      <c r="AE575" s="3"/>
      <c r="AF575" s="3"/>
      <c r="AG575" s="3"/>
      <c r="AH575" s="39"/>
      <c r="AI575" s="39"/>
      <c r="AJ575" s="39"/>
      <c r="AK575" s="39"/>
      <c r="AQ575" s="139"/>
      <c r="AR575" s="139"/>
      <c r="AS575" s="139"/>
      <c r="AT575" s="139"/>
      <c r="AU575" s="139"/>
    </row>
    <row r="576" spans="2:47" ht="15" customHeight="1" x14ac:dyDescent="0.4">
      <c r="B576" s="7"/>
      <c r="C576" s="155"/>
      <c r="D576" s="155"/>
      <c r="E576" s="155"/>
      <c r="F576" s="434"/>
      <c r="G576" s="498"/>
      <c r="O576" s="5">
        <f t="shared" ref="O576:O593" si="42">S576/12*$G$574</f>
        <v>0.63</v>
      </c>
      <c r="Q576" s="439" t="s">
        <v>70</v>
      </c>
      <c r="R576" s="440" t="s">
        <v>352</v>
      </c>
      <c r="S576" s="376">
        <f>S555</f>
        <v>15</v>
      </c>
      <c r="T576" s="3" t="s">
        <v>366</v>
      </c>
      <c r="V576" s="4"/>
      <c r="W576" s="4"/>
      <c r="X576" s="4"/>
      <c r="Y576" s="1454">
        <v>250013000001</v>
      </c>
      <c r="Z576" s="441"/>
      <c r="AA576" s="20"/>
      <c r="AB576" s="3">
        <v>42</v>
      </c>
      <c r="AC576" s="3">
        <v>2</v>
      </c>
      <c r="AD576" s="5">
        <f t="shared" ref="AD576:AD593" si="43">AC576*S576/12</f>
        <v>2.5</v>
      </c>
      <c r="AE576" s="3" t="s">
        <v>367</v>
      </c>
      <c r="AF576" s="38"/>
      <c r="AG576" s="3"/>
      <c r="AH576" s="39"/>
      <c r="AI576" s="39"/>
      <c r="AJ576" s="39"/>
      <c r="AK576" s="39"/>
      <c r="AQ576" s="139"/>
      <c r="AR576" s="139"/>
      <c r="AS576" s="139"/>
      <c r="AT576" s="139"/>
      <c r="AU576" s="139"/>
    </row>
    <row r="577" spans="3:47" ht="15" customHeight="1" x14ac:dyDescent="0.4">
      <c r="C577" s="4"/>
      <c r="D577" s="155"/>
      <c r="E577" s="155"/>
      <c r="F577" s="155"/>
      <c r="G577" s="155"/>
      <c r="O577" s="5">
        <f t="shared" si="42"/>
        <v>0.75600000000000001</v>
      </c>
      <c r="Q577" s="439" t="s">
        <v>81</v>
      </c>
      <c r="R577" s="440" t="s">
        <v>352</v>
      </c>
      <c r="S577" s="376">
        <f t="shared" ref="S577:S593" si="44">S576+$G$553</f>
        <v>18</v>
      </c>
      <c r="T577" s="3" t="s">
        <v>366</v>
      </c>
      <c r="V577" s="4"/>
      <c r="W577" s="4"/>
      <c r="X577" s="4"/>
      <c r="Y577" s="1454">
        <v>250013000002</v>
      </c>
      <c r="Z577" s="441"/>
      <c r="AA577" s="20"/>
      <c r="AB577" s="3">
        <v>42</v>
      </c>
      <c r="AC577" s="3">
        <v>2</v>
      </c>
      <c r="AD577" s="5">
        <f t="shared" si="43"/>
        <v>3</v>
      </c>
      <c r="AE577" s="3" t="s">
        <v>367</v>
      </c>
      <c r="AF577" s="38"/>
      <c r="AG577" s="3"/>
      <c r="AH577" s="39"/>
      <c r="AI577" s="39"/>
      <c r="AJ577" s="39"/>
      <c r="AK577" s="39"/>
      <c r="AQ577" s="139"/>
      <c r="AR577" s="139"/>
      <c r="AS577" s="139"/>
      <c r="AT577" s="139"/>
      <c r="AU577" s="139"/>
    </row>
    <row r="578" spans="3:47" ht="15" customHeight="1" x14ac:dyDescent="0.4">
      <c r="C578" s="4"/>
      <c r="D578" s="155"/>
      <c r="E578" s="155"/>
      <c r="F578" s="155"/>
      <c r="G578" s="155"/>
      <c r="O578" s="5">
        <f t="shared" si="42"/>
        <v>0.88200000000000001</v>
      </c>
      <c r="Q578" s="439" t="s">
        <v>531</v>
      </c>
      <c r="R578" s="440" t="s">
        <v>352</v>
      </c>
      <c r="S578" s="376">
        <f t="shared" si="44"/>
        <v>21</v>
      </c>
      <c r="T578" s="3" t="s">
        <v>366</v>
      </c>
      <c r="V578" s="4"/>
      <c r="W578" s="4"/>
      <c r="X578" s="4"/>
      <c r="Y578" s="1454">
        <v>250013000003</v>
      </c>
      <c r="Z578" s="441"/>
      <c r="AA578" s="20"/>
      <c r="AB578" s="3">
        <v>42</v>
      </c>
      <c r="AC578" s="3">
        <v>2</v>
      </c>
      <c r="AD578" s="5">
        <f t="shared" si="43"/>
        <v>3.5</v>
      </c>
      <c r="AE578" s="3" t="s">
        <v>367</v>
      </c>
      <c r="AF578" s="38"/>
      <c r="AG578" s="3"/>
      <c r="AH578" s="39"/>
      <c r="AI578" s="39"/>
      <c r="AJ578" s="39"/>
      <c r="AK578" s="39"/>
      <c r="AQ578" s="139"/>
      <c r="AR578" s="139"/>
      <c r="AS578" s="139"/>
      <c r="AT578" s="139"/>
      <c r="AU578" s="139"/>
    </row>
    <row r="579" spans="3:47" ht="15" customHeight="1" x14ac:dyDescent="0.4">
      <c r="C579" s="4"/>
      <c r="D579" s="155"/>
      <c r="E579" s="155"/>
      <c r="F579" s="155"/>
      <c r="G579" s="155"/>
      <c r="O579" s="5">
        <f t="shared" si="42"/>
        <v>1.008</v>
      </c>
      <c r="Q579" s="439" t="s">
        <v>94</v>
      </c>
      <c r="R579" s="440" t="s">
        <v>352</v>
      </c>
      <c r="S579" s="376">
        <f t="shared" si="44"/>
        <v>24</v>
      </c>
      <c r="T579" s="3" t="s">
        <v>366</v>
      </c>
      <c r="V579" s="4"/>
      <c r="W579" s="4"/>
      <c r="X579" s="4"/>
      <c r="Y579" s="1454">
        <v>250013000004</v>
      </c>
      <c r="Z579" s="441"/>
      <c r="AA579" s="20"/>
      <c r="AB579" s="3">
        <v>42</v>
      </c>
      <c r="AC579" s="3">
        <v>2</v>
      </c>
      <c r="AD579" s="5">
        <f t="shared" si="43"/>
        <v>4</v>
      </c>
      <c r="AE579" s="3" t="s">
        <v>367</v>
      </c>
      <c r="AF579" s="38"/>
      <c r="AG579" s="3"/>
      <c r="AH579" s="39"/>
      <c r="AI579" s="39"/>
      <c r="AJ579" s="39"/>
      <c r="AK579" s="39"/>
      <c r="AQ579" s="139"/>
      <c r="AR579" s="139"/>
      <c r="AS579" s="139"/>
      <c r="AT579" s="139"/>
      <c r="AU579" s="139"/>
    </row>
    <row r="580" spans="3:47" ht="15" customHeight="1" x14ac:dyDescent="0.4">
      <c r="C580" s="4"/>
      <c r="D580" s="155"/>
      <c r="E580" s="155"/>
      <c r="F580" s="155"/>
      <c r="G580" s="155"/>
      <c r="O580" s="5">
        <f t="shared" si="42"/>
        <v>1.1339999999999999</v>
      </c>
      <c r="Q580" s="439" t="s">
        <v>112</v>
      </c>
      <c r="R580" s="440" t="s">
        <v>352</v>
      </c>
      <c r="S580" s="376">
        <f t="shared" si="44"/>
        <v>27</v>
      </c>
      <c r="T580" s="3" t="s">
        <v>366</v>
      </c>
      <c r="V580" s="4"/>
      <c r="W580" s="4"/>
      <c r="X580" s="4"/>
      <c r="Y580" s="1454">
        <v>250013000005</v>
      </c>
      <c r="Z580" s="441"/>
      <c r="AA580" s="20"/>
      <c r="AB580" s="3">
        <v>42</v>
      </c>
      <c r="AC580" s="3">
        <v>2</v>
      </c>
      <c r="AD580" s="5">
        <f t="shared" si="43"/>
        <v>4.5</v>
      </c>
      <c r="AE580" s="3" t="s">
        <v>367</v>
      </c>
      <c r="AF580" s="38"/>
      <c r="AG580" s="3"/>
      <c r="AH580" s="39"/>
      <c r="AI580" s="39"/>
      <c r="AJ580" s="39"/>
      <c r="AK580" s="39"/>
      <c r="AQ580" s="139"/>
      <c r="AR580" s="139"/>
      <c r="AS580" s="139"/>
      <c r="AT580" s="139"/>
      <c r="AU580" s="139"/>
    </row>
    <row r="581" spans="3:47" ht="15" customHeight="1" x14ac:dyDescent="0.4">
      <c r="C581" s="4"/>
      <c r="D581" s="155"/>
      <c r="E581" s="155"/>
      <c r="F581" s="155"/>
      <c r="G581" s="155"/>
      <c r="O581" s="5">
        <f t="shared" si="42"/>
        <v>1.26</v>
      </c>
      <c r="Q581" s="439" t="s">
        <v>128</v>
      </c>
      <c r="R581" s="440" t="s">
        <v>352</v>
      </c>
      <c r="S581" s="376">
        <f t="shared" si="44"/>
        <v>30</v>
      </c>
      <c r="T581" s="3" t="s">
        <v>366</v>
      </c>
      <c r="V581" s="4"/>
      <c r="W581" s="4"/>
      <c r="X581" s="4"/>
      <c r="Y581" s="1454">
        <v>250013000006</v>
      </c>
      <c r="Z581" s="441"/>
      <c r="AA581" s="20"/>
      <c r="AB581" s="3">
        <v>42</v>
      </c>
      <c r="AC581" s="3">
        <v>2</v>
      </c>
      <c r="AD581" s="5">
        <f t="shared" si="43"/>
        <v>5</v>
      </c>
      <c r="AE581" s="3" t="s">
        <v>367</v>
      </c>
      <c r="AF581" s="38"/>
      <c r="AG581" s="3"/>
      <c r="AH581" s="39"/>
      <c r="AI581" s="39"/>
      <c r="AJ581" s="39"/>
      <c r="AK581" s="39"/>
      <c r="AQ581" s="139"/>
      <c r="AR581" s="139"/>
      <c r="AS581" s="139"/>
      <c r="AT581" s="139"/>
      <c r="AU581" s="139"/>
    </row>
    <row r="582" spans="3:47" ht="15" customHeight="1" x14ac:dyDescent="0.4">
      <c r="C582" s="4"/>
      <c r="D582" s="155"/>
      <c r="E582" s="155"/>
      <c r="F582" s="155"/>
      <c r="G582" s="155"/>
      <c r="O582" s="5">
        <f t="shared" si="42"/>
        <v>1.3860000000000001</v>
      </c>
      <c r="Q582" s="439" t="s">
        <v>155</v>
      </c>
      <c r="R582" s="440" t="s">
        <v>352</v>
      </c>
      <c r="S582" s="376">
        <f t="shared" si="44"/>
        <v>33</v>
      </c>
      <c r="T582" s="3" t="s">
        <v>366</v>
      </c>
      <c r="V582" s="4"/>
      <c r="W582" s="4"/>
      <c r="X582" s="4"/>
      <c r="Y582" s="1454">
        <v>250013000007</v>
      </c>
      <c r="Z582" s="441"/>
      <c r="AA582" s="20"/>
      <c r="AB582" s="3">
        <v>42</v>
      </c>
      <c r="AC582" s="3">
        <v>2</v>
      </c>
      <c r="AD582" s="5">
        <f t="shared" si="43"/>
        <v>5.5</v>
      </c>
      <c r="AE582" s="3" t="s">
        <v>367</v>
      </c>
      <c r="AF582" s="38"/>
      <c r="AG582" s="3"/>
      <c r="AH582" s="39"/>
      <c r="AI582" s="39"/>
      <c r="AJ582" s="39"/>
      <c r="AK582" s="39"/>
      <c r="AQ582" s="139"/>
      <c r="AR582" s="139"/>
      <c r="AS582" s="139"/>
      <c r="AT582" s="139"/>
      <c r="AU582" s="139"/>
    </row>
    <row r="583" spans="3:47" ht="15" customHeight="1" x14ac:dyDescent="0.4">
      <c r="C583" s="4"/>
      <c r="D583" s="155"/>
      <c r="E583" s="155"/>
      <c r="F583" s="155"/>
      <c r="G583" s="155"/>
      <c r="O583" s="5">
        <f t="shared" si="42"/>
        <v>1.512</v>
      </c>
      <c r="Q583" s="439" t="s">
        <v>163</v>
      </c>
      <c r="R583" s="440" t="s">
        <v>352</v>
      </c>
      <c r="S583" s="376">
        <f t="shared" si="44"/>
        <v>36</v>
      </c>
      <c r="T583" s="3" t="s">
        <v>366</v>
      </c>
      <c r="V583" s="4"/>
      <c r="W583" s="4"/>
      <c r="X583" s="4"/>
      <c r="Y583" s="1454">
        <v>250013000008</v>
      </c>
      <c r="Z583" s="441"/>
      <c r="AA583" s="20"/>
      <c r="AB583" s="3">
        <v>42</v>
      </c>
      <c r="AC583" s="3">
        <v>2</v>
      </c>
      <c r="AD583" s="5">
        <f t="shared" si="43"/>
        <v>6</v>
      </c>
      <c r="AE583" s="3" t="s">
        <v>367</v>
      </c>
      <c r="AF583" s="38"/>
      <c r="AG583" s="3"/>
      <c r="AH583" s="39"/>
      <c r="AI583" s="39"/>
      <c r="AJ583" s="39"/>
      <c r="AK583" s="39"/>
      <c r="AQ583" s="139"/>
      <c r="AR583" s="139"/>
      <c r="AS583" s="139"/>
      <c r="AT583" s="139"/>
      <c r="AU583" s="139"/>
    </row>
    <row r="584" spans="3:47" ht="15" customHeight="1" x14ac:dyDescent="0.4">
      <c r="C584" s="4"/>
      <c r="D584" s="155"/>
      <c r="E584" s="155"/>
      <c r="F584" s="155"/>
      <c r="G584" s="155"/>
      <c r="O584" s="5">
        <f t="shared" si="42"/>
        <v>1.6379999999999999</v>
      </c>
      <c r="Q584" s="439" t="s">
        <v>175</v>
      </c>
      <c r="R584" s="440" t="s">
        <v>352</v>
      </c>
      <c r="S584" s="376">
        <f t="shared" si="44"/>
        <v>39</v>
      </c>
      <c r="T584" s="3" t="s">
        <v>366</v>
      </c>
      <c r="V584" s="4"/>
      <c r="W584" s="4"/>
      <c r="X584" s="4"/>
      <c r="Y584" s="1454">
        <v>250013000009</v>
      </c>
      <c r="Z584" s="441"/>
      <c r="AA584" s="20"/>
      <c r="AB584" s="3">
        <v>42</v>
      </c>
      <c r="AC584" s="3">
        <v>2</v>
      </c>
      <c r="AD584" s="5">
        <f t="shared" si="43"/>
        <v>6.5</v>
      </c>
      <c r="AE584" s="3" t="s">
        <v>367</v>
      </c>
      <c r="AF584" s="38"/>
      <c r="AG584" s="3"/>
      <c r="AH584" s="39"/>
      <c r="AI584" s="39"/>
      <c r="AJ584" s="39"/>
      <c r="AK584" s="39"/>
      <c r="AQ584" s="139"/>
      <c r="AR584" s="139"/>
      <c r="AS584" s="139"/>
      <c r="AT584" s="139"/>
      <c r="AU584" s="139"/>
    </row>
    <row r="585" spans="3:47" ht="15" customHeight="1" x14ac:dyDescent="0.4">
      <c r="C585" s="4"/>
      <c r="D585" s="155"/>
      <c r="E585" s="155"/>
      <c r="F585" s="155"/>
      <c r="G585" s="155"/>
      <c r="O585" s="5">
        <f t="shared" si="42"/>
        <v>1.764</v>
      </c>
      <c r="Q585" s="439" t="s">
        <v>533</v>
      </c>
      <c r="R585" s="440" t="s">
        <v>352</v>
      </c>
      <c r="S585" s="376">
        <f t="shared" si="44"/>
        <v>42</v>
      </c>
      <c r="T585" s="3" t="s">
        <v>366</v>
      </c>
      <c r="V585" s="4"/>
      <c r="W585" s="4"/>
      <c r="X585" s="4"/>
      <c r="Y585" s="1454">
        <v>250013000010</v>
      </c>
      <c r="Z585" s="441"/>
      <c r="AA585" s="20"/>
      <c r="AB585" s="3">
        <v>42</v>
      </c>
      <c r="AC585" s="3">
        <v>2</v>
      </c>
      <c r="AD585" s="5">
        <f t="shared" si="43"/>
        <v>7</v>
      </c>
      <c r="AE585" s="3" t="s">
        <v>367</v>
      </c>
      <c r="AF585" s="38"/>
      <c r="AG585" s="3"/>
      <c r="AH585" s="39"/>
      <c r="AI585" s="39"/>
      <c r="AJ585" s="39"/>
      <c r="AK585" s="39"/>
      <c r="AQ585" s="139"/>
      <c r="AR585" s="139"/>
      <c r="AS585" s="139"/>
      <c r="AT585" s="139"/>
      <c r="AU585" s="139"/>
    </row>
    <row r="586" spans="3:47" ht="15" customHeight="1" x14ac:dyDescent="0.4">
      <c r="C586" s="4"/>
      <c r="D586" s="155"/>
      <c r="E586" s="155"/>
      <c r="F586" s="155"/>
      <c r="G586" s="155"/>
      <c r="O586" s="5">
        <f t="shared" si="42"/>
        <v>1.8900000000000001</v>
      </c>
      <c r="Q586" s="439" t="s">
        <v>534</v>
      </c>
      <c r="R586" s="440" t="s">
        <v>352</v>
      </c>
      <c r="S586" s="376">
        <f t="shared" si="44"/>
        <v>45</v>
      </c>
      <c r="T586" s="3" t="s">
        <v>366</v>
      </c>
      <c r="V586" s="4"/>
      <c r="W586" s="4"/>
      <c r="X586" s="4"/>
      <c r="Y586" s="1454">
        <v>250013000011</v>
      </c>
      <c r="Z586" s="441"/>
      <c r="AA586" s="20"/>
      <c r="AB586" s="3">
        <v>42</v>
      </c>
      <c r="AC586" s="3">
        <v>2</v>
      </c>
      <c r="AD586" s="5">
        <f t="shared" si="43"/>
        <v>7.5</v>
      </c>
      <c r="AE586" s="3" t="s">
        <v>367</v>
      </c>
      <c r="AF586" s="38"/>
      <c r="AG586" s="3"/>
      <c r="AH586" s="39"/>
      <c r="AI586" s="39"/>
      <c r="AJ586" s="39"/>
      <c r="AK586" s="39"/>
      <c r="AQ586" s="139"/>
      <c r="AR586" s="139"/>
      <c r="AS586" s="139"/>
      <c r="AT586" s="139"/>
      <c r="AU586" s="139"/>
    </row>
    <row r="587" spans="3:47" ht="15" customHeight="1" x14ac:dyDescent="0.4">
      <c r="C587" s="4"/>
      <c r="D587" s="155"/>
      <c r="E587" s="155"/>
      <c r="F587" s="155"/>
      <c r="G587" s="155"/>
      <c r="O587" s="5">
        <f t="shared" si="42"/>
        <v>2.016</v>
      </c>
      <c r="Q587" s="439" t="s">
        <v>535</v>
      </c>
      <c r="R587" s="440" t="s">
        <v>352</v>
      </c>
      <c r="S587" s="376">
        <f t="shared" si="44"/>
        <v>48</v>
      </c>
      <c r="T587" s="3" t="s">
        <v>366</v>
      </c>
      <c r="V587" s="4"/>
      <c r="W587" s="4"/>
      <c r="X587" s="4"/>
      <c r="Y587" s="1454">
        <v>250013000012</v>
      </c>
      <c r="Z587" s="441"/>
      <c r="AA587" s="20"/>
      <c r="AB587" s="3">
        <v>42</v>
      </c>
      <c r="AC587" s="3">
        <v>2</v>
      </c>
      <c r="AD587" s="5">
        <f t="shared" si="43"/>
        <v>8</v>
      </c>
      <c r="AE587" s="3" t="s">
        <v>367</v>
      </c>
      <c r="AF587" s="38"/>
      <c r="AG587" s="3"/>
      <c r="AH587" s="39"/>
      <c r="AI587" s="39"/>
      <c r="AJ587" s="39"/>
      <c r="AK587" s="39"/>
      <c r="AQ587" s="139"/>
      <c r="AR587" s="139"/>
      <c r="AS587" s="139"/>
      <c r="AT587" s="139"/>
      <c r="AU587" s="139"/>
    </row>
    <row r="588" spans="3:47" ht="15" customHeight="1" x14ac:dyDescent="0.4">
      <c r="C588" s="4"/>
      <c r="D588" s="155"/>
      <c r="E588" s="155"/>
      <c r="F588" s="155"/>
      <c r="G588" s="155"/>
      <c r="O588" s="5">
        <f t="shared" si="42"/>
        <v>2.1419999999999999</v>
      </c>
      <c r="Q588" s="439" t="s">
        <v>536</v>
      </c>
      <c r="R588" s="440" t="s">
        <v>352</v>
      </c>
      <c r="S588" s="376">
        <f t="shared" si="44"/>
        <v>51</v>
      </c>
      <c r="T588" s="3" t="s">
        <v>366</v>
      </c>
      <c r="V588" s="4"/>
      <c r="W588" s="4"/>
      <c r="X588" s="4"/>
      <c r="Y588" s="1454">
        <v>250013000013</v>
      </c>
      <c r="Z588" s="441"/>
      <c r="AA588" s="20"/>
      <c r="AB588" s="3">
        <v>42</v>
      </c>
      <c r="AC588" s="3">
        <v>2</v>
      </c>
      <c r="AD588" s="5">
        <f t="shared" si="43"/>
        <v>8.5</v>
      </c>
      <c r="AE588" s="3" t="s">
        <v>367</v>
      </c>
      <c r="AF588" s="38"/>
      <c r="AG588" s="3"/>
      <c r="AH588" s="39"/>
      <c r="AI588" s="39"/>
      <c r="AJ588" s="39"/>
      <c r="AK588" s="39"/>
      <c r="AQ588" s="139"/>
      <c r="AR588" s="139"/>
      <c r="AS588" s="139"/>
      <c r="AT588" s="139"/>
      <c r="AU588" s="139"/>
    </row>
    <row r="589" spans="3:47" ht="15" customHeight="1" x14ac:dyDescent="0.4">
      <c r="C589" s="4"/>
      <c r="D589" s="155"/>
      <c r="E589" s="155"/>
      <c r="F589" s="155"/>
      <c r="G589" s="155"/>
      <c r="O589" s="5">
        <f t="shared" si="42"/>
        <v>2.2679999999999998</v>
      </c>
      <c r="Q589" s="439" t="s">
        <v>537</v>
      </c>
      <c r="R589" s="440" t="s">
        <v>352</v>
      </c>
      <c r="S589" s="376">
        <f t="shared" si="44"/>
        <v>54</v>
      </c>
      <c r="T589" s="3" t="s">
        <v>366</v>
      </c>
      <c r="V589" s="4"/>
      <c r="W589" s="4"/>
      <c r="X589" s="4"/>
      <c r="Y589" s="1454">
        <v>250013000014</v>
      </c>
      <c r="Z589" s="441"/>
      <c r="AA589" s="20"/>
      <c r="AB589" s="3">
        <v>42</v>
      </c>
      <c r="AC589" s="3">
        <v>2</v>
      </c>
      <c r="AD589" s="5">
        <f t="shared" si="43"/>
        <v>9</v>
      </c>
      <c r="AE589" s="3" t="s">
        <v>367</v>
      </c>
      <c r="AF589" s="38"/>
      <c r="AG589" s="3"/>
      <c r="AH589" s="39"/>
      <c r="AI589" s="39"/>
      <c r="AJ589" s="39"/>
      <c r="AK589" s="39"/>
      <c r="AQ589" s="139"/>
      <c r="AR589" s="139"/>
      <c r="AS589" s="139"/>
      <c r="AT589" s="139"/>
      <c r="AU589" s="139"/>
    </row>
    <row r="590" spans="3:47" ht="15" customHeight="1" x14ac:dyDescent="0.4">
      <c r="C590" s="4"/>
      <c r="D590" s="155"/>
      <c r="E590" s="155"/>
      <c r="F590" s="155"/>
      <c r="G590" s="155"/>
      <c r="O590" s="5">
        <f t="shared" si="42"/>
        <v>2.3940000000000001</v>
      </c>
      <c r="Q590" s="439" t="s">
        <v>371</v>
      </c>
      <c r="R590" s="440" t="s">
        <v>352</v>
      </c>
      <c r="S590" s="376">
        <f t="shared" si="44"/>
        <v>57</v>
      </c>
      <c r="T590" s="3" t="s">
        <v>366</v>
      </c>
      <c r="V590" s="4"/>
      <c r="W590" s="4"/>
      <c r="X590" s="4"/>
      <c r="Y590" s="1454">
        <v>250013000015</v>
      </c>
      <c r="Z590" s="441"/>
      <c r="AA590" s="20"/>
      <c r="AB590" s="3">
        <v>42</v>
      </c>
      <c r="AC590" s="3">
        <v>2</v>
      </c>
      <c r="AD590" s="5">
        <f t="shared" si="43"/>
        <v>9.5</v>
      </c>
      <c r="AE590" s="3" t="s">
        <v>367</v>
      </c>
      <c r="AF590" s="38"/>
      <c r="AG590" s="3"/>
      <c r="AH590" s="39"/>
      <c r="AI590" s="39"/>
      <c r="AJ590" s="39"/>
      <c r="AK590" s="39"/>
      <c r="AQ590" s="139"/>
      <c r="AR590" s="139"/>
      <c r="AS590" s="139"/>
      <c r="AT590" s="139"/>
      <c r="AU590" s="139"/>
    </row>
    <row r="591" spans="3:47" ht="15" customHeight="1" x14ac:dyDescent="0.4">
      <c r="C591" s="4"/>
      <c r="D591" s="155"/>
      <c r="E591" s="155"/>
      <c r="F591" s="155"/>
      <c r="G591" s="155"/>
      <c r="O591" s="5">
        <f t="shared" si="42"/>
        <v>2.52</v>
      </c>
      <c r="Q591" s="439" t="s">
        <v>538</v>
      </c>
      <c r="R591" s="440" t="s">
        <v>352</v>
      </c>
      <c r="S591" s="376">
        <f t="shared" si="44"/>
        <v>60</v>
      </c>
      <c r="T591" s="3" t="s">
        <v>366</v>
      </c>
      <c r="V591" s="4"/>
      <c r="W591" s="4"/>
      <c r="X591" s="4"/>
      <c r="Y591" s="1454">
        <v>250013000016</v>
      </c>
      <c r="Z591" s="441"/>
      <c r="AA591" s="20"/>
      <c r="AB591" s="3">
        <v>42</v>
      </c>
      <c r="AC591" s="3">
        <v>2</v>
      </c>
      <c r="AD591" s="5">
        <f t="shared" si="43"/>
        <v>10</v>
      </c>
      <c r="AE591" s="3" t="s">
        <v>367</v>
      </c>
      <c r="AF591" s="38"/>
      <c r="AG591" s="3"/>
      <c r="AH591" s="39"/>
      <c r="AI591" s="39"/>
      <c r="AJ591" s="39"/>
      <c r="AK591" s="39"/>
      <c r="AQ591" s="139"/>
      <c r="AR591" s="139"/>
      <c r="AS591" s="139"/>
      <c r="AT591" s="139"/>
      <c r="AU591" s="139"/>
    </row>
    <row r="592" spans="3:47" ht="15" customHeight="1" x14ac:dyDescent="0.4">
      <c r="C592" s="4"/>
      <c r="D592" s="155"/>
      <c r="E592" s="155"/>
      <c r="F592" s="155"/>
      <c r="G592" s="155"/>
      <c r="O592" s="5">
        <f t="shared" si="42"/>
        <v>2.6459999999999999</v>
      </c>
      <c r="Q592" s="439" t="s">
        <v>539</v>
      </c>
      <c r="R592" s="440" t="s">
        <v>352</v>
      </c>
      <c r="S592" s="376">
        <f t="shared" si="44"/>
        <v>63</v>
      </c>
      <c r="T592" s="3" t="s">
        <v>366</v>
      </c>
      <c r="V592" s="4"/>
      <c r="W592" s="4"/>
      <c r="X592" s="4"/>
      <c r="Y592" s="1454">
        <v>250013000017</v>
      </c>
      <c r="Z592" s="441"/>
      <c r="AA592" s="20"/>
      <c r="AB592" s="3">
        <v>42</v>
      </c>
      <c r="AC592" s="3">
        <v>2</v>
      </c>
      <c r="AD592" s="5">
        <f t="shared" si="43"/>
        <v>10.5</v>
      </c>
      <c r="AE592" s="3" t="s">
        <v>367</v>
      </c>
      <c r="AF592" s="38"/>
      <c r="AG592" s="3"/>
      <c r="AH592" s="39"/>
      <c r="AI592" s="39"/>
      <c r="AJ592" s="39"/>
      <c r="AK592" s="39"/>
      <c r="AQ592" s="139"/>
      <c r="AR592" s="139"/>
      <c r="AS592" s="139"/>
      <c r="AT592" s="139"/>
      <c r="AU592" s="139"/>
    </row>
    <row r="593" spans="1:47" ht="15" customHeight="1" thickBot="1" x14ac:dyDescent="0.45">
      <c r="B593" s="968"/>
      <c r="C593" s="968"/>
      <c r="D593" s="925"/>
      <c r="E593" s="925"/>
      <c r="F593" s="925"/>
      <c r="G593" s="925"/>
      <c r="H593" s="948"/>
      <c r="I593" s="889"/>
      <c r="J593" s="889"/>
      <c r="K593" s="889"/>
      <c r="L593" s="889"/>
      <c r="M593" s="945"/>
      <c r="N593" s="945"/>
      <c r="O593" s="945">
        <f t="shared" si="42"/>
        <v>2.7720000000000002</v>
      </c>
      <c r="P593" s="945"/>
      <c r="Q593" s="1192" t="s">
        <v>540</v>
      </c>
      <c r="R593" s="1005" t="s">
        <v>352</v>
      </c>
      <c r="S593" s="970">
        <f t="shared" si="44"/>
        <v>66</v>
      </c>
      <c r="T593" s="889" t="s">
        <v>366</v>
      </c>
      <c r="U593" s="948"/>
      <c r="V593" s="968"/>
      <c r="W593" s="968"/>
      <c r="X593" s="968"/>
      <c r="Y593" s="1461">
        <v>250013000018</v>
      </c>
      <c r="Z593" s="1006"/>
      <c r="AA593" s="887"/>
      <c r="AB593" s="889">
        <v>42</v>
      </c>
      <c r="AC593" s="889">
        <v>2</v>
      </c>
      <c r="AD593" s="945">
        <f t="shared" si="43"/>
        <v>11</v>
      </c>
      <c r="AE593" s="889" t="s">
        <v>367</v>
      </c>
      <c r="AF593" s="889"/>
      <c r="AG593" s="889"/>
      <c r="AH593" s="947"/>
      <c r="AI593" s="947"/>
      <c r="AJ593" s="947"/>
      <c r="AK593" s="947"/>
      <c r="AL593" s="947"/>
      <c r="AM593" s="889"/>
      <c r="AN593" s="889"/>
      <c r="AO593" s="889"/>
      <c r="AP593" s="889"/>
      <c r="AQ593" s="139"/>
      <c r="AR593" s="139"/>
      <c r="AS593" s="139"/>
      <c r="AT593" s="139"/>
      <c r="AU593" s="139"/>
    </row>
    <row r="594" spans="1:47" ht="15" customHeight="1" x14ac:dyDescent="0.4">
      <c r="A594" s="3" t="s">
        <v>879</v>
      </c>
      <c r="B594" s="156" t="s">
        <v>880</v>
      </c>
      <c r="C594" s="37"/>
      <c r="D594" s="37"/>
      <c r="E594" s="37"/>
      <c r="F594" s="37"/>
      <c r="G594" s="37"/>
      <c r="H594" s="157"/>
      <c r="I594" s="157"/>
      <c r="J594" s="157"/>
      <c r="K594" s="157"/>
      <c r="L594" s="157"/>
      <c r="M594" s="158"/>
      <c r="N594" s="158"/>
      <c r="O594" s="158"/>
      <c r="P594" s="158"/>
      <c r="Q594" s="158"/>
      <c r="R594" s="157"/>
      <c r="S594" s="158"/>
      <c r="T594" s="157"/>
      <c r="U594" s="157"/>
      <c r="V594" s="37"/>
      <c r="W594" s="37"/>
      <c r="X594" s="37"/>
      <c r="Y594" s="1619"/>
      <c r="Z594" s="59"/>
      <c r="AA594" s="157"/>
      <c r="AB594" s="59"/>
      <c r="AC594" s="157"/>
      <c r="AD594" s="158"/>
      <c r="AE594" s="157"/>
      <c r="AF594" s="157"/>
      <c r="AG594" s="157"/>
      <c r="AH594" s="159"/>
      <c r="AI594" s="159"/>
      <c r="AJ594" s="159"/>
      <c r="AK594" s="159"/>
      <c r="AL594" s="159"/>
      <c r="AM594" s="159"/>
      <c r="AN594" s="159"/>
      <c r="AO594" s="159"/>
      <c r="AP594" s="159"/>
      <c r="AQ594" s="139"/>
      <c r="AR594" s="139"/>
      <c r="AS594" s="139"/>
      <c r="AT594" s="139"/>
    </row>
    <row r="595" spans="1:47" ht="11.4" x14ac:dyDescent="0.4">
      <c r="B595" s="3"/>
      <c r="C595" s="4" t="s">
        <v>1421</v>
      </c>
      <c r="G595" s="3"/>
      <c r="I595" s="3" t="s">
        <v>365</v>
      </c>
      <c r="L595" s="5" t="s">
        <v>348</v>
      </c>
      <c r="M595" s="5">
        <v>-2</v>
      </c>
      <c r="Q595" s="3"/>
      <c r="R595" s="5" t="s">
        <v>352</v>
      </c>
      <c r="S595" s="5">
        <f>SLQHQheight+M595</f>
        <v>45.5</v>
      </c>
      <c r="T595" s="3" t="s">
        <v>366</v>
      </c>
      <c r="V595" s="4"/>
      <c r="W595" s="4"/>
      <c r="X595" s="56"/>
      <c r="Y595" s="1443">
        <v>640019000</v>
      </c>
      <c r="AB595" s="3">
        <v>42</v>
      </c>
      <c r="AC595" s="56">
        <v>2</v>
      </c>
      <c r="AD595" s="376">
        <f>AC595*S595/12</f>
        <v>7.583333333333333</v>
      </c>
      <c r="AE595" s="3" t="s">
        <v>367</v>
      </c>
      <c r="AF595" s="38"/>
      <c r="AG595" s="38"/>
      <c r="AH595" s="477">
        <v>0</v>
      </c>
      <c r="AI595" s="39"/>
      <c r="AJ595" s="39"/>
      <c r="AK595" s="39"/>
      <c r="AL595" s="39">
        <f>AH595*AD595</f>
        <v>0</v>
      </c>
      <c r="AQ595" s="139"/>
      <c r="AR595" s="139"/>
      <c r="AS595" s="139"/>
      <c r="AT595" s="139"/>
    </row>
    <row r="596" spans="1:47" ht="11.4" x14ac:dyDescent="0.4">
      <c r="B596" s="3"/>
      <c r="C596" s="4"/>
      <c r="G596" s="3"/>
      <c r="L596" s="5"/>
      <c r="Q596" s="3"/>
      <c r="R596" s="5"/>
      <c r="V596" s="4"/>
      <c r="W596" s="4"/>
      <c r="X596" s="56"/>
      <c r="Y596" s="1443"/>
      <c r="AC596" s="56"/>
      <c r="AD596" s="376"/>
      <c r="AE596" s="3"/>
      <c r="AF596" s="38"/>
      <c r="AG596" s="38"/>
      <c r="AH596" s="477"/>
      <c r="AI596" s="39"/>
      <c r="AJ596" s="39"/>
      <c r="AK596" s="39"/>
      <c r="AQ596" s="139"/>
      <c r="AR596" s="139"/>
      <c r="AS596" s="139"/>
      <c r="AT596" s="139"/>
    </row>
    <row r="597" spans="1:47" ht="11.4" x14ac:dyDescent="0.4">
      <c r="B597" s="3"/>
      <c r="C597" s="4"/>
      <c r="G597" s="3"/>
      <c r="L597" s="5"/>
      <c r="Q597" s="3"/>
      <c r="R597" s="5"/>
      <c r="V597" s="4"/>
      <c r="W597" s="4"/>
      <c r="X597" s="56"/>
      <c r="Y597" s="1443"/>
      <c r="AC597" s="56"/>
      <c r="AD597" s="376"/>
      <c r="AE597" s="3"/>
      <c r="AF597" s="38"/>
      <c r="AG597" s="38"/>
      <c r="AH597" s="477"/>
      <c r="AI597" s="39"/>
      <c r="AJ597" s="39"/>
      <c r="AK597" s="39"/>
      <c r="AQ597" s="139"/>
      <c r="AR597" s="139"/>
      <c r="AS597" s="139"/>
      <c r="AT597" s="139"/>
    </row>
    <row r="598" spans="1:47" ht="12" thickBot="1" x14ac:dyDescent="0.45">
      <c r="B598" s="3"/>
      <c r="C598" s="968"/>
      <c r="D598" s="968"/>
      <c r="E598" s="968"/>
      <c r="F598" s="968"/>
      <c r="G598" s="889"/>
      <c r="H598" s="948"/>
      <c r="I598" s="889"/>
      <c r="J598" s="889"/>
      <c r="K598" s="889"/>
      <c r="L598" s="945"/>
      <c r="M598" s="945"/>
      <c r="N598" s="945"/>
      <c r="O598" s="945"/>
      <c r="P598" s="945"/>
      <c r="Q598" s="889"/>
      <c r="R598" s="945"/>
      <c r="S598" s="945"/>
      <c r="T598" s="889"/>
      <c r="U598" s="948"/>
      <c r="V598" s="968"/>
      <c r="W598" s="968"/>
      <c r="X598" s="1156"/>
      <c r="Y598" s="1444"/>
      <c r="Z598" s="889"/>
      <c r="AA598" s="948"/>
      <c r="AB598" s="889"/>
      <c r="AC598" s="1156"/>
      <c r="AD598" s="970"/>
      <c r="AE598" s="889"/>
      <c r="AF598" s="888"/>
      <c r="AG598" s="888"/>
      <c r="AH598" s="1157"/>
      <c r="AI598" s="947"/>
      <c r="AJ598" s="947"/>
      <c r="AK598" s="947"/>
      <c r="AL598" s="947"/>
      <c r="AM598" s="889"/>
      <c r="AN598" s="889"/>
      <c r="AO598" s="889"/>
      <c r="AP598" s="889"/>
      <c r="AQ598" s="139"/>
      <c r="AR598" s="139"/>
      <c r="AS598" s="139"/>
      <c r="AT598" s="139"/>
    </row>
    <row r="599" spans="1:47" ht="15" customHeight="1" x14ac:dyDescent="0.4">
      <c r="B599" s="3"/>
      <c r="C599" s="4" t="s">
        <v>1422</v>
      </c>
      <c r="G599" s="3"/>
      <c r="I599" s="3" t="s">
        <v>365</v>
      </c>
      <c r="J599" s="38"/>
      <c r="L599" s="5" t="s">
        <v>348</v>
      </c>
      <c r="M599" s="5">
        <v>-2</v>
      </c>
      <c r="Q599" s="3"/>
      <c r="R599" s="5" t="s">
        <v>352</v>
      </c>
      <c r="S599" s="5">
        <f>SLQHQheight+M599</f>
        <v>45.5</v>
      </c>
      <c r="T599" s="3" t="s">
        <v>366</v>
      </c>
      <c r="V599" s="4"/>
      <c r="W599" s="4"/>
      <c r="X599" s="56"/>
      <c r="Y599" s="1443">
        <v>640020000</v>
      </c>
      <c r="AB599" s="3">
        <v>42</v>
      </c>
      <c r="AC599" s="56">
        <v>2</v>
      </c>
      <c r="AD599" s="376">
        <f>AC599*S599/12</f>
        <v>7.583333333333333</v>
      </c>
      <c r="AE599" s="3" t="s">
        <v>367</v>
      </c>
      <c r="AF599" s="38"/>
      <c r="AG599" s="38"/>
      <c r="AH599" s="477">
        <v>0</v>
      </c>
      <c r="AI599" s="39"/>
      <c r="AJ599" s="39"/>
      <c r="AK599" s="39"/>
      <c r="AL599" s="39">
        <f>AH599*AD599</f>
        <v>0</v>
      </c>
      <c r="AQ599" s="139"/>
      <c r="AR599" s="139"/>
      <c r="AS599" s="139"/>
      <c r="AT599" s="139"/>
    </row>
    <row r="600" spans="1:47" ht="15" customHeight="1" x14ac:dyDescent="0.4">
      <c r="B600" s="3"/>
      <c r="C600" s="4"/>
      <c r="G600" s="3"/>
      <c r="J600" s="38"/>
      <c r="L600" s="5"/>
      <c r="Q600" s="3"/>
      <c r="R600" s="5"/>
      <c r="V600" s="4"/>
      <c r="W600" s="4"/>
      <c r="X600" s="56"/>
      <c r="Y600" s="1443"/>
      <c r="AC600" s="56"/>
      <c r="AD600" s="376"/>
      <c r="AE600" s="3"/>
      <c r="AF600" s="38"/>
      <c r="AG600" s="38"/>
      <c r="AH600" s="477"/>
      <c r="AI600" s="39"/>
      <c r="AJ600" s="39"/>
      <c r="AK600" s="39"/>
      <c r="AQ600" s="139"/>
      <c r="AR600" s="139"/>
      <c r="AS600" s="139"/>
      <c r="AT600" s="139"/>
    </row>
    <row r="601" spans="1:47" ht="15" customHeight="1" x14ac:dyDescent="0.4">
      <c r="B601" s="3"/>
      <c r="C601" s="4" t="s">
        <v>1423</v>
      </c>
      <c r="G601" s="3"/>
      <c r="I601" s="3" t="s">
        <v>392</v>
      </c>
      <c r="J601" s="38" t="s">
        <v>346</v>
      </c>
      <c r="K601" s="3">
        <v>4</v>
      </c>
      <c r="L601" s="5" t="s">
        <v>348</v>
      </c>
      <c r="M601" s="5">
        <v>-2</v>
      </c>
      <c r="P601" s="3"/>
      <c r="Q601" s="3"/>
      <c r="R601" s="5" t="s">
        <v>352</v>
      </c>
      <c r="S601" s="5">
        <f>SLQHQwidth/K601+M601</f>
        <v>15.875</v>
      </c>
      <c r="T601" s="3" t="s">
        <v>366</v>
      </c>
      <c r="V601" s="4"/>
      <c r="W601" s="4"/>
      <c r="X601" s="56"/>
      <c r="Y601" s="1443">
        <v>640020000</v>
      </c>
      <c r="AB601" s="3">
        <v>42</v>
      </c>
      <c r="AC601" s="56">
        <v>4</v>
      </c>
      <c r="AD601" s="376">
        <f>AC601*S601/12</f>
        <v>5.291666666666667</v>
      </c>
      <c r="AE601" s="3" t="s">
        <v>367</v>
      </c>
      <c r="AF601" s="38"/>
      <c r="AG601" s="38"/>
      <c r="AH601" s="477">
        <v>0</v>
      </c>
      <c r="AI601" s="39"/>
      <c r="AJ601" s="39"/>
      <c r="AK601" s="39"/>
      <c r="AL601" s="39">
        <f>AH601*AD601</f>
        <v>0</v>
      </c>
      <c r="AQ601" s="139"/>
      <c r="AR601" s="139"/>
      <c r="AS601" s="139"/>
      <c r="AT601" s="139"/>
    </row>
    <row r="602" spans="1:47" ht="15" customHeight="1" thickBot="1" x14ac:dyDescent="0.45">
      <c r="B602" s="889"/>
      <c r="C602" s="968"/>
      <c r="D602" s="968"/>
      <c r="E602" s="968"/>
      <c r="F602" s="968"/>
      <c r="G602" s="889"/>
      <c r="H602" s="948"/>
      <c r="I602" s="889"/>
      <c r="J602" s="888"/>
      <c r="K602" s="889"/>
      <c r="L602" s="945"/>
      <c r="M602" s="945"/>
      <c r="N602" s="945"/>
      <c r="O602" s="945"/>
      <c r="P602" s="889"/>
      <c r="Q602" s="889"/>
      <c r="R602" s="945"/>
      <c r="S602" s="945"/>
      <c r="T602" s="889"/>
      <c r="U602" s="948"/>
      <c r="V602" s="968"/>
      <c r="W602" s="968"/>
      <c r="X602" s="1156"/>
      <c r="Y602" s="1444"/>
      <c r="Z602" s="889"/>
      <c r="AA602" s="948"/>
      <c r="AB602" s="889"/>
      <c r="AC602" s="1156"/>
      <c r="AD602" s="970"/>
      <c r="AE602" s="889"/>
      <c r="AF602" s="888"/>
      <c r="AG602" s="888"/>
      <c r="AH602" s="1157"/>
      <c r="AI602" s="947"/>
      <c r="AJ602" s="947"/>
      <c r="AK602" s="947"/>
      <c r="AL602" s="947"/>
      <c r="AM602" s="889"/>
      <c r="AN602" s="889"/>
      <c r="AO602" s="889"/>
      <c r="AP602" s="889"/>
      <c r="AQ602" s="139"/>
      <c r="AR602" s="139"/>
      <c r="AS602" s="139"/>
      <c r="AT602" s="139"/>
    </row>
    <row r="603" spans="1:47" ht="15" customHeight="1" x14ac:dyDescent="0.4">
      <c r="B603" s="156" t="s">
        <v>549</v>
      </c>
      <c r="C603" s="37"/>
      <c r="D603" s="37"/>
      <c r="E603" s="37"/>
      <c r="F603" s="37"/>
      <c r="G603" s="37"/>
      <c r="H603" s="157"/>
      <c r="I603" s="157"/>
      <c r="J603" s="157"/>
      <c r="K603" s="157"/>
      <c r="L603" s="157"/>
      <c r="M603" s="158"/>
      <c r="N603" s="158"/>
      <c r="O603" s="158"/>
      <c r="P603" s="158"/>
      <c r="Q603" s="158"/>
      <c r="R603" s="157"/>
      <c r="S603" s="158"/>
      <c r="T603" s="157"/>
      <c r="U603" s="157"/>
      <c r="V603" s="37"/>
      <c r="W603" s="37"/>
      <c r="X603" s="37"/>
      <c r="Y603" s="1619"/>
      <c r="Z603" s="59"/>
      <c r="AA603" s="157"/>
      <c r="AB603" s="59"/>
      <c r="AC603" s="157"/>
      <c r="AD603" s="158"/>
      <c r="AE603" s="157"/>
      <c r="AF603" s="157"/>
      <c r="AG603" s="157"/>
      <c r="AH603" s="159"/>
      <c r="AI603" s="159"/>
      <c r="AJ603" s="159"/>
      <c r="AK603" s="159"/>
      <c r="AL603" s="159"/>
      <c r="AM603" s="159"/>
      <c r="AN603" s="159"/>
      <c r="AO603" s="159"/>
      <c r="AP603" s="159"/>
      <c r="AQ603" s="139"/>
      <c r="AR603" s="139"/>
      <c r="AS603" s="139"/>
      <c r="AT603" s="139"/>
      <c r="AU603" s="139"/>
    </row>
    <row r="604" spans="1:47" ht="15" customHeight="1" thickBot="1" x14ac:dyDescent="0.45">
      <c r="B604" s="7" t="s">
        <v>897</v>
      </c>
      <c r="C604" s="7"/>
      <c r="D604" s="7"/>
      <c r="E604" s="7"/>
      <c r="F604" s="7"/>
      <c r="G604" s="7"/>
      <c r="R604" s="945"/>
      <c r="S604" s="1156"/>
      <c r="T604" s="970"/>
      <c r="V604" s="38"/>
      <c r="X604" s="38"/>
      <c r="Y604" s="1443"/>
      <c r="Z604" s="41"/>
      <c r="AB604" s="889"/>
      <c r="AC604" s="889"/>
      <c r="AD604" s="1156"/>
      <c r="AE604" s="889"/>
      <c r="AF604" s="38"/>
      <c r="AG604" s="38"/>
      <c r="AH604" s="477"/>
      <c r="AI604" s="947"/>
      <c r="AJ604" s="947"/>
      <c r="AK604" s="947"/>
      <c r="AM604" s="889"/>
      <c r="AN604" s="889"/>
      <c r="AO604" s="889"/>
      <c r="AP604" s="889"/>
      <c r="AQ604" s="139"/>
      <c r="AR604" s="139"/>
      <c r="AS604" s="139"/>
      <c r="AT604" s="139"/>
      <c r="AU604" s="139"/>
    </row>
    <row r="605" spans="1:47" ht="15" customHeight="1" x14ac:dyDescent="0.4">
      <c r="A605" s="3" t="s">
        <v>898</v>
      </c>
      <c r="B605" s="3"/>
      <c r="C605" s="173" t="s">
        <v>899</v>
      </c>
      <c r="D605" s="138"/>
      <c r="E605" s="173"/>
      <c r="F605" s="138"/>
      <c r="G605" s="173"/>
      <c r="H605" s="193"/>
      <c r="I605" s="448" t="s">
        <v>461</v>
      </c>
      <c r="J605" s="116"/>
      <c r="K605" s="116" t="s">
        <v>365</v>
      </c>
      <c r="L605" s="116" t="s">
        <v>465</v>
      </c>
      <c r="M605" s="178">
        <v>25</v>
      </c>
      <c r="N605" s="177"/>
      <c r="O605" s="177"/>
      <c r="P605" s="177"/>
      <c r="Q605" s="177"/>
      <c r="R605" s="3" t="s">
        <v>352</v>
      </c>
      <c r="S605" s="56">
        <v>1</v>
      </c>
      <c r="T605" s="3" t="s">
        <v>385</v>
      </c>
      <c r="U605" s="193"/>
      <c r="V605" s="138"/>
      <c r="W605" s="138"/>
      <c r="X605" s="138"/>
      <c r="Y605" s="1449"/>
      <c r="Z605" s="116"/>
      <c r="AA605" s="193"/>
      <c r="AB605" s="3">
        <v>45</v>
      </c>
      <c r="AC605" s="56">
        <f>IF(SLQHQheight&lt;M605,2,4)</f>
        <v>4</v>
      </c>
      <c r="AD605" s="198">
        <f>AC605</f>
        <v>4</v>
      </c>
      <c r="AE605" s="3" t="s">
        <v>385</v>
      </c>
      <c r="AF605" s="179"/>
      <c r="AG605" s="179"/>
      <c r="AH605" s="180"/>
      <c r="AI605" s="39"/>
      <c r="AJ605" s="39"/>
      <c r="AK605" s="39"/>
      <c r="AL605" s="180"/>
      <c r="AQ605" s="139"/>
      <c r="AR605" s="139"/>
      <c r="AS605" s="139"/>
      <c r="AT605" s="139"/>
      <c r="AU605" s="139"/>
    </row>
    <row r="606" spans="1:47" ht="15" customHeight="1" x14ac:dyDescent="0.4">
      <c r="B606" s="7"/>
      <c r="C606" s="4"/>
      <c r="E606" s="7"/>
      <c r="G606" s="7"/>
      <c r="I606" s="36" t="s">
        <v>464</v>
      </c>
      <c r="J606" s="38"/>
      <c r="K606" s="3" t="s">
        <v>365</v>
      </c>
      <c r="L606" s="3" t="s">
        <v>463</v>
      </c>
      <c r="M606" s="5">
        <f>M605</f>
        <v>25</v>
      </c>
      <c r="R606" s="3" t="s">
        <v>352</v>
      </c>
      <c r="S606" s="56">
        <v>2</v>
      </c>
      <c r="T606" s="3" t="s">
        <v>385</v>
      </c>
      <c r="V606" s="38" t="s">
        <v>369</v>
      </c>
      <c r="W606" s="3" t="s">
        <v>370</v>
      </c>
      <c r="X606" s="38" t="s">
        <v>369</v>
      </c>
      <c r="Y606" s="1443">
        <v>420126003</v>
      </c>
      <c r="Z606" s="41"/>
      <c r="AF606" s="38"/>
      <c r="AG606" s="38"/>
      <c r="AH606" s="39">
        <v>0.24</v>
      </c>
      <c r="AI606" s="39"/>
      <c r="AJ606" s="39"/>
      <c r="AK606" s="39"/>
      <c r="AL606" s="39">
        <f>AH606*AD605</f>
        <v>0.96</v>
      </c>
      <c r="AQ606" s="139"/>
      <c r="AR606" s="139"/>
      <c r="AS606" s="139"/>
      <c r="AT606" s="139"/>
      <c r="AU606" s="139"/>
    </row>
    <row r="607" spans="1:47" ht="15" customHeight="1" x14ac:dyDescent="0.4">
      <c r="B607" s="36"/>
      <c r="C607" s="36"/>
      <c r="D607" s="36"/>
      <c r="E607" s="7"/>
      <c r="F607" s="36"/>
      <c r="G607" s="7"/>
      <c r="V607" s="38" t="s">
        <v>369</v>
      </c>
      <c r="W607" s="3" t="s">
        <v>372</v>
      </c>
      <c r="X607" s="38" t="s">
        <v>369</v>
      </c>
      <c r="Y607" s="1443">
        <v>420126021</v>
      </c>
      <c r="Z607" s="41"/>
      <c r="AD607" s="56"/>
      <c r="AE607" s="3"/>
      <c r="AF607" s="38"/>
      <c r="AG607" s="38"/>
      <c r="AH607" s="39">
        <v>0.24</v>
      </c>
      <c r="AI607" s="39"/>
      <c r="AJ607" s="39"/>
      <c r="AK607" s="39"/>
      <c r="AL607" s="39">
        <f>AH607*AD605</f>
        <v>0.96</v>
      </c>
      <c r="AQ607" s="139"/>
      <c r="AR607" s="139"/>
      <c r="AS607" s="139"/>
      <c r="AT607" s="139"/>
      <c r="AU607" s="139"/>
    </row>
    <row r="608" spans="1:47" ht="15" customHeight="1" x14ac:dyDescent="0.4">
      <c r="B608" s="36"/>
      <c r="C608" s="36"/>
      <c r="D608" s="36"/>
      <c r="E608" s="7"/>
      <c r="F608" s="36"/>
      <c r="G608" s="7"/>
      <c r="J608" s="38"/>
      <c r="V608" s="38" t="s">
        <v>369</v>
      </c>
      <c r="W608" s="3" t="s">
        <v>373</v>
      </c>
      <c r="X608" s="38" t="s">
        <v>369</v>
      </c>
      <c r="Y608" s="1443">
        <v>420126033</v>
      </c>
      <c r="Z608" s="41"/>
      <c r="AD608" s="56"/>
      <c r="AE608" s="3"/>
      <c r="AF608" s="38"/>
      <c r="AG608" s="38"/>
      <c r="AH608" s="39">
        <v>0.24</v>
      </c>
      <c r="AI608" s="39"/>
      <c r="AJ608" s="39"/>
      <c r="AK608" s="39"/>
      <c r="AL608" s="39">
        <f>AH608*AD605</f>
        <v>0.96</v>
      </c>
      <c r="AQ608" s="139"/>
      <c r="AR608" s="139"/>
      <c r="AS608" s="139"/>
      <c r="AT608" s="139"/>
      <c r="AU608" s="139"/>
    </row>
    <row r="609" spans="2:58" ht="15" customHeight="1" thickBot="1" x14ac:dyDescent="0.45">
      <c r="B609" s="36"/>
      <c r="C609" s="943"/>
      <c r="D609" s="943"/>
      <c r="E609" s="924"/>
      <c r="F609" s="943"/>
      <c r="G609" s="924"/>
      <c r="H609" s="948"/>
      <c r="I609" s="889"/>
      <c r="J609" s="889"/>
      <c r="K609" s="889"/>
      <c r="L609" s="889"/>
      <c r="M609" s="945"/>
      <c r="N609" s="945"/>
      <c r="O609" s="945"/>
      <c r="P609" s="945"/>
      <c r="Q609" s="945"/>
      <c r="R609" s="889"/>
      <c r="S609" s="1156"/>
      <c r="T609" s="889"/>
      <c r="U609" s="948"/>
      <c r="V609" s="888" t="s">
        <v>369</v>
      </c>
      <c r="W609" s="889" t="s">
        <v>375</v>
      </c>
      <c r="X609" s="888" t="s">
        <v>369</v>
      </c>
      <c r="Y609" s="1444">
        <v>420126133</v>
      </c>
      <c r="Z609" s="889"/>
      <c r="AA609" s="948"/>
      <c r="AB609" s="889"/>
      <c r="AC609" s="889"/>
      <c r="AD609" s="945"/>
      <c r="AE609" s="945"/>
      <c r="AF609" s="945"/>
      <c r="AG609" s="945"/>
      <c r="AH609" s="937"/>
      <c r="AI609" s="947"/>
      <c r="AJ609" s="947"/>
      <c r="AK609" s="947"/>
      <c r="AL609" s="947"/>
      <c r="AM609" s="889"/>
      <c r="AN609" s="889"/>
      <c r="AO609" s="889"/>
      <c r="AP609" s="889"/>
      <c r="AQ609" s="139"/>
      <c r="AR609" s="139"/>
      <c r="AS609" s="139"/>
      <c r="AT609" s="139"/>
      <c r="AU609" s="139"/>
    </row>
    <row r="610" spans="2:58" ht="15" customHeight="1" x14ac:dyDescent="0.4">
      <c r="B610" s="3"/>
      <c r="C610" s="476" t="s">
        <v>1281</v>
      </c>
      <c r="D610" s="116"/>
      <c r="E610" s="173"/>
      <c r="F610" s="116"/>
      <c r="G610" s="173"/>
      <c r="H610" s="193"/>
      <c r="I610" s="114" t="s">
        <v>901</v>
      </c>
      <c r="J610" s="116"/>
      <c r="K610" s="116"/>
      <c r="L610" s="116"/>
      <c r="M610" s="177"/>
      <c r="N610" s="177"/>
      <c r="O610" s="177"/>
      <c r="P610" s="177"/>
      <c r="Q610" s="177"/>
      <c r="R610" s="116"/>
      <c r="S610" s="198">
        <v>2</v>
      </c>
      <c r="T610" s="116" t="s">
        <v>385</v>
      </c>
      <c r="U610" s="193"/>
      <c r="V610" s="179"/>
      <c r="W610" s="116"/>
      <c r="X610" s="179"/>
      <c r="Y610" s="1449"/>
      <c r="Z610" s="116"/>
      <c r="AA610" s="193"/>
      <c r="AB610" s="3">
        <v>45</v>
      </c>
      <c r="AC610" s="56">
        <f>AC605</f>
        <v>4</v>
      </c>
      <c r="AD610" s="116">
        <f>AC610*S610</f>
        <v>8</v>
      </c>
      <c r="AE610" s="3" t="s">
        <v>385</v>
      </c>
      <c r="AF610" s="179"/>
      <c r="AG610" s="179"/>
      <c r="AH610" s="180"/>
      <c r="AI610" s="180"/>
      <c r="AJ610" s="180"/>
      <c r="AK610" s="180"/>
      <c r="AL610" s="180"/>
      <c r="AQ610" s="139"/>
      <c r="AR610" s="139"/>
      <c r="AS610" s="139"/>
      <c r="AT610" s="139"/>
    </row>
    <row r="611" spans="2:58" ht="15" customHeight="1" x14ac:dyDescent="0.4">
      <c r="B611" s="36"/>
      <c r="C611" s="7"/>
      <c r="D611" s="7"/>
      <c r="E611" s="7"/>
      <c r="F611" s="7"/>
      <c r="G611" s="7"/>
      <c r="I611" s="8"/>
      <c r="S611" s="56"/>
      <c r="V611" s="38" t="s">
        <v>369</v>
      </c>
      <c r="W611" s="3" t="s">
        <v>370</v>
      </c>
      <c r="X611" s="38" t="s">
        <v>369</v>
      </c>
      <c r="Y611" s="1443">
        <v>440029003</v>
      </c>
      <c r="Z611" s="41"/>
      <c r="AF611" s="38"/>
      <c r="AG611" s="38"/>
      <c r="AH611" s="477">
        <v>5.0000000000000001E-3</v>
      </c>
      <c r="AI611" s="39"/>
      <c r="AJ611" s="39"/>
      <c r="AK611" s="39"/>
      <c r="AL611" s="39">
        <f>AH611*AD610</f>
        <v>0.04</v>
      </c>
      <c r="AQ611" s="139"/>
      <c r="AR611" s="139"/>
      <c r="AS611" s="139"/>
      <c r="AT611" s="139"/>
    </row>
    <row r="612" spans="2:58" ht="15" customHeight="1" x14ac:dyDescent="0.4">
      <c r="B612" s="36"/>
      <c r="C612" s="7"/>
      <c r="D612" s="7"/>
      <c r="E612" s="7"/>
      <c r="F612" s="7"/>
      <c r="G612" s="7"/>
      <c r="I612" s="8"/>
      <c r="S612" s="56"/>
      <c r="V612" s="38" t="s">
        <v>369</v>
      </c>
      <c r="W612" s="3" t="s">
        <v>372</v>
      </c>
      <c r="X612" s="38" t="s">
        <v>369</v>
      </c>
      <c r="Y612" s="1443">
        <v>440029021</v>
      </c>
      <c r="Z612" s="41"/>
      <c r="AC612" s="56"/>
      <c r="AD612" s="56"/>
      <c r="AE612" s="3"/>
      <c r="AF612" s="38"/>
      <c r="AG612" s="38"/>
      <c r="AH612" s="477">
        <v>5.0000000000000001E-3</v>
      </c>
      <c r="AI612" s="39"/>
      <c r="AJ612" s="39"/>
      <c r="AK612" s="39"/>
      <c r="AL612" s="39">
        <f>AH612*AD610</f>
        <v>0.04</v>
      </c>
      <c r="AQ612" s="139"/>
      <c r="AR612" s="139"/>
      <c r="AS612" s="139"/>
      <c r="AT612" s="139"/>
    </row>
    <row r="613" spans="2:58" ht="15" customHeight="1" x14ac:dyDescent="0.4">
      <c r="B613" s="36"/>
      <c r="C613" s="7"/>
      <c r="D613" s="7"/>
      <c r="E613" s="7"/>
      <c r="F613" s="7"/>
      <c r="G613" s="7"/>
      <c r="I613" s="8"/>
      <c r="S613" s="56"/>
      <c r="V613" s="38" t="s">
        <v>369</v>
      </c>
      <c r="W613" s="3" t="s">
        <v>373</v>
      </c>
      <c r="X613" s="38" t="s">
        <v>369</v>
      </c>
      <c r="Y613" s="1443">
        <v>440029033</v>
      </c>
      <c r="Z613" s="41"/>
      <c r="AC613" s="56"/>
      <c r="AD613" s="56"/>
      <c r="AE613" s="3"/>
      <c r="AF613" s="38"/>
      <c r="AG613" s="38"/>
      <c r="AH613" s="477">
        <v>5.0000000000000001E-3</v>
      </c>
      <c r="AI613" s="39"/>
      <c r="AJ613" s="39"/>
      <c r="AK613" s="39"/>
      <c r="AL613" s="39">
        <f>AH613*AD610</f>
        <v>0.04</v>
      </c>
      <c r="AQ613" s="139"/>
      <c r="AR613" s="139"/>
      <c r="AS613" s="139"/>
      <c r="AT613" s="139"/>
    </row>
    <row r="614" spans="2:58" ht="15" customHeight="1" thickBot="1" x14ac:dyDescent="0.45">
      <c r="B614" s="36"/>
      <c r="C614" s="924"/>
      <c r="D614" s="924"/>
      <c r="E614" s="924"/>
      <c r="F614" s="924"/>
      <c r="G614" s="924"/>
      <c r="H614" s="948"/>
      <c r="I614" s="949"/>
      <c r="J614" s="889"/>
      <c r="K614" s="889"/>
      <c r="L614" s="889"/>
      <c r="M614" s="945"/>
      <c r="N614" s="945"/>
      <c r="O614" s="945"/>
      <c r="P614" s="945"/>
      <c r="Q614" s="945"/>
      <c r="R614" s="889"/>
      <c r="S614" s="1156"/>
      <c r="T614" s="889"/>
      <c r="U614" s="948"/>
      <c r="V614" s="888" t="s">
        <v>369</v>
      </c>
      <c r="W614" s="889" t="s">
        <v>375</v>
      </c>
      <c r="X614" s="888" t="s">
        <v>369</v>
      </c>
      <c r="Y614" s="1444">
        <v>440029133</v>
      </c>
      <c r="Z614" s="946"/>
      <c r="AA614" s="948"/>
      <c r="AB614" s="889"/>
      <c r="AC614" s="1156"/>
      <c r="AD614" s="1156"/>
      <c r="AE614" s="889"/>
      <c r="AF614" s="888"/>
      <c r="AG614" s="888"/>
      <c r="AH614" s="1157"/>
      <c r="AI614" s="947"/>
      <c r="AJ614" s="947"/>
      <c r="AK614" s="947"/>
      <c r="AL614" s="947"/>
      <c r="AM614" s="889"/>
      <c r="AN614" s="889"/>
      <c r="AO614" s="889"/>
      <c r="AP614" s="889"/>
      <c r="AQ614" s="139"/>
      <c r="AR614" s="139"/>
      <c r="AS614" s="139"/>
      <c r="AT614" s="139"/>
    </row>
    <row r="615" spans="2:58" ht="15" customHeight="1" x14ac:dyDescent="0.4">
      <c r="B615" s="3"/>
      <c r="C615" s="509" t="s">
        <v>1282</v>
      </c>
      <c r="D615" s="3"/>
      <c r="E615" s="7"/>
      <c r="F615" s="3"/>
      <c r="G615" s="7"/>
      <c r="I615" s="8" t="s">
        <v>901</v>
      </c>
      <c r="S615" s="56">
        <v>2</v>
      </c>
      <c r="T615" s="3" t="s">
        <v>385</v>
      </c>
      <c r="V615" s="38"/>
      <c r="X615" s="38"/>
      <c r="Y615" s="1443"/>
      <c r="AB615" s="3">
        <v>42</v>
      </c>
      <c r="AC615" s="56">
        <f>AC605</f>
        <v>4</v>
      </c>
      <c r="AD615" s="56">
        <f>AC615*S615</f>
        <v>8</v>
      </c>
      <c r="AE615" s="3" t="s">
        <v>385</v>
      </c>
      <c r="AF615" s="38" t="s">
        <v>8</v>
      </c>
      <c r="AG615" s="38" t="s">
        <v>8</v>
      </c>
      <c r="AH615" s="39"/>
      <c r="AI615" s="39"/>
      <c r="AJ615" s="39"/>
      <c r="AK615" s="39"/>
      <c r="BB615" s="139"/>
      <c r="BC615" s="139"/>
      <c r="BD615" s="139"/>
      <c r="BE615" s="139"/>
      <c r="BF615" s="139"/>
    </row>
    <row r="616" spans="2:58" ht="15" customHeight="1" x14ac:dyDescent="0.4">
      <c r="B616" s="36"/>
      <c r="C616" s="7" t="s">
        <v>1283</v>
      </c>
      <c r="D616" s="7"/>
      <c r="E616" s="7"/>
      <c r="F616" s="7"/>
      <c r="G616" s="7"/>
      <c r="I616" s="8"/>
      <c r="S616" s="56"/>
      <c r="V616" s="38" t="s">
        <v>369</v>
      </c>
      <c r="W616" s="3" t="s">
        <v>370</v>
      </c>
      <c r="X616" s="38" t="s">
        <v>369</v>
      </c>
      <c r="Y616" s="1443">
        <v>440023003</v>
      </c>
      <c r="Z616" s="41"/>
      <c r="AF616" s="3"/>
      <c r="AG616" s="3"/>
      <c r="AH616" s="477">
        <v>5.0000000000000001E-3</v>
      </c>
      <c r="AI616" s="477"/>
      <c r="AJ616" s="477"/>
      <c r="AK616" s="477"/>
      <c r="AL616" s="39">
        <f>AH616*AD615</f>
        <v>0.04</v>
      </c>
      <c r="BB616" s="139"/>
      <c r="BC616" s="139"/>
      <c r="BD616" s="139"/>
      <c r="BE616" s="139"/>
      <c r="BF616" s="139"/>
    </row>
    <row r="617" spans="2:58" ht="15" customHeight="1" x14ac:dyDescent="0.4">
      <c r="B617" s="36"/>
      <c r="C617" s="7"/>
      <c r="D617" s="7"/>
      <c r="E617" s="7"/>
      <c r="F617" s="7"/>
      <c r="G617" s="7"/>
      <c r="I617" s="8"/>
      <c r="S617" s="56"/>
      <c r="V617" s="38" t="s">
        <v>369</v>
      </c>
      <c r="W617" s="3" t="s">
        <v>372</v>
      </c>
      <c r="X617" s="38" t="s">
        <v>369</v>
      </c>
      <c r="Y617" s="1443">
        <v>440023021</v>
      </c>
      <c r="Z617" s="41"/>
      <c r="AD617" s="56"/>
      <c r="AE617" s="3"/>
      <c r="AF617" s="38"/>
      <c r="AG617" s="38"/>
      <c r="AH617" s="477">
        <v>5.0000000000000001E-3</v>
      </c>
      <c r="AI617" s="477"/>
      <c r="AJ617" s="477"/>
      <c r="AK617" s="477"/>
      <c r="AL617" s="39">
        <f>AH617*AD615</f>
        <v>0.04</v>
      </c>
      <c r="BB617" s="139"/>
      <c r="BC617" s="139"/>
      <c r="BD617" s="139"/>
      <c r="BE617" s="139"/>
      <c r="BF617" s="139"/>
    </row>
    <row r="618" spans="2:58" ht="15" customHeight="1" x14ac:dyDescent="0.4">
      <c r="B618" s="36"/>
      <c r="C618" s="7"/>
      <c r="D618" s="7"/>
      <c r="E618" s="7"/>
      <c r="F618" s="7"/>
      <c r="G618" s="7"/>
      <c r="I618" s="8"/>
      <c r="S618" s="56"/>
      <c r="V618" s="38" t="s">
        <v>369</v>
      </c>
      <c r="W618" s="3" t="s">
        <v>373</v>
      </c>
      <c r="X618" s="38" t="s">
        <v>369</v>
      </c>
      <c r="Y618" s="1443">
        <v>440023033</v>
      </c>
      <c r="Z618" s="41"/>
      <c r="AD618" s="56"/>
      <c r="AE618" s="3"/>
      <c r="AF618" s="38"/>
      <c r="AG618" s="38"/>
      <c r="AH618" s="477">
        <v>5.0000000000000001E-3</v>
      </c>
      <c r="AI618" s="477"/>
      <c r="AJ618" s="477"/>
      <c r="AK618" s="477"/>
      <c r="AL618" s="39">
        <f>AH618*AD615</f>
        <v>0.04</v>
      </c>
      <c r="BB618" s="139"/>
      <c r="BC618" s="139"/>
      <c r="BD618" s="139"/>
      <c r="BE618" s="139"/>
      <c r="BF618" s="139"/>
    </row>
    <row r="619" spans="2:58" ht="15" customHeight="1" thickBot="1" x14ac:dyDescent="0.45">
      <c r="B619" s="36"/>
      <c r="C619" s="924"/>
      <c r="D619" s="924"/>
      <c r="E619" s="924"/>
      <c r="F619" s="924"/>
      <c r="G619" s="924"/>
      <c r="H619" s="948"/>
      <c r="I619" s="949"/>
      <c r="J619" s="889"/>
      <c r="K619" s="889"/>
      <c r="L619" s="889"/>
      <c r="M619" s="945"/>
      <c r="N619" s="945"/>
      <c r="O619" s="945"/>
      <c r="P619" s="945"/>
      <c r="Q619" s="945"/>
      <c r="R619" s="889"/>
      <c r="S619" s="1156"/>
      <c r="T619" s="889"/>
      <c r="U619" s="948"/>
      <c r="V619" s="888" t="s">
        <v>369</v>
      </c>
      <c r="W619" s="889" t="s">
        <v>375</v>
      </c>
      <c r="X619" s="888" t="s">
        <v>369</v>
      </c>
      <c r="Y619" s="1444">
        <v>440023133</v>
      </c>
      <c r="Z619" s="946"/>
      <c r="AA619" s="948"/>
      <c r="AB619" s="889"/>
      <c r="AC619" s="889"/>
      <c r="AD619" s="1156"/>
      <c r="AE619" s="889"/>
      <c r="AF619" s="888"/>
      <c r="AG619" s="888"/>
      <c r="AH619" s="1157"/>
      <c r="AI619" s="1157"/>
      <c r="AJ619" s="1157"/>
      <c r="AK619" s="1157"/>
      <c r="AL619" s="947"/>
      <c r="AM619" s="889"/>
      <c r="AN619" s="889"/>
      <c r="AO619" s="889"/>
      <c r="AP619" s="889"/>
      <c r="BB619" s="139"/>
      <c r="BC619" s="139"/>
      <c r="BD619" s="139"/>
      <c r="BE619" s="139"/>
      <c r="BF619" s="139"/>
    </row>
    <row r="620" spans="2:58" ht="15" customHeight="1" x14ac:dyDescent="0.4">
      <c r="B620" s="3"/>
      <c r="C620" s="7" t="s">
        <v>1284</v>
      </c>
      <c r="E620" s="7"/>
      <c r="G620" s="7"/>
      <c r="I620" s="500" t="s">
        <v>461</v>
      </c>
      <c r="K620" s="3" t="s">
        <v>365</v>
      </c>
      <c r="L620" s="3" t="s">
        <v>465</v>
      </c>
      <c r="M620" s="24">
        <f>M605</f>
        <v>25</v>
      </c>
      <c r="R620" s="3" t="s">
        <v>352</v>
      </c>
      <c r="S620" s="56">
        <v>1</v>
      </c>
      <c r="T620" s="3" t="s">
        <v>385</v>
      </c>
      <c r="V620" s="38" t="s">
        <v>369</v>
      </c>
      <c r="W620" s="38" t="s">
        <v>369</v>
      </c>
      <c r="X620" s="38" t="s">
        <v>369</v>
      </c>
      <c r="Y620" s="1443">
        <v>420144000</v>
      </c>
      <c r="AB620" s="3">
        <v>42</v>
      </c>
      <c r="AC620" s="56">
        <f>IF(SLQHQheight&lt;M620,2,4)</f>
        <v>4</v>
      </c>
      <c r="AD620" s="56">
        <f>AC620</f>
        <v>4</v>
      </c>
      <c r="AE620" s="3" t="s">
        <v>385</v>
      </c>
      <c r="AF620" s="38" t="s">
        <v>8</v>
      </c>
      <c r="AG620" s="38" t="s">
        <v>8</v>
      </c>
      <c r="AH620" s="39"/>
      <c r="AI620" s="39"/>
      <c r="AJ620" s="39"/>
      <c r="AK620" s="39"/>
      <c r="AQ620" s="139"/>
      <c r="AR620" s="139"/>
      <c r="AS620" s="139"/>
      <c r="AT620" s="139"/>
      <c r="AU620" s="139"/>
    </row>
    <row r="621" spans="2:58" ht="15" customHeight="1" x14ac:dyDescent="0.4">
      <c r="B621" s="7"/>
      <c r="C621" s="4"/>
      <c r="E621" s="7"/>
      <c r="G621" s="7"/>
      <c r="I621" s="36" t="s">
        <v>464</v>
      </c>
      <c r="J621" s="38"/>
      <c r="K621" s="3" t="s">
        <v>365</v>
      </c>
      <c r="L621" s="3" t="s">
        <v>463</v>
      </c>
      <c r="M621" s="5">
        <f>M620</f>
        <v>25</v>
      </c>
      <c r="R621" s="3" t="s">
        <v>352</v>
      </c>
      <c r="S621" s="56">
        <v>2</v>
      </c>
      <c r="T621" s="3" t="s">
        <v>385</v>
      </c>
      <c r="Z621" s="41"/>
      <c r="AE621" s="3"/>
      <c r="AF621" s="3"/>
      <c r="AG621" s="3"/>
      <c r="AH621" s="39"/>
      <c r="AI621" s="39"/>
      <c r="AJ621" s="39"/>
      <c r="AK621" s="39"/>
      <c r="AQ621" s="139"/>
      <c r="AR621" s="139"/>
      <c r="AS621" s="139"/>
      <c r="AT621" s="139"/>
      <c r="AU621" s="139"/>
    </row>
    <row r="622" spans="2:58" ht="15" customHeight="1" x14ac:dyDescent="0.4">
      <c r="B622" s="36"/>
      <c r="C622" s="36"/>
      <c r="D622" s="36"/>
      <c r="E622" s="7"/>
      <c r="F622" s="36"/>
      <c r="G622" s="7"/>
      <c r="V622" s="38"/>
      <c r="X622" s="38"/>
      <c r="Y622" s="1443"/>
      <c r="Z622" s="41"/>
      <c r="AE622" s="3"/>
      <c r="AF622" s="3"/>
      <c r="AG622" s="3"/>
      <c r="AH622" s="39"/>
      <c r="AI622" s="39"/>
      <c r="AJ622" s="39"/>
      <c r="AK622" s="39"/>
      <c r="AQ622" s="139"/>
      <c r="AR622" s="139"/>
      <c r="AS622" s="139"/>
      <c r="AT622" s="139"/>
      <c r="AU622" s="139"/>
    </row>
    <row r="623" spans="2:58" ht="15" customHeight="1" x14ac:dyDescent="0.4">
      <c r="B623" s="36"/>
      <c r="C623" s="36"/>
      <c r="D623" s="36"/>
      <c r="E623" s="7"/>
      <c r="F623" s="36"/>
      <c r="G623" s="7"/>
      <c r="J623" s="38"/>
      <c r="S623" s="56"/>
      <c r="V623" s="38"/>
      <c r="X623" s="38"/>
      <c r="Y623" s="1443"/>
      <c r="Z623" s="41"/>
      <c r="AE623" s="3"/>
      <c r="AF623" s="3"/>
      <c r="AG623" s="3"/>
      <c r="AH623" s="39"/>
      <c r="AI623" s="39"/>
      <c r="AJ623" s="39"/>
      <c r="AK623" s="39"/>
      <c r="AQ623" s="139"/>
      <c r="AR623" s="139"/>
      <c r="AS623" s="139"/>
      <c r="AT623" s="139"/>
      <c r="AU623" s="139"/>
    </row>
    <row r="624" spans="2:58" ht="15" customHeight="1" thickBot="1" x14ac:dyDescent="0.45">
      <c r="B624" s="36"/>
      <c r="C624" s="943"/>
      <c r="D624" s="943"/>
      <c r="E624" s="924"/>
      <c r="F624" s="943"/>
      <c r="G624" s="924"/>
      <c r="H624" s="948"/>
      <c r="I624" s="889"/>
      <c r="J624" s="889"/>
      <c r="K624" s="889"/>
      <c r="L624" s="889"/>
      <c r="M624" s="945"/>
      <c r="N624" s="945"/>
      <c r="O624" s="945"/>
      <c r="P624" s="945"/>
      <c r="Q624" s="945"/>
      <c r="R624" s="889"/>
      <c r="S624" s="1156"/>
      <c r="T624" s="889"/>
      <c r="U624" s="948"/>
      <c r="V624" s="889"/>
      <c r="W624" s="889"/>
      <c r="X624" s="889"/>
      <c r="Y624" s="1444"/>
      <c r="Z624" s="889"/>
      <c r="AA624" s="948"/>
      <c r="AB624" s="889"/>
      <c r="AC624" s="889"/>
      <c r="AD624" s="945"/>
      <c r="AE624" s="945"/>
      <c r="AF624" s="945"/>
      <c r="AG624" s="945"/>
      <c r="AH624" s="937"/>
      <c r="AI624" s="947"/>
      <c r="AJ624" s="947"/>
      <c r="AK624" s="947"/>
      <c r="AL624" s="947"/>
      <c r="AM624" s="889"/>
      <c r="AN624" s="889"/>
      <c r="AO624" s="889"/>
      <c r="AP624" s="889"/>
      <c r="AQ624" s="139"/>
      <c r="AR624" s="139"/>
      <c r="AS624" s="139"/>
      <c r="AT624" s="139"/>
      <c r="AU624" s="139"/>
    </row>
    <row r="625" spans="2:47" ht="15" customHeight="1" x14ac:dyDescent="0.4">
      <c r="B625" s="3"/>
      <c r="C625" s="476" t="s">
        <v>905</v>
      </c>
      <c r="D625" s="116"/>
      <c r="E625" s="173"/>
      <c r="F625" s="116"/>
      <c r="G625" s="173"/>
      <c r="H625" s="193"/>
      <c r="I625" s="114"/>
      <c r="J625" s="116"/>
      <c r="K625" s="116"/>
      <c r="L625" s="116"/>
      <c r="M625" s="177"/>
      <c r="N625" s="177"/>
      <c r="O625" s="177"/>
      <c r="P625" s="177"/>
      <c r="Q625" s="177"/>
      <c r="R625" s="116"/>
      <c r="S625" s="198">
        <v>4</v>
      </c>
      <c r="T625" s="116" t="s">
        <v>385</v>
      </c>
      <c r="U625" s="193"/>
      <c r="V625" s="179"/>
      <c r="W625" s="116"/>
      <c r="X625" s="179"/>
      <c r="Y625" s="1449"/>
      <c r="Z625" s="116"/>
      <c r="AA625" s="193"/>
      <c r="AB625" s="3">
        <v>42</v>
      </c>
      <c r="AC625" s="56">
        <f>AC620</f>
        <v>4</v>
      </c>
      <c r="AD625" s="56">
        <f>AC625*S625</f>
        <v>16</v>
      </c>
      <c r="AE625" s="3" t="s">
        <v>385</v>
      </c>
      <c r="AF625" s="179"/>
      <c r="AG625" s="179"/>
      <c r="AH625" s="180"/>
      <c r="AI625" s="39"/>
      <c r="AJ625" s="39"/>
      <c r="AK625" s="39"/>
      <c r="AL625" s="180"/>
      <c r="AQ625" s="139"/>
      <c r="AR625" s="139"/>
      <c r="AS625" s="139"/>
      <c r="AT625" s="139"/>
      <c r="AU625" s="139"/>
    </row>
    <row r="626" spans="2:47" ht="15" customHeight="1" x14ac:dyDescent="0.4">
      <c r="B626" s="36"/>
      <c r="C626" s="7"/>
      <c r="D626" s="7"/>
      <c r="E626" s="7"/>
      <c r="F626" s="7"/>
      <c r="G626" s="7"/>
      <c r="I626" s="8"/>
      <c r="S626" s="56"/>
      <c r="V626" s="38" t="s">
        <v>369</v>
      </c>
      <c r="W626" s="3" t="s">
        <v>370</v>
      </c>
      <c r="X626" s="38" t="s">
        <v>369</v>
      </c>
      <c r="Y626" s="1443">
        <v>440029003</v>
      </c>
      <c r="Z626" s="41"/>
      <c r="AF626" s="38"/>
      <c r="AG626" s="38"/>
      <c r="AH626" s="477">
        <v>5.0000000000000001E-3</v>
      </c>
      <c r="AI626" s="39"/>
      <c r="AJ626" s="39"/>
      <c r="AK626" s="39"/>
      <c r="AL626" s="39">
        <f>AH626*AD625</f>
        <v>0.08</v>
      </c>
      <c r="AQ626" s="139"/>
      <c r="AR626" s="139"/>
      <c r="AS626" s="139"/>
      <c r="AT626" s="139"/>
      <c r="AU626" s="139"/>
    </row>
    <row r="627" spans="2:47" ht="15" customHeight="1" x14ac:dyDescent="0.4">
      <c r="B627" s="36"/>
      <c r="C627" s="7"/>
      <c r="D627" s="7"/>
      <c r="E627" s="7"/>
      <c r="F627" s="7"/>
      <c r="G627" s="7"/>
      <c r="I627" s="8"/>
      <c r="S627" s="56"/>
      <c r="V627" s="38" t="s">
        <v>369</v>
      </c>
      <c r="W627" s="3" t="s">
        <v>372</v>
      </c>
      <c r="X627" s="38" t="s">
        <v>369</v>
      </c>
      <c r="Y627" s="1443">
        <v>440029021</v>
      </c>
      <c r="Z627" s="41"/>
      <c r="AD627" s="56"/>
      <c r="AE627" s="3"/>
      <c r="AF627" s="38"/>
      <c r="AG627" s="38"/>
      <c r="AH627" s="477">
        <v>5.0000000000000001E-3</v>
      </c>
      <c r="AI627" s="39"/>
      <c r="AJ627" s="39"/>
      <c r="AK627" s="39"/>
      <c r="AL627" s="39">
        <f>AH627*AD625</f>
        <v>0.08</v>
      </c>
      <c r="AQ627" s="139"/>
      <c r="AR627" s="139"/>
      <c r="AS627" s="139"/>
      <c r="AT627" s="139"/>
      <c r="AU627" s="139"/>
    </row>
    <row r="628" spans="2:47" ht="15" customHeight="1" x14ac:dyDescent="0.4">
      <c r="B628" s="36"/>
      <c r="C628" s="7"/>
      <c r="D628" s="7"/>
      <c r="E628" s="7"/>
      <c r="F628" s="7"/>
      <c r="G628" s="7"/>
      <c r="I628" s="8"/>
      <c r="S628" s="56"/>
      <c r="V628" s="38" t="s">
        <v>369</v>
      </c>
      <c r="W628" s="3" t="s">
        <v>373</v>
      </c>
      <c r="X628" s="38" t="s">
        <v>369</v>
      </c>
      <c r="Y628" s="1443">
        <v>440029033</v>
      </c>
      <c r="Z628" s="41"/>
      <c r="AD628" s="56"/>
      <c r="AE628" s="3"/>
      <c r="AF628" s="38"/>
      <c r="AG628" s="38"/>
      <c r="AH628" s="477">
        <v>5.0000000000000001E-3</v>
      </c>
      <c r="AI628" s="39"/>
      <c r="AJ628" s="39"/>
      <c r="AK628" s="39"/>
      <c r="AL628" s="39">
        <f>AH628*AD625</f>
        <v>0.08</v>
      </c>
      <c r="AQ628" s="139"/>
      <c r="AR628" s="139"/>
      <c r="AS628" s="139"/>
      <c r="AT628" s="139"/>
      <c r="AU628" s="139"/>
    </row>
    <row r="629" spans="2:47" ht="15" customHeight="1" thickBot="1" x14ac:dyDescent="0.45">
      <c r="B629" s="36"/>
      <c r="C629" s="924"/>
      <c r="D629" s="924"/>
      <c r="E629" s="924"/>
      <c r="F629" s="924"/>
      <c r="G629" s="924"/>
      <c r="H629" s="948"/>
      <c r="I629" s="949"/>
      <c r="J629" s="889"/>
      <c r="K629" s="889"/>
      <c r="L629" s="889"/>
      <c r="M629" s="945"/>
      <c r="N629" s="945"/>
      <c r="O629" s="945"/>
      <c r="P629" s="945"/>
      <c r="Q629" s="945"/>
      <c r="R629" s="889"/>
      <c r="S629" s="1156"/>
      <c r="T629" s="889"/>
      <c r="U629" s="948"/>
      <c r="V629" s="888" t="s">
        <v>369</v>
      </c>
      <c r="W629" s="889" t="s">
        <v>375</v>
      </c>
      <c r="X629" s="888" t="s">
        <v>369</v>
      </c>
      <c r="Y629" s="1444">
        <v>440029133</v>
      </c>
      <c r="Z629" s="946"/>
      <c r="AA629" s="948"/>
      <c r="AB629" s="889"/>
      <c r="AC629" s="889"/>
      <c r="AD629" s="1156"/>
      <c r="AE629" s="889"/>
      <c r="AF629" s="888"/>
      <c r="AG629" s="888"/>
      <c r="AH629" s="1157"/>
      <c r="AI629" s="947"/>
      <c r="AJ629" s="947"/>
      <c r="AK629" s="947"/>
      <c r="AL629" s="947"/>
      <c r="AM629" s="889"/>
      <c r="AN629" s="889"/>
      <c r="AO629" s="889"/>
      <c r="AP629" s="889"/>
      <c r="AQ629" s="139"/>
      <c r="AR629" s="139"/>
      <c r="AS629" s="139"/>
      <c r="AT629" s="139"/>
      <c r="AU629" s="139"/>
    </row>
    <row r="630" spans="2:47" ht="15" customHeight="1" x14ac:dyDescent="0.4">
      <c r="B630" s="3"/>
      <c r="C630" s="7" t="s">
        <v>1285</v>
      </c>
      <c r="E630" s="7"/>
      <c r="G630" s="7"/>
      <c r="I630" s="500" t="s">
        <v>461</v>
      </c>
      <c r="K630" s="3" t="s">
        <v>365</v>
      </c>
      <c r="L630" s="3" t="s">
        <v>465</v>
      </c>
      <c r="M630" s="24">
        <f>M605</f>
        <v>25</v>
      </c>
      <c r="R630" s="3" t="s">
        <v>352</v>
      </c>
      <c r="S630" s="56">
        <v>1</v>
      </c>
      <c r="T630" s="3" t="s">
        <v>385</v>
      </c>
      <c r="V630" s="4"/>
      <c r="W630" s="4"/>
      <c r="X630" s="4"/>
      <c r="Y630" s="1443"/>
      <c r="AB630" s="3">
        <v>42</v>
      </c>
      <c r="AC630" s="56">
        <f>AC620</f>
        <v>4</v>
      </c>
      <c r="AD630" s="3">
        <f>AC630*S630</f>
        <v>4</v>
      </c>
      <c r="AE630" s="3" t="s">
        <v>385</v>
      </c>
      <c r="AF630" s="38" t="s">
        <v>8</v>
      </c>
      <c r="AG630" s="38" t="s">
        <v>8</v>
      </c>
      <c r="AH630" s="39"/>
      <c r="AI630" s="39"/>
      <c r="AJ630" s="39"/>
      <c r="AK630" s="39"/>
      <c r="AQ630" s="139"/>
      <c r="AR630" s="139"/>
      <c r="AS630" s="139"/>
      <c r="AT630" s="139"/>
    </row>
    <row r="631" spans="2:47" ht="15" customHeight="1" x14ac:dyDescent="0.4">
      <c r="B631" s="7"/>
      <c r="C631" s="4"/>
      <c r="E631" s="7"/>
      <c r="G631" s="7"/>
      <c r="I631" s="36" t="s">
        <v>464</v>
      </c>
      <c r="J631" s="38"/>
      <c r="K631" s="3" t="s">
        <v>365</v>
      </c>
      <c r="L631" s="3" t="s">
        <v>463</v>
      </c>
      <c r="M631" s="5">
        <f>M630</f>
        <v>25</v>
      </c>
      <c r="R631" s="3" t="s">
        <v>352</v>
      </c>
      <c r="S631" s="56">
        <v>2</v>
      </c>
      <c r="T631" s="3" t="s">
        <v>385</v>
      </c>
      <c r="V631" s="38" t="s">
        <v>369</v>
      </c>
      <c r="W631" s="3" t="s">
        <v>370</v>
      </c>
      <c r="X631" s="38" t="s">
        <v>369</v>
      </c>
      <c r="Y631" s="1443">
        <v>420145003</v>
      </c>
      <c r="Z631" s="41"/>
      <c r="AE631" s="3"/>
      <c r="AF631" s="3"/>
      <c r="AG631" s="3"/>
      <c r="AH631" s="39">
        <v>0</v>
      </c>
      <c r="AI631" s="39"/>
      <c r="AJ631" s="39"/>
      <c r="AK631" s="39"/>
      <c r="AL631" s="39">
        <f>AH631*AD630</f>
        <v>0</v>
      </c>
      <c r="AQ631" s="139"/>
      <c r="AR631" s="139"/>
      <c r="AS631" s="139"/>
      <c r="AT631" s="139"/>
    </row>
    <row r="632" spans="2:47" ht="15" customHeight="1" x14ac:dyDescent="0.4">
      <c r="B632" s="36"/>
      <c r="C632" s="36"/>
      <c r="D632" s="36"/>
      <c r="E632" s="7"/>
      <c r="F632" s="36"/>
      <c r="G632" s="7"/>
      <c r="V632" s="38" t="s">
        <v>369</v>
      </c>
      <c r="W632" s="3" t="s">
        <v>372</v>
      </c>
      <c r="X632" s="38" t="s">
        <v>369</v>
      </c>
      <c r="Y632" s="1443">
        <v>420145021</v>
      </c>
      <c r="Z632" s="41"/>
      <c r="AE632" s="3"/>
      <c r="AF632" s="3"/>
      <c r="AG632" s="3"/>
      <c r="AH632" s="39">
        <v>0</v>
      </c>
      <c r="AI632" s="39"/>
      <c r="AJ632" s="39"/>
      <c r="AK632" s="39"/>
      <c r="AL632" s="39">
        <f>AH632*AD630</f>
        <v>0</v>
      </c>
      <c r="AQ632" s="139"/>
      <c r="AR632" s="139"/>
      <c r="AS632" s="139"/>
      <c r="AT632" s="139"/>
    </row>
    <row r="633" spans="2:47" ht="15" customHeight="1" x14ac:dyDescent="0.4">
      <c r="B633" s="36"/>
      <c r="C633" s="36"/>
      <c r="D633" s="36"/>
      <c r="E633" s="7"/>
      <c r="F633" s="36"/>
      <c r="G633" s="7"/>
      <c r="J633" s="38"/>
      <c r="S633" s="56"/>
      <c r="V633" s="38" t="s">
        <v>369</v>
      </c>
      <c r="W633" s="3" t="s">
        <v>373</v>
      </c>
      <c r="X633" s="38" t="s">
        <v>369</v>
      </c>
      <c r="Y633" s="1443">
        <v>420145033</v>
      </c>
      <c r="Z633" s="41"/>
      <c r="AE633" s="3"/>
      <c r="AF633" s="3"/>
      <c r="AG633" s="3"/>
      <c r="AH633" s="39">
        <v>0</v>
      </c>
      <c r="AI633" s="39"/>
      <c r="AJ633" s="39"/>
      <c r="AK633" s="39"/>
      <c r="AL633" s="39">
        <f>AH633*AD630</f>
        <v>0</v>
      </c>
      <c r="AQ633" s="139"/>
      <c r="AR633" s="139"/>
      <c r="AS633" s="139"/>
      <c r="AT633" s="139"/>
    </row>
    <row r="634" spans="2:47" ht="15" customHeight="1" thickBot="1" x14ac:dyDescent="0.45">
      <c r="B634" s="36"/>
      <c r="C634" s="36"/>
      <c r="D634" s="36"/>
      <c r="E634" s="7"/>
      <c r="F634" s="36"/>
      <c r="G634" s="7"/>
      <c r="J634" s="38"/>
      <c r="R634" s="889"/>
      <c r="S634" s="1156"/>
      <c r="T634" s="889"/>
      <c r="V634" s="888" t="s">
        <v>369</v>
      </c>
      <c r="W634" s="889" t="s">
        <v>375</v>
      </c>
      <c r="X634" s="888" t="s">
        <v>369</v>
      </c>
      <c r="Y634" s="1443">
        <v>420145133</v>
      </c>
      <c r="Z634" s="41"/>
      <c r="AE634" s="3"/>
      <c r="AF634" s="3"/>
      <c r="AG634" s="3"/>
      <c r="AH634" s="39"/>
      <c r="AI634" s="947"/>
      <c r="AJ634" s="947"/>
      <c r="AK634" s="947"/>
      <c r="AM634" s="889"/>
      <c r="AN634" s="889"/>
      <c r="AO634" s="889"/>
      <c r="AP634" s="889"/>
      <c r="AQ634" s="139"/>
      <c r="AR634" s="139"/>
      <c r="AS634" s="139"/>
      <c r="AT634" s="139"/>
    </row>
    <row r="635" spans="2:47" ht="15" customHeight="1" x14ac:dyDescent="0.4">
      <c r="B635" s="36"/>
      <c r="C635" s="173" t="s">
        <v>1286</v>
      </c>
      <c r="D635" s="138"/>
      <c r="E635" s="173"/>
      <c r="F635" s="138"/>
      <c r="G635" s="173"/>
      <c r="H635" s="193"/>
      <c r="I635" s="448" t="s">
        <v>461</v>
      </c>
      <c r="J635" s="116"/>
      <c r="K635" s="116" t="s">
        <v>365</v>
      </c>
      <c r="L635" s="116" t="s">
        <v>465</v>
      </c>
      <c r="M635" s="178">
        <f>M605</f>
        <v>25</v>
      </c>
      <c r="N635" s="177"/>
      <c r="O635" s="177"/>
      <c r="P635" s="177"/>
      <c r="Q635" s="177"/>
      <c r="R635" s="3" t="s">
        <v>352</v>
      </c>
      <c r="S635" s="56">
        <v>1</v>
      </c>
      <c r="T635" s="3" t="s">
        <v>385</v>
      </c>
      <c r="U635" s="193"/>
      <c r="V635" s="138"/>
      <c r="W635" s="138"/>
      <c r="X635" s="138"/>
      <c r="Y635" s="1449"/>
      <c r="Z635" s="116"/>
      <c r="AA635" s="193"/>
      <c r="AB635" s="116">
        <v>42</v>
      </c>
      <c r="AC635" s="198">
        <f>AC620</f>
        <v>4</v>
      </c>
      <c r="AD635" s="116">
        <f>AC635*S635</f>
        <v>4</v>
      </c>
      <c r="AE635" s="116" t="s">
        <v>385</v>
      </c>
      <c r="AF635" s="179" t="s">
        <v>8</v>
      </c>
      <c r="AG635" s="179" t="s">
        <v>8</v>
      </c>
      <c r="AH635" s="180"/>
      <c r="AI635" s="180"/>
      <c r="AJ635" s="180"/>
      <c r="AK635" s="180"/>
      <c r="AL635" s="180"/>
      <c r="AQ635" s="139"/>
      <c r="AR635" s="139"/>
      <c r="AS635" s="139"/>
      <c r="AT635" s="139"/>
    </row>
    <row r="636" spans="2:47" ht="15" customHeight="1" x14ac:dyDescent="0.4">
      <c r="B636" s="36"/>
      <c r="D636" s="36"/>
      <c r="E636" s="7"/>
      <c r="F636" s="36"/>
      <c r="G636" s="7"/>
      <c r="I636" s="36" t="s">
        <v>464</v>
      </c>
      <c r="J636" s="38"/>
      <c r="K636" s="3" t="s">
        <v>365</v>
      </c>
      <c r="L636" s="3" t="s">
        <v>463</v>
      </c>
      <c r="M636" s="5">
        <f>M635</f>
        <v>25</v>
      </c>
      <c r="R636" s="3" t="s">
        <v>352</v>
      </c>
      <c r="S636" s="56">
        <v>2</v>
      </c>
      <c r="T636" s="3" t="s">
        <v>385</v>
      </c>
      <c r="V636" s="38" t="s">
        <v>369</v>
      </c>
      <c r="W636" s="3" t="s">
        <v>370</v>
      </c>
      <c r="X636" s="38" t="s">
        <v>369</v>
      </c>
      <c r="Y636" s="1443">
        <v>420146003</v>
      </c>
      <c r="Z636" s="41"/>
      <c r="AE636" s="3"/>
      <c r="AF636" s="3"/>
      <c r="AG636" s="3"/>
      <c r="AH636" s="39">
        <v>0</v>
      </c>
      <c r="AI636" s="39"/>
      <c r="AJ636" s="39"/>
      <c r="AK636" s="39"/>
      <c r="AL636" s="39">
        <f>AH636*AD635</f>
        <v>0</v>
      </c>
      <c r="AQ636" s="139"/>
      <c r="AR636" s="139"/>
      <c r="AS636" s="139"/>
      <c r="AT636" s="139"/>
    </row>
    <row r="637" spans="2:47" ht="15" customHeight="1" x14ac:dyDescent="0.4">
      <c r="B637" s="36"/>
      <c r="C637" s="36"/>
      <c r="D637" s="36"/>
      <c r="E637" s="7"/>
      <c r="F637" s="36"/>
      <c r="G637" s="7"/>
      <c r="V637" s="38" t="s">
        <v>369</v>
      </c>
      <c r="W637" s="3" t="s">
        <v>372</v>
      </c>
      <c r="X637" s="38" t="s">
        <v>369</v>
      </c>
      <c r="Y637" s="1443">
        <v>420146021</v>
      </c>
      <c r="Z637" s="41"/>
      <c r="AE637" s="3"/>
      <c r="AF637" s="3"/>
      <c r="AG637" s="3"/>
      <c r="AH637" s="39">
        <v>0</v>
      </c>
      <c r="AI637" s="39"/>
      <c r="AJ637" s="39"/>
      <c r="AK637" s="39"/>
      <c r="AL637" s="39">
        <f>AH637*AD635</f>
        <v>0</v>
      </c>
      <c r="AQ637" s="139"/>
      <c r="AR637" s="139"/>
      <c r="AS637" s="139"/>
      <c r="AT637" s="139"/>
    </row>
    <row r="638" spans="2:47" ht="15" customHeight="1" x14ac:dyDescent="0.4">
      <c r="B638" s="36"/>
      <c r="C638" s="36"/>
      <c r="D638" s="36"/>
      <c r="E638" s="7"/>
      <c r="F638" s="36"/>
      <c r="G638" s="7"/>
      <c r="J638" s="38"/>
      <c r="S638" s="56"/>
      <c r="V638" s="38" t="s">
        <v>369</v>
      </c>
      <c r="W638" s="3" t="s">
        <v>373</v>
      </c>
      <c r="X638" s="38" t="s">
        <v>369</v>
      </c>
      <c r="Y638" s="1443">
        <v>420146033</v>
      </c>
      <c r="Z638" s="41"/>
      <c r="AE638" s="3"/>
      <c r="AF638" s="3"/>
      <c r="AG638" s="3"/>
      <c r="AH638" s="39">
        <v>0</v>
      </c>
      <c r="AI638" s="39"/>
      <c r="AJ638" s="39"/>
      <c r="AK638" s="39"/>
      <c r="AL638" s="39">
        <f>AH638*AD635</f>
        <v>0</v>
      </c>
      <c r="AQ638" s="139"/>
      <c r="AR638" s="139"/>
      <c r="AS638" s="139"/>
      <c r="AT638" s="139"/>
    </row>
    <row r="639" spans="2:47" ht="15" customHeight="1" thickBot="1" x14ac:dyDescent="0.45">
      <c r="B639" s="36"/>
      <c r="C639" s="36"/>
      <c r="D639" s="36"/>
      <c r="E639" s="7"/>
      <c r="F639" s="36"/>
      <c r="G639" s="7"/>
      <c r="J639" s="38"/>
      <c r="S639" s="56"/>
      <c r="U639" s="948"/>
      <c r="V639" s="888" t="s">
        <v>369</v>
      </c>
      <c r="W639" s="889" t="s">
        <v>375</v>
      </c>
      <c r="X639" s="888" t="s">
        <v>369</v>
      </c>
      <c r="Y639" s="1444">
        <v>420146133</v>
      </c>
      <c r="Z639" s="946"/>
      <c r="AA639" s="948"/>
      <c r="AB639" s="889"/>
      <c r="AC639" s="889"/>
      <c r="AD639" s="945"/>
      <c r="AE639" s="889"/>
      <c r="AF639" s="889"/>
      <c r="AG639" s="889"/>
      <c r="AH639" s="947"/>
      <c r="AI639" s="947"/>
      <c r="AJ639" s="947"/>
      <c r="AK639" s="947"/>
      <c r="AL639" s="947"/>
      <c r="AM639" s="889"/>
      <c r="AN639" s="889"/>
      <c r="AO639" s="889"/>
      <c r="AP639" s="889"/>
      <c r="AQ639" s="139"/>
      <c r="AR639" s="139"/>
      <c r="AS639" s="139"/>
      <c r="AT639" s="139"/>
    </row>
    <row r="640" spans="2:47" ht="15" customHeight="1" x14ac:dyDescent="0.4">
      <c r="B640" s="476" t="s">
        <v>1424</v>
      </c>
      <c r="C640" s="476"/>
      <c r="D640" s="116"/>
      <c r="E640" s="173"/>
      <c r="F640" s="116"/>
      <c r="G640" s="173"/>
      <c r="H640" s="193"/>
      <c r="I640" s="114"/>
      <c r="J640" s="116"/>
      <c r="K640" s="116"/>
      <c r="L640" s="116"/>
      <c r="M640" s="177"/>
      <c r="N640" s="177"/>
      <c r="O640" s="177"/>
      <c r="P640" s="177"/>
      <c r="Q640" s="177"/>
      <c r="R640" s="116"/>
      <c r="S640" s="198">
        <v>1</v>
      </c>
      <c r="T640" s="116" t="s">
        <v>385</v>
      </c>
      <c r="U640" s="193"/>
      <c r="V640" s="179"/>
      <c r="W640" s="116"/>
      <c r="X640" s="179"/>
      <c r="Y640" s="1454">
        <v>420050000001</v>
      </c>
      <c r="Z640" s="184"/>
      <c r="AA640" s="193"/>
      <c r="AB640" s="116">
        <v>45</v>
      </c>
      <c r="AC640" s="116">
        <v>4</v>
      </c>
      <c r="AD640" s="198">
        <f>AC640*S640</f>
        <v>4</v>
      </c>
      <c r="AE640" s="116" t="s">
        <v>385</v>
      </c>
      <c r="AF640" s="179"/>
      <c r="AG640" s="179"/>
      <c r="AH640" s="481">
        <v>5.0000000000000001E-3</v>
      </c>
      <c r="AI640" s="180"/>
      <c r="AJ640" s="180"/>
      <c r="AK640" s="180"/>
      <c r="AL640" s="180">
        <f>AH640*AD640</f>
        <v>0.02</v>
      </c>
      <c r="AQ640" s="139"/>
      <c r="AR640" s="139"/>
      <c r="AS640" s="139"/>
      <c r="AT640" s="139"/>
    </row>
    <row r="641" spans="1:47" ht="15" customHeight="1" x14ac:dyDescent="0.4">
      <c r="B641" s="36"/>
      <c r="C641" s="509"/>
      <c r="D641" s="3"/>
      <c r="E641" s="7"/>
      <c r="F641" s="3"/>
      <c r="G641" s="7"/>
      <c r="I641" s="8"/>
      <c r="S641" s="56"/>
      <c r="V641" s="38"/>
      <c r="X641" s="38"/>
      <c r="Y641" s="1443"/>
      <c r="Z641" s="41"/>
      <c r="AD641" s="56"/>
      <c r="AE641" s="3"/>
      <c r="AF641" s="38"/>
      <c r="AG641" s="38"/>
      <c r="AH641" s="477"/>
      <c r="AI641" s="39"/>
      <c r="AJ641" s="39"/>
      <c r="AK641" s="39"/>
      <c r="AQ641" s="139"/>
      <c r="AR641" s="139"/>
      <c r="AS641" s="139"/>
      <c r="AT641" s="139"/>
    </row>
    <row r="642" spans="1:47" ht="15" customHeight="1" x14ac:dyDescent="0.4">
      <c r="B642" s="36"/>
      <c r="C642" s="509"/>
      <c r="D642" s="3"/>
      <c r="E642" s="7"/>
      <c r="F642" s="3"/>
      <c r="G642" s="7"/>
      <c r="I642" s="8"/>
      <c r="S642" s="56"/>
      <c r="V642" s="38"/>
      <c r="X642" s="38"/>
      <c r="Y642" s="1443"/>
      <c r="Z642" s="41"/>
      <c r="AD642" s="56"/>
      <c r="AE642" s="3"/>
      <c r="AF642" s="38"/>
      <c r="AG642" s="38"/>
      <c r="AH642" s="477"/>
      <c r="AI642" s="39"/>
      <c r="AJ642" s="39"/>
      <c r="AK642" s="39"/>
      <c r="AQ642" s="139"/>
      <c r="AR642" s="139"/>
      <c r="AS642" s="139"/>
      <c r="AT642" s="139"/>
    </row>
    <row r="643" spans="1:47" ht="15" customHeight="1" thickBot="1" x14ac:dyDescent="0.45">
      <c r="B643" s="943"/>
      <c r="C643" s="1191"/>
      <c r="D643" s="889"/>
      <c r="E643" s="924"/>
      <c r="F643" s="889"/>
      <c r="G643" s="924"/>
      <c r="H643" s="948"/>
      <c r="I643" s="949"/>
      <c r="J643" s="889"/>
      <c r="K643" s="889"/>
      <c r="L643" s="889"/>
      <c r="M643" s="945"/>
      <c r="N643" s="945"/>
      <c r="O643" s="945"/>
      <c r="P643" s="945"/>
      <c r="Q643" s="945"/>
      <c r="R643" s="889"/>
      <c r="S643" s="1156"/>
      <c r="T643" s="889"/>
      <c r="U643" s="948"/>
      <c r="V643" s="888"/>
      <c r="W643" s="889"/>
      <c r="X643" s="888"/>
      <c r="Y643" s="1444"/>
      <c r="Z643" s="946"/>
      <c r="AA643" s="948"/>
      <c r="AB643" s="889"/>
      <c r="AC643" s="889"/>
      <c r="AD643" s="1156"/>
      <c r="AE643" s="889"/>
      <c r="AF643" s="888"/>
      <c r="AG643" s="888"/>
      <c r="AH643" s="1157"/>
      <c r="AI643" s="947"/>
      <c r="AJ643" s="947"/>
      <c r="AK643" s="947"/>
      <c r="AL643" s="947"/>
      <c r="AM643" s="889"/>
      <c r="AN643" s="889"/>
      <c r="AO643" s="889"/>
      <c r="AP643" s="889"/>
      <c r="AQ643" s="139"/>
      <c r="AR643" s="139"/>
      <c r="AS643" s="139"/>
      <c r="AT643" s="139"/>
    </row>
    <row r="644" spans="1:47" ht="15" customHeight="1" x14ac:dyDescent="0.4">
      <c r="B644" s="156" t="s">
        <v>1355</v>
      </c>
      <c r="C644" s="37"/>
      <c r="D644" s="37"/>
      <c r="E644" s="37"/>
      <c r="F644" s="37"/>
      <c r="G644" s="37"/>
      <c r="H644" s="157"/>
      <c r="I644" s="157"/>
      <c r="J644" s="157"/>
      <c r="K644" s="157"/>
      <c r="L644" s="157"/>
      <c r="M644" s="158"/>
      <c r="N644" s="158"/>
      <c r="O644" s="158"/>
      <c r="P644" s="158"/>
      <c r="Q644" s="158"/>
      <c r="R644" s="157"/>
      <c r="S644" s="158"/>
      <c r="T644" s="157"/>
      <c r="U644" s="157"/>
      <c r="V644" s="37"/>
      <c r="W644" s="37"/>
      <c r="X644" s="37"/>
      <c r="Y644" s="1619"/>
      <c r="Z644" s="59"/>
      <c r="AA644" s="157"/>
      <c r="AB644" s="59"/>
      <c r="AC644" s="157"/>
      <c r="AD644" s="158"/>
      <c r="AE644" s="157"/>
      <c r="AF644" s="157"/>
      <c r="AG644" s="157"/>
      <c r="AH644" s="159"/>
      <c r="AI644" s="159"/>
      <c r="AJ644" s="159"/>
      <c r="AK644" s="159"/>
      <c r="AL644" s="159"/>
      <c r="AM644" s="159"/>
      <c r="AN644" s="159"/>
      <c r="AO644" s="159"/>
      <c r="AP644" s="159"/>
      <c r="AQ644" s="139"/>
      <c r="AR644" s="139"/>
      <c r="AS644" s="139"/>
      <c r="AT644" s="139"/>
      <c r="AU644" s="139"/>
    </row>
    <row r="645" spans="1:47" ht="15" customHeight="1" x14ac:dyDescent="0.4">
      <c r="A645" s="3" t="s">
        <v>809</v>
      </c>
      <c r="B645" s="4" t="s">
        <v>2060</v>
      </c>
      <c r="D645" s="8"/>
      <c r="E645" s="8"/>
      <c r="F645" s="8"/>
      <c r="G645" s="3"/>
      <c r="H645" s="370"/>
      <c r="I645" s="47" t="s">
        <v>910</v>
      </c>
      <c r="L645" s="5"/>
      <c r="Q645" s="3"/>
      <c r="R645" s="5"/>
      <c r="S645" s="5">
        <f>((SLQHQSGW*2)+(SLQHQSGH*2))/12/1010</f>
        <v>9.240924092409241E-3</v>
      </c>
      <c r="T645" s="3" t="s">
        <v>815</v>
      </c>
      <c r="V645" s="38" t="s">
        <v>8</v>
      </c>
      <c r="W645" s="3" t="s">
        <v>422</v>
      </c>
      <c r="X645" s="38" t="s">
        <v>8</v>
      </c>
      <c r="Y645" s="1443">
        <v>610023014</v>
      </c>
      <c r="Z645" s="56">
        <v>39844</v>
      </c>
      <c r="AB645" s="3">
        <v>45</v>
      </c>
      <c r="AC645" s="5"/>
      <c r="AD645" s="5">
        <f>S645</f>
        <v>9.240924092409241E-3</v>
      </c>
      <c r="AE645" s="3" t="s">
        <v>815</v>
      </c>
      <c r="AF645" s="38" t="s">
        <v>8</v>
      </c>
      <c r="AG645" s="38" t="s">
        <v>8</v>
      </c>
      <c r="AH645" s="492">
        <f>'Single Hung'!AI1046</f>
        <v>0</v>
      </c>
      <c r="AI645" s="477"/>
      <c r="AJ645" s="477"/>
      <c r="AK645" s="477"/>
      <c r="AL645" s="1146">
        <f>AH645*AD645</f>
        <v>0</v>
      </c>
      <c r="AQ645" s="139"/>
      <c r="AR645" s="139"/>
      <c r="AS645" s="139"/>
      <c r="AT645" s="139"/>
      <c r="AU645" s="139"/>
    </row>
    <row r="646" spans="1:47" ht="15" customHeight="1" x14ac:dyDescent="0.4">
      <c r="B646" s="573" t="s">
        <v>1255</v>
      </c>
      <c r="C646" s="694"/>
      <c r="D646" s="694"/>
      <c r="E646" s="694"/>
      <c r="F646" s="694"/>
      <c r="G646" s="577"/>
      <c r="H646" s="695"/>
      <c r="I646" s="577"/>
      <c r="J646" s="577"/>
      <c r="K646" s="577"/>
      <c r="L646" s="575"/>
      <c r="M646" s="575"/>
      <c r="N646" s="575"/>
      <c r="O646" s="575"/>
      <c r="P646" s="575"/>
      <c r="Q646" s="577"/>
      <c r="R646" s="575"/>
      <c r="S646" s="575">
        <v>1</v>
      </c>
      <c r="T646" s="577" t="s">
        <v>811</v>
      </c>
      <c r="U646" s="574"/>
      <c r="V646" s="573"/>
      <c r="W646" s="573"/>
      <c r="X646" s="576"/>
      <c r="Y646" s="1460">
        <v>610023014001</v>
      </c>
      <c r="Z646" s="577">
        <v>30359</v>
      </c>
      <c r="AA646" s="574"/>
      <c r="AB646" s="577">
        <v>45</v>
      </c>
      <c r="AC646" s="575"/>
      <c r="AD646" s="577">
        <v>1</v>
      </c>
      <c r="AE646" s="577" t="s">
        <v>811</v>
      </c>
      <c r="AF646" s="579" t="s">
        <v>8</v>
      </c>
      <c r="AG646" s="579" t="s">
        <v>8</v>
      </c>
      <c r="AH646" s="673">
        <f>'Single Hung'!AI1047</f>
        <v>0.13550000000000001</v>
      </c>
      <c r="AI646" s="580"/>
      <c r="AJ646" s="580"/>
      <c r="AK646" s="580"/>
      <c r="AL646" s="581">
        <f>AH646*AD646</f>
        <v>0.13550000000000001</v>
      </c>
      <c r="AM646" s="577"/>
      <c r="AN646" s="577"/>
      <c r="AO646" s="577"/>
      <c r="AP646" s="577"/>
      <c r="AQ646" s="139"/>
      <c r="AR646" s="139"/>
      <c r="AS646" s="139"/>
      <c r="AT646" s="139"/>
      <c r="AU646" s="139"/>
    </row>
    <row r="647" spans="1:47" ht="15" customHeight="1" x14ac:dyDescent="0.4">
      <c r="B647" s="4" t="str">
        <f>B432</f>
        <v>Impact Hotmelt glaze, golden (Henkel Purfect Glaze 1219461, 5 gal pail)</v>
      </c>
      <c r="D647" s="36"/>
      <c r="E647" s="36"/>
      <c r="F647" s="36"/>
      <c r="G647" s="500"/>
      <c r="H647" s="370"/>
      <c r="I647" s="47" t="s">
        <v>814</v>
      </c>
      <c r="L647" s="5"/>
      <c r="Q647" s="3"/>
      <c r="R647" s="5"/>
      <c r="S647" s="5">
        <f>((SLQHQSGW*2)+(SLQHQSGH*2))/12/392</f>
        <v>2.3809523809523812E-2</v>
      </c>
      <c r="T647" s="3" t="s">
        <v>815</v>
      </c>
      <c r="V647" s="38" t="s">
        <v>8</v>
      </c>
      <c r="W647" s="3" t="s">
        <v>422</v>
      </c>
      <c r="X647" s="38" t="s">
        <v>8</v>
      </c>
      <c r="Y647" s="1443">
        <f>Y432</f>
        <v>610027000</v>
      </c>
      <c r="Z647" s="56">
        <f>Z432</f>
        <v>251924</v>
      </c>
      <c r="AB647" s="3">
        <v>45</v>
      </c>
      <c r="AC647" s="5"/>
      <c r="AD647" s="5">
        <f>S647</f>
        <v>2.3809523809523812E-2</v>
      </c>
      <c r="AE647" s="3" t="s">
        <v>815</v>
      </c>
      <c r="AF647" s="38" t="s">
        <v>8</v>
      </c>
      <c r="AG647" s="38" t="s">
        <v>8</v>
      </c>
      <c r="AH647" s="492">
        <f>'Single Hung'!AI1048</f>
        <v>0</v>
      </c>
      <c r="AI647" s="477"/>
      <c r="AJ647" s="477"/>
      <c r="AK647" s="477"/>
      <c r="AQ647" s="139"/>
      <c r="AR647" s="139"/>
      <c r="AS647" s="139"/>
      <c r="AT647" s="139"/>
      <c r="AU647" s="139"/>
    </row>
    <row r="648" spans="1:47" ht="15" customHeight="1" x14ac:dyDescent="0.4">
      <c r="B648" s="4" t="str">
        <f>B433</f>
        <v>Impact Hotmelt glaze, golden (Henkel Purfect Glaze 1219461, 55 gal drum)</v>
      </c>
      <c r="D648" s="36"/>
      <c r="E648" s="36"/>
      <c r="F648" s="36"/>
      <c r="G648" s="500"/>
      <c r="H648" s="370"/>
      <c r="I648" s="47"/>
      <c r="L648" s="5"/>
      <c r="Q648" s="3"/>
      <c r="R648" s="5"/>
      <c r="V648" s="38"/>
      <c r="X648" s="38"/>
      <c r="Y648" s="1454">
        <f>Y433</f>
        <v>610027000002</v>
      </c>
      <c r="Z648" s="56">
        <f>Z433</f>
        <v>251931</v>
      </c>
      <c r="AC648" s="5"/>
      <c r="AE648" s="3"/>
      <c r="AF648" s="38"/>
      <c r="AG648" s="38"/>
      <c r="AH648" s="492"/>
      <c r="AI648" s="477"/>
      <c r="AJ648" s="477"/>
      <c r="AK648" s="477"/>
      <c r="AQ648" s="139"/>
      <c r="AR648" s="139"/>
      <c r="AS648" s="139"/>
      <c r="AT648" s="139"/>
      <c r="AU648" s="139"/>
    </row>
    <row r="649" spans="1:47" ht="15" customHeight="1" x14ac:dyDescent="0.4">
      <c r="B649" s="4" t="str">
        <f>B434</f>
        <v>Impact wet glaze, gray (Dow Corning 995, 10.3 oz tube)</v>
      </c>
      <c r="D649" s="36"/>
      <c r="E649" s="36"/>
      <c r="F649" s="36"/>
      <c r="G649" s="500"/>
      <c r="H649" s="370"/>
      <c r="I649" s="47" t="s">
        <v>814</v>
      </c>
      <c r="L649" s="5"/>
      <c r="Q649" s="3"/>
      <c r="R649" s="5"/>
      <c r="S649" s="5">
        <f>((SLQHQSGW*2)+(SLQHQSGH*2))/12/392</f>
        <v>2.3809523809523812E-2</v>
      </c>
      <c r="T649" s="3" t="s">
        <v>815</v>
      </c>
      <c r="V649" s="38" t="s">
        <v>8</v>
      </c>
      <c r="W649" s="3" t="s">
        <v>817</v>
      </c>
      <c r="X649" s="38" t="s">
        <v>8</v>
      </c>
      <c r="Y649" s="1454">
        <f>Y434</f>
        <v>610007010002</v>
      </c>
      <c r="Z649" s="1454"/>
      <c r="AB649" s="3">
        <v>45</v>
      </c>
      <c r="AC649" s="5"/>
      <c r="AD649" s="5">
        <f>S649/10.3*128</f>
        <v>0.29588534442903375</v>
      </c>
      <c r="AE649" s="3" t="s">
        <v>811</v>
      </c>
      <c r="AF649" s="38" t="s">
        <v>8</v>
      </c>
      <c r="AG649" s="38" t="s">
        <v>8</v>
      </c>
      <c r="AH649" s="492">
        <f>'Single Hung'!AI1050</f>
        <v>0</v>
      </c>
      <c r="AI649" s="477"/>
      <c r="AJ649" s="477"/>
      <c r="AK649" s="477"/>
      <c r="AQ649" s="139"/>
      <c r="AR649" s="139"/>
      <c r="AS649" s="139"/>
      <c r="AT649" s="139"/>
      <c r="AU649" s="139"/>
    </row>
    <row r="650" spans="1:47" ht="15" customHeight="1" x14ac:dyDescent="0.4">
      <c r="B650" s="573" t="str">
        <f>B435</f>
        <v>Impact wet glaze, gray (Dow Corning 995, 5 gal pail)</v>
      </c>
      <c r="C650" s="694"/>
      <c r="D650" s="622"/>
      <c r="E650" s="622"/>
      <c r="F650" s="622"/>
      <c r="G650" s="223"/>
      <c r="H650" s="695"/>
      <c r="I650" s="577"/>
      <c r="J650" s="577"/>
      <c r="K650" s="577"/>
      <c r="L650" s="575"/>
      <c r="M650" s="575"/>
      <c r="N650" s="575"/>
      <c r="O650" s="575"/>
      <c r="P650" s="575"/>
      <c r="Q650" s="577"/>
      <c r="R650" s="575"/>
      <c r="S650" s="575" t="s">
        <v>1258</v>
      </c>
      <c r="T650" s="577" t="s">
        <v>815</v>
      </c>
      <c r="U650" s="574"/>
      <c r="V650" s="579" t="s">
        <v>8</v>
      </c>
      <c r="W650" s="577" t="s">
        <v>817</v>
      </c>
      <c r="X650" s="579" t="s">
        <v>8</v>
      </c>
      <c r="Y650" s="1519">
        <f>Y435</f>
        <v>610007010001</v>
      </c>
      <c r="Z650" s="1519"/>
      <c r="AA650" s="574"/>
      <c r="AB650" s="577">
        <v>45</v>
      </c>
      <c r="AC650" s="575"/>
      <c r="AD650" s="575" t="str">
        <f t="shared" ref="AD650" si="45">S650</f>
        <v>?</v>
      </c>
      <c r="AE650" s="577" t="s">
        <v>815</v>
      </c>
      <c r="AF650" s="579" t="s">
        <v>8</v>
      </c>
      <c r="AG650" s="579" t="s">
        <v>8</v>
      </c>
      <c r="AH650" s="673">
        <f>'Single Hung'!AI1051</f>
        <v>0.13109999999999999</v>
      </c>
      <c r="AI650" s="580"/>
      <c r="AJ650" s="580"/>
      <c r="AK650" s="580"/>
      <c r="AL650" s="581" t="e">
        <f t="shared" ref="AL650:AL656" si="46">AH650*AD650</f>
        <v>#VALUE!</v>
      </c>
      <c r="AM650" s="577"/>
      <c r="AN650" s="577"/>
      <c r="AO650" s="577"/>
      <c r="AP650" s="577"/>
      <c r="AQ650" s="139"/>
      <c r="AR650" s="139"/>
      <c r="AS650" s="139"/>
      <c r="AT650" s="139"/>
      <c r="AU650" s="139"/>
    </row>
    <row r="651" spans="1:47" ht="15" customHeight="1" x14ac:dyDescent="0.4">
      <c r="B651" s="4" t="s">
        <v>1415</v>
      </c>
      <c r="C651" s="3"/>
      <c r="D651" s="8"/>
      <c r="E651" s="8"/>
      <c r="F651" s="8"/>
      <c r="G651" s="3"/>
      <c r="J651" s="495"/>
      <c r="L651" s="5"/>
      <c r="Q651" s="3"/>
      <c r="R651" s="5"/>
      <c r="S651" s="5">
        <v>1</v>
      </c>
      <c r="T651" s="3" t="s">
        <v>385</v>
      </c>
      <c r="V651" s="4"/>
      <c r="W651" s="4"/>
      <c r="X651" s="56"/>
      <c r="Y651" s="1443">
        <v>620001000</v>
      </c>
      <c r="AA651" s="14">
        <v>45</v>
      </c>
      <c r="AB651" s="3">
        <v>45</v>
      </c>
      <c r="AC651" s="5"/>
      <c r="AD651" s="56">
        <v>0</v>
      </c>
      <c r="AE651" s="3" t="s">
        <v>385</v>
      </c>
      <c r="AF651" s="38" t="s">
        <v>369</v>
      </c>
      <c r="AG651" s="38" t="s">
        <v>369</v>
      </c>
      <c r="AH651" s="477">
        <v>0</v>
      </c>
      <c r="AI651" s="477"/>
      <c r="AJ651" s="477"/>
      <c r="AK651" s="477"/>
      <c r="AL651" s="39">
        <f t="shared" si="46"/>
        <v>0</v>
      </c>
      <c r="AQ651" s="139"/>
      <c r="AR651" s="139"/>
      <c r="AS651" s="139"/>
      <c r="AT651" s="139"/>
      <c r="AU651" s="139"/>
    </row>
    <row r="652" spans="1:47" ht="15" customHeight="1" x14ac:dyDescent="0.4">
      <c r="B652" s="4" t="s">
        <v>1416</v>
      </c>
      <c r="C652" s="3"/>
      <c r="D652" s="8"/>
      <c r="E652" s="3"/>
      <c r="F652" s="8"/>
      <c r="G652" s="3"/>
      <c r="L652" s="5"/>
      <c r="Q652" s="3"/>
      <c r="R652" s="5"/>
      <c r="S652" s="5">
        <v>1</v>
      </c>
      <c r="T652" s="3" t="s">
        <v>385</v>
      </c>
      <c r="V652" s="4"/>
      <c r="W652" s="4"/>
      <c r="X652" s="56"/>
      <c r="Y652" s="1443">
        <v>620007000</v>
      </c>
      <c r="AB652" s="3">
        <v>40</v>
      </c>
      <c r="AC652" s="5"/>
      <c r="AD652" s="56">
        <v>0</v>
      </c>
      <c r="AE652" s="3" t="s">
        <v>385</v>
      </c>
      <c r="AF652" s="38" t="s">
        <v>369</v>
      </c>
      <c r="AG652" s="38" t="s">
        <v>369</v>
      </c>
      <c r="AH652" s="477">
        <v>0</v>
      </c>
      <c r="AI652" s="477"/>
      <c r="AJ652" s="477"/>
      <c r="AK652" s="477"/>
      <c r="AL652" s="39">
        <f t="shared" si="46"/>
        <v>0</v>
      </c>
      <c r="AQ652" s="139"/>
      <c r="AR652" s="139"/>
      <c r="AS652" s="139"/>
      <c r="AT652" s="139"/>
      <c r="AU652" s="139"/>
    </row>
    <row r="653" spans="1:47" ht="15" customHeight="1" x14ac:dyDescent="0.4">
      <c r="B653" s="4" t="s">
        <v>823</v>
      </c>
      <c r="C653" s="3"/>
      <c r="D653" s="8"/>
      <c r="E653" s="8"/>
      <c r="F653" s="8"/>
      <c r="G653" s="3"/>
      <c r="L653" s="5"/>
      <c r="Q653" s="3"/>
      <c r="R653" s="5"/>
      <c r="S653" s="5">
        <v>1</v>
      </c>
      <c r="T653" s="3" t="s">
        <v>385</v>
      </c>
      <c r="V653" s="4"/>
      <c r="W653" s="4"/>
      <c r="X653" s="56"/>
      <c r="Y653" s="1443">
        <v>620002000</v>
      </c>
      <c r="AA653" s="14">
        <v>45</v>
      </c>
      <c r="AB653" s="3">
        <v>45</v>
      </c>
      <c r="AC653" s="5"/>
      <c r="AD653" s="56">
        <v>0</v>
      </c>
      <c r="AE653" s="3" t="s">
        <v>385</v>
      </c>
      <c r="AF653" s="38" t="s">
        <v>369</v>
      </c>
      <c r="AG653" s="38" t="s">
        <v>369</v>
      </c>
      <c r="AH653" s="477">
        <v>0</v>
      </c>
      <c r="AI653" s="477"/>
      <c r="AJ653" s="477"/>
      <c r="AK653" s="477"/>
      <c r="AL653" s="39">
        <f t="shared" si="46"/>
        <v>0</v>
      </c>
      <c r="AQ653" s="139"/>
      <c r="AR653" s="139"/>
      <c r="AS653" s="139"/>
      <c r="AT653" s="139"/>
      <c r="AU653" s="139"/>
    </row>
    <row r="654" spans="1:47" ht="15" customHeight="1" x14ac:dyDescent="0.4">
      <c r="B654" s="4" t="s">
        <v>1417</v>
      </c>
      <c r="C654" s="3"/>
      <c r="D654" s="8"/>
      <c r="E654" s="8"/>
      <c r="F654" s="8"/>
      <c r="G654" s="3"/>
      <c r="L654" s="5"/>
      <c r="Q654" s="3"/>
      <c r="R654" s="5"/>
      <c r="S654" s="5">
        <v>1</v>
      </c>
      <c r="T654" s="3" t="s">
        <v>385</v>
      </c>
      <c r="V654" s="4"/>
      <c r="W654" s="4"/>
      <c r="X654" s="56"/>
      <c r="Y654" s="1443">
        <v>620003000</v>
      </c>
      <c r="AA654" s="14">
        <v>45</v>
      </c>
      <c r="AB654" s="3">
        <v>45</v>
      </c>
      <c r="AC654" s="5"/>
      <c r="AD654" s="56">
        <v>4</v>
      </c>
      <c r="AE654" s="3" t="s">
        <v>385</v>
      </c>
      <c r="AF654" s="38" t="s">
        <v>369</v>
      </c>
      <c r="AG654" s="38" t="s">
        <v>369</v>
      </c>
      <c r="AH654" s="477">
        <v>1.2200000000000001E-2</v>
      </c>
      <c r="AI654" s="477"/>
      <c r="AJ654" s="477"/>
      <c r="AK654" s="477"/>
      <c r="AL654" s="39">
        <f t="shared" si="46"/>
        <v>4.8800000000000003E-2</v>
      </c>
      <c r="AQ654" s="139"/>
      <c r="AR654" s="139"/>
      <c r="AS654" s="139"/>
      <c r="AT654" s="139"/>
      <c r="AU654" s="139"/>
    </row>
    <row r="655" spans="1:47" ht="15" customHeight="1" x14ac:dyDescent="0.4">
      <c r="B655" s="4" t="s">
        <v>1418</v>
      </c>
      <c r="C655" s="3"/>
      <c r="D655" s="8"/>
      <c r="E655" s="3"/>
      <c r="F655" s="8"/>
      <c r="G655" s="3"/>
      <c r="L655" s="5"/>
      <c r="Q655" s="3"/>
      <c r="R655" s="5"/>
      <c r="S655" s="5">
        <v>1</v>
      </c>
      <c r="T655" s="3" t="s">
        <v>385</v>
      </c>
      <c r="V655" s="4"/>
      <c r="W655" s="4"/>
      <c r="X655" s="56"/>
      <c r="Y655" s="1443">
        <v>620008000</v>
      </c>
      <c r="AB655" s="3">
        <v>40</v>
      </c>
      <c r="AC655" s="5"/>
      <c r="AD655" s="56">
        <v>0</v>
      </c>
      <c r="AE655" s="3" t="s">
        <v>385</v>
      </c>
      <c r="AF655" s="38" t="s">
        <v>369</v>
      </c>
      <c r="AG655" s="38" t="s">
        <v>369</v>
      </c>
      <c r="AH655" s="477">
        <v>0</v>
      </c>
      <c r="AI655" s="477"/>
      <c r="AJ655" s="477"/>
      <c r="AK655" s="477"/>
      <c r="AL655" s="39">
        <f t="shared" si="46"/>
        <v>0</v>
      </c>
      <c r="AQ655" s="139"/>
      <c r="AR655" s="139"/>
      <c r="AS655" s="139"/>
      <c r="AT655" s="139"/>
      <c r="AU655" s="139"/>
    </row>
    <row r="656" spans="1:47" ht="15" customHeight="1" x14ac:dyDescent="0.4">
      <c r="B656" s="4" t="s">
        <v>1419</v>
      </c>
      <c r="C656" s="3"/>
      <c r="D656" s="8"/>
      <c r="E656" s="8"/>
      <c r="F656" s="8"/>
      <c r="G656" s="3"/>
      <c r="L656" s="5"/>
      <c r="Q656" s="3"/>
      <c r="R656" s="5"/>
      <c r="S656" s="5">
        <v>1</v>
      </c>
      <c r="T656" s="3" t="s">
        <v>385</v>
      </c>
      <c r="V656" s="4"/>
      <c r="W656" s="4"/>
      <c r="X656" s="56"/>
      <c r="Y656" s="1443">
        <v>620004000</v>
      </c>
      <c r="AA656" s="14">
        <v>45</v>
      </c>
      <c r="AB656" s="3">
        <v>45</v>
      </c>
      <c r="AC656" s="5"/>
      <c r="AD656" s="56">
        <v>4</v>
      </c>
      <c r="AE656" s="3" t="s">
        <v>385</v>
      </c>
      <c r="AF656" s="38" t="s">
        <v>369</v>
      </c>
      <c r="AG656" s="38" t="s">
        <v>369</v>
      </c>
      <c r="AH656" s="477">
        <v>1.84E-2</v>
      </c>
      <c r="AI656" s="477"/>
      <c r="AJ656" s="477"/>
      <c r="AK656" s="477"/>
      <c r="AL656" s="39">
        <f t="shared" si="46"/>
        <v>7.3599999999999999E-2</v>
      </c>
      <c r="AQ656" s="139"/>
      <c r="AR656" s="139"/>
      <c r="AS656" s="139"/>
      <c r="AT656" s="139"/>
      <c r="AU656" s="139"/>
    </row>
    <row r="657" spans="1:49" ht="15" customHeight="1" x14ac:dyDescent="0.4">
      <c r="A657" s="3" t="s">
        <v>911</v>
      </c>
      <c r="B657" s="510" t="str">
        <f>"Half Screen: "&amp;$S$658&amp;" W x "&amp;$S$659&amp;" H"</f>
        <v>Half Screen: 15.0625 W x 43 H</v>
      </c>
      <c r="C657" s="510"/>
      <c r="D657" s="510"/>
      <c r="E657" s="510"/>
      <c r="F657" s="510"/>
      <c r="G657" s="163"/>
      <c r="H657" s="511"/>
      <c r="I657" s="511"/>
      <c r="J657" s="511"/>
      <c r="K657" s="512"/>
      <c r="L657" s="512"/>
      <c r="M657" s="512"/>
      <c r="N657" s="512"/>
      <c r="O657" s="512"/>
      <c r="P657" s="512"/>
      <c r="Q657" s="512"/>
      <c r="R657" s="512"/>
      <c r="S657" s="57"/>
      <c r="T657" s="57"/>
      <c r="U657" s="57"/>
      <c r="V657" s="57"/>
      <c r="W657" s="57"/>
      <c r="X657" s="57"/>
      <c r="Y657" s="57"/>
      <c r="Z657" s="57"/>
      <c r="AA657" s="61"/>
      <c r="AB657" s="57"/>
      <c r="AC657" s="57"/>
      <c r="AD657" s="57"/>
      <c r="AE657" s="57"/>
      <c r="AF657" s="57"/>
      <c r="AG657" s="57"/>
      <c r="AH657" s="513"/>
      <c r="AI657" s="513"/>
      <c r="AJ657" s="513"/>
      <c r="AK657" s="513"/>
      <c r="AL657" s="514" t="e">
        <f>SHHalfScreenCost</f>
        <v>#NAME?</v>
      </c>
      <c r="AM657" s="513"/>
      <c r="AN657" s="513"/>
      <c r="AO657" s="513"/>
      <c r="AP657" s="513"/>
      <c r="AQ657" s="139"/>
      <c r="AR657" s="139"/>
      <c r="AS657" s="139"/>
      <c r="AT657" s="139"/>
      <c r="AU657" s="139"/>
    </row>
    <row r="658" spans="1:49" ht="15" customHeight="1" x14ac:dyDescent="0.4">
      <c r="B658" s="7"/>
      <c r="C658" s="515" t="s">
        <v>913</v>
      </c>
      <c r="D658" s="515"/>
      <c r="E658" s="515"/>
      <c r="F658" s="515"/>
      <c r="G658" s="515"/>
      <c r="H658" s="516"/>
      <c r="I658" s="517" t="s">
        <v>392</v>
      </c>
      <c r="J658" s="38" t="s">
        <v>346</v>
      </c>
      <c r="K658" s="3">
        <v>4</v>
      </c>
      <c r="L658" s="3" t="s">
        <v>348</v>
      </c>
      <c r="M658" s="5">
        <f>'All Screens'!BH7</f>
        <v>-2.8125</v>
      </c>
      <c r="N658" s="3"/>
      <c r="O658" s="3"/>
      <c r="P658" s="3"/>
      <c r="Q658" s="3"/>
      <c r="R658" s="3" t="s">
        <v>352</v>
      </c>
      <c r="S658" s="5">
        <f>SLQHQwidth/K658+M658</f>
        <v>15.0625</v>
      </c>
      <c r="T658" s="3" t="s">
        <v>366</v>
      </c>
      <c r="AA658" s="20"/>
      <c r="AD658" s="3"/>
      <c r="AE658" s="3"/>
      <c r="AF658" s="3"/>
      <c r="AG658" s="3"/>
      <c r="AH658" s="5"/>
      <c r="AI658" s="5"/>
      <c r="AJ658" s="5"/>
      <c r="AK658" s="5"/>
      <c r="AL658" s="77"/>
      <c r="AM658" s="5"/>
      <c r="AN658" s="5"/>
      <c r="AO658" s="5"/>
      <c r="AP658" s="5"/>
      <c r="AQ658" s="139"/>
      <c r="AR658" s="139"/>
      <c r="AS658" s="139"/>
      <c r="AT658" s="139"/>
      <c r="AU658" s="139"/>
    </row>
    <row r="659" spans="1:49" ht="15" customHeight="1" x14ac:dyDescent="0.4">
      <c r="B659" s="7"/>
      <c r="C659" s="515" t="s">
        <v>914</v>
      </c>
      <c r="D659" s="515"/>
      <c r="E659" s="515"/>
      <c r="F659" s="515"/>
      <c r="G659" s="515"/>
      <c r="H659" s="516"/>
      <c r="I659" s="4" t="s">
        <v>365</v>
      </c>
      <c r="J659" s="4"/>
      <c r="L659" s="3" t="s">
        <v>348</v>
      </c>
      <c r="M659" s="3">
        <f>'All Screens'!BH8</f>
        <v>-4.5</v>
      </c>
      <c r="N659" s="3"/>
      <c r="O659" s="3"/>
      <c r="P659" s="3"/>
      <c r="Q659" s="3"/>
      <c r="R659" s="3" t="s">
        <v>352</v>
      </c>
      <c r="S659" s="3">
        <f>SLQHQheight+M659</f>
        <v>43</v>
      </c>
      <c r="T659" s="3" t="s">
        <v>366</v>
      </c>
      <c r="AA659" s="20"/>
      <c r="AD659" s="3"/>
      <c r="AE659" s="3"/>
      <c r="AF659" s="3"/>
      <c r="AG659" s="3"/>
      <c r="AH659" s="5"/>
      <c r="AI659" s="5"/>
      <c r="AJ659" s="5"/>
      <c r="AK659" s="5"/>
      <c r="AL659" s="77"/>
      <c r="AM659" s="5"/>
      <c r="AN659" s="5"/>
      <c r="AO659" s="5"/>
      <c r="AP659" s="5"/>
      <c r="AQ659" s="518"/>
      <c r="AR659" s="518"/>
      <c r="AS659" s="518"/>
      <c r="AT659" s="518"/>
      <c r="AU659" s="518"/>
      <c r="AV659" s="4"/>
      <c r="AW659" s="4"/>
    </row>
    <row r="660" spans="1:49" ht="15" customHeight="1" x14ac:dyDescent="0.4">
      <c r="B660" s="510" t="s">
        <v>1370</v>
      </c>
      <c r="C660" s="510"/>
      <c r="D660" s="510"/>
      <c r="E660" s="510"/>
      <c r="F660" s="510"/>
      <c r="G660" s="510"/>
      <c r="H660" s="510"/>
      <c r="I660" s="511"/>
      <c r="J660" s="512"/>
      <c r="K660" s="512"/>
      <c r="L660" s="512"/>
      <c r="M660" s="512"/>
      <c r="N660" s="512"/>
      <c r="O660" s="512"/>
      <c r="P660" s="512"/>
      <c r="Q660" s="512"/>
      <c r="R660" s="512"/>
      <c r="S660" s="57"/>
      <c r="T660" s="57"/>
      <c r="U660" s="57"/>
      <c r="V660" s="57"/>
      <c r="W660" s="57"/>
      <c r="X660" s="57"/>
      <c r="Y660" s="57"/>
      <c r="Z660" s="57"/>
      <c r="AA660" s="61"/>
      <c r="AB660" s="57"/>
      <c r="AC660" s="57"/>
      <c r="AD660" s="57"/>
      <c r="AE660" s="57"/>
      <c r="AF660" s="57"/>
      <c r="AG660" s="57"/>
      <c r="AH660" s="57"/>
      <c r="AI660" s="57"/>
      <c r="AJ660" s="57"/>
      <c r="AK660" s="57"/>
      <c r="AL660" s="513" t="e">
        <f>+SUBTOTAL(109,Accessories!#REF!)</f>
        <v>#REF!</v>
      </c>
      <c r="AM660" s="57"/>
      <c r="AN660" s="57"/>
      <c r="AO660" s="57"/>
      <c r="AP660" s="57"/>
      <c r="AQ660" s="520"/>
      <c r="AR660" s="521"/>
      <c r="AS660" s="522"/>
      <c r="AT660" s="522"/>
      <c r="AU660" s="522"/>
      <c r="AV660" s="523"/>
      <c r="AW660" s="523"/>
    </row>
    <row r="661" spans="1:49" ht="15" customHeight="1" x14ac:dyDescent="0.4">
      <c r="B661" s="510" t="s">
        <v>932</v>
      </c>
      <c r="C661" s="170"/>
      <c r="D661" s="163"/>
      <c r="E661" s="163"/>
      <c r="F661" s="163"/>
      <c r="G661" s="510"/>
      <c r="H661" s="510"/>
      <c r="I661" s="511"/>
      <c r="J661" s="512"/>
      <c r="K661" s="512"/>
      <c r="L661" s="512"/>
      <c r="M661" s="512"/>
      <c r="N661" s="512"/>
      <c r="O661" s="512"/>
      <c r="P661" s="512"/>
      <c r="Q661" s="512"/>
      <c r="R661" s="512"/>
      <c r="S661" s="57"/>
      <c r="T661" s="57"/>
      <c r="U661" s="57"/>
      <c r="V661" s="57"/>
      <c r="W661" s="57"/>
      <c r="X661" s="57"/>
      <c r="Y661" s="57"/>
      <c r="Z661" s="57"/>
      <c r="AA661" s="61"/>
      <c r="AB661" s="61"/>
      <c r="AC661" s="61"/>
      <c r="AD661" s="61"/>
      <c r="AE661" s="61"/>
      <c r="AF661" s="512"/>
      <c r="AG661" s="512"/>
      <c r="AH661" s="524"/>
      <c r="AI661" s="524"/>
      <c r="AJ661" s="524"/>
      <c r="AK661" s="524"/>
      <c r="AL661" s="513" t="e">
        <f>+SUBTOTAL(109,#REF!)</f>
        <v>#REF!</v>
      </c>
      <c r="AM661" s="524"/>
      <c r="AN661" s="524"/>
      <c r="AO661" s="524"/>
      <c r="AP661" s="524"/>
      <c r="AQ661" s="520"/>
      <c r="AR661" s="521"/>
      <c r="AS661" s="261"/>
      <c r="AT661" s="261"/>
      <c r="AU661" s="261"/>
      <c r="AV661" s="262"/>
      <c r="AW661" s="262"/>
    </row>
    <row r="662" spans="1:49" ht="15" customHeight="1" x14ac:dyDescent="0.4">
      <c r="B662" s="155"/>
      <c r="F662" s="108"/>
      <c r="G662" s="109"/>
      <c r="I662" s="443"/>
      <c r="J662" s="376"/>
      <c r="L662" s="376"/>
      <c r="R662" s="376"/>
      <c r="Y662" s="43"/>
      <c r="Z662" s="43"/>
      <c r="AD662" s="44"/>
      <c r="AE662" s="45" t="s">
        <v>454</v>
      </c>
      <c r="AF662" s="45"/>
      <c r="AG662" s="45"/>
      <c r="AH662" s="54"/>
      <c r="AI662" s="39"/>
      <c r="AJ662" s="39"/>
      <c r="AK662" s="39"/>
      <c r="AL662" s="55"/>
      <c r="AM662" s="519"/>
      <c r="AN662" s="519"/>
      <c r="AO662" s="519"/>
      <c r="AP662" s="519"/>
      <c r="AQ662" s="520"/>
      <c r="AR662" s="521"/>
      <c r="AS662" s="261"/>
      <c r="AT662" s="261"/>
      <c r="AU662" s="261"/>
      <c r="AV662" s="262"/>
      <c r="AW662" s="262"/>
    </row>
    <row r="663" spans="1:49" ht="15" customHeight="1" x14ac:dyDescent="0.4">
      <c r="B663" s="7" t="s">
        <v>1425</v>
      </c>
      <c r="D663" s="3"/>
      <c r="F663" s="108"/>
      <c r="G663" s="109"/>
      <c r="H663" s="1640"/>
      <c r="I663" s="443"/>
      <c r="J663" s="376"/>
      <c r="L663" s="376"/>
      <c r="R663" s="376"/>
      <c r="Y663" s="43"/>
      <c r="Z663" s="43"/>
      <c r="AD663" s="44"/>
      <c r="AE663" s="45" t="s">
        <v>454</v>
      </c>
      <c r="AF663" s="45"/>
      <c r="AG663" s="45"/>
      <c r="AH663" s="54"/>
      <c r="AI663" s="39"/>
      <c r="AJ663" s="39"/>
      <c r="AK663" s="39"/>
      <c r="AL663" s="55"/>
      <c r="AM663" s="519"/>
      <c r="AN663" s="519"/>
      <c r="AO663" s="519"/>
      <c r="AP663" s="519"/>
      <c r="AQ663" s="520"/>
      <c r="AR663" s="521"/>
      <c r="AS663" s="261"/>
      <c r="AT663" s="261"/>
      <c r="AU663" s="261"/>
      <c r="AV663" s="262"/>
      <c r="AW663" s="262"/>
    </row>
    <row r="664" spans="1:49" ht="15" customHeight="1" x14ac:dyDescent="0.4">
      <c r="B664" s="155"/>
      <c r="F664" s="108"/>
      <c r="G664" s="109"/>
      <c r="I664" s="443"/>
      <c r="J664" s="376"/>
      <c r="L664" s="376"/>
      <c r="R664" s="376"/>
      <c r="Y664" s="43"/>
      <c r="Z664" s="43"/>
      <c r="AD664" s="44"/>
      <c r="AE664" s="45" t="s">
        <v>454</v>
      </c>
      <c r="AF664" s="45"/>
      <c r="AG664" s="45"/>
      <c r="AH664" s="54"/>
      <c r="AI664" s="39"/>
      <c r="AJ664" s="39"/>
      <c r="AK664" s="39"/>
      <c r="AL664" s="55"/>
      <c r="AM664" s="519"/>
      <c r="AN664" s="519"/>
      <c r="AO664" s="519"/>
      <c r="AP664" s="519"/>
      <c r="AQ664" s="520"/>
      <c r="AR664" s="521"/>
      <c r="AS664" s="261"/>
      <c r="AT664" s="261"/>
      <c r="AU664" s="261"/>
      <c r="AV664" s="262"/>
      <c r="AW664" s="262"/>
    </row>
    <row r="665" spans="1:49" ht="15" customHeight="1" x14ac:dyDescent="0.4">
      <c r="B665" s="42"/>
      <c r="F665" s="108"/>
      <c r="G665" s="109"/>
      <c r="I665" s="443"/>
      <c r="J665" s="376"/>
      <c r="L665" s="376"/>
      <c r="R665" s="376"/>
      <c r="Y665" s="43"/>
      <c r="Z665" s="43"/>
      <c r="AD665" s="44"/>
      <c r="AE665" s="45" t="s">
        <v>454</v>
      </c>
      <c r="AF665" s="45"/>
      <c r="AG665" s="45"/>
      <c r="AH665" s="54"/>
      <c r="AI665" s="39"/>
      <c r="AJ665" s="39"/>
      <c r="AK665" s="39"/>
      <c r="AL665" s="55"/>
    </row>
    <row r="666" spans="1:49" ht="15" customHeight="1" x14ac:dyDescent="0.4">
      <c r="A666" s="1640"/>
      <c r="B666" s="1641"/>
      <c r="C666" s="1642"/>
      <c r="D666" s="1643"/>
      <c r="E666" s="1643"/>
      <c r="F666" s="1643"/>
      <c r="G666" s="1644"/>
      <c r="H666" s="1640"/>
      <c r="I666" s="1645"/>
      <c r="J666" s="1646"/>
      <c r="K666" s="1640"/>
      <c r="L666" s="1646"/>
      <c r="M666" s="1647"/>
      <c r="N666" s="1647"/>
      <c r="O666" s="1647"/>
      <c r="P666" s="1647"/>
      <c r="Q666" s="1647"/>
      <c r="R666" s="1646"/>
      <c r="S666" s="1647"/>
      <c r="T666" s="1646"/>
      <c r="U666" s="1640"/>
      <c r="V666" s="1640"/>
      <c r="W666" s="1648"/>
      <c r="X666" s="1648"/>
      <c r="Y666" s="1640"/>
      <c r="Z666" s="1640"/>
      <c r="AA666" s="1640"/>
      <c r="AB666" s="1647"/>
      <c r="AC666" s="1640"/>
      <c r="AD666" s="1647"/>
      <c r="AE666" s="1641"/>
      <c r="AF666" s="1641"/>
      <c r="AG666" s="1641"/>
      <c r="AH666" s="1649"/>
      <c r="AI666" s="1649"/>
      <c r="AJ666" s="1649"/>
      <c r="AK666" s="1649"/>
      <c r="AL666" s="1649"/>
      <c r="AM666" s="1649"/>
      <c r="AN666" s="1649"/>
      <c r="AO666" s="1649"/>
      <c r="AP666" s="1649"/>
    </row>
    <row r="667" spans="1:49" ht="15" customHeight="1" x14ac:dyDescent="0.4">
      <c r="D667" s="452"/>
      <c r="E667" s="452"/>
      <c r="F667" s="452"/>
      <c r="G667" s="453"/>
      <c r="H667" s="3"/>
      <c r="I667" s="443"/>
      <c r="J667" s="376"/>
      <c r="L667" s="376"/>
      <c r="R667" s="376"/>
      <c r="T667" s="376"/>
      <c r="U667" s="3"/>
      <c r="W667" s="6"/>
      <c r="X667" s="6"/>
      <c r="AA667" s="3"/>
      <c r="AB667" s="5"/>
      <c r="AE667" s="4"/>
      <c r="AF667" s="4"/>
      <c r="AG667" s="4"/>
      <c r="AI667" s="39"/>
      <c r="AJ667" s="39"/>
      <c r="AK667" s="39"/>
    </row>
    <row r="668" spans="1:49" ht="20.25" customHeight="1" x14ac:dyDescent="0.4">
      <c r="B668" s="76" t="s">
        <v>1008</v>
      </c>
      <c r="D668" s="452"/>
      <c r="E668" s="452"/>
      <c r="F668" s="452"/>
      <c r="G668" s="453"/>
      <c r="H668" s="3"/>
      <c r="I668" s="443"/>
      <c r="J668" s="376"/>
      <c r="L668" s="376"/>
      <c r="R668" s="376"/>
      <c r="T668" s="376"/>
      <c r="U668" s="3"/>
      <c r="W668" s="6"/>
      <c r="X668" s="6"/>
      <c r="AA668" s="3"/>
      <c r="AB668" s="5"/>
      <c r="AE668" s="4"/>
      <c r="AF668" s="4"/>
      <c r="AG668" s="4"/>
      <c r="AI668" s="39"/>
      <c r="AJ668" s="39"/>
      <c r="AK668" s="39"/>
    </row>
    <row r="669" spans="1:49" ht="15" customHeight="1" x14ac:dyDescent="0.25">
      <c r="B669" s="81" t="s">
        <v>1009</v>
      </c>
      <c r="C669" s="525"/>
      <c r="D669" s="526"/>
      <c r="E669" s="526"/>
      <c r="F669" s="526"/>
      <c r="G669" s="527"/>
      <c r="H669" s="438"/>
      <c r="I669" s="124" t="s">
        <v>392</v>
      </c>
      <c r="J669" s="528" t="s">
        <v>346</v>
      </c>
      <c r="K669" s="438">
        <v>4</v>
      </c>
      <c r="L669" s="528" t="s">
        <v>348</v>
      </c>
      <c r="M669" s="529">
        <v>-3.5550000000000002</v>
      </c>
      <c r="N669" s="530"/>
      <c r="O669" s="530"/>
      <c r="P669" s="530"/>
      <c r="Q669" s="530"/>
      <c r="R669" s="528" t="s">
        <v>352</v>
      </c>
      <c r="S669" s="530">
        <f>SLQHQwidth/K669+M669</f>
        <v>14.32</v>
      </c>
      <c r="T669" s="528" t="s">
        <v>366</v>
      </c>
      <c r="U669" s="3"/>
      <c r="W669" s="6"/>
      <c r="X669" s="6"/>
      <c r="AA669" s="3"/>
      <c r="AB669" s="5"/>
      <c r="AE669" s="4"/>
      <c r="AF669" s="4"/>
      <c r="AG669" s="4"/>
      <c r="AI669" s="39"/>
      <c r="AJ669" s="39"/>
      <c r="AK669" s="39"/>
    </row>
    <row r="670" spans="1:49" ht="15" customHeight="1" thickBot="1" x14ac:dyDescent="0.3">
      <c r="B670" s="81" t="s">
        <v>1010</v>
      </c>
      <c r="C670" s="3"/>
      <c r="D670" s="526"/>
      <c r="E670" s="526"/>
      <c r="F670" s="526"/>
      <c r="G670" s="527"/>
      <c r="H670" s="438"/>
      <c r="I670" s="124" t="s">
        <v>365</v>
      </c>
      <c r="J670" s="528"/>
      <c r="K670" s="438"/>
      <c r="L670" s="528" t="s">
        <v>348</v>
      </c>
      <c r="M670" s="529">
        <v>-5.1139999999999999</v>
      </c>
      <c r="N670" s="530"/>
      <c r="O670" s="530"/>
      <c r="P670" s="530"/>
      <c r="Q670" s="530"/>
      <c r="R670" s="528" t="s">
        <v>352</v>
      </c>
      <c r="S670" s="530">
        <f>SLQHQheight+M670</f>
        <v>42.386000000000003</v>
      </c>
      <c r="T670" s="528" t="s">
        <v>366</v>
      </c>
      <c r="U670" s="3"/>
      <c r="W670" s="376"/>
      <c r="X670" s="376"/>
      <c r="AA670" s="3"/>
      <c r="AB670" s="5"/>
      <c r="AC670" s="5"/>
      <c r="AE670" s="4"/>
      <c r="AF670" s="4"/>
      <c r="AG670" s="4"/>
      <c r="AI670" s="39"/>
      <c r="AJ670" s="39"/>
      <c r="AK670" s="39"/>
    </row>
    <row r="671" spans="1:49" ht="15" customHeight="1" thickBot="1" x14ac:dyDescent="0.3">
      <c r="D671" s="452"/>
      <c r="E671" s="452"/>
      <c r="F671" s="452"/>
      <c r="G671" s="453"/>
      <c r="H671" s="3"/>
      <c r="I671" s="295" t="s">
        <v>1011</v>
      </c>
      <c r="J671" s="376"/>
      <c r="L671" s="376"/>
      <c r="P671" s="5" t="s">
        <v>346</v>
      </c>
      <c r="Q671" s="56">
        <v>144</v>
      </c>
      <c r="R671" s="376" t="s">
        <v>352</v>
      </c>
      <c r="S671" s="1986">
        <f>S669*S670/Q671</f>
        <v>4.2150522222222229</v>
      </c>
      <c r="T671" s="1987"/>
      <c r="U671" s="3"/>
      <c r="V671" s="8" t="s">
        <v>1012</v>
      </c>
      <c r="W671" s="376"/>
      <c r="X671" s="376"/>
      <c r="AA671" s="3"/>
      <c r="AE671" s="4"/>
      <c r="AF671" s="4"/>
      <c r="AG671" s="4"/>
      <c r="AI671" s="39"/>
      <c r="AJ671" s="39"/>
      <c r="AK671" s="39"/>
    </row>
    <row r="672" spans="1:49" ht="15" customHeight="1" thickBot="1" x14ac:dyDescent="0.45">
      <c r="D672" s="452"/>
      <c r="E672" s="452"/>
      <c r="F672" s="452"/>
      <c r="G672" s="453"/>
      <c r="H672" s="3"/>
      <c r="I672" s="443"/>
      <c r="J672" s="376"/>
      <c r="L672" s="376"/>
      <c r="M672" s="3"/>
      <c r="N672" s="3"/>
      <c r="O672" s="3"/>
      <c r="P672" s="3"/>
      <c r="Q672" s="3"/>
      <c r="R672" s="376"/>
      <c r="S672" s="1986">
        <f>S669*S670</f>
        <v>606.96752000000004</v>
      </c>
      <c r="T672" s="1987"/>
      <c r="U672" s="3"/>
      <c r="V672" s="8" t="s">
        <v>1013</v>
      </c>
      <c r="W672" s="376"/>
      <c r="X672" s="376"/>
      <c r="AA672" s="3"/>
      <c r="AE672" s="4"/>
      <c r="AF672" s="4"/>
      <c r="AG672" s="4"/>
      <c r="AI672" s="39"/>
      <c r="AJ672" s="39"/>
      <c r="AK672" s="39"/>
    </row>
    <row r="673" spans="1:46" ht="24" customHeight="1" x14ac:dyDescent="0.4">
      <c r="B673" s="76" t="s">
        <v>1303</v>
      </c>
      <c r="D673" s="452"/>
      <c r="E673" s="452"/>
      <c r="F673" s="452"/>
      <c r="G673" s="453"/>
      <c r="H673" s="3"/>
      <c r="I673" s="443"/>
      <c r="J673" s="376"/>
      <c r="L673" s="376"/>
      <c r="M673" s="3"/>
      <c r="N673" s="3"/>
      <c r="O673" s="3"/>
      <c r="P673" s="3"/>
      <c r="Q673" s="3"/>
      <c r="R673" s="376"/>
      <c r="T673" s="376"/>
      <c r="U673" s="3"/>
      <c r="W673" s="6"/>
      <c r="X673" s="6"/>
      <c r="AA673" s="3"/>
      <c r="AB673" s="5"/>
      <c r="AE673" s="4"/>
      <c r="AF673" s="4"/>
      <c r="AG673" s="4"/>
      <c r="AI673" s="39"/>
      <c r="AJ673" s="39"/>
      <c r="AK673" s="39"/>
    </row>
    <row r="674" spans="1:46" ht="15" customHeight="1" x14ac:dyDescent="0.4">
      <c r="B674" s="8"/>
      <c r="C674" s="531" t="str">
        <f>"Fixed Glass Daylight Opening: "&amp;$S$678&amp;" W x "&amp;$S$679&amp;" H"</f>
        <v>Fixed Glass Daylight Opening: 33.688 W x 42.375 H</v>
      </c>
      <c r="D674" s="37"/>
      <c r="E674" s="37"/>
      <c r="F674" s="37"/>
      <c r="G674" s="37"/>
      <c r="H674" s="59"/>
      <c r="I674" s="59"/>
      <c r="J674" s="59"/>
      <c r="K674" s="59"/>
      <c r="L674" s="59"/>
      <c r="M674" s="60"/>
      <c r="N674" s="60"/>
      <c r="O674" s="60"/>
      <c r="P674" s="60"/>
      <c r="Q674" s="60"/>
      <c r="R674" s="65"/>
      <c r="S674" s="60"/>
      <c r="T674" s="65"/>
      <c r="U674" s="3"/>
      <c r="V674" s="38"/>
      <c r="X674" s="38"/>
      <c r="Y674" s="41"/>
      <c r="Z674" s="41"/>
      <c r="AA674" s="3"/>
      <c r="AC674" s="42"/>
      <c r="AH674" s="492"/>
      <c r="AI674" s="492"/>
      <c r="AJ674" s="492"/>
      <c r="AK674" s="492"/>
    </row>
    <row r="675" spans="1:46" ht="15" customHeight="1" x14ac:dyDescent="0.25">
      <c r="B675" s="79"/>
      <c r="C675" s="80" t="s">
        <v>1304</v>
      </c>
      <c r="D675" s="526"/>
      <c r="E675" s="526"/>
      <c r="F675" s="526"/>
      <c r="G675" s="527"/>
      <c r="H675" s="438"/>
      <c r="I675" s="534"/>
      <c r="J675" s="528"/>
      <c r="K675" s="438"/>
      <c r="L675" s="528"/>
      <c r="M675" s="530"/>
      <c r="N675" s="530"/>
      <c r="O675" s="530"/>
      <c r="P675" s="530"/>
      <c r="Q675" s="530"/>
      <c r="R675" s="528"/>
      <c r="S675" s="530"/>
      <c r="T675" s="528"/>
      <c r="U675" s="3"/>
      <c r="W675" s="6"/>
      <c r="X675" s="6"/>
      <c r="AA675" s="3"/>
      <c r="AB675" s="5"/>
      <c r="AE675" s="4"/>
      <c r="AF675" s="4"/>
      <c r="AG675" s="4"/>
      <c r="AI675" s="39"/>
      <c r="AJ675" s="39"/>
      <c r="AK675" s="39"/>
    </row>
    <row r="676" spans="1:46" ht="13.2" x14ac:dyDescent="0.25">
      <c r="A676" s="95" t="s">
        <v>1305</v>
      </c>
      <c r="B676" s="79"/>
      <c r="C676" s="3"/>
      <c r="D676" s="358" t="s">
        <v>1305</v>
      </c>
      <c r="E676" s="526"/>
      <c r="F676" s="526"/>
      <c r="G676" s="527"/>
      <c r="H676" s="438"/>
      <c r="I676" s="534" t="s">
        <v>392</v>
      </c>
      <c r="J676" s="528" t="s">
        <v>346</v>
      </c>
      <c r="K676" s="438">
        <v>2</v>
      </c>
      <c r="L676" s="528" t="s">
        <v>348</v>
      </c>
      <c r="M676" s="529">
        <v>-1.1870000000000001</v>
      </c>
      <c r="N676" s="530"/>
      <c r="O676" s="530"/>
      <c r="P676" s="530"/>
      <c r="Q676" s="530"/>
      <c r="R676" s="528" t="s">
        <v>352</v>
      </c>
      <c r="S676" s="530">
        <f>SLQHQwidth/K676+M676</f>
        <v>34.563000000000002</v>
      </c>
      <c r="T676" s="528" t="s">
        <v>366</v>
      </c>
      <c r="U676" s="3"/>
      <c r="AA676" s="3"/>
      <c r="AE676" s="4"/>
      <c r="AF676" s="4"/>
      <c r="AG676" s="4"/>
      <c r="AI676" s="39"/>
      <c r="AJ676" s="39"/>
      <c r="AK676" s="39"/>
    </row>
    <row r="677" spans="1:46" s="577" customFormat="1" ht="15" customHeight="1" x14ac:dyDescent="0.25">
      <c r="A677" s="95" t="s">
        <v>1306</v>
      </c>
      <c r="B677" s="79"/>
      <c r="D677" s="358" t="s">
        <v>1306</v>
      </c>
      <c r="E677" s="526"/>
      <c r="F677" s="526"/>
      <c r="G677" s="527"/>
      <c r="H677" s="438"/>
      <c r="I677" s="534" t="s">
        <v>365</v>
      </c>
      <c r="J677" s="528"/>
      <c r="K677" s="438"/>
      <c r="L677" s="528" t="s">
        <v>348</v>
      </c>
      <c r="M677" s="529">
        <v>-4.25</v>
      </c>
      <c r="N677" s="530"/>
      <c r="O677" s="530"/>
      <c r="P677" s="530"/>
      <c r="Q677" s="530"/>
      <c r="R677" s="528" t="s">
        <v>352</v>
      </c>
      <c r="S677" s="530">
        <f>SLQHQheight+M677</f>
        <v>43.25</v>
      </c>
      <c r="T677" s="528" t="s">
        <v>366</v>
      </c>
      <c r="U677" s="3"/>
      <c r="V677" s="3"/>
      <c r="W677" s="3"/>
      <c r="X677" s="3"/>
      <c r="Y677" s="3"/>
      <c r="Z677" s="3"/>
      <c r="AA677" s="3"/>
      <c r="AB677" s="3"/>
      <c r="AC677" s="3"/>
      <c r="AD677" s="5"/>
      <c r="AE677" s="4"/>
      <c r="AF677" s="4"/>
      <c r="AG677" s="4"/>
      <c r="AH677" s="51"/>
      <c r="AI677" s="39"/>
      <c r="AJ677" s="39"/>
      <c r="AK677" s="39"/>
      <c r="AL677" s="39"/>
      <c r="AM677" s="3"/>
      <c r="AN677" s="3"/>
      <c r="AO677" s="3"/>
      <c r="AP677" s="3"/>
      <c r="AQ677" s="3"/>
      <c r="AR677" s="3"/>
      <c r="AS677" s="3"/>
      <c r="AT677" s="3"/>
    </row>
    <row r="678" spans="1:46" ht="15" customHeight="1" x14ac:dyDescent="0.25">
      <c r="B678" s="79"/>
      <c r="C678" s="577"/>
      <c r="D678" s="358" t="s">
        <v>1307</v>
      </c>
      <c r="E678" s="526"/>
      <c r="F678" s="526"/>
      <c r="G678" s="527"/>
      <c r="H678" s="438"/>
      <c r="I678" s="534" t="s">
        <v>392</v>
      </c>
      <c r="J678" s="528" t="s">
        <v>346</v>
      </c>
      <c r="K678" s="438">
        <v>2</v>
      </c>
      <c r="L678" s="528" t="s">
        <v>348</v>
      </c>
      <c r="M678" s="529">
        <v>-2.0619999999999998</v>
      </c>
      <c r="N678" s="530"/>
      <c r="O678" s="530"/>
      <c r="P678" s="530"/>
      <c r="Q678" s="530"/>
      <c r="R678" s="528" t="s">
        <v>352</v>
      </c>
      <c r="S678" s="530">
        <f>SLQHQwidth/K678+M678</f>
        <v>33.688000000000002</v>
      </c>
      <c r="T678" s="528" t="s">
        <v>366</v>
      </c>
      <c r="U678" s="3"/>
      <c r="AA678" s="3"/>
      <c r="AE678" s="4"/>
      <c r="AF678" s="4"/>
      <c r="AG678" s="4"/>
      <c r="AI678" s="39"/>
      <c r="AJ678" s="39"/>
      <c r="AK678" s="39"/>
    </row>
    <row r="679" spans="1:46" ht="15" customHeight="1" x14ac:dyDescent="0.25">
      <c r="B679" s="79"/>
      <c r="C679" s="577"/>
      <c r="D679" s="358" t="s">
        <v>1308</v>
      </c>
      <c r="E679" s="526"/>
      <c r="F679" s="526"/>
      <c r="G679" s="527"/>
      <c r="H679" s="438"/>
      <c r="I679" s="534" t="s">
        <v>365</v>
      </c>
      <c r="J679" s="528"/>
      <c r="K679" s="438"/>
      <c r="L679" s="528" t="s">
        <v>348</v>
      </c>
      <c r="M679" s="529">
        <v>-5.125</v>
      </c>
      <c r="N679" s="530"/>
      <c r="O679" s="530"/>
      <c r="P679" s="530"/>
      <c r="Q679" s="530"/>
      <c r="R679" s="528" t="s">
        <v>352</v>
      </c>
      <c r="S679" s="530">
        <f>SLQHQheight+M679</f>
        <v>42.375</v>
      </c>
      <c r="T679" s="528" t="s">
        <v>366</v>
      </c>
      <c r="U679" s="3"/>
      <c r="AA679" s="3"/>
      <c r="AE679" s="4"/>
      <c r="AF679" s="4"/>
      <c r="AG679" s="4"/>
      <c r="AI679" s="39"/>
      <c r="AJ679" s="39"/>
      <c r="AK679" s="39"/>
    </row>
    <row r="680" spans="1:46" ht="15" customHeight="1" x14ac:dyDescent="0.25">
      <c r="B680" s="79"/>
      <c r="C680" s="296" t="s">
        <v>1022</v>
      </c>
      <c r="D680" s="526"/>
      <c r="E680" s="526"/>
      <c r="F680" s="526"/>
      <c r="G680" s="527"/>
      <c r="H680" s="438"/>
      <c r="I680" s="534" t="s">
        <v>1023</v>
      </c>
      <c r="J680" s="528" t="s">
        <v>346</v>
      </c>
      <c r="K680" s="438"/>
      <c r="L680" s="528"/>
      <c r="M680" s="125">
        <v>144</v>
      </c>
      <c r="N680" s="530"/>
      <c r="O680" s="530"/>
      <c r="P680" s="530"/>
      <c r="Q680" s="530"/>
      <c r="R680" s="528" t="s">
        <v>352</v>
      </c>
      <c r="S680" s="528">
        <f>S678*S679/M680</f>
        <v>9.9133958333333325</v>
      </c>
      <c r="T680" s="528" t="s">
        <v>1208</v>
      </c>
      <c r="U680" s="3"/>
      <c r="AA680" s="3"/>
      <c r="AE680" s="4"/>
      <c r="AF680" s="4"/>
      <c r="AG680" s="4"/>
      <c r="AI680" s="39"/>
      <c r="AJ680" s="39"/>
      <c r="AK680" s="39"/>
    </row>
    <row r="681" spans="1:46" ht="15" customHeight="1" x14ac:dyDescent="0.4">
      <c r="B681" s="8"/>
      <c r="C681" s="531" t="str">
        <f>"Sash Glass Daylight Opening: "&amp;$S$684&amp;" W x "&amp;$S$685&amp;" H"</f>
        <v>Sash Glass Daylight Opening: 12.847 W x 41.062 H</v>
      </c>
      <c r="D681" s="37"/>
      <c r="E681" s="37"/>
      <c r="F681" s="37"/>
      <c r="G681" s="37"/>
      <c r="H681" s="59"/>
      <c r="I681" s="59"/>
      <c r="J681" s="59"/>
      <c r="K681" s="59"/>
      <c r="L681" s="59"/>
      <c r="M681" s="60"/>
      <c r="N681" s="60"/>
      <c r="O681" s="60"/>
      <c r="P681" s="60"/>
      <c r="Q681" s="60"/>
      <c r="R681" s="65"/>
      <c r="S681" s="60"/>
      <c r="T681" s="65"/>
      <c r="U681" s="3"/>
      <c r="V681" s="38"/>
      <c r="W681" s="42"/>
      <c r="X681" s="42"/>
      <c r="Y681" s="42"/>
      <c r="Z681" s="42"/>
      <c r="AA681" s="42"/>
      <c r="AB681" s="42"/>
      <c r="AC681" s="42"/>
      <c r="AH681" s="492"/>
      <c r="AI681" s="492"/>
      <c r="AJ681" s="492"/>
      <c r="AK681" s="492"/>
    </row>
    <row r="682" spans="1:46" ht="15" customHeight="1" x14ac:dyDescent="0.25">
      <c r="A682" s="95" t="s">
        <v>1309</v>
      </c>
      <c r="B682" s="79"/>
      <c r="C682" s="349" t="s">
        <v>1426</v>
      </c>
      <c r="D682" s="358" t="s">
        <v>1309</v>
      </c>
      <c r="E682" s="526"/>
      <c r="F682" s="526"/>
      <c r="G682" s="527"/>
      <c r="H682" s="438"/>
      <c r="I682" s="534" t="s">
        <v>392</v>
      </c>
      <c r="J682" s="528" t="s">
        <v>346</v>
      </c>
      <c r="K682" s="438">
        <v>4</v>
      </c>
      <c r="L682" s="528" t="s">
        <v>348</v>
      </c>
      <c r="M682" s="529">
        <v>-4</v>
      </c>
      <c r="N682" s="530"/>
      <c r="O682" s="530"/>
      <c r="P682" s="530"/>
      <c r="Q682" s="530"/>
      <c r="R682" s="528" t="s">
        <v>352</v>
      </c>
      <c r="S682" s="530">
        <f>SLQHQwidth/K682+M682</f>
        <v>13.875</v>
      </c>
      <c r="T682" s="528" t="s">
        <v>366</v>
      </c>
      <c r="U682" s="3"/>
      <c r="W682" s="6"/>
      <c r="X682" s="6"/>
      <c r="AA682" s="3"/>
      <c r="AB682" s="5"/>
      <c r="AE682" s="4"/>
      <c r="AF682" s="4"/>
      <c r="AG682" s="4"/>
      <c r="AI682" s="39"/>
      <c r="AJ682" s="39"/>
      <c r="AK682" s="39"/>
    </row>
    <row r="683" spans="1:46" s="577" customFormat="1" ht="15" customHeight="1" x14ac:dyDescent="0.25">
      <c r="A683" s="95" t="s">
        <v>1311</v>
      </c>
      <c r="B683" s="79"/>
      <c r="C683" s="349" t="s">
        <v>1427</v>
      </c>
      <c r="D683" s="358" t="s">
        <v>1311</v>
      </c>
      <c r="E683" s="526"/>
      <c r="F683" s="526"/>
      <c r="G683" s="527"/>
      <c r="H683" s="438"/>
      <c r="I683" s="534" t="s">
        <v>365</v>
      </c>
      <c r="J683" s="528"/>
      <c r="K683" s="438"/>
      <c r="L683" s="528" t="s">
        <v>348</v>
      </c>
      <c r="M683" s="529">
        <v>-5.375</v>
      </c>
      <c r="N683" s="530"/>
      <c r="O683" s="530"/>
      <c r="P683" s="530"/>
      <c r="Q683" s="530"/>
      <c r="R683" s="528" t="s">
        <v>352</v>
      </c>
      <c r="S683" s="530">
        <f>SLQHQheight+M683</f>
        <v>42.125</v>
      </c>
      <c r="T683" s="528" t="s">
        <v>366</v>
      </c>
      <c r="U683" s="3"/>
      <c r="V683" s="3"/>
      <c r="W683" s="6"/>
      <c r="X683" s="6"/>
      <c r="Y683" s="3"/>
      <c r="Z683" s="3"/>
      <c r="AA683" s="3"/>
      <c r="AB683" s="5"/>
      <c r="AC683" s="3"/>
      <c r="AD683" s="5"/>
      <c r="AE683" s="4"/>
      <c r="AF683" s="4"/>
      <c r="AG683" s="4"/>
      <c r="AH683" s="51"/>
      <c r="AI683" s="39"/>
      <c r="AJ683" s="39"/>
      <c r="AK683" s="39"/>
      <c r="AL683" s="39"/>
      <c r="AM683" s="3"/>
      <c r="AN683" s="3"/>
      <c r="AO683" s="3"/>
      <c r="AP683" s="3"/>
      <c r="AQ683" s="3"/>
      <c r="AR683" s="3"/>
      <c r="AS683" s="3"/>
      <c r="AT683" s="3"/>
    </row>
    <row r="684" spans="1:46" ht="15" customHeight="1" x14ac:dyDescent="0.25">
      <c r="B684" s="79"/>
      <c r="C684" s="296"/>
      <c r="D684" s="358" t="s">
        <v>1313</v>
      </c>
      <c r="E684" s="526"/>
      <c r="F684" s="526"/>
      <c r="G684" s="527"/>
      <c r="H684" s="438"/>
      <c r="I684" s="534" t="s">
        <v>392</v>
      </c>
      <c r="J684" s="528" t="s">
        <v>346</v>
      </c>
      <c r="K684" s="438">
        <v>4</v>
      </c>
      <c r="L684" s="528" t="s">
        <v>348</v>
      </c>
      <c r="M684" s="529">
        <v>-5.0279999999999996</v>
      </c>
      <c r="N684" s="530"/>
      <c r="O684" s="530"/>
      <c r="P684" s="530"/>
      <c r="Q684" s="530"/>
      <c r="R684" s="528" t="s">
        <v>352</v>
      </c>
      <c r="S684" s="530">
        <f>SLQHQwidth/K684+M684</f>
        <v>12.847000000000001</v>
      </c>
      <c r="T684" s="528" t="s">
        <v>366</v>
      </c>
      <c r="U684" s="3"/>
      <c r="W684" s="6"/>
      <c r="X684" s="6"/>
      <c r="AA684" s="3"/>
      <c r="AB684" s="5"/>
      <c r="AE684" s="4"/>
      <c r="AF684" s="4"/>
      <c r="AG684" s="4"/>
      <c r="AI684" s="39"/>
      <c r="AJ684" s="39"/>
      <c r="AK684" s="39"/>
    </row>
    <row r="685" spans="1:46" ht="15" customHeight="1" x14ac:dyDescent="0.25">
      <c r="B685" s="79"/>
      <c r="C685" s="296"/>
      <c r="D685" s="358" t="s">
        <v>1314</v>
      </c>
      <c r="E685" s="526"/>
      <c r="F685" s="526"/>
      <c r="G685" s="527"/>
      <c r="H685" s="438"/>
      <c r="I685" s="534" t="s">
        <v>365</v>
      </c>
      <c r="J685" s="528"/>
      <c r="K685" s="438"/>
      <c r="L685" s="528" t="s">
        <v>348</v>
      </c>
      <c r="M685" s="529">
        <v>-6.4379999999999997</v>
      </c>
      <c r="N685" s="530"/>
      <c r="O685" s="530"/>
      <c r="P685" s="530"/>
      <c r="Q685" s="530"/>
      <c r="R685" s="528" t="s">
        <v>352</v>
      </c>
      <c r="S685" s="530">
        <f>SLQHQheight+M685</f>
        <v>41.061999999999998</v>
      </c>
      <c r="T685" s="528" t="s">
        <v>366</v>
      </c>
      <c r="U685" s="3"/>
      <c r="W685" s="6"/>
      <c r="X685" s="6"/>
      <c r="AA685" s="3"/>
      <c r="AB685" s="5"/>
      <c r="AE685" s="4"/>
      <c r="AF685" s="4"/>
      <c r="AG685" s="4"/>
      <c r="AI685" s="39"/>
      <c r="AJ685" s="39"/>
      <c r="AK685" s="39"/>
    </row>
    <row r="686" spans="1:46" ht="15" customHeight="1" x14ac:dyDescent="0.25">
      <c r="B686" s="79"/>
      <c r="C686" s="296" t="s">
        <v>1315</v>
      </c>
      <c r="D686" s="526"/>
      <c r="E686" s="526"/>
      <c r="F686" s="526"/>
      <c r="G686" s="527"/>
      <c r="H686" s="438"/>
      <c r="I686" s="534" t="s">
        <v>1023</v>
      </c>
      <c r="J686" s="528" t="s">
        <v>346</v>
      </c>
      <c r="K686" s="438"/>
      <c r="L686" s="528"/>
      <c r="M686" s="530">
        <v>144</v>
      </c>
      <c r="N686" s="530"/>
      <c r="O686" s="530"/>
      <c r="P686" s="530"/>
      <c r="Q686" s="530"/>
      <c r="R686" s="528" t="s">
        <v>352</v>
      </c>
      <c r="S686" s="530">
        <f>S684*S685/M686</f>
        <v>3.6633577361111112</v>
      </c>
      <c r="T686" s="528" t="s">
        <v>1208</v>
      </c>
      <c r="U686" s="3"/>
      <c r="W686" s="6"/>
      <c r="X686" s="6"/>
      <c r="AA686" s="3"/>
      <c r="AB686" s="5"/>
      <c r="AE686" s="4"/>
      <c r="AF686" s="4"/>
      <c r="AG686" s="4"/>
      <c r="AI686" s="39"/>
      <c r="AJ686" s="39"/>
      <c r="AK686" s="39"/>
    </row>
    <row r="687" spans="1:46" ht="15" customHeight="1" x14ac:dyDescent="0.25">
      <c r="B687" s="79"/>
      <c r="C687" s="297"/>
      <c r="D687" s="526"/>
      <c r="E687" s="526"/>
      <c r="F687" s="526"/>
      <c r="G687" s="527"/>
      <c r="H687" s="438"/>
      <c r="I687" s="534"/>
      <c r="J687" s="528"/>
      <c r="K687" s="438"/>
      <c r="L687" s="528"/>
      <c r="M687" s="530"/>
      <c r="N687" s="530"/>
      <c r="O687" s="530"/>
      <c r="P687" s="530"/>
      <c r="Q687" s="530"/>
      <c r="R687" s="528"/>
      <c r="S687" s="530"/>
      <c r="T687" s="528"/>
      <c r="U687" s="3"/>
      <c r="W687" s="6"/>
      <c r="X687" s="6"/>
      <c r="AA687" s="3"/>
      <c r="AB687" s="5"/>
      <c r="AE687" s="4"/>
      <c r="AF687" s="4"/>
      <c r="AG687" s="4"/>
      <c r="AI687" s="39"/>
      <c r="AJ687" s="39"/>
      <c r="AK687" s="39"/>
    </row>
    <row r="688" spans="1:46" ht="15" customHeight="1" x14ac:dyDescent="0.25">
      <c r="B688" s="79"/>
      <c r="C688" s="296" t="s">
        <v>1032</v>
      </c>
      <c r="D688" s="526"/>
      <c r="E688" s="526"/>
      <c r="F688" s="526"/>
      <c r="G688" s="527"/>
      <c r="H688" s="438"/>
      <c r="I688" s="534" t="s">
        <v>1033</v>
      </c>
      <c r="J688" s="528"/>
      <c r="K688" s="438"/>
      <c r="L688" s="528" t="s">
        <v>348</v>
      </c>
      <c r="M688" s="530" t="s">
        <v>1034</v>
      </c>
      <c r="N688" s="530"/>
      <c r="O688" s="530"/>
      <c r="P688" s="530"/>
      <c r="Q688" s="530"/>
      <c r="R688" s="528" t="s">
        <v>352</v>
      </c>
      <c r="S688" s="535">
        <f>S686+S680</f>
        <v>13.576753569444444</v>
      </c>
      <c r="T688" s="528"/>
      <c r="U688" s="3"/>
      <c r="W688" s="6"/>
      <c r="X688" s="6"/>
      <c r="AA688" s="3"/>
      <c r="AB688" s="5"/>
      <c r="AE688" s="4"/>
      <c r="AF688" s="4"/>
      <c r="AG688" s="4"/>
      <c r="AI688" s="39"/>
      <c r="AJ688" s="39"/>
      <c r="AK688" s="39"/>
    </row>
    <row r="689" spans="2:37" ht="25.5" customHeight="1" x14ac:dyDescent="0.4">
      <c r="B689" s="76" t="s">
        <v>1035</v>
      </c>
      <c r="C689" s="300"/>
      <c r="D689" s="122"/>
      <c r="E689" s="122"/>
      <c r="F689" s="122"/>
      <c r="G689" s="123"/>
      <c r="H689" s="3"/>
      <c r="I689" s="443"/>
      <c r="J689" s="376"/>
      <c r="L689" s="376"/>
      <c r="R689" s="376"/>
      <c r="T689" s="376"/>
      <c r="U689" s="3"/>
      <c r="W689" s="6"/>
      <c r="X689" s="6"/>
      <c r="AA689" s="3"/>
      <c r="AB689" s="5"/>
      <c r="AE689" s="4"/>
      <c r="AF689" s="4"/>
      <c r="AG689" s="4"/>
      <c r="AI689" s="39"/>
      <c r="AJ689" s="39"/>
      <c r="AK689" s="39"/>
    </row>
    <row r="690" spans="2:37" ht="15" customHeight="1" x14ac:dyDescent="0.25">
      <c r="B690" s="454" t="s">
        <v>1036</v>
      </c>
      <c r="C690" s="300"/>
      <c r="D690" s="122"/>
      <c r="E690" s="122"/>
      <c r="F690" s="122"/>
      <c r="G690" s="123"/>
      <c r="H690" s="3"/>
      <c r="I690" s="443"/>
      <c r="J690" s="376"/>
      <c r="L690" s="376"/>
      <c r="R690" s="376"/>
      <c r="T690" s="376"/>
      <c r="U690" s="3"/>
      <c r="W690" s="6"/>
      <c r="X690" s="6"/>
      <c r="AA690" s="3"/>
      <c r="AB690" s="5"/>
      <c r="AE690" s="4"/>
      <c r="AF690" s="4"/>
      <c r="AG690" s="4"/>
      <c r="AI690" s="39"/>
      <c r="AJ690" s="39"/>
      <c r="AK690" s="39"/>
    </row>
    <row r="691" spans="2:37" ht="15" customHeight="1" x14ac:dyDescent="0.25">
      <c r="B691" s="536" t="s">
        <v>1037</v>
      </c>
      <c r="C691" s="2060" t="s">
        <v>1374</v>
      </c>
      <c r="D691" s="2060"/>
      <c r="E691" s="2060"/>
      <c r="F691" s="2060"/>
      <c r="G691" s="537">
        <v>2.6880000000000002</v>
      </c>
      <c r="H691" s="3"/>
      <c r="I691" s="443"/>
      <c r="J691" s="376"/>
      <c r="L691" s="376"/>
      <c r="R691" s="376"/>
      <c r="T691" s="376"/>
      <c r="U691" s="3"/>
      <c r="W691" s="6"/>
      <c r="X691" s="6"/>
      <c r="AA691" s="3"/>
      <c r="AB691" s="5"/>
      <c r="AE691" s="4"/>
      <c r="AF691" s="4"/>
      <c r="AG691" s="4"/>
      <c r="AI691" s="39"/>
      <c r="AJ691" s="39"/>
      <c r="AK691" s="39"/>
    </row>
    <row r="692" spans="2:37" ht="15" customHeight="1" x14ac:dyDescent="0.25">
      <c r="B692" s="536" t="s">
        <v>1039</v>
      </c>
      <c r="C692" s="2060" t="s">
        <v>1375</v>
      </c>
      <c r="D692" s="2060"/>
      <c r="E692" s="2060"/>
      <c r="F692" s="2060"/>
      <c r="G692" s="537">
        <v>2.7189999999999999</v>
      </c>
      <c r="H692" s="3"/>
      <c r="I692" s="443"/>
      <c r="J692" s="376"/>
      <c r="L692" s="376"/>
      <c r="R692" s="376"/>
      <c r="T692" s="376"/>
      <c r="U692" s="3"/>
      <c r="W692" s="6"/>
      <c r="X692" s="6"/>
      <c r="AA692" s="3"/>
      <c r="AB692" s="5"/>
      <c r="AE692" s="4"/>
      <c r="AF692" s="4"/>
      <c r="AG692" s="4"/>
      <c r="AI692" s="39"/>
      <c r="AJ692" s="39"/>
      <c r="AK692" s="39"/>
    </row>
    <row r="693" spans="2:37" ht="15" customHeight="1" x14ac:dyDescent="0.25">
      <c r="B693" s="536" t="s">
        <v>1041</v>
      </c>
      <c r="C693" s="2060" t="s">
        <v>1376</v>
      </c>
      <c r="D693" s="2060"/>
      <c r="E693" s="2060"/>
      <c r="F693" s="2060"/>
      <c r="G693" s="537">
        <v>2.6880000000000002</v>
      </c>
      <c r="H693" s="3"/>
      <c r="I693" s="443"/>
      <c r="J693" s="376"/>
      <c r="L693" s="376"/>
      <c r="R693" s="376"/>
      <c r="T693" s="376"/>
      <c r="U693" s="3"/>
      <c r="W693" s="6"/>
      <c r="X693" s="6"/>
      <c r="AA693" s="3"/>
      <c r="AB693" s="5"/>
      <c r="AE693" s="4"/>
      <c r="AF693" s="4"/>
      <c r="AG693" s="4"/>
      <c r="AI693" s="39"/>
      <c r="AJ693" s="39"/>
      <c r="AK693" s="39"/>
    </row>
    <row r="694" spans="2:37" ht="15" customHeight="1" x14ac:dyDescent="0.25">
      <c r="B694" s="536" t="s">
        <v>1043</v>
      </c>
      <c r="C694" s="2060" t="s">
        <v>1377</v>
      </c>
      <c r="D694" s="2060"/>
      <c r="E694" s="2060"/>
      <c r="F694" s="2060"/>
      <c r="G694" s="537">
        <v>1.875</v>
      </c>
      <c r="H694" s="3"/>
      <c r="I694" s="443"/>
      <c r="J694" s="376"/>
      <c r="L694" s="376"/>
      <c r="R694" s="376"/>
      <c r="T694" s="376"/>
      <c r="U694" s="3"/>
      <c r="W694" s="6"/>
      <c r="X694" s="6"/>
      <c r="AA694" s="3"/>
      <c r="AB694" s="5"/>
      <c r="AE694" s="4"/>
      <c r="AF694" s="4"/>
      <c r="AG694" s="4"/>
      <c r="AI694" s="39"/>
      <c r="AJ694" s="39"/>
      <c r="AK694" s="39"/>
    </row>
    <row r="695" spans="2:37" ht="15" customHeight="1" x14ac:dyDescent="0.25">
      <c r="B695" s="536" t="s">
        <v>1045</v>
      </c>
      <c r="C695" s="2060" t="s">
        <v>1378</v>
      </c>
      <c r="D695" s="2060"/>
      <c r="E695" s="2060"/>
      <c r="F695" s="2060"/>
      <c r="G695" s="537">
        <v>2.125</v>
      </c>
      <c r="H695" s="3"/>
      <c r="I695" s="443"/>
      <c r="J695" s="376"/>
      <c r="L695" s="376"/>
      <c r="R695" s="376"/>
      <c r="T695" s="376"/>
      <c r="U695" s="3"/>
      <c r="W695" s="6"/>
      <c r="X695" s="6"/>
      <c r="AA695" s="3"/>
      <c r="AB695" s="5"/>
      <c r="AE695" s="4"/>
      <c r="AF695" s="4"/>
      <c r="AG695" s="4"/>
      <c r="AI695" s="39"/>
      <c r="AJ695" s="39"/>
      <c r="AK695" s="39"/>
    </row>
    <row r="696" spans="2:37" ht="15" customHeight="1" x14ac:dyDescent="0.25">
      <c r="B696" s="536" t="s">
        <v>1320</v>
      </c>
      <c r="C696" s="2060" t="s">
        <v>1379</v>
      </c>
      <c r="D696" s="2060"/>
      <c r="E696" s="2060"/>
      <c r="F696" s="2060"/>
      <c r="G696" s="537">
        <v>1.875</v>
      </c>
      <c r="H696" s="3"/>
      <c r="I696" s="443"/>
      <c r="J696" s="376"/>
      <c r="L696" s="376"/>
      <c r="R696" s="376"/>
      <c r="T696" s="376"/>
      <c r="U696" s="3"/>
      <c r="W696" s="6"/>
      <c r="X696" s="6"/>
      <c r="AA696" s="3"/>
      <c r="AB696" s="5"/>
      <c r="AE696" s="4"/>
      <c r="AF696" s="4"/>
      <c r="AG696" s="4"/>
      <c r="AI696" s="39"/>
      <c r="AJ696" s="39"/>
      <c r="AK696" s="39"/>
    </row>
    <row r="697" spans="2:37" ht="15" customHeight="1" x14ac:dyDescent="0.25">
      <c r="B697" s="536" t="s">
        <v>1322</v>
      </c>
      <c r="C697" s="2060" t="s">
        <v>1380</v>
      </c>
      <c r="D697" s="2060"/>
      <c r="E697" s="2060"/>
      <c r="F697" s="2060"/>
      <c r="G697" s="537">
        <v>2.125</v>
      </c>
      <c r="H697" s="3"/>
      <c r="I697" s="443"/>
      <c r="J697" s="376"/>
      <c r="L697" s="376"/>
      <c r="R697" s="376"/>
      <c r="T697" s="376"/>
      <c r="U697" s="3"/>
      <c r="W697" s="6"/>
      <c r="X697" s="6"/>
      <c r="AA697" s="3"/>
      <c r="AB697" s="5"/>
      <c r="AE697" s="4"/>
      <c r="AF697" s="4"/>
      <c r="AG697" s="4"/>
      <c r="AI697" s="39"/>
      <c r="AJ697" s="39"/>
      <c r="AK697" s="39"/>
    </row>
    <row r="698" spans="2:37" ht="15" customHeight="1" x14ac:dyDescent="0.25">
      <c r="B698" s="536" t="s">
        <v>1381</v>
      </c>
      <c r="C698" s="2060" t="s">
        <v>1382</v>
      </c>
      <c r="D698" s="2060"/>
      <c r="E698" s="2060"/>
      <c r="F698" s="2060"/>
      <c r="G698" s="537">
        <v>2.6880000000000002</v>
      </c>
      <c r="H698" s="3"/>
      <c r="I698" s="443"/>
      <c r="J698" s="376"/>
      <c r="L698" s="376"/>
      <c r="R698" s="376"/>
      <c r="T698" s="376"/>
      <c r="U698" s="3"/>
      <c r="W698" s="6"/>
      <c r="X698" s="6"/>
      <c r="AA698" s="3"/>
      <c r="AB698" s="5"/>
      <c r="AE698" s="4"/>
      <c r="AF698" s="4"/>
      <c r="AG698" s="4"/>
      <c r="AI698" s="39"/>
      <c r="AJ698" s="39"/>
      <c r="AK698" s="39"/>
    </row>
    <row r="699" spans="2:37" ht="15" customHeight="1" x14ac:dyDescent="0.25">
      <c r="B699" s="536" t="s">
        <v>1383</v>
      </c>
      <c r="C699" s="2060" t="s">
        <v>1384</v>
      </c>
      <c r="D699" s="2060"/>
      <c r="E699" s="2060"/>
      <c r="F699" s="2060"/>
      <c r="G699" s="537">
        <v>2.7189999999999999</v>
      </c>
      <c r="H699" s="3"/>
      <c r="I699" s="443"/>
      <c r="J699" s="376"/>
      <c r="L699" s="376"/>
      <c r="R699" s="376"/>
      <c r="T699" s="376"/>
      <c r="U699" s="3"/>
      <c r="W699" s="6"/>
      <c r="X699" s="6"/>
      <c r="AA699" s="3"/>
      <c r="AB699" s="5"/>
      <c r="AE699" s="4"/>
      <c r="AF699" s="4"/>
      <c r="AG699" s="4"/>
      <c r="AI699" s="39"/>
      <c r="AJ699" s="39"/>
      <c r="AK699" s="39"/>
    </row>
    <row r="700" spans="2:37" ht="15" customHeight="1" x14ac:dyDescent="0.25">
      <c r="B700" s="536" t="s">
        <v>1385</v>
      </c>
      <c r="C700" s="2060" t="s">
        <v>1386</v>
      </c>
      <c r="D700" s="2060"/>
      <c r="E700" s="2060"/>
      <c r="F700" s="2060"/>
      <c r="G700" s="537">
        <v>2.6880000000000002</v>
      </c>
      <c r="H700" s="3"/>
      <c r="I700" s="443"/>
      <c r="J700" s="376"/>
      <c r="L700" s="376"/>
      <c r="R700" s="376"/>
      <c r="T700" s="376"/>
      <c r="U700" s="3"/>
      <c r="W700" s="6"/>
      <c r="X700" s="6"/>
      <c r="AA700" s="3"/>
      <c r="AB700" s="5"/>
      <c r="AE700" s="4"/>
      <c r="AF700" s="4"/>
      <c r="AG700" s="4"/>
      <c r="AI700" s="39"/>
      <c r="AJ700" s="39"/>
      <c r="AK700" s="39"/>
    </row>
    <row r="701" spans="2:37" ht="15" customHeight="1" x14ac:dyDescent="0.25">
      <c r="B701" s="7" t="s">
        <v>1047</v>
      </c>
      <c r="C701" s="299"/>
      <c r="D701" s="452"/>
      <c r="E701" s="452"/>
      <c r="F701" s="452"/>
      <c r="G701" s="453"/>
      <c r="H701" s="3"/>
      <c r="I701" s="443"/>
      <c r="J701" s="376"/>
      <c r="L701" s="376"/>
      <c r="R701" s="376"/>
      <c r="T701" s="376"/>
      <c r="U701" s="3"/>
      <c r="W701" s="6"/>
      <c r="X701" s="6"/>
      <c r="AA701" s="3"/>
      <c r="AB701" s="5"/>
      <c r="AE701" s="4"/>
      <c r="AF701" s="4"/>
      <c r="AG701" s="4"/>
      <c r="AI701" s="39"/>
      <c r="AJ701" s="39"/>
      <c r="AK701" s="39"/>
    </row>
    <row r="702" spans="2:37" ht="15" customHeight="1" x14ac:dyDescent="0.25">
      <c r="B702" s="536" t="s">
        <v>1048</v>
      </c>
      <c r="C702" s="2060" t="s">
        <v>1387</v>
      </c>
      <c r="D702" s="2060"/>
      <c r="E702" s="2060"/>
      <c r="F702" s="2060"/>
      <c r="G702" s="537">
        <v>0.53100000000000003</v>
      </c>
      <c r="H702" s="538"/>
      <c r="I702" s="443"/>
      <c r="J702" s="376"/>
      <c r="L702" s="376"/>
      <c r="R702" s="376"/>
      <c r="T702" s="376"/>
      <c r="U702" s="3"/>
      <c r="W702" s="6"/>
      <c r="X702" s="6"/>
      <c r="AA702" s="3"/>
      <c r="AB702" s="5"/>
      <c r="AE702" s="4"/>
      <c r="AF702" s="4"/>
      <c r="AG702" s="4"/>
      <c r="AI702" s="39"/>
      <c r="AJ702" s="39"/>
      <c r="AK702" s="39"/>
    </row>
    <row r="703" spans="2:37" ht="15" customHeight="1" x14ac:dyDescent="0.25">
      <c r="B703" s="536" t="s">
        <v>1050</v>
      </c>
      <c r="C703" s="2060" t="s">
        <v>1388</v>
      </c>
      <c r="D703" s="2060"/>
      <c r="E703" s="2060"/>
      <c r="F703" s="2060"/>
      <c r="G703" s="537">
        <v>0.53100000000000003</v>
      </c>
      <c r="H703" s="538"/>
      <c r="I703" s="443"/>
      <c r="J703" s="376"/>
      <c r="L703" s="376"/>
      <c r="R703" s="376"/>
      <c r="T703" s="376"/>
      <c r="U703" s="3"/>
      <c r="W703" s="6"/>
      <c r="X703" s="6"/>
      <c r="AA703" s="3"/>
      <c r="AB703" s="5"/>
      <c r="AE703" s="4"/>
      <c r="AF703" s="4"/>
      <c r="AG703" s="4"/>
      <c r="AI703" s="39"/>
      <c r="AJ703" s="39"/>
      <c r="AK703" s="39"/>
    </row>
    <row r="704" spans="2:37" ht="15" customHeight="1" x14ac:dyDescent="0.25">
      <c r="B704" s="536" t="s">
        <v>1052</v>
      </c>
      <c r="C704" s="2060" t="s">
        <v>1389</v>
      </c>
      <c r="D704" s="2060"/>
      <c r="E704" s="2060"/>
      <c r="F704" s="2060"/>
      <c r="G704" s="537">
        <v>0.53100000000000003</v>
      </c>
      <c r="H704" s="538"/>
      <c r="I704" s="443"/>
      <c r="J704" s="376"/>
      <c r="L704" s="376"/>
      <c r="R704" s="376"/>
      <c r="T704" s="376"/>
      <c r="U704" s="3"/>
      <c r="W704" s="6"/>
      <c r="X704" s="6"/>
      <c r="AA704" s="3"/>
      <c r="AB704" s="5"/>
      <c r="AE704" s="4"/>
      <c r="AF704" s="4"/>
      <c r="AG704" s="4"/>
      <c r="AI704" s="39"/>
      <c r="AJ704" s="39"/>
      <c r="AK704" s="39"/>
    </row>
    <row r="705" spans="2:37" ht="15" customHeight="1" x14ac:dyDescent="0.25">
      <c r="B705" s="536" t="s">
        <v>1054</v>
      </c>
      <c r="C705" s="2060" t="s">
        <v>1390</v>
      </c>
      <c r="D705" s="2060"/>
      <c r="E705" s="2060"/>
      <c r="F705" s="2060"/>
      <c r="G705" s="537">
        <v>0.53100000000000003</v>
      </c>
      <c r="H705" s="538"/>
      <c r="I705" s="443"/>
      <c r="J705" s="376"/>
      <c r="L705" s="376"/>
      <c r="R705" s="376"/>
      <c r="T705" s="376"/>
      <c r="U705" s="3"/>
      <c r="W705" s="6"/>
      <c r="X705" s="6"/>
      <c r="AA705" s="3"/>
      <c r="AB705" s="5"/>
      <c r="AE705" s="4"/>
      <c r="AF705" s="4"/>
      <c r="AG705" s="4"/>
      <c r="AI705" s="39"/>
      <c r="AJ705" s="39"/>
      <c r="AK705" s="39"/>
    </row>
    <row r="706" spans="2:37" ht="15" customHeight="1" x14ac:dyDescent="0.25">
      <c r="B706" s="536" t="s">
        <v>1056</v>
      </c>
      <c r="C706" s="2060" t="s">
        <v>1391</v>
      </c>
      <c r="D706" s="2060"/>
      <c r="E706" s="2060"/>
      <c r="F706" s="2060"/>
      <c r="G706" s="537">
        <v>0.438</v>
      </c>
      <c r="H706" s="538"/>
      <c r="I706" s="443"/>
      <c r="J706" s="376"/>
      <c r="L706" s="376"/>
      <c r="R706" s="376"/>
      <c r="T706" s="376"/>
      <c r="U706" s="3"/>
      <c r="W706" s="6"/>
      <c r="X706" s="6"/>
      <c r="AA706" s="3"/>
      <c r="AB706" s="5"/>
      <c r="AE706" s="4"/>
      <c r="AF706" s="4"/>
      <c r="AG706" s="4"/>
      <c r="AI706" s="39"/>
      <c r="AJ706" s="39"/>
      <c r="AK706" s="39"/>
    </row>
    <row r="707" spans="2:37" ht="15" customHeight="1" x14ac:dyDescent="0.25">
      <c r="B707" s="536" t="s">
        <v>1058</v>
      </c>
      <c r="C707" s="2060" t="s">
        <v>1392</v>
      </c>
      <c r="D707" s="2060"/>
      <c r="E707" s="2060"/>
      <c r="F707" s="2060"/>
      <c r="G707" s="537">
        <v>0.438</v>
      </c>
      <c r="H707" s="538"/>
      <c r="I707" s="443"/>
      <c r="J707" s="376"/>
      <c r="L707" s="376"/>
      <c r="R707" s="376"/>
      <c r="T707" s="376"/>
      <c r="U707" s="3"/>
      <c r="W707" s="6"/>
      <c r="X707" s="6"/>
      <c r="AA707" s="3"/>
      <c r="AB707" s="5"/>
      <c r="AE707" s="4"/>
      <c r="AF707" s="4"/>
      <c r="AG707" s="4"/>
      <c r="AI707" s="3"/>
      <c r="AJ707" s="3"/>
      <c r="AK707" s="3"/>
    </row>
    <row r="708" spans="2:37" ht="15" customHeight="1" x14ac:dyDescent="0.25">
      <c r="B708" s="536" t="s">
        <v>1330</v>
      </c>
      <c r="C708" s="2060" t="s">
        <v>1393</v>
      </c>
      <c r="D708" s="2060"/>
      <c r="E708" s="2060"/>
      <c r="F708" s="2060"/>
      <c r="G708" s="537">
        <v>0.438</v>
      </c>
      <c r="H708" s="538"/>
      <c r="I708" s="443"/>
      <c r="J708" s="376"/>
      <c r="L708" s="376"/>
      <c r="R708" s="376"/>
      <c r="T708" s="376"/>
      <c r="U708" s="3"/>
      <c r="W708" s="6"/>
      <c r="X708" s="6"/>
      <c r="AA708" s="3"/>
      <c r="AB708" s="5"/>
      <c r="AE708" s="4"/>
      <c r="AF708" s="4"/>
      <c r="AG708" s="4"/>
      <c r="AI708" s="3"/>
      <c r="AJ708" s="3"/>
      <c r="AK708" s="3"/>
    </row>
    <row r="709" spans="2:37" ht="15" customHeight="1" x14ac:dyDescent="0.25">
      <c r="B709" s="536" t="s">
        <v>1332</v>
      </c>
      <c r="C709" s="2060" t="s">
        <v>1394</v>
      </c>
      <c r="D709" s="2060"/>
      <c r="E709" s="2060"/>
      <c r="F709" s="2060"/>
      <c r="G709" s="537">
        <v>0.438</v>
      </c>
      <c r="H709" s="538"/>
      <c r="I709" s="443"/>
      <c r="J709" s="376"/>
      <c r="L709" s="376"/>
      <c r="R709" s="376"/>
      <c r="T709" s="376"/>
      <c r="U709" s="3"/>
      <c r="W709" s="6"/>
      <c r="X709" s="6"/>
      <c r="AA709" s="3"/>
      <c r="AB709" s="5"/>
      <c r="AE709" s="4"/>
      <c r="AF709" s="4"/>
      <c r="AG709" s="4"/>
      <c r="AI709" s="39"/>
      <c r="AJ709" s="39"/>
      <c r="AK709" s="39"/>
    </row>
    <row r="710" spans="2:37" ht="15" customHeight="1" x14ac:dyDescent="0.25">
      <c r="B710" s="536" t="s">
        <v>1395</v>
      </c>
      <c r="C710" s="2060" t="s">
        <v>1396</v>
      </c>
      <c r="D710" s="2060"/>
      <c r="E710" s="2060"/>
      <c r="F710" s="2060"/>
      <c r="G710" s="537">
        <v>0.53100000000000003</v>
      </c>
      <c r="H710" s="538"/>
      <c r="I710" s="443"/>
      <c r="J710" s="376"/>
      <c r="L710" s="376"/>
      <c r="R710" s="376"/>
      <c r="T710" s="376"/>
      <c r="U710" s="3"/>
      <c r="W710" s="6"/>
      <c r="X710" s="6"/>
      <c r="AA710" s="3"/>
      <c r="AB710" s="5"/>
      <c r="AE710" s="4"/>
      <c r="AF710" s="4"/>
      <c r="AG710" s="4"/>
      <c r="AI710" s="39"/>
      <c r="AJ710" s="39"/>
      <c r="AK710" s="39"/>
    </row>
    <row r="711" spans="2:37" ht="15" customHeight="1" x14ac:dyDescent="0.25">
      <c r="B711" s="536" t="s">
        <v>1397</v>
      </c>
      <c r="C711" s="2060" t="s">
        <v>1398</v>
      </c>
      <c r="D711" s="2060"/>
      <c r="E711" s="2060"/>
      <c r="F711" s="2060"/>
      <c r="G711" s="537">
        <v>0.53100000000000003</v>
      </c>
      <c r="H711" s="538"/>
      <c r="I711" s="443"/>
      <c r="J711" s="376"/>
      <c r="L711" s="376"/>
      <c r="R711" s="376"/>
      <c r="T711" s="376"/>
      <c r="U711" s="3"/>
      <c r="W711" s="6"/>
      <c r="X711" s="6"/>
      <c r="AA711" s="3"/>
      <c r="AB711" s="5"/>
      <c r="AE711" s="4"/>
      <c r="AF711" s="4"/>
      <c r="AG711" s="4"/>
      <c r="AI711" s="39"/>
      <c r="AJ711" s="39"/>
      <c r="AK711" s="39"/>
    </row>
    <row r="712" spans="2:37" ht="15" customHeight="1" x14ac:dyDescent="0.25">
      <c r="B712" s="536" t="s">
        <v>1399</v>
      </c>
      <c r="C712" s="2060" t="s">
        <v>1400</v>
      </c>
      <c r="D712" s="2060"/>
      <c r="E712" s="2060"/>
      <c r="F712" s="2060"/>
      <c r="G712" s="537">
        <v>0.53100000000000003</v>
      </c>
      <c r="H712" s="538"/>
      <c r="I712" s="443"/>
      <c r="J712" s="376"/>
      <c r="L712" s="376"/>
      <c r="R712" s="376"/>
      <c r="T712" s="376"/>
      <c r="U712" s="3"/>
      <c r="W712" s="6"/>
      <c r="X712" s="6"/>
      <c r="AA712" s="3"/>
      <c r="AB712" s="5"/>
      <c r="AE712" s="4"/>
      <c r="AF712" s="4"/>
      <c r="AG712" s="4"/>
      <c r="AI712" s="39"/>
      <c r="AJ712" s="39"/>
      <c r="AK712" s="39"/>
    </row>
    <row r="713" spans="2:37" ht="15" customHeight="1" x14ac:dyDescent="0.25">
      <c r="B713" s="536" t="s">
        <v>1401</v>
      </c>
      <c r="C713" s="2060" t="s">
        <v>1402</v>
      </c>
      <c r="D713" s="2060"/>
      <c r="E713" s="2060"/>
      <c r="F713" s="2060"/>
      <c r="G713" s="537">
        <v>0.53100000000000003</v>
      </c>
      <c r="H713" s="538"/>
      <c r="I713" s="443"/>
      <c r="J713" s="376"/>
      <c r="L713" s="376"/>
      <c r="R713" s="376"/>
      <c r="T713" s="376"/>
      <c r="U713" s="3"/>
      <c r="W713" s="6"/>
      <c r="X713" s="6"/>
      <c r="AA713" s="3"/>
      <c r="AB713" s="5"/>
      <c r="AE713" s="4"/>
      <c r="AF713" s="4"/>
      <c r="AG713" s="4"/>
      <c r="AI713" s="39"/>
      <c r="AJ713" s="39"/>
      <c r="AK713" s="39"/>
    </row>
    <row r="714" spans="2:37" ht="15" customHeight="1" x14ac:dyDescent="0.25">
      <c r="B714" s="130"/>
      <c r="C714" s="298"/>
      <c r="D714" s="122"/>
      <c r="E714" s="122"/>
      <c r="F714" s="122"/>
      <c r="G714" s="123"/>
      <c r="H714" s="3"/>
      <c r="I714" s="443"/>
      <c r="J714" s="376"/>
      <c r="L714" s="376"/>
      <c r="R714" s="376"/>
      <c r="T714" s="376"/>
      <c r="U714" s="3"/>
      <c r="W714" s="6"/>
      <c r="X714" s="6"/>
      <c r="AA714" s="3"/>
      <c r="AB714" s="5"/>
      <c r="AE714" s="4"/>
      <c r="AF714" s="4"/>
      <c r="AG714" s="4"/>
      <c r="AI714" s="39"/>
      <c r="AJ714" s="39"/>
      <c r="AK714" s="39"/>
    </row>
    <row r="715" spans="2:37" ht="15" customHeight="1" x14ac:dyDescent="0.25">
      <c r="B715" s="3"/>
      <c r="C715" s="303"/>
      <c r="D715" s="452"/>
      <c r="E715" s="452"/>
      <c r="F715" s="452"/>
      <c r="G715" s="453"/>
      <c r="H715" s="3"/>
      <c r="I715" s="443"/>
      <c r="J715" s="376"/>
      <c r="L715" s="376"/>
      <c r="R715" s="376"/>
      <c r="T715" s="376"/>
      <c r="U715" s="3"/>
      <c r="W715" s="6"/>
      <c r="X715" s="6"/>
      <c r="AA715" s="3"/>
      <c r="AB715" s="5"/>
      <c r="AE715" s="4"/>
      <c r="AF715" s="4"/>
      <c r="AG715" s="4"/>
      <c r="AI715" s="39"/>
      <c r="AJ715" s="39"/>
      <c r="AK715" s="39"/>
    </row>
    <row r="716" spans="2:37" ht="15" customHeight="1" x14ac:dyDescent="0.25">
      <c r="B716" s="3"/>
      <c r="C716" s="299"/>
      <c r="D716" s="452"/>
      <c r="E716" s="452"/>
      <c r="F716" s="452"/>
      <c r="G716" s="453"/>
      <c r="H716" s="3"/>
      <c r="I716" s="443"/>
      <c r="J716" s="376"/>
      <c r="L716" s="376"/>
      <c r="R716" s="376"/>
      <c r="T716" s="376"/>
      <c r="U716" s="3"/>
      <c r="W716" s="6"/>
      <c r="X716" s="6"/>
      <c r="AA716" s="3"/>
      <c r="AB716" s="5"/>
      <c r="AE716" s="4"/>
      <c r="AF716" s="4"/>
      <c r="AG716" s="4"/>
      <c r="AI716" s="39"/>
      <c r="AJ716" s="39"/>
      <c r="AK716" s="39"/>
    </row>
    <row r="717" spans="2:37" ht="15" customHeight="1" x14ac:dyDescent="0.4">
      <c r="B717" s="2055" t="s">
        <v>1060</v>
      </c>
      <c r="C717" s="2055"/>
      <c r="D717" s="2055"/>
      <c r="E717" s="2055"/>
      <c r="F717" s="2055"/>
      <c r="G717" s="2055"/>
      <c r="H717" s="3"/>
      <c r="I717" s="443"/>
      <c r="J717" s="376"/>
      <c r="L717" s="376"/>
      <c r="R717" s="376"/>
      <c r="T717" s="376"/>
      <c r="U717" s="3"/>
      <c r="W717" s="6"/>
      <c r="X717" s="6"/>
      <c r="AA717" s="3"/>
      <c r="AB717" s="5"/>
      <c r="AE717" s="4"/>
      <c r="AF717" s="4"/>
      <c r="AG717" s="4"/>
      <c r="AI717" s="39"/>
      <c r="AJ717" s="39"/>
      <c r="AK717" s="39"/>
    </row>
    <row r="718" spans="2:37" ht="15" customHeight="1" x14ac:dyDescent="0.4">
      <c r="B718" s="2056"/>
      <c r="C718" s="2056"/>
      <c r="D718" s="2056"/>
      <c r="E718" s="2056"/>
      <c r="F718" s="2056"/>
      <c r="G718" s="2056"/>
      <c r="H718" s="3"/>
      <c r="I718" s="539" t="s">
        <v>2334</v>
      </c>
      <c r="J718" s="528"/>
      <c r="K718" s="438"/>
      <c r="L718" s="528"/>
      <c r="M718" s="530" t="s">
        <v>1428</v>
      </c>
      <c r="N718" s="530"/>
      <c r="O718" s="530"/>
      <c r="P718" s="530" t="s">
        <v>348</v>
      </c>
      <c r="Q718" s="529">
        <v>-1.5</v>
      </c>
      <c r="R718" s="528" t="s">
        <v>352</v>
      </c>
      <c r="S718" s="530">
        <f>SLQHQwidth/4+Q718</f>
        <v>16.375</v>
      </c>
      <c r="T718" s="528"/>
      <c r="U718" s="3"/>
      <c r="X718" s="6"/>
      <c r="Y718" s="44"/>
      <c r="Z718" s="44"/>
      <c r="AA718" s="3"/>
      <c r="AB718" s="5"/>
      <c r="AE718" s="4"/>
      <c r="AF718" s="4"/>
      <c r="AG718" s="4"/>
      <c r="AI718" s="39"/>
      <c r="AJ718" s="39"/>
      <c r="AK718" s="39"/>
    </row>
    <row r="719" spans="2:37" ht="15" customHeight="1" x14ac:dyDescent="0.25">
      <c r="B719" s="525" t="s">
        <v>319</v>
      </c>
      <c r="C719" s="296"/>
      <c r="D719" s="526"/>
      <c r="E719" s="526"/>
      <c r="F719" s="526"/>
      <c r="G719" s="527"/>
      <c r="H719" s="438"/>
      <c r="I719" s="534"/>
      <c r="J719" s="528"/>
      <c r="K719" s="438"/>
      <c r="L719" s="528"/>
      <c r="M719" s="530"/>
      <c r="N719" s="530"/>
      <c r="O719" s="530"/>
      <c r="P719" s="530"/>
      <c r="Q719" s="530"/>
      <c r="R719" s="528"/>
      <c r="S719" s="529">
        <v>0</v>
      </c>
      <c r="T719" s="528" t="s">
        <v>366</v>
      </c>
      <c r="U719" s="3"/>
      <c r="W719" s="6"/>
      <c r="X719" s="6"/>
      <c r="AA719" s="3"/>
      <c r="AB719" s="5"/>
      <c r="AE719" s="4"/>
      <c r="AF719" s="4"/>
      <c r="AG719" s="4"/>
      <c r="AI719" s="39"/>
      <c r="AJ719" s="39"/>
      <c r="AK719" s="39"/>
    </row>
    <row r="720" spans="2:37" ht="15" customHeight="1" x14ac:dyDescent="0.25">
      <c r="B720" s="525"/>
      <c r="C720" s="296"/>
      <c r="D720" s="526"/>
      <c r="E720" s="526"/>
      <c r="F720" s="526"/>
      <c r="G720" s="527"/>
      <c r="H720" s="438"/>
      <c r="I720" s="540" t="s">
        <v>1336</v>
      </c>
      <c r="J720" s="528"/>
      <c r="K720" s="438"/>
      <c r="L720" s="528" t="s">
        <v>456</v>
      </c>
      <c r="M720" s="539" t="s">
        <v>2334</v>
      </c>
      <c r="N720" s="541"/>
      <c r="O720" s="541"/>
      <c r="P720" s="530"/>
      <c r="Q720" s="530"/>
      <c r="R720" s="528" t="s">
        <v>352</v>
      </c>
      <c r="S720" s="529"/>
      <c r="T720" s="528" t="s">
        <v>366</v>
      </c>
      <c r="U720" s="3"/>
      <c r="W720" s="6"/>
      <c r="X720" s="6"/>
      <c r="AA720" s="3"/>
      <c r="AB720" s="5"/>
      <c r="AE720" s="4"/>
      <c r="AF720" s="4"/>
      <c r="AG720" s="4"/>
      <c r="AI720" s="39"/>
      <c r="AJ720" s="39"/>
      <c r="AK720" s="39"/>
    </row>
    <row r="721" spans="2:38" ht="15" customHeight="1" x14ac:dyDescent="0.25">
      <c r="C721" s="299"/>
      <c r="D721" s="452"/>
      <c r="E721" s="452"/>
      <c r="F721" s="452"/>
      <c r="G721" s="453"/>
      <c r="H721" s="3"/>
      <c r="I721" s="443"/>
      <c r="J721" s="376"/>
      <c r="L721" s="376"/>
      <c r="R721" s="376"/>
      <c r="S721" s="5">
        <f>LOOKUP(E8,$B$719:$B$720,$S$719:$S$720)</f>
        <v>0</v>
      </c>
      <c r="U721" s="3"/>
      <c r="W721" s="6"/>
      <c r="X721" s="6"/>
      <c r="AA721" s="3"/>
      <c r="AB721" s="5"/>
      <c r="AE721" s="4"/>
      <c r="AF721" s="4"/>
      <c r="AG721" s="4"/>
      <c r="AI721" s="39"/>
      <c r="AJ721" s="39"/>
      <c r="AK721" s="39"/>
    </row>
    <row r="722" spans="2:38" ht="15" customHeight="1" x14ac:dyDescent="0.25">
      <c r="C722" s="299"/>
      <c r="D722" s="452"/>
      <c r="E722" s="452"/>
      <c r="F722" s="452"/>
      <c r="G722" s="453"/>
      <c r="H722" s="3"/>
      <c r="I722" s="443"/>
      <c r="J722" s="376"/>
      <c r="L722" s="376"/>
      <c r="R722" s="461" t="s">
        <v>1074</v>
      </c>
      <c r="S722" s="535">
        <f>SIGN(S721)*INT(ABS(S721*16))/16</f>
        <v>0</v>
      </c>
      <c r="T722" s="470" t="s">
        <v>1404</v>
      </c>
      <c r="U722" s="3"/>
      <c r="W722" s="6"/>
      <c r="X722" s="6"/>
      <c r="AA722" s="3"/>
      <c r="AB722" s="5"/>
      <c r="AE722" s="4"/>
      <c r="AF722" s="4"/>
      <c r="AG722" s="4"/>
      <c r="AI722" s="39"/>
      <c r="AJ722" s="39"/>
      <c r="AK722" s="39"/>
    </row>
    <row r="723" spans="2:38" ht="15" customHeight="1" x14ac:dyDescent="0.4">
      <c r="H723" s="3"/>
      <c r="U723" s="3"/>
      <c r="AA723" s="3"/>
      <c r="AI723" s="39"/>
      <c r="AJ723" s="39"/>
      <c r="AK723" s="39"/>
    </row>
    <row r="724" spans="2:38" ht="15" customHeight="1" x14ac:dyDescent="0.4">
      <c r="H724" s="3"/>
      <c r="U724" s="3"/>
      <c r="AA724" s="3"/>
      <c r="AI724" s="39"/>
      <c r="AJ724" s="39"/>
      <c r="AK724" s="39"/>
    </row>
    <row r="725" spans="2:38" ht="15" customHeight="1" x14ac:dyDescent="0.4">
      <c r="H725" s="3"/>
      <c r="U725" s="3"/>
      <c r="AA725" s="3"/>
      <c r="AI725" s="39"/>
      <c r="AJ725" s="39"/>
      <c r="AK725" s="39"/>
    </row>
    <row r="726" spans="2:38" ht="15" customHeight="1" x14ac:dyDescent="0.4">
      <c r="H726" s="3"/>
      <c r="U726" s="3"/>
      <c r="AA726" s="3"/>
      <c r="AI726" s="39"/>
      <c r="AJ726" s="39"/>
      <c r="AK726" s="39"/>
    </row>
    <row r="727" spans="2:38" ht="15" customHeight="1" x14ac:dyDescent="0.4">
      <c r="C727" s="561" t="s">
        <v>2152</v>
      </c>
      <c r="D727" s="36"/>
      <c r="E727" s="3"/>
      <c r="F727" s="3"/>
      <c r="G727" s="3"/>
      <c r="H727" s="3"/>
      <c r="U727" s="3"/>
      <c r="AA727" s="3"/>
      <c r="AI727" s="39"/>
      <c r="AJ727" s="39"/>
      <c r="AK727" s="39"/>
    </row>
    <row r="728" spans="2:38" ht="15" customHeight="1" thickBot="1" x14ac:dyDescent="0.45">
      <c r="C728" s="452" t="s">
        <v>2112</v>
      </c>
      <c r="D728" s="36" t="s">
        <v>2113</v>
      </c>
      <c r="E728" s="3"/>
      <c r="F728" s="3"/>
      <c r="G728" s="3"/>
      <c r="H728" s="3"/>
      <c r="U728" s="3"/>
      <c r="AA728" s="3"/>
      <c r="AI728" s="39"/>
      <c r="AJ728" s="39"/>
      <c r="AK728" s="39"/>
    </row>
    <row r="729" spans="2:38" ht="15" customHeight="1" x14ac:dyDescent="0.25">
      <c r="B729" s="3">
        <v>1</v>
      </c>
      <c r="C729" s="1827">
        <f>IF('SH Sash &amp; unit Weight'!D61&lt;&gt;"",'SH Sash &amp; unit Weight'!D61,"")</f>
        <v>1.7361111111111112E-2</v>
      </c>
      <c r="D729" s="362" t="str">
        <f>IF('SH Sash &amp; unit Weight'!F61&lt;&gt;"",'SH Sash &amp; unit Weight'!F61,"")</f>
        <v>01-Double: 2.5mm &amp; 2.5mm</v>
      </c>
      <c r="E729" s="362"/>
      <c r="F729" s="362"/>
      <c r="G729" s="116"/>
      <c r="H729" s="66"/>
      <c r="I729" s="5"/>
      <c r="J729" s="5"/>
      <c r="U729" s="3"/>
      <c r="AA729" s="3"/>
      <c r="AI729" s="39"/>
      <c r="AJ729" s="39"/>
      <c r="AK729" s="39"/>
    </row>
    <row r="730" spans="2:38" ht="15" customHeight="1" x14ac:dyDescent="0.25">
      <c r="B730" s="3">
        <v>2</v>
      </c>
      <c r="C730" s="1828">
        <f>IF('SH Sash &amp; unit Weight'!D62&lt;&gt;"",'SH Sash &amp; unit Weight'!D62,"")</f>
        <v>2.3194444444444445E-2</v>
      </c>
      <c r="D730" s="364" t="str">
        <f>IF('SH Sash &amp; unit Weight'!F62&lt;&gt;"",'SH Sash &amp; unit Weight'!F62,"")</f>
        <v>02-Double: 3mm &amp; 3mm</v>
      </c>
      <c r="E730" s="364"/>
      <c r="F730" s="364"/>
      <c r="G730" s="3"/>
      <c r="H730" s="64"/>
      <c r="I730" s="5"/>
      <c r="J730" s="5"/>
      <c r="U730" s="3"/>
      <c r="AA730" s="3"/>
      <c r="AI730" s="39"/>
      <c r="AJ730" s="39"/>
      <c r="AK730" s="39"/>
    </row>
    <row r="731" spans="2:38" ht="15" customHeight="1" x14ac:dyDescent="0.25">
      <c r="B731" s="3">
        <v>3</v>
      </c>
      <c r="C731" s="1828">
        <f>IF('SH Sash &amp; unit Weight'!D63&lt;&gt;"",'SH Sash &amp; unit Weight'!D63,"")</f>
        <v>2.6249999999999999E-2</v>
      </c>
      <c r="D731" s="364" t="str">
        <f>IF('SH Sash &amp; unit Weight'!F63&lt;&gt;"",'SH Sash &amp; unit Weight'!F63,"")</f>
        <v>03-Double: 3mm &amp; 4mm</v>
      </c>
      <c r="E731" s="364"/>
      <c r="F731" s="364"/>
      <c r="G731" s="3"/>
      <c r="H731" s="64"/>
      <c r="I731" s="5"/>
      <c r="J731" s="5"/>
      <c r="U731" s="3"/>
      <c r="AA731" s="3"/>
      <c r="AB731" s="5"/>
      <c r="AC731" s="5"/>
      <c r="AF731" s="51"/>
      <c r="AG731" s="39"/>
      <c r="AH731" s="5"/>
      <c r="AI731" s="39"/>
      <c r="AJ731" s="39"/>
      <c r="AK731" s="39"/>
      <c r="AL731" s="3"/>
    </row>
    <row r="732" spans="2:38" ht="15" customHeight="1" x14ac:dyDescent="0.25">
      <c r="B732" s="3">
        <v>4</v>
      </c>
      <c r="C732" s="1828">
        <f>IF('SH Sash &amp; unit Weight'!D64&lt;&gt;"",'SH Sash &amp; unit Weight'!D64,"")</f>
        <v>2.8958333333333332E-2</v>
      </c>
      <c r="D732" s="364" t="str">
        <f>IF('SH Sash &amp; unit Weight'!F64&lt;&gt;"",'SH Sash &amp; unit Weight'!F64,"")</f>
        <v>04-Double: 3mm &amp; 5mm - Regal</v>
      </c>
      <c r="E732" s="364"/>
      <c r="F732" s="364"/>
      <c r="G732" s="3"/>
      <c r="H732" s="64"/>
      <c r="I732" s="5"/>
      <c r="J732" s="5"/>
      <c r="U732" s="3"/>
      <c r="AA732" s="3"/>
      <c r="AB732" s="5"/>
      <c r="AC732" s="5"/>
      <c r="AF732" s="51"/>
      <c r="AG732" s="39"/>
      <c r="AH732" s="5"/>
      <c r="AI732" s="39"/>
      <c r="AJ732" s="39"/>
      <c r="AK732" s="39"/>
      <c r="AL732" s="3"/>
    </row>
    <row r="733" spans="2:38" ht="15" customHeight="1" x14ac:dyDescent="0.25">
      <c r="B733" s="3">
        <v>5</v>
      </c>
      <c r="C733" s="1828">
        <f>IF('SH Sash &amp; unit Weight'!D65&lt;&gt;"",'SH Sash &amp; unit Weight'!D65,"")</f>
        <v>2.8958333333333332E-2</v>
      </c>
      <c r="D733" s="364" t="str">
        <f>IF('SH Sash &amp; unit Weight'!F65&lt;&gt;"",'SH Sash &amp; unit Weight'!F65,"")</f>
        <v>05-Double: 3mm &amp; 5mm - Sound</v>
      </c>
      <c r="E733" s="364"/>
      <c r="F733" s="364"/>
      <c r="G733" s="3"/>
      <c r="H733" s="64"/>
      <c r="I733" s="5"/>
      <c r="J733" s="5"/>
      <c r="U733" s="3"/>
      <c r="AA733" s="3"/>
      <c r="AB733" s="5"/>
      <c r="AC733" s="5"/>
      <c r="AF733" s="51"/>
      <c r="AG733" s="39"/>
      <c r="AH733" s="5"/>
      <c r="AI733" s="39"/>
      <c r="AJ733" s="39"/>
      <c r="AK733" s="39"/>
      <c r="AL733" s="3"/>
    </row>
    <row r="734" spans="2:38" ht="15" customHeight="1" x14ac:dyDescent="0.25">
      <c r="B734" s="3">
        <v>6</v>
      </c>
      <c r="C734" s="1828">
        <f>IF('SH Sash &amp; unit Weight'!D66&lt;&gt;"",'SH Sash &amp; unit Weight'!D66,"")</f>
        <v>2.8750000000000005E-2</v>
      </c>
      <c r="D734" s="364" t="str">
        <f>IF('SH Sash &amp; unit Weight'!F66&lt;&gt;"",'SH Sash &amp; unit Weight'!F66,"")</f>
        <v>06-Double: 2.5mm &amp; 6mm - Spandrel</v>
      </c>
      <c r="E734" s="364"/>
      <c r="F734" s="364"/>
      <c r="G734" s="3"/>
      <c r="H734" s="64"/>
      <c r="I734" s="5"/>
      <c r="J734" s="5"/>
      <c r="U734" s="3"/>
      <c r="AA734" s="3"/>
      <c r="AB734" s="5"/>
      <c r="AC734" s="5"/>
      <c r="AF734" s="51"/>
      <c r="AG734" s="39"/>
      <c r="AH734" s="5"/>
      <c r="AI734" s="39"/>
      <c r="AJ734" s="39"/>
      <c r="AK734" s="39"/>
      <c r="AL734" s="3"/>
    </row>
    <row r="735" spans="2:38" ht="15" customHeight="1" x14ac:dyDescent="0.25">
      <c r="B735" s="3">
        <v>7</v>
      </c>
      <c r="C735" s="1828">
        <f>IF('SH Sash &amp; unit Weight'!D67&lt;&gt;"",'SH Sash &amp; unit Weight'!D67,"")</f>
        <v>3.2069444444444449E-2</v>
      </c>
      <c r="D735" s="364" t="str">
        <f>IF('SH Sash &amp; unit Weight'!F67&lt;&gt;"",'SH Sash &amp; unit Weight'!F67,"")</f>
        <v>07-Double: 3mm &amp; 6mm Lami - Sound</v>
      </c>
      <c r="E735" s="364"/>
      <c r="F735" s="364"/>
      <c r="G735" s="3"/>
      <c r="H735" s="64"/>
      <c r="I735" s="5"/>
      <c r="J735" s="5"/>
      <c r="U735" s="3"/>
      <c r="AA735" s="3"/>
      <c r="AB735" s="5"/>
      <c r="AC735" s="5"/>
      <c r="AF735" s="51"/>
      <c r="AG735" s="39"/>
      <c r="AH735" s="5"/>
      <c r="AI735" s="39"/>
      <c r="AJ735" s="39"/>
      <c r="AK735" s="39"/>
      <c r="AL735" s="3"/>
    </row>
    <row r="736" spans="2:38" ht="15" customHeight="1" x14ac:dyDescent="0.25">
      <c r="B736" s="3">
        <v>8</v>
      </c>
      <c r="C736" s="1828">
        <f>IF('SH Sash &amp; unit Weight'!D68&lt;&gt;"",'SH Sash &amp; unit Weight'!D68,"")</f>
        <v>3.9930555555555552E-2</v>
      </c>
      <c r="D736" s="364" t="str">
        <f>IF('SH Sash &amp; unit Weight'!F68&lt;&gt;"",'SH Sash &amp; unit Weight'!F68,"")</f>
        <v>08-Double: 3mm &amp; 8.5mm Lami - IMPACT</v>
      </c>
      <c r="E736" s="364"/>
      <c r="F736" s="364"/>
      <c r="G736" s="3"/>
      <c r="H736" s="64"/>
      <c r="I736" s="5"/>
      <c r="J736" s="5"/>
      <c r="U736" s="3"/>
      <c r="AA736" s="3"/>
      <c r="AB736" s="5"/>
      <c r="AC736" s="5"/>
      <c r="AF736" s="51"/>
      <c r="AG736" s="39"/>
      <c r="AH736" s="5"/>
      <c r="AI736" s="39"/>
      <c r="AJ736" s="39"/>
      <c r="AK736" s="39"/>
      <c r="AL736" s="3"/>
    </row>
    <row r="737" spans="2:38" ht="15" customHeight="1" x14ac:dyDescent="0.25">
      <c r="B737" s="3">
        <v>9</v>
      </c>
      <c r="C737" s="1828">
        <f>IF('SH Sash &amp; unit Weight'!D69&lt;&gt;"",'SH Sash &amp; unit Weight'!D69,"")</f>
        <v>2.9305555555555553E-2</v>
      </c>
      <c r="D737" s="364" t="str">
        <f>IF('SH Sash &amp; unit Weight'!F69&lt;&gt;"",'SH Sash &amp; unit Weight'!F69,"")</f>
        <v>09-Double: 4mm &amp; 4mm</v>
      </c>
      <c r="E737" s="364"/>
      <c r="F737" s="364"/>
      <c r="G737" s="3"/>
      <c r="H737" s="64"/>
      <c r="I737" s="5"/>
      <c r="J737" s="5"/>
      <c r="U737" s="3"/>
      <c r="AA737" s="3"/>
      <c r="AB737" s="5"/>
      <c r="AC737" s="5"/>
      <c r="AF737" s="51"/>
      <c r="AG737" s="39"/>
      <c r="AH737" s="5"/>
      <c r="AI737" s="39"/>
      <c r="AJ737" s="39"/>
      <c r="AK737" s="39"/>
      <c r="AL737" s="3"/>
    </row>
    <row r="738" spans="2:38" ht="15" customHeight="1" x14ac:dyDescent="0.25">
      <c r="B738" s="3">
        <v>10</v>
      </c>
      <c r="C738" s="1828">
        <f>IF('SH Sash &amp; unit Weight'!D70&lt;&gt;"",'SH Sash &amp; unit Weight'!D70,"")</f>
        <v>3.4722222222222224E-2</v>
      </c>
      <c r="D738" s="364" t="str">
        <f>IF('SH Sash &amp; unit Weight'!F70&lt;&gt;"",'SH Sash &amp; unit Weight'!F70,"")</f>
        <v>10-Double: 5mm &amp; 5mm</v>
      </c>
      <c r="E738" s="364"/>
      <c r="F738" s="364"/>
      <c r="G738" s="3"/>
      <c r="H738" s="64"/>
      <c r="I738" s="5"/>
      <c r="J738" s="5"/>
      <c r="U738" s="3"/>
      <c r="AA738" s="3"/>
      <c r="AB738" s="5"/>
      <c r="AC738" s="5"/>
      <c r="AF738" s="51"/>
      <c r="AG738" s="39"/>
      <c r="AH738" s="5"/>
      <c r="AI738" s="39"/>
      <c r="AJ738" s="39"/>
      <c r="AK738" s="39"/>
      <c r="AL738" s="3"/>
    </row>
    <row r="739" spans="2:38" ht="15" customHeight="1" x14ac:dyDescent="0.25">
      <c r="B739" s="3">
        <v>11</v>
      </c>
      <c r="C739" s="1828">
        <f>IF('SH Sash &amp; unit Weight'!D71&lt;&gt;"",'SH Sash &amp; unit Weight'!D71,"")</f>
        <v>3.4722222222222224E-2</v>
      </c>
      <c r="D739" s="364" t="str">
        <f>IF('SH Sash &amp; unit Weight'!F71&lt;&gt;"",'SH Sash &amp; unit Weight'!F71,"")</f>
        <v>11-Double: 5mm &amp; 5mm (Regal)</v>
      </c>
      <c r="E739" s="364"/>
      <c r="F739" s="364"/>
      <c r="G739" s="3"/>
      <c r="H739" s="64"/>
      <c r="I739" s="5"/>
      <c r="J739" s="5"/>
      <c r="U739" s="3"/>
      <c r="AA739" s="3"/>
      <c r="AB739" s="5"/>
      <c r="AC739" s="5"/>
      <c r="AF739" s="51"/>
      <c r="AG739" s="39"/>
      <c r="AH739" s="5"/>
      <c r="AI739" s="39"/>
      <c r="AJ739" s="39"/>
      <c r="AK739" s="39"/>
      <c r="AL739" s="3"/>
    </row>
    <row r="740" spans="2:38" ht="15" customHeight="1" x14ac:dyDescent="0.25">
      <c r="B740" s="3">
        <v>12</v>
      </c>
      <c r="C740" s="1828">
        <f>IF('SH Sash &amp; unit Weight'!D72&lt;&gt;"",'SH Sash &amp; unit Weight'!D72,"")</f>
        <v>3.7833333333333337E-2</v>
      </c>
      <c r="D740" s="364" t="str">
        <f>IF('SH Sash &amp; unit Weight'!F72&lt;&gt;"",'SH Sash &amp; unit Weight'!F72,"")</f>
        <v>12-Double: 5mm &amp; 6mm Lami - Sound</v>
      </c>
      <c r="E740" s="364"/>
      <c r="F740" s="364"/>
      <c r="G740" s="3"/>
      <c r="H740" s="64"/>
      <c r="I740" s="5"/>
      <c r="J740" s="5"/>
      <c r="U740" s="3"/>
      <c r="AA740" s="3"/>
      <c r="AB740" s="5"/>
      <c r="AC740" s="5"/>
      <c r="AF740" s="51"/>
      <c r="AG740" s="39"/>
      <c r="AH740" s="5"/>
      <c r="AI740" s="39"/>
      <c r="AJ740" s="39"/>
      <c r="AK740" s="39"/>
      <c r="AL740" s="3"/>
    </row>
    <row r="741" spans="2:38" ht="15" customHeight="1" x14ac:dyDescent="0.25">
      <c r="B741" s="3">
        <v>13</v>
      </c>
      <c r="C741" s="1828">
        <f>IF('SH Sash &amp; unit Weight'!D73&lt;&gt;"",'SH Sash &amp; unit Weight'!D73,"")</f>
        <v>4.0319444444444436E-2</v>
      </c>
      <c r="D741" s="364" t="str">
        <f>IF('SH Sash &amp; unit Weight'!F73&lt;&gt;"",'SH Sash &amp; unit Weight'!F73,"")</f>
        <v>13-Double: 5mm &amp; 6mm Offset 2.3+3.0 Lami - Sound</v>
      </c>
      <c r="H741" s="64"/>
      <c r="I741" s="4"/>
      <c r="J741" s="4"/>
      <c r="U741" s="3"/>
      <c r="AA741" s="3"/>
      <c r="AB741" s="5"/>
      <c r="AC741" s="5"/>
      <c r="AF741" s="51"/>
      <c r="AG741" s="39"/>
      <c r="AH741" s="5"/>
      <c r="AI741" s="39"/>
      <c r="AJ741" s="39"/>
      <c r="AK741" s="39"/>
      <c r="AL741" s="3"/>
    </row>
    <row r="742" spans="2:38" ht="15" customHeight="1" x14ac:dyDescent="0.25">
      <c r="B742" s="3">
        <v>14</v>
      </c>
      <c r="C742" s="1828">
        <f>IF('SH Sash &amp; unit Weight'!D74&lt;&gt;"",'SH Sash &amp; unit Weight'!D74,"")</f>
        <v>2.6041666666666668E-2</v>
      </c>
      <c r="D742" s="364" t="str">
        <f>IF('SH Sash &amp; unit Weight'!F74&lt;&gt;"",'SH Sash &amp; unit Weight'!F74,"")</f>
        <v>14-Triple:   2.5mm &amp; 2.5mm &amp; 2.5mm</v>
      </c>
      <c r="H742" s="64"/>
      <c r="U742" s="3"/>
      <c r="AA742" s="3"/>
      <c r="AB742" s="5"/>
      <c r="AC742" s="5"/>
      <c r="AF742" s="51"/>
      <c r="AG742" s="39"/>
      <c r="AH742" s="5"/>
      <c r="AI742" s="39"/>
      <c r="AJ742" s="39"/>
      <c r="AK742" s="39"/>
      <c r="AL742" s="3"/>
    </row>
    <row r="743" spans="2:38" ht="15" customHeight="1" x14ac:dyDescent="0.25">
      <c r="B743" s="3">
        <v>15</v>
      </c>
      <c r="C743" s="1828">
        <f>IF('SH Sash &amp; unit Weight'!D75&lt;&gt;"",'SH Sash &amp; unit Weight'!D75,"")</f>
        <v>3.7833333333333337E-2</v>
      </c>
      <c r="D743" s="364" t="str">
        <f>IF('SH Sash &amp; unit Weight'!F75&lt;&gt;"",'SH Sash &amp; unit Weight'!F75,"")</f>
        <v>15-Triple:   2.5mm &amp; 2.5mm &amp; 6mm Lami - Sound</v>
      </c>
      <c r="H743" s="64"/>
      <c r="U743" s="3"/>
      <c r="AA743" s="3"/>
      <c r="AB743" s="5"/>
      <c r="AC743" s="5"/>
      <c r="AF743" s="51"/>
      <c r="AG743" s="39"/>
      <c r="AH743" s="5"/>
      <c r="AI743" s="477"/>
      <c r="AJ743" s="477"/>
      <c r="AK743" s="477"/>
      <c r="AL743" s="3"/>
    </row>
    <row r="744" spans="2:38" ht="15" customHeight="1" x14ac:dyDescent="0.25">
      <c r="B744" s="3">
        <v>16</v>
      </c>
      <c r="C744" s="1828">
        <f>IF('SH Sash &amp; unit Weight'!D76&lt;&gt;"",'SH Sash &amp; unit Weight'!D76,"")</f>
        <v>3.1875000000000001E-2</v>
      </c>
      <c r="D744" s="364" t="str">
        <f>IF('SH Sash &amp; unit Weight'!F76&lt;&gt;"",'SH Sash &amp; unit Weight'!F76,"")</f>
        <v>16-Triple:   3mm &amp; 2.5mm &amp; 3mm</v>
      </c>
      <c r="H744" s="64"/>
      <c r="U744" s="3"/>
      <c r="AA744" s="3"/>
      <c r="AB744" s="5"/>
      <c r="AC744" s="5"/>
      <c r="AF744" s="51"/>
      <c r="AG744" s="39"/>
      <c r="AH744" s="5"/>
      <c r="AI744" s="477"/>
      <c r="AJ744" s="477"/>
      <c r="AK744" s="477"/>
      <c r="AL744" s="3"/>
    </row>
    <row r="745" spans="2:38" ht="15" customHeight="1" x14ac:dyDescent="0.25">
      <c r="B745" s="3">
        <v>17</v>
      </c>
      <c r="C745" s="1828">
        <f>IF('SH Sash &amp; unit Weight'!D77&lt;&gt;"",'SH Sash &amp; unit Weight'!D77,"")</f>
        <v>3.4791666666666665E-2</v>
      </c>
      <c r="D745" s="364" t="str">
        <f>IF('SH Sash &amp; unit Weight'!F77&lt;&gt;"",'SH Sash &amp; unit Weight'!F77,"")</f>
        <v>17-Triple:   3mm &amp; 3mm &amp; 3mm</v>
      </c>
      <c r="E745" s="561"/>
      <c r="H745" s="64"/>
      <c r="U745" s="3"/>
      <c r="AA745" s="3"/>
      <c r="AB745" s="5"/>
      <c r="AC745" s="5"/>
      <c r="AF745" s="51"/>
      <c r="AG745" s="39"/>
      <c r="AH745" s="5"/>
      <c r="AI745" s="39"/>
      <c r="AJ745" s="39"/>
      <c r="AK745" s="39"/>
      <c r="AL745" s="3"/>
    </row>
    <row r="746" spans="2:38" ht="15" customHeight="1" x14ac:dyDescent="0.25">
      <c r="B746" s="3">
        <v>18</v>
      </c>
      <c r="C746" s="1828">
        <f>IF('SH Sash &amp; unit Weight'!D78&lt;&gt;"",'SH Sash &amp; unit Weight'!D78,"")</f>
        <v>4.0555555555555553E-2</v>
      </c>
      <c r="D746" s="364" t="str">
        <f>IF('SH Sash &amp; unit Weight'!F78&lt;&gt;"",'SH Sash &amp; unit Weight'!F78,"")</f>
        <v>18-Triple:   3mm &amp; 5mm &amp; 3mm</v>
      </c>
      <c r="H746" s="64"/>
      <c r="U746" s="3"/>
      <c r="AA746" s="3"/>
      <c r="AB746" s="5"/>
      <c r="AC746" s="5"/>
      <c r="AF746" s="51"/>
      <c r="AG746" s="39"/>
      <c r="AH746" s="5"/>
      <c r="AI746" s="477"/>
      <c r="AJ746" s="477"/>
      <c r="AK746" s="477"/>
      <c r="AL746" s="3"/>
    </row>
    <row r="747" spans="2:38" ht="15" customHeight="1" x14ac:dyDescent="0.25">
      <c r="B747" s="3">
        <v>19</v>
      </c>
      <c r="C747" s="1828">
        <f>IF('SH Sash &amp; unit Weight'!D79&lt;&gt;"",'SH Sash &amp; unit Weight'!D79,"")</f>
        <v>4.3666666666666666E-2</v>
      </c>
      <c r="D747" s="364" t="str">
        <f>IF('SH Sash &amp; unit Weight'!F79&lt;&gt;"",'SH Sash &amp; unit Weight'!F79,"")</f>
        <v>19-Triple:   3mm &amp; 3mm &amp; 6mm Lami - Sound</v>
      </c>
      <c r="H747" s="64"/>
      <c r="U747" s="3"/>
      <c r="AA747" s="3"/>
      <c r="AB747" s="5"/>
      <c r="AC747" s="5"/>
      <c r="AF747" s="51"/>
      <c r="AG747" s="39"/>
      <c r="AH747" s="5"/>
      <c r="AI747" s="477"/>
      <c r="AJ747" s="477"/>
      <c r="AK747" s="477"/>
      <c r="AL747" s="3"/>
    </row>
    <row r="748" spans="2:38" ht="15" customHeight="1" thickBot="1" x14ac:dyDescent="0.3">
      <c r="B748" s="3">
        <v>20</v>
      </c>
      <c r="C748" s="1829">
        <f>IF('SH Sash &amp; unit Weight'!D80&lt;&gt;"",'SH Sash &amp; unit Weight'!D80,"")</f>
        <v>4.2361111111111106E-2</v>
      </c>
      <c r="D748" s="1830" t="str">
        <f>IF('SH Sash &amp; unit Weight'!F80&lt;&gt;"",'SH Sash &amp; unit Weight'!F80,"")</f>
        <v>20-Bevel Leaded - Designer</v>
      </c>
      <c r="E748" s="968"/>
      <c r="F748" s="968"/>
      <c r="G748" s="968"/>
      <c r="H748" s="940"/>
      <c r="U748" s="3"/>
      <c r="AA748" s="3"/>
      <c r="AB748" s="5"/>
      <c r="AC748" s="5"/>
      <c r="AF748" s="51"/>
      <c r="AG748" s="39"/>
      <c r="AH748" s="5"/>
      <c r="AI748" s="9"/>
      <c r="AJ748" s="9"/>
      <c r="AK748" s="9"/>
      <c r="AL748" s="3"/>
    </row>
    <row r="749" spans="2:38" ht="15" customHeight="1" x14ac:dyDescent="0.4">
      <c r="H749" s="3"/>
      <c r="U749" s="3"/>
      <c r="AA749" s="3"/>
      <c r="AB749" s="5"/>
      <c r="AC749" s="5"/>
      <c r="AF749" s="51"/>
      <c r="AG749" s="39"/>
      <c r="AH749" s="5"/>
      <c r="AI749" s="477"/>
      <c r="AJ749" s="477"/>
      <c r="AK749" s="477"/>
      <c r="AL749" s="3"/>
    </row>
    <row r="750" spans="2:38" ht="15" customHeight="1" x14ac:dyDescent="0.4">
      <c r="H750" s="3"/>
      <c r="U750" s="3"/>
      <c r="AA750" s="3"/>
      <c r="AI750" s="39"/>
      <c r="AJ750" s="39"/>
      <c r="AK750" s="39"/>
    </row>
    <row r="751" spans="2:38" ht="15" customHeight="1" x14ac:dyDescent="0.4">
      <c r="H751" s="3"/>
      <c r="U751" s="3"/>
      <c r="AA751" s="3"/>
      <c r="AI751" s="39"/>
      <c r="AJ751" s="39"/>
      <c r="AK751" s="39"/>
    </row>
    <row r="752" spans="2:38" ht="15" customHeight="1" x14ac:dyDescent="0.4">
      <c r="H752" s="3"/>
      <c r="U752" s="3"/>
      <c r="AA752" s="3"/>
    </row>
    <row r="753" spans="8:37" ht="15" customHeight="1" x14ac:dyDescent="0.4">
      <c r="H753" s="3"/>
      <c r="U753" s="3"/>
      <c r="AA753" s="3"/>
      <c r="AI753" s="39"/>
      <c r="AJ753" s="39"/>
      <c r="AK753" s="39"/>
    </row>
    <row r="754" spans="8:37" ht="15" customHeight="1" x14ac:dyDescent="0.4">
      <c r="H754" s="3"/>
      <c r="U754" s="3"/>
      <c r="AA754" s="3"/>
      <c r="AI754" s="39"/>
      <c r="AJ754" s="39"/>
      <c r="AK754" s="39"/>
    </row>
    <row r="755" spans="8:37" ht="15" customHeight="1" x14ac:dyDescent="0.4">
      <c r="H755" s="3"/>
      <c r="U755" s="3"/>
      <c r="AA755" s="3"/>
      <c r="AI755" s="39"/>
      <c r="AJ755" s="39"/>
      <c r="AK755" s="39"/>
    </row>
    <row r="756" spans="8:37" ht="15" customHeight="1" x14ac:dyDescent="0.4">
      <c r="H756" s="3"/>
      <c r="U756" s="3"/>
      <c r="AA756" s="3"/>
    </row>
    <row r="757" spans="8:37" ht="15" customHeight="1" x14ac:dyDescent="0.4">
      <c r="H757" s="3"/>
      <c r="U757" s="3"/>
      <c r="AA757" s="3"/>
      <c r="AI757" s="39"/>
      <c r="AJ757" s="39"/>
      <c r="AK757" s="39"/>
    </row>
    <row r="758" spans="8:37" ht="15" customHeight="1" x14ac:dyDescent="0.4">
      <c r="H758" s="3"/>
      <c r="U758" s="3"/>
      <c r="AA758" s="3"/>
      <c r="AI758" s="39"/>
      <c r="AJ758" s="39"/>
      <c r="AK758" s="39"/>
    </row>
    <row r="759" spans="8:37" ht="15" customHeight="1" x14ac:dyDescent="0.4">
      <c r="H759" s="3"/>
      <c r="U759" s="3"/>
      <c r="AA759" s="3"/>
      <c r="AI759" s="39"/>
      <c r="AJ759" s="39"/>
      <c r="AK759" s="39"/>
    </row>
    <row r="760" spans="8:37" ht="15" customHeight="1" x14ac:dyDescent="0.4">
      <c r="H760" s="3"/>
      <c r="U760" s="3"/>
      <c r="AA760" s="3"/>
    </row>
    <row r="761" spans="8:37" ht="15" customHeight="1" x14ac:dyDescent="0.4">
      <c r="H761" s="3"/>
      <c r="U761" s="3"/>
      <c r="AA761" s="3"/>
      <c r="AI761" s="39"/>
      <c r="AJ761" s="39"/>
      <c r="AK761" s="39"/>
    </row>
    <row r="762" spans="8:37" ht="15" customHeight="1" x14ac:dyDescent="0.4">
      <c r="H762" s="3"/>
      <c r="U762" s="3"/>
      <c r="AA762" s="3"/>
      <c r="AI762" s="39"/>
      <c r="AJ762" s="39"/>
      <c r="AK762" s="39"/>
    </row>
    <row r="763" spans="8:37" ht="15" customHeight="1" x14ac:dyDescent="0.4">
      <c r="H763" s="3"/>
      <c r="U763" s="3"/>
      <c r="AA763" s="3"/>
      <c r="AI763" s="39"/>
      <c r="AJ763" s="39"/>
      <c r="AK763" s="39"/>
    </row>
    <row r="764" spans="8:37" ht="15" customHeight="1" x14ac:dyDescent="0.4">
      <c r="H764" s="3"/>
      <c r="U764" s="3"/>
      <c r="AA764" s="3"/>
    </row>
    <row r="765" spans="8:37" ht="15" customHeight="1" x14ac:dyDescent="0.4">
      <c r="H765" s="3"/>
      <c r="U765" s="3"/>
      <c r="AA765" s="3"/>
      <c r="AI765" s="39"/>
      <c r="AJ765" s="39"/>
      <c r="AK765" s="39"/>
    </row>
    <row r="766" spans="8:37" ht="15" customHeight="1" x14ac:dyDescent="0.4">
      <c r="H766" s="3"/>
      <c r="U766" s="3"/>
      <c r="AA766" s="3"/>
      <c r="AI766" s="39"/>
      <c r="AJ766" s="39"/>
      <c r="AK766" s="39"/>
    </row>
    <row r="767" spans="8:37" ht="15" customHeight="1" x14ac:dyDescent="0.4">
      <c r="H767" s="3"/>
      <c r="U767" s="3"/>
      <c r="AA767" s="3"/>
      <c r="AI767" s="39"/>
      <c r="AJ767" s="39"/>
      <c r="AK767" s="39"/>
    </row>
    <row r="768" spans="8:37" ht="15" customHeight="1" x14ac:dyDescent="0.4">
      <c r="H768" s="3"/>
      <c r="U768" s="3"/>
      <c r="AA768" s="3"/>
    </row>
    <row r="769" spans="8:37" ht="15" customHeight="1" x14ac:dyDescent="0.4">
      <c r="H769" s="3"/>
      <c r="U769" s="3"/>
      <c r="AA769" s="3"/>
      <c r="AI769" s="39"/>
      <c r="AJ769" s="39"/>
      <c r="AK769" s="39"/>
    </row>
    <row r="770" spans="8:37" ht="15" customHeight="1" x14ac:dyDescent="0.4">
      <c r="H770" s="3"/>
      <c r="U770" s="3"/>
      <c r="AA770" s="3"/>
      <c r="AI770" s="39"/>
      <c r="AJ770" s="39"/>
      <c r="AK770" s="39"/>
    </row>
    <row r="771" spans="8:37" ht="15" customHeight="1" x14ac:dyDescent="0.4">
      <c r="AI771" s="39"/>
      <c r="AJ771" s="39"/>
      <c r="AK771" s="39"/>
    </row>
    <row r="772" spans="8:37" ht="15" customHeight="1" x14ac:dyDescent="0.4">
      <c r="AI772" s="9"/>
      <c r="AJ772" s="9"/>
      <c r="AK772" s="9"/>
    </row>
    <row r="775" spans="8:37" ht="15" customHeight="1" x14ac:dyDescent="0.4">
      <c r="AI775" s="39"/>
      <c r="AJ775" s="39"/>
      <c r="AK775" s="39"/>
    </row>
    <row r="777" spans="8:37" ht="15" customHeight="1" x14ac:dyDescent="0.4">
      <c r="AI777" s="9"/>
      <c r="AJ777" s="9"/>
      <c r="AK777" s="9"/>
    </row>
    <row r="779" spans="8:37" ht="15" customHeight="1" x14ac:dyDescent="0.4">
      <c r="AI779" s="39"/>
      <c r="AJ779" s="39"/>
      <c r="AK779" s="39"/>
    </row>
    <row r="781" spans="8:37" ht="15" customHeight="1" x14ac:dyDescent="0.4">
      <c r="AI781" s="39"/>
      <c r="AJ781" s="39"/>
      <c r="AK781" s="39"/>
    </row>
    <row r="782" spans="8:37" ht="15" customHeight="1" x14ac:dyDescent="0.4">
      <c r="AI782" s="38"/>
      <c r="AJ782" s="38"/>
      <c r="AK782" s="38"/>
    </row>
    <row r="783" spans="8:37" ht="15" customHeight="1" x14ac:dyDescent="0.4">
      <c r="AI783" s="39"/>
      <c r="AJ783" s="39"/>
      <c r="AK783" s="39"/>
    </row>
    <row r="784" spans="8:37" ht="15" customHeight="1" x14ac:dyDescent="0.4">
      <c r="AI784" s="39"/>
      <c r="AJ784" s="39"/>
      <c r="AK784" s="39"/>
    </row>
    <row r="785" spans="35:37" ht="15" customHeight="1" x14ac:dyDescent="0.4">
      <c r="AI785" s="39"/>
      <c r="AJ785" s="39"/>
      <c r="AK785" s="39"/>
    </row>
    <row r="786" spans="35:37" ht="15" customHeight="1" x14ac:dyDescent="0.4">
      <c r="AI786" s="39"/>
      <c r="AJ786" s="39"/>
      <c r="AK786" s="39"/>
    </row>
    <row r="787" spans="35:37" ht="15" customHeight="1" x14ac:dyDescent="0.4">
      <c r="AI787" s="39"/>
      <c r="AJ787" s="39"/>
      <c r="AK787" s="39"/>
    </row>
    <row r="788" spans="35:37" ht="15" customHeight="1" x14ac:dyDescent="0.4">
      <c r="AI788" s="39"/>
      <c r="AJ788" s="39"/>
      <c r="AK788" s="39"/>
    </row>
    <row r="789" spans="35:37" ht="15" customHeight="1" x14ac:dyDescent="0.4">
      <c r="AI789" s="39"/>
      <c r="AJ789" s="39"/>
      <c r="AK789" s="39"/>
    </row>
    <row r="790" spans="35:37" ht="15" customHeight="1" x14ac:dyDescent="0.4">
      <c r="AI790" s="39"/>
      <c r="AJ790" s="39"/>
      <c r="AK790" s="39"/>
    </row>
    <row r="791" spans="35:37" ht="15" customHeight="1" x14ac:dyDescent="0.4">
      <c r="AI791" s="39"/>
      <c r="AJ791" s="39"/>
      <c r="AK791" s="39"/>
    </row>
    <row r="792" spans="35:37" ht="15" customHeight="1" x14ac:dyDescent="0.4">
      <c r="AI792" s="39"/>
      <c r="AJ792" s="39"/>
      <c r="AK792" s="39"/>
    </row>
    <row r="793" spans="35:37" ht="15" customHeight="1" x14ac:dyDescent="0.4">
      <c r="AI793" s="39"/>
      <c r="AJ793" s="39"/>
      <c r="AK793" s="39"/>
    </row>
    <row r="794" spans="35:37" ht="15" customHeight="1" x14ac:dyDescent="0.4">
      <c r="AI794" s="39"/>
      <c r="AJ794" s="39"/>
      <c r="AK794" s="39"/>
    </row>
    <row r="795" spans="35:37" ht="15" customHeight="1" x14ac:dyDescent="0.4">
      <c r="AI795" s="39"/>
      <c r="AJ795" s="39"/>
      <c r="AK795" s="39"/>
    </row>
    <row r="796" spans="35:37" ht="15" customHeight="1" x14ac:dyDescent="0.4">
      <c r="AI796" s="39"/>
      <c r="AJ796" s="39"/>
      <c r="AK796" s="39"/>
    </row>
    <row r="797" spans="35:37" ht="15" customHeight="1" x14ac:dyDescent="0.4">
      <c r="AI797" s="39"/>
      <c r="AJ797" s="39"/>
      <c r="AK797" s="39"/>
    </row>
    <row r="798" spans="35:37" ht="15" customHeight="1" x14ac:dyDescent="0.4">
      <c r="AI798" s="39"/>
      <c r="AJ798" s="39"/>
      <c r="AK798" s="39"/>
    </row>
    <row r="799" spans="35:37" ht="15" customHeight="1" x14ac:dyDescent="0.4">
      <c r="AI799" s="39"/>
      <c r="AJ799" s="39"/>
      <c r="AK799" s="39"/>
    </row>
    <row r="800" spans="35:37" ht="15" customHeight="1" x14ac:dyDescent="0.4">
      <c r="AI800" s="39"/>
      <c r="AJ800" s="39"/>
      <c r="AK800" s="39"/>
    </row>
    <row r="801" spans="35:37" ht="15" customHeight="1" x14ac:dyDescent="0.4">
      <c r="AI801" s="39"/>
      <c r="AJ801" s="39"/>
      <c r="AK801" s="39"/>
    </row>
    <row r="802" spans="35:37" ht="15" customHeight="1" x14ac:dyDescent="0.4">
      <c r="AI802" s="39"/>
      <c r="AJ802" s="39"/>
      <c r="AK802" s="39"/>
    </row>
    <row r="803" spans="35:37" ht="15" customHeight="1" x14ac:dyDescent="0.4">
      <c r="AI803" s="39"/>
      <c r="AJ803" s="39"/>
      <c r="AK803" s="39"/>
    </row>
    <row r="804" spans="35:37" ht="15" customHeight="1" x14ac:dyDescent="0.4">
      <c r="AI804" s="9"/>
      <c r="AJ804" s="9"/>
      <c r="AK804" s="9"/>
    </row>
    <row r="805" spans="35:37" ht="15" customHeight="1" x14ac:dyDescent="0.4">
      <c r="AI805" s="39"/>
      <c r="AJ805" s="39"/>
      <c r="AK805" s="39"/>
    </row>
    <row r="806" spans="35:37" ht="15" customHeight="1" x14ac:dyDescent="0.4">
      <c r="AI806" s="39"/>
      <c r="AJ806" s="39"/>
      <c r="AK806" s="39"/>
    </row>
    <row r="807" spans="35:37" ht="15" customHeight="1" x14ac:dyDescent="0.4">
      <c r="AI807" s="477"/>
      <c r="AJ807" s="477"/>
      <c r="AK807" s="477"/>
    </row>
    <row r="808" spans="35:37" ht="15" customHeight="1" x14ac:dyDescent="0.4">
      <c r="AI808" s="477"/>
      <c r="AJ808" s="477"/>
      <c r="AK808" s="477"/>
    </row>
    <row r="809" spans="35:37" ht="15" customHeight="1" x14ac:dyDescent="0.4">
      <c r="AI809" s="477"/>
      <c r="AJ809" s="477"/>
      <c r="AK809" s="477"/>
    </row>
    <row r="810" spans="35:37" ht="15" customHeight="1" x14ac:dyDescent="0.4">
      <c r="AI810" s="39"/>
      <c r="AJ810" s="39"/>
      <c r="AK810" s="39"/>
    </row>
    <row r="811" spans="35:37" ht="15" customHeight="1" x14ac:dyDescent="0.4">
      <c r="AI811" s="477"/>
      <c r="AJ811" s="477"/>
      <c r="AK811" s="477"/>
    </row>
    <row r="812" spans="35:37" ht="15" customHeight="1" x14ac:dyDescent="0.4">
      <c r="AI812" s="477"/>
      <c r="AJ812" s="477"/>
      <c r="AK812" s="477"/>
    </row>
    <row r="813" spans="35:37" ht="15" customHeight="1" x14ac:dyDescent="0.4">
      <c r="AI813" s="477"/>
      <c r="AJ813" s="477"/>
      <c r="AK813" s="477"/>
    </row>
    <row r="814" spans="35:37" ht="15" customHeight="1" x14ac:dyDescent="0.4">
      <c r="AI814" s="477"/>
      <c r="AJ814" s="477"/>
      <c r="AK814" s="477"/>
    </row>
    <row r="815" spans="35:37" ht="15" customHeight="1" x14ac:dyDescent="0.4">
      <c r="AI815" s="39"/>
      <c r="AJ815" s="39"/>
      <c r="AK815" s="39"/>
    </row>
    <row r="816" spans="35:37" ht="15" customHeight="1" x14ac:dyDescent="0.4">
      <c r="AI816" s="39"/>
      <c r="AJ816" s="39"/>
      <c r="AK816" s="39"/>
    </row>
    <row r="817" spans="35:37" ht="15" customHeight="1" x14ac:dyDescent="0.4">
      <c r="AI817" s="477"/>
      <c r="AJ817" s="477"/>
      <c r="AK817" s="477"/>
    </row>
    <row r="818" spans="35:37" ht="15" customHeight="1" x14ac:dyDescent="0.4">
      <c r="AI818" s="477"/>
      <c r="AJ818" s="477"/>
      <c r="AK818" s="477"/>
    </row>
    <row r="819" spans="35:37" ht="15" customHeight="1" x14ac:dyDescent="0.4">
      <c r="AI819" s="477"/>
      <c r="AJ819" s="477"/>
      <c r="AK819" s="477"/>
    </row>
    <row r="820" spans="35:37" ht="15" customHeight="1" x14ac:dyDescent="0.4">
      <c r="AI820" s="39"/>
      <c r="AJ820" s="39"/>
      <c r="AK820" s="39"/>
    </row>
    <row r="821" spans="35:37" ht="15" customHeight="1" x14ac:dyDescent="0.4">
      <c r="AI821" s="477"/>
      <c r="AJ821" s="477"/>
      <c r="AK821" s="477"/>
    </row>
    <row r="822" spans="35:37" ht="15" customHeight="1" x14ac:dyDescent="0.4">
      <c r="AI822" s="477"/>
      <c r="AJ822" s="477"/>
      <c r="AK822" s="477"/>
    </row>
    <row r="823" spans="35:37" ht="15" customHeight="1" x14ac:dyDescent="0.4">
      <c r="AI823" s="477"/>
      <c r="AJ823" s="477"/>
      <c r="AK823" s="477"/>
    </row>
    <row r="824" spans="35:37" ht="15" customHeight="1" x14ac:dyDescent="0.4">
      <c r="AI824" s="477"/>
      <c r="AJ824" s="477"/>
      <c r="AK824" s="477"/>
    </row>
    <row r="825" spans="35:37" ht="15" customHeight="1" x14ac:dyDescent="0.4">
      <c r="AI825" s="39"/>
      <c r="AJ825" s="39"/>
      <c r="AK825" s="39"/>
    </row>
    <row r="826" spans="35:37" ht="15" customHeight="1" x14ac:dyDescent="0.4">
      <c r="AI826" s="39"/>
      <c r="AJ826" s="39"/>
      <c r="AK826" s="39"/>
    </row>
    <row r="827" spans="35:37" ht="15" customHeight="1" x14ac:dyDescent="0.4">
      <c r="AI827" s="39"/>
      <c r="AJ827" s="39"/>
      <c r="AK827" s="39"/>
    </row>
    <row r="828" spans="35:37" ht="15" customHeight="1" x14ac:dyDescent="0.4">
      <c r="AI828" s="39"/>
      <c r="AJ828" s="39"/>
      <c r="AK828" s="39"/>
    </row>
    <row r="830" spans="35:37" ht="15" customHeight="1" x14ac:dyDescent="0.4">
      <c r="AI830" s="39"/>
      <c r="AJ830" s="39"/>
      <c r="AK830" s="39"/>
    </row>
    <row r="831" spans="35:37" ht="15" customHeight="1" x14ac:dyDescent="0.4">
      <c r="AI831" s="477"/>
      <c r="AJ831" s="477"/>
      <c r="AK831" s="477"/>
    </row>
    <row r="832" spans="35:37" ht="15" customHeight="1" x14ac:dyDescent="0.4">
      <c r="AI832" s="477"/>
      <c r="AJ832" s="477"/>
      <c r="AK832" s="477"/>
    </row>
    <row r="833" spans="35:37" ht="15" customHeight="1" x14ac:dyDescent="0.4">
      <c r="AI833" s="477"/>
      <c r="AJ833" s="477"/>
      <c r="AK833" s="477"/>
    </row>
    <row r="834" spans="35:37" ht="15" customHeight="1" x14ac:dyDescent="0.4">
      <c r="AI834" s="39"/>
      <c r="AJ834" s="39"/>
      <c r="AK834" s="39"/>
    </row>
    <row r="835" spans="35:37" ht="15" customHeight="1" x14ac:dyDescent="0.4">
      <c r="AI835" s="39"/>
      <c r="AJ835" s="39"/>
      <c r="AK835" s="39"/>
    </row>
    <row r="836" spans="35:37" ht="15" customHeight="1" x14ac:dyDescent="0.4">
      <c r="AI836" s="39"/>
      <c r="AJ836" s="39"/>
      <c r="AK836" s="39"/>
    </row>
    <row r="837" spans="35:37" ht="15" customHeight="1" x14ac:dyDescent="0.4">
      <c r="AI837" s="39"/>
      <c r="AJ837" s="39"/>
      <c r="AK837" s="39"/>
    </row>
    <row r="838" spans="35:37" ht="15" customHeight="1" x14ac:dyDescent="0.4">
      <c r="AI838" s="477"/>
      <c r="AJ838" s="477"/>
      <c r="AK838" s="477"/>
    </row>
    <row r="839" spans="35:37" ht="15" customHeight="1" x14ac:dyDescent="0.4">
      <c r="AI839" s="477"/>
      <c r="AJ839" s="477"/>
      <c r="AK839" s="477"/>
    </row>
    <row r="840" spans="35:37" ht="15" customHeight="1" x14ac:dyDescent="0.4">
      <c r="AI840" s="477"/>
      <c r="AJ840" s="477"/>
      <c r="AK840" s="477"/>
    </row>
    <row r="841" spans="35:37" ht="15" customHeight="1" x14ac:dyDescent="0.4">
      <c r="AI841" s="39"/>
      <c r="AJ841" s="39"/>
      <c r="AK841" s="39"/>
    </row>
    <row r="842" spans="35:37" ht="15" customHeight="1" x14ac:dyDescent="0.4">
      <c r="AI842" s="39"/>
      <c r="AJ842" s="39"/>
      <c r="AK842" s="39"/>
    </row>
    <row r="843" spans="35:37" ht="15" customHeight="1" x14ac:dyDescent="0.4">
      <c r="AI843" s="39"/>
      <c r="AJ843" s="39"/>
      <c r="AK843" s="39"/>
    </row>
    <row r="844" spans="35:37" ht="15" customHeight="1" x14ac:dyDescent="0.4">
      <c r="AI844" s="39"/>
      <c r="AJ844" s="39"/>
      <c r="AK844" s="39"/>
    </row>
    <row r="845" spans="35:37" ht="15" customHeight="1" x14ac:dyDescent="0.4">
      <c r="AI845" s="39"/>
      <c r="AJ845" s="39"/>
      <c r="AK845" s="39"/>
    </row>
    <row r="846" spans="35:37" ht="15" customHeight="1" x14ac:dyDescent="0.4">
      <c r="AI846" s="39"/>
      <c r="AJ846" s="39"/>
      <c r="AK846" s="39"/>
    </row>
    <row r="847" spans="35:37" ht="15" customHeight="1" x14ac:dyDescent="0.4">
      <c r="AI847" s="39"/>
      <c r="AJ847" s="39"/>
      <c r="AK847" s="39"/>
    </row>
    <row r="848" spans="35:37" ht="15" customHeight="1" x14ac:dyDescent="0.4">
      <c r="AI848" s="39"/>
      <c r="AJ848" s="39"/>
      <c r="AK848" s="39"/>
    </row>
    <row r="849" spans="35:37" ht="15" customHeight="1" x14ac:dyDescent="0.4">
      <c r="AI849" s="39"/>
      <c r="AJ849" s="39"/>
      <c r="AK849" s="39"/>
    </row>
    <row r="850" spans="35:37" ht="15" customHeight="1" x14ac:dyDescent="0.4">
      <c r="AI850" s="39"/>
      <c r="AJ850" s="39"/>
      <c r="AK850" s="39"/>
    </row>
    <row r="851" spans="35:37" ht="15" customHeight="1" x14ac:dyDescent="0.4">
      <c r="AI851" s="39"/>
      <c r="AJ851" s="39"/>
      <c r="AK851" s="39"/>
    </row>
    <row r="852" spans="35:37" ht="15" customHeight="1" x14ac:dyDescent="0.4">
      <c r="AI852" s="39"/>
      <c r="AJ852" s="39"/>
      <c r="AK852" s="39"/>
    </row>
    <row r="853" spans="35:37" ht="15" customHeight="1" x14ac:dyDescent="0.4">
      <c r="AI853" s="9"/>
      <c r="AJ853" s="9"/>
      <c r="AK853" s="9"/>
    </row>
    <row r="854" spans="35:37" ht="15" customHeight="1" x14ac:dyDescent="0.4">
      <c r="AI854" s="477"/>
      <c r="AJ854" s="477"/>
      <c r="AK854" s="477"/>
    </row>
    <row r="855" spans="35:37" ht="15" customHeight="1" x14ac:dyDescent="0.4">
      <c r="AI855" s="477"/>
      <c r="AJ855" s="477"/>
      <c r="AK855" s="477"/>
    </row>
    <row r="856" spans="35:37" ht="15" customHeight="1" x14ac:dyDescent="0.4">
      <c r="AI856" s="477"/>
      <c r="AJ856" s="477"/>
      <c r="AK856" s="477"/>
    </row>
    <row r="857" spans="35:37" ht="15" customHeight="1" x14ac:dyDescent="0.4">
      <c r="AI857" s="477"/>
      <c r="AJ857" s="477"/>
      <c r="AK857" s="477"/>
    </row>
    <row r="858" spans="35:37" ht="15" customHeight="1" x14ac:dyDescent="0.4">
      <c r="AI858" s="477"/>
      <c r="AJ858" s="477"/>
      <c r="AK858" s="477"/>
    </row>
    <row r="859" spans="35:37" ht="15" customHeight="1" x14ac:dyDescent="0.4">
      <c r="AI859" s="477"/>
      <c r="AJ859" s="477"/>
      <c r="AK859" s="477"/>
    </row>
    <row r="860" spans="35:37" ht="15" customHeight="1" x14ac:dyDescent="0.4">
      <c r="AI860" s="477"/>
      <c r="AJ860" s="477"/>
      <c r="AK860" s="477"/>
    </row>
    <row r="861" spans="35:37" ht="15" customHeight="1" x14ac:dyDescent="0.4">
      <c r="AI861" s="477"/>
      <c r="AJ861" s="477"/>
      <c r="AK861" s="477"/>
    </row>
    <row r="862" spans="35:37" ht="15" customHeight="1" x14ac:dyDescent="0.4">
      <c r="AI862" s="477"/>
      <c r="AJ862" s="477"/>
      <c r="AK862" s="477"/>
    </row>
    <row r="863" spans="35:37" ht="15" customHeight="1" x14ac:dyDescent="0.4">
      <c r="AI863" s="9"/>
      <c r="AJ863" s="9"/>
      <c r="AK863" s="9"/>
    </row>
    <row r="864" spans="35:37" ht="15" customHeight="1" x14ac:dyDescent="0.4">
      <c r="AI864" s="477"/>
      <c r="AJ864" s="477"/>
      <c r="AK864" s="477"/>
    </row>
    <row r="865" spans="35:37" ht="15" customHeight="1" x14ac:dyDescent="0.4">
      <c r="AI865" s="477"/>
      <c r="AJ865" s="477"/>
      <c r="AK865" s="477"/>
    </row>
    <row r="866" spans="35:37" ht="15" customHeight="1" x14ac:dyDescent="0.4">
      <c r="AI866" s="477"/>
      <c r="AJ866" s="477"/>
      <c r="AK866" s="477"/>
    </row>
    <row r="867" spans="35:37" ht="15" customHeight="1" x14ac:dyDescent="0.4">
      <c r="AI867" s="477"/>
      <c r="AJ867" s="477"/>
      <c r="AK867" s="477"/>
    </row>
    <row r="868" spans="35:37" ht="15" customHeight="1" x14ac:dyDescent="0.4">
      <c r="AI868" s="477"/>
      <c r="AJ868" s="477"/>
      <c r="AK868" s="477"/>
    </row>
    <row r="869" spans="35:37" ht="15" customHeight="1" x14ac:dyDescent="0.4">
      <c r="AI869" s="477"/>
      <c r="AJ869" s="477"/>
      <c r="AK869" s="477"/>
    </row>
    <row r="870" spans="35:37" ht="15" customHeight="1" x14ac:dyDescent="0.4">
      <c r="AI870" s="5"/>
      <c r="AJ870" s="5"/>
      <c r="AK870" s="5"/>
    </row>
    <row r="871" spans="35:37" ht="15" customHeight="1" x14ac:dyDescent="0.4">
      <c r="AI871" s="5"/>
      <c r="AJ871" s="5"/>
      <c r="AK871" s="5"/>
    </row>
    <row r="872" spans="35:37" ht="15" customHeight="1" x14ac:dyDescent="0.4">
      <c r="AI872" s="5"/>
      <c r="AJ872" s="5"/>
      <c r="AK872" s="5"/>
    </row>
    <row r="873" spans="35:37" ht="15" customHeight="1" x14ac:dyDescent="0.4">
      <c r="AI873" s="5"/>
      <c r="AJ873" s="5"/>
      <c r="AK873" s="5"/>
    </row>
    <row r="874" spans="35:37" ht="15" customHeight="1" x14ac:dyDescent="0.4">
      <c r="AI874" s="5"/>
      <c r="AJ874" s="5"/>
      <c r="AK874" s="5"/>
    </row>
    <row r="875" spans="35:37" ht="15" customHeight="1" x14ac:dyDescent="0.4">
      <c r="AI875" s="5"/>
      <c r="AJ875" s="5"/>
      <c r="AK875" s="5"/>
    </row>
    <row r="876" spans="35:37" ht="15" customHeight="1" x14ac:dyDescent="0.4">
      <c r="AI876" s="3"/>
      <c r="AJ876" s="3"/>
      <c r="AK876" s="3"/>
    </row>
    <row r="877" spans="35:37" ht="15" customHeight="1" x14ac:dyDescent="0.4">
      <c r="AI877" s="548"/>
      <c r="AJ877" s="548"/>
      <c r="AK877" s="548"/>
    </row>
    <row r="878" spans="35:37" ht="15" customHeight="1" x14ac:dyDescent="0.4">
      <c r="AI878" s="519"/>
      <c r="AJ878" s="519"/>
      <c r="AK878" s="519"/>
    </row>
    <row r="887" spans="35:37" ht="15" customHeight="1" x14ac:dyDescent="0.4">
      <c r="AI887" s="519"/>
      <c r="AJ887" s="519"/>
      <c r="AK887" s="519"/>
    </row>
    <row r="909" spans="35:37" ht="15" customHeight="1" x14ac:dyDescent="0.4">
      <c r="AI909" s="54"/>
      <c r="AJ909" s="54"/>
      <c r="AK909" s="54"/>
    </row>
    <row r="918" spans="35:37" ht="15" customHeight="1" x14ac:dyDescent="0.4">
      <c r="AI918" s="492"/>
      <c r="AJ918" s="492"/>
      <c r="AK918" s="492"/>
    </row>
    <row r="925" spans="35:37" ht="15" customHeight="1" x14ac:dyDescent="0.4">
      <c r="AI925" s="492"/>
      <c r="AJ925" s="492"/>
      <c r="AK925" s="492"/>
    </row>
    <row r="957" spans="3:34" ht="15" customHeight="1" x14ac:dyDescent="0.4">
      <c r="C957" s="8" t="s">
        <v>1429</v>
      </c>
    </row>
    <row r="958" spans="3:34" ht="15" customHeight="1" x14ac:dyDescent="0.4">
      <c r="C958" s="8" t="s">
        <v>1430</v>
      </c>
      <c r="AH958" s="353">
        <v>0.13539999999999999</v>
      </c>
    </row>
    <row r="973" spans="35:37" ht="15" customHeight="1" x14ac:dyDescent="0.4">
      <c r="AI973" s="5"/>
      <c r="AJ973" s="5"/>
      <c r="AK973" s="5"/>
    </row>
    <row r="974" spans="35:37" ht="15" customHeight="1" x14ac:dyDescent="0.4">
      <c r="AI974" s="5"/>
      <c r="AJ974" s="5"/>
      <c r="AK974" s="5"/>
    </row>
    <row r="975" spans="35:37" ht="15" customHeight="1" x14ac:dyDescent="0.4">
      <c r="AI975" s="5"/>
      <c r="AJ975" s="5"/>
      <c r="AK975" s="5"/>
    </row>
    <row r="976" spans="35:37" ht="15" customHeight="1" x14ac:dyDescent="0.4">
      <c r="AI976" s="5"/>
      <c r="AJ976" s="5"/>
      <c r="AK976" s="5"/>
    </row>
    <row r="977" spans="35:37" ht="15" customHeight="1" x14ac:dyDescent="0.4">
      <c r="AI977" s="5"/>
      <c r="AJ977" s="5"/>
      <c r="AK977" s="5"/>
    </row>
    <row r="978" spans="35:37" ht="15" customHeight="1" x14ac:dyDescent="0.4">
      <c r="AI978" s="5"/>
      <c r="AJ978" s="5"/>
      <c r="AK978" s="5"/>
    </row>
    <row r="979" spans="35:37" ht="15" customHeight="1" x14ac:dyDescent="0.4">
      <c r="AI979" s="5"/>
      <c r="AJ979" s="5"/>
      <c r="AK979" s="5"/>
    </row>
    <row r="980" spans="35:37" ht="15" customHeight="1" x14ac:dyDescent="0.4">
      <c r="AI980" s="5"/>
      <c r="AJ980" s="5"/>
      <c r="AK980" s="5"/>
    </row>
    <row r="981" spans="35:37" ht="15" customHeight="1" x14ac:dyDescent="0.4">
      <c r="AI981" s="5"/>
      <c r="AJ981" s="5"/>
      <c r="AK981" s="5"/>
    </row>
    <row r="982" spans="35:37" ht="15" customHeight="1" x14ac:dyDescent="0.4">
      <c r="AI982" s="5"/>
      <c r="AJ982" s="5"/>
      <c r="AK982" s="5"/>
    </row>
    <row r="983" spans="35:37" ht="15" customHeight="1" x14ac:dyDescent="0.4">
      <c r="AI983" s="5"/>
      <c r="AJ983" s="5"/>
      <c r="AK983" s="5"/>
    </row>
    <row r="984" spans="35:37" ht="15" customHeight="1" x14ac:dyDescent="0.4">
      <c r="AI984" s="5"/>
      <c r="AJ984" s="5"/>
      <c r="AK984" s="5"/>
    </row>
    <row r="985" spans="35:37" ht="15" customHeight="1" x14ac:dyDescent="0.4">
      <c r="AI985" s="5"/>
      <c r="AJ985" s="5"/>
      <c r="AK985" s="5"/>
    </row>
    <row r="986" spans="35:37" ht="15" customHeight="1" x14ac:dyDescent="0.4">
      <c r="AI986" s="5"/>
      <c r="AJ986" s="5"/>
      <c r="AK986" s="5"/>
    </row>
    <row r="987" spans="35:37" ht="15" customHeight="1" x14ac:dyDescent="0.4">
      <c r="AI987" s="5"/>
      <c r="AJ987" s="5"/>
      <c r="AK987" s="5"/>
    </row>
    <row r="988" spans="35:37" ht="15" customHeight="1" x14ac:dyDescent="0.4">
      <c r="AI988" s="5"/>
      <c r="AJ988" s="5"/>
      <c r="AK988" s="5"/>
    </row>
    <row r="989" spans="35:37" ht="15" customHeight="1" x14ac:dyDescent="0.4">
      <c r="AI989" s="5"/>
      <c r="AJ989" s="5"/>
      <c r="AK989" s="5"/>
    </row>
    <row r="990" spans="35:37" ht="15" customHeight="1" x14ac:dyDescent="0.4">
      <c r="AI990" s="5"/>
      <c r="AJ990" s="5"/>
      <c r="AK990" s="5"/>
    </row>
    <row r="991" spans="35:37" ht="15" customHeight="1" x14ac:dyDescent="0.4">
      <c r="AI991" s="5"/>
      <c r="AJ991" s="5"/>
      <c r="AK991" s="5"/>
    </row>
    <row r="992" spans="35:37" ht="15" customHeight="1" x14ac:dyDescent="0.4">
      <c r="AI992" s="5"/>
      <c r="AJ992" s="5"/>
      <c r="AK992" s="5"/>
    </row>
  </sheetData>
  <sheetProtection algorithmName="SHA-512" hashValue="AKZOwymgF5LA4WOYMBf7l90hAIRDQOe7QoeT5XStuxhxK1GaefQxqsCWC4An7GpJx5IPLxSIPzAKhovOjWjz2w==" saltValue="7IzEMfJc50nnxrc8xZrZIQ==" spinCount="100000" sheet="1" objects="1" scenarios="1"/>
  <dataConsolidate/>
  <mergeCells count="53">
    <mergeCell ref="B717:G718"/>
    <mergeCell ref="C711:F711"/>
    <mergeCell ref="C693:F693"/>
    <mergeCell ref="C694:F694"/>
    <mergeCell ref="C699:F699"/>
    <mergeCell ref="C696:F696"/>
    <mergeCell ref="C713:F713"/>
    <mergeCell ref="C709:F709"/>
    <mergeCell ref="C710:F710"/>
    <mergeCell ref="C712:F712"/>
    <mergeCell ref="C707:F707"/>
    <mergeCell ref="C708:F708"/>
    <mergeCell ref="C702:F702"/>
    <mergeCell ref="C706:F706"/>
    <mergeCell ref="C703:F703"/>
    <mergeCell ref="C704:F704"/>
    <mergeCell ref="C705:F705"/>
    <mergeCell ref="N3:Q3"/>
    <mergeCell ref="W9:X9"/>
    <mergeCell ref="N6:Q6"/>
    <mergeCell ref="N5:Q5"/>
    <mergeCell ref="N4:Q4"/>
    <mergeCell ref="V3:Y3"/>
    <mergeCell ref="V4:Y4"/>
    <mergeCell ref="V5:Y5"/>
    <mergeCell ref="C691:F691"/>
    <mergeCell ref="C692:F692"/>
    <mergeCell ref="C700:F700"/>
    <mergeCell ref="C695:F695"/>
    <mergeCell ref="C697:F697"/>
    <mergeCell ref="C698:F698"/>
    <mergeCell ref="AN7:AP7"/>
    <mergeCell ref="J9:L9"/>
    <mergeCell ref="E8:G8"/>
    <mergeCell ref="S671:T671"/>
    <mergeCell ref="S672:T672"/>
    <mergeCell ref="I11:M11"/>
    <mergeCell ref="AM11:AN11"/>
    <mergeCell ref="E7:G7"/>
    <mergeCell ref="J7:M7"/>
    <mergeCell ref="N7:Q7"/>
    <mergeCell ref="B11:G11"/>
    <mergeCell ref="V11:X11"/>
    <mergeCell ref="B2:G2"/>
    <mergeCell ref="E3:G3"/>
    <mergeCell ref="J3:M3"/>
    <mergeCell ref="B6:D6"/>
    <mergeCell ref="B5:D5"/>
    <mergeCell ref="J5:M5"/>
    <mergeCell ref="B4:D4"/>
    <mergeCell ref="E4:G4"/>
    <mergeCell ref="J6:M6"/>
    <mergeCell ref="J4:M4"/>
  </mergeCells>
  <phoneticPr fontId="27" type="noConversion"/>
  <conditionalFormatting sqref="AB674 AB553:AB572 AB547:AB548 AB607:AB608 AB625 AB383:AB391 AB393:AB395 AB14:AB22 AB24:AB28 AB35:AB41 AB43:AB52 AB54:AB62 AB64:AB68 AB75:AB81 AB83:AB88 AB90:AB98 AB100:AB104 AB111:AB116 AB118:AB123 AB125:AB130 AB138:AB143 AB145:AB149 AB151:AB167 AB453:AB455 AB465:AB467 AB493:AB498 AB507:AB512 AB514:AB519 AB500:AB505 AB337:AB341 AB405:AB408 AB170:AB171 AB179:AB180 AB192:AB196 AB199:AB200 AB208:AB209 AB217:AB221 AB224:AB225 AB233:AB234 AB242:AB251 AB343:AB381 AB422:AB451 AB458:AB463 AB469:AB481 AB610:AB623 AB627:AB644 AB651:AB661 AB262:AB263 AB483:AB491 AB521:AB544 AB30:AB33 AB70:AB73 AB106:AB109 AB173:AB176 AB182:AB189 AB202:AB205 AB211:AB214 AB227:AB230 AB236:AB239 AB574:AB605 AB132:AB136 AB265:AB332">
    <cfRule type="cellIs" dxfId="155" priority="201" stopIfTrue="1" operator="lessThan">
      <formula>42</formula>
    </cfRule>
    <cfRule type="cellIs" dxfId="154" priority="202" stopIfTrue="1" operator="lessThan">
      <formula>45</formula>
    </cfRule>
  </conditionalFormatting>
  <conditionalFormatting sqref="AB377:AB380">
    <cfRule type="cellIs" dxfId="153" priority="127" stopIfTrue="1" operator="lessThan">
      <formula>42</formula>
    </cfRule>
    <cfRule type="cellIs" dxfId="152" priority="128" stopIfTrue="1" operator="lessThan">
      <formula>45</formula>
    </cfRule>
  </conditionalFormatting>
  <conditionalFormatting sqref="AB377:AB380">
    <cfRule type="cellIs" dxfId="151" priority="125" stopIfTrue="1" operator="lessThan">
      <formula>42</formula>
    </cfRule>
    <cfRule type="cellIs" dxfId="150" priority="126" stopIfTrue="1" operator="lessThan">
      <formula>45</formula>
    </cfRule>
  </conditionalFormatting>
  <conditionalFormatting sqref="AB377:AB380">
    <cfRule type="cellIs" dxfId="149" priority="123" stopIfTrue="1" operator="lessThan">
      <formula>42</formula>
    </cfRule>
    <cfRule type="cellIs" dxfId="148" priority="124" stopIfTrue="1" operator="lessThan">
      <formula>45</formula>
    </cfRule>
  </conditionalFormatting>
  <conditionalFormatting sqref="AB23">
    <cfRule type="cellIs" dxfId="147" priority="119" stopIfTrue="1" operator="lessThan">
      <formula>42</formula>
    </cfRule>
    <cfRule type="cellIs" dxfId="146" priority="120" stopIfTrue="1" operator="lessThan">
      <formula>45</formula>
    </cfRule>
  </conditionalFormatting>
  <conditionalFormatting sqref="AB34">
    <cfRule type="cellIs" dxfId="145" priority="117" stopIfTrue="1" operator="lessThan">
      <formula>42</formula>
    </cfRule>
    <cfRule type="cellIs" dxfId="144" priority="118" stopIfTrue="1" operator="lessThan">
      <formula>45</formula>
    </cfRule>
  </conditionalFormatting>
  <conditionalFormatting sqref="AB42">
    <cfRule type="cellIs" dxfId="143" priority="115" stopIfTrue="1" operator="lessThan">
      <formula>42</formula>
    </cfRule>
    <cfRule type="cellIs" dxfId="142" priority="116" stopIfTrue="1" operator="lessThan">
      <formula>45</formula>
    </cfRule>
  </conditionalFormatting>
  <conditionalFormatting sqref="AB53">
    <cfRule type="cellIs" dxfId="141" priority="113" stopIfTrue="1" operator="lessThan">
      <formula>42</formula>
    </cfRule>
    <cfRule type="cellIs" dxfId="140" priority="114" stopIfTrue="1" operator="lessThan">
      <formula>45</formula>
    </cfRule>
  </conditionalFormatting>
  <conditionalFormatting sqref="AB63">
    <cfRule type="cellIs" dxfId="139" priority="111" stopIfTrue="1" operator="lessThan">
      <formula>42</formula>
    </cfRule>
    <cfRule type="cellIs" dxfId="138" priority="112" stopIfTrue="1" operator="lessThan">
      <formula>45</formula>
    </cfRule>
  </conditionalFormatting>
  <conditionalFormatting sqref="AB74">
    <cfRule type="cellIs" dxfId="137" priority="109" stopIfTrue="1" operator="lessThan">
      <formula>42</formula>
    </cfRule>
    <cfRule type="cellIs" dxfId="136" priority="110" stopIfTrue="1" operator="lessThan">
      <formula>45</formula>
    </cfRule>
  </conditionalFormatting>
  <conditionalFormatting sqref="AB82">
    <cfRule type="cellIs" dxfId="135" priority="107" stopIfTrue="1" operator="lessThan">
      <formula>42</formula>
    </cfRule>
    <cfRule type="cellIs" dxfId="134" priority="108" stopIfTrue="1" operator="lessThan">
      <formula>45</formula>
    </cfRule>
  </conditionalFormatting>
  <conditionalFormatting sqref="AB89">
    <cfRule type="cellIs" dxfId="133" priority="105" stopIfTrue="1" operator="lessThan">
      <formula>42</formula>
    </cfRule>
    <cfRule type="cellIs" dxfId="132" priority="106" stopIfTrue="1" operator="lessThan">
      <formula>45</formula>
    </cfRule>
  </conditionalFormatting>
  <conditionalFormatting sqref="AB99">
    <cfRule type="cellIs" dxfId="131" priority="103" stopIfTrue="1" operator="lessThan">
      <formula>42</formula>
    </cfRule>
    <cfRule type="cellIs" dxfId="130" priority="104" stopIfTrue="1" operator="lessThan">
      <formula>45</formula>
    </cfRule>
  </conditionalFormatting>
  <conditionalFormatting sqref="AB110">
    <cfRule type="cellIs" dxfId="129" priority="101" stopIfTrue="1" operator="lessThan">
      <formula>42</formula>
    </cfRule>
    <cfRule type="cellIs" dxfId="128" priority="102" stopIfTrue="1" operator="lessThan">
      <formula>45</formula>
    </cfRule>
  </conditionalFormatting>
  <conditionalFormatting sqref="AB117">
    <cfRule type="cellIs" dxfId="127" priority="99" stopIfTrue="1" operator="lessThan">
      <formula>42</formula>
    </cfRule>
    <cfRule type="cellIs" dxfId="126" priority="100" stopIfTrue="1" operator="lessThan">
      <formula>45</formula>
    </cfRule>
  </conditionalFormatting>
  <conditionalFormatting sqref="AB124">
    <cfRule type="cellIs" dxfId="125" priority="97" stopIfTrue="1" operator="lessThan">
      <formula>42</formula>
    </cfRule>
    <cfRule type="cellIs" dxfId="124" priority="98" stopIfTrue="1" operator="lessThan">
      <formula>45</formula>
    </cfRule>
  </conditionalFormatting>
  <conditionalFormatting sqref="AB131">
    <cfRule type="cellIs" dxfId="123" priority="95" stopIfTrue="1" operator="lessThan">
      <formula>42</formula>
    </cfRule>
    <cfRule type="cellIs" dxfId="122" priority="96" stopIfTrue="1" operator="lessThan">
      <formula>45</formula>
    </cfRule>
  </conditionalFormatting>
  <conditionalFormatting sqref="AB137">
    <cfRule type="cellIs" dxfId="121" priority="93" stopIfTrue="1" operator="lessThan">
      <formula>42</formula>
    </cfRule>
    <cfRule type="cellIs" dxfId="120" priority="94" stopIfTrue="1" operator="lessThan">
      <formula>45</formula>
    </cfRule>
  </conditionalFormatting>
  <conditionalFormatting sqref="AB144">
    <cfRule type="cellIs" dxfId="119" priority="91" stopIfTrue="1" operator="lessThan">
      <formula>42</formula>
    </cfRule>
    <cfRule type="cellIs" dxfId="118" priority="92" stopIfTrue="1" operator="lessThan">
      <formula>45</formula>
    </cfRule>
  </conditionalFormatting>
  <conditionalFormatting sqref="AB150">
    <cfRule type="cellIs" dxfId="117" priority="89" stopIfTrue="1" operator="lessThan">
      <formula>42</formula>
    </cfRule>
    <cfRule type="cellIs" dxfId="116" priority="90" stopIfTrue="1" operator="lessThan">
      <formula>45</formula>
    </cfRule>
  </conditionalFormatting>
  <conditionalFormatting sqref="AB464">
    <cfRule type="cellIs" dxfId="115" priority="83" stopIfTrue="1" operator="lessThan">
      <formula>42</formula>
    </cfRule>
    <cfRule type="cellIs" dxfId="114" priority="84" stopIfTrue="1" operator="lessThan">
      <formula>45</formula>
    </cfRule>
  </conditionalFormatting>
  <conditionalFormatting sqref="AB452">
    <cfRule type="cellIs" dxfId="113" priority="85" stopIfTrue="1" operator="lessThan">
      <formula>42</formula>
    </cfRule>
    <cfRule type="cellIs" dxfId="112" priority="86" stopIfTrue="1" operator="lessThan">
      <formula>45</formula>
    </cfRule>
  </conditionalFormatting>
  <conditionalFormatting sqref="AB482">
    <cfRule type="cellIs" dxfId="111" priority="81" stopIfTrue="1" operator="lessThan">
      <formula>42</formula>
    </cfRule>
    <cfRule type="cellIs" dxfId="110" priority="82" stopIfTrue="1" operator="lessThan">
      <formula>45</formula>
    </cfRule>
  </conditionalFormatting>
  <conditionalFormatting sqref="AB527:AB528">
    <cfRule type="cellIs" dxfId="109" priority="79" stopIfTrue="1" operator="lessThan">
      <formula>42</formula>
    </cfRule>
    <cfRule type="cellIs" dxfId="108" priority="80" stopIfTrue="1" operator="lessThan">
      <formula>45</formula>
    </cfRule>
  </conditionalFormatting>
  <conditionalFormatting sqref="AB534">
    <cfRule type="cellIs" dxfId="107" priority="77" stopIfTrue="1" operator="lessThan">
      <formula>42</formula>
    </cfRule>
    <cfRule type="cellIs" dxfId="106" priority="78" stopIfTrue="1" operator="lessThan">
      <formula>45</formula>
    </cfRule>
  </conditionalFormatting>
  <conditionalFormatting sqref="AB541">
    <cfRule type="cellIs" dxfId="105" priority="75" stopIfTrue="1" operator="lessThan">
      <formula>42</formula>
    </cfRule>
    <cfRule type="cellIs" dxfId="104" priority="76" stopIfTrue="1" operator="lessThan">
      <formula>45</formula>
    </cfRule>
  </conditionalFormatting>
  <conditionalFormatting sqref="AB492">
    <cfRule type="cellIs" dxfId="103" priority="73" stopIfTrue="1" operator="lessThan">
      <formula>42</formula>
    </cfRule>
    <cfRule type="cellIs" dxfId="102" priority="74" stopIfTrue="1" operator="lessThan">
      <formula>45</formula>
    </cfRule>
  </conditionalFormatting>
  <conditionalFormatting sqref="AB506">
    <cfRule type="cellIs" dxfId="101" priority="71" stopIfTrue="1" operator="lessThan">
      <formula>42</formula>
    </cfRule>
    <cfRule type="cellIs" dxfId="100" priority="72" stopIfTrue="1" operator="lessThan">
      <formula>45</formula>
    </cfRule>
  </conditionalFormatting>
  <conditionalFormatting sqref="AB513">
    <cfRule type="cellIs" dxfId="99" priority="69" stopIfTrue="1" operator="lessThan">
      <formula>42</formula>
    </cfRule>
    <cfRule type="cellIs" dxfId="98" priority="70" stopIfTrue="1" operator="lessThan">
      <formula>45</formula>
    </cfRule>
  </conditionalFormatting>
  <conditionalFormatting sqref="AB520">
    <cfRule type="cellIs" dxfId="97" priority="67" stopIfTrue="1" operator="lessThan">
      <formula>42</formula>
    </cfRule>
    <cfRule type="cellIs" dxfId="96" priority="68" stopIfTrue="1" operator="lessThan">
      <formula>45</formula>
    </cfRule>
  </conditionalFormatting>
  <conditionalFormatting sqref="AB499">
    <cfRule type="cellIs" dxfId="95" priority="65" stopIfTrue="1" operator="lessThan">
      <formula>42</formula>
    </cfRule>
    <cfRule type="cellIs" dxfId="94" priority="66" stopIfTrue="1" operator="lessThan">
      <formula>45</formula>
    </cfRule>
  </conditionalFormatting>
  <conditionalFormatting sqref="AB252:AB257 AB259:AB261">
    <cfRule type="cellIs" dxfId="93" priority="63" stopIfTrue="1" operator="lessThan">
      <formula>42</formula>
    </cfRule>
    <cfRule type="cellIs" dxfId="92" priority="64" stopIfTrue="1" operator="lessThan">
      <formula>45</formula>
    </cfRule>
  </conditionalFormatting>
  <conditionalFormatting sqref="AB258">
    <cfRule type="cellIs" dxfId="91" priority="61" stopIfTrue="1" operator="lessThan">
      <formula>42</formula>
    </cfRule>
    <cfRule type="cellIs" dxfId="90" priority="62" stopIfTrue="1" operator="lessThan">
      <formula>45</formula>
    </cfRule>
  </conditionalFormatting>
  <conditionalFormatting sqref="AB414:AB415">
    <cfRule type="cellIs" dxfId="89" priority="59" stopIfTrue="1" operator="lessThan">
      <formula>42</formula>
    </cfRule>
    <cfRule type="cellIs" dxfId="88" priority="60" stopIfTrue="1" operator="lessThan">
      <formula>45</formula>
    </cfRule>
  </conditionalFormatting>
  <conditionalFormatting sqref="AB416:AB420">
    <cfRule type="cellIs" dxfId="87" priority="57" stopIfTrue="1" operator="lessThan">
      <formula>42</formula>
    </cfRule>
    <cfRule type="cellIs" dxfId="86" priority="58" stopIfTrue="1" operator="lessThan">
      <formula>45</formula>
    </cfRule>
  </conditionalFormatting>
  <conditionalFormatting sqref="AB421">
    <cfRule type="cellIs" dxfId="85" priority="55" stopIfTrue="1" operator="lessThan">
      <formula>42</formula>
    </cfRule>
    <cfRule type="cellIs" dxfId="84" priority="56" stopIfTrue="1" operator="lessThan">
      <formula>45</formula>
    </cfRule>
  </conditionalFormatting>
  <conditionalFormatting sqref="AB409:AB413">
    <cfRule type="cellIs" dxfId="83" priority="53" stopIfTrue="1" operator="lessThan">
      <formula>42</formula>
    </cfRule>
    <cfRule type="cellIs" dxfId="82" priority="54" stopIfTrue="1" operator="lessThan">
      <formula>45</formula>
    </cfRule>
  </conditionalFormatting>
  <conditionalFormatting sqref="AB333:AB336">
    <cfRule type="cellIs" dxfId="81" priority="51" stopIfTrue="1" operator="lessThan">
      <formula>42</formula>
    </cfRule>
    <cfRule type="cellIs" dxfId="80" priority="52" stopIfTrue="1" operator="lessThan">
      <formula>45</formula>
    </cfRule>
  </conditionalFormatting>
  <conditionalFormatting sqref="AB401:AB404">
    <cfRule type="cellIs" dxfId="79" priority="49" stopIfTrue="1" operator="lessThan">
      <formula>42</formula>
    </cfRule>
    <cfRule type="cellIs" dxfId="78" priority="50" stopIfTrue="1" operator="lessThan">
      <formula>45</formula>
    </cfRule>
  </conditionalFormatting>
  <conditionalFormatting sqref="AB168:AB169">
    <cfRule type="cellIs" dxfId="77" priority="47" stopIfTrue="1" operator="lessThan">
      <formula>42</formula>
    </cfRule>
    <cfRule type="cellIs" dxfId="76" priority="48" stopIfTrue="1" operator="lessThan">
      <formula>45</formula>
    </cfRule>
  </conditionalFormatting>
  <conditionalFormatting sqref="AB177:AB178">
    <cfRule type="cellIs" dxfId="75" priority="45" stopIfTrue="1" operator="lessThan">
      <formula>42</formula>
    </cfRule>
    <cfRule type="cellIs" dxfId="74" priority="46" stopIfTrue="1" operator="lessThan">
      <formula>45</formula>
    </cfRule>
  </conditionalFormatting>
  <conditionalFormatting sqref="AB190:AB191">
    <cfRule type="cellIs" dxfId="73" priority="43" stopIfTrue="1" operator="lessThan">
      <formula>42</formula>
    </cfRule>
    <cfRule type="cellIs" dxfId="72" priority="44" stopIfTrue="1" operator="lessThan">
      <formula>45</formula>
    </cfRule>
  </conditionalFormatting>
  <conditionalFormatting sqref="AB197:AB198">
    <cfRule type="cellIs" dxfId="71" priority="41" stopIfTrue="1" operator="lessThan">
      <formula>42</formula>
    </cfRule>
    <cfRule type="cellIs" dxfId="70" priority="42" stopIfTrue="1" operator="lessThan">
      <formula>45</formula>
    </cfRule>
  </conditionalFormatting>
  <conditionalFormatting sqref="AB206:AB207">
    <cfRule type="cellIs" dxfId="69" priority="39" stopIfTrue="1" operator="lessThan">
      <formula>42</formula>
    </cfRule>
    <cfRule type="cellIs" dxfId="68" priority="40" stopIfTrue="1" operator="lessThan">
      <formula>45</formula>
    </cfRule>
  </conditionalFormatting>
  <conditionalFormatting sqref="AB215:AB216">
    <cfRule type="cellIs" dxfId="67" priority="37" stopIfTrue="1" operator="lessThan">
      <formula>42</formula>
    </cfRule>
    <cfRule type="cellIs" dxfId="66" priority="38" stopIfTrue="1" operator="lessThan">
      <formula>45</formula>
    </cfRule>
  </conditionalFormatting>
  <conditionalFormatting sqref="AB222:AB223">
    <cfRule type="cellIs" dxfId="65" priority="35" stopIfTrue="1" operator="lessThan">
      <formula>42</formula>
    </cfRule>
    <cfRule type="cellIs" dxfId="64" priority="36" stopIfTrue="1" operator="lessThan">
      <formula>45</formula>
    </cfRule>
  </conditionalFormatting>
  <conditionalFormatting sqref="AB231:AB232">
    <cfRule type="cellIs" dxfId="63" priority="33" stopIfTrue="1" operator="lessThan">
      <formula>42</formula>
    </cfRule>
    <cfRule type="cellIs" dxfId="62" priority="34" stopIfTrue="1" operator="lessThan">
      <formula>45</formula>
    </cfRule>
  </conditionalFormatting>
  <conditionalFormatting sqref="AB240:AB241">
    <cfRule type="cellIs" dxfId="61" priority="31" stopIfTrue="1" operator="lessThan">
      <formula>42</formula>
    </cfRule>
    <cfRule type="cellIs" dxfId="60" priority="32" stopIfTrue="1" operator="lessThan">
      <formula>45</formula>
    </cfRule>
  </conditionalFormatting>
  <conditionalFormatting sqref="AB468">
    <cfRule type="cellIs" dxfId="59" priority="27" stopIfTrue="1" operator="lessThan">
      <formula>42</formula>
    </cfRule>
    <cfRule type="cellIs" dxfId="58" priority="28" stopIfTrue="1" operator="lessThan">
      <formula>45</formula>
    </cfRule>
  </conditionalFormatting>
  <conditionalFormatting sqref="AB645:AB650">
    <cfRule type="cellIs" dxfId="57" priority="25" stopIfTrue="1" operator="lessThan">
      <formula>42</formula>
    </cfRule>
    <cfRule type="cellIs" dxfId="56" priority="26" stopIfTrue="1" operator="lessThan">
      <formula>45</formula>
    </cfRule>
  </conditionalFormatting>
  <conditionalFormatting sqref="AB29">
    <cfRule type="cellIs" dxfId="55" priority="23" stopIfTrue="1" operator="lessThan">
      <formula>42</formula>
    </cfRule>
    <cfRule type="cellIs" dxfId="54" priority="24" stopIfTrue="1" operator="lessThan">
      <formula>45</formula>
    </cfRule>
  </conditionalFormatting>
  <conditionalFormatting sqref="AB69">
    <cfRule type="cellIs" dxfId="53" priority="21" stopIfTrue="1" operator="lessThan">
      <formula>42</formula>
    </cfRule>
    <cfRule type="cellIs" dxfId="52" priority="22" stopIfTrue="1" operator="lessThan">
      <formula>45</formula>
    </cfRule>
  </conditionalFormatting>
  <conditionalFormatting sqref="AB105">
    <cfRule type="cellIs" dxfId="51" priority="19" stopIfTrue="1" operator="lessThan">
      <formula>42</formula>
    </cfRule>
    <cfRule type="cellIs" dxfId="50" priority="20" stopIfTrue="1" operator="lessThan">
      <formula>45</formula>
    </cfRule>
  </conditionalFormatting>
  <conditionalFormatting sqref="AB172">
    <cfRule type="cellIs" dxfId="49" priority="17" stopIfTrue="1" operator="lessThan">
      <formula>42</formula>
    </cfRule>
    <cfRule type="cellIs" dxfId="48" priority="18" stopIfTrue="1" operator="lessThan">
      <formula>45</formula>
    </cfRule>
  </conditionalFormatting>
  <conditionalFormatting sqref="AB181">
    <cfRule type="cellIs" dxfId="47" priority="15" stopIfTrue="1" operator="lessThan">
      <formula>42</formula>
    </cfRule>
    <cfRule type="cellIs" dxfId="46" priority="16" stopIfTrue="1" operator="lessThan">
      <formula>45</formula>
    </cfRule>
  </conditionalFormatting>
  <conditionalFormatting sqref="AB201">
    <cfRule type="cellIs" dxfId="45" priority="13" stopIfTrue="1" operator="lessThan">
      <formula>42</formula>
    </cfRule>
    <cfRule type="cellIs" dxfId="44" priority="14" stopIfTrue="1" operator="lessThan">
      <formula>45</formula>
    </cfRule>
  </conditionalFormatting>
  <conditionalFormatting sqref="AB210">
    <cfRule type="cellIs" dxfId="43" priority="11" stopIfTrue="1" operator="lessThan">
      <formula>42</formula>
    </cfRule>
    <cfRule type="cellIs" dxfId="42" priority="12" stopIfTrue="1" operator="lessThan">
      <formula>45</formula>
    </cfRule>
  </conditionalFormatting>
  <conditionalFormatting sqref="AB226">
    <cfRule type="cellIs" dxfId="41" priority="9" stopIfTrue="1" operator="lessThan">
      <formula>42</formula>
    </cfRule>
    <cfRule type="cellIs" dxfId="40" priority="10" stopIfTrue="1" operator="lessThan">
      <formula>45</formula>
    </cfRule>
  </conditionalFormatting>
  <conditionalFormatting sqref="AB235">
    <cfRule type="cellIs" dxfId="39" priority="7" stopIfTrue="1" operator="lessThan">
      <formula>42</formula>
    </cfRule>
    <cfRule type="cellIs" dxfId="38" priority="8" stopIfTrue="1" operator="lessThan">
      <formula>45</formula>
    </cfRule>
  </conditionalFormatting>
  <conditionalFormatting sqref="AB264">
    <cfRule type="cellIs" dxfId="37" priority="5" stopIfTrue="1" operator="lessThan">
      <formula>42</formula>
    </cfRule>
    <cfRule type="cellIs" dxfId="36" priority="6" stopIfTrue="1" operator="lessThan">
      <formula>45</formula>
    </cfRule>
  </conditionalFormatting>
  <conditionalFormatting sqref="AB396:AB400">
    <cfRule type="cellIs" dxfId="35" priority="3" stopIfTrue="1" operator="lessThan">
      <formula>42</formula>
    </cfRule>
    <cfRule type="cellIs" dxfId="34" priority="4" stopIfTrue="1" operator="lessThan">
      <formula>45</formula>
    </cfRule>
  </conditionalFormatting>
  <conditionalFormatting sqref="AB456:AB457">
    <cfRule type="cellIs" dxfId="33" priority="1" stopIfTrue="1" operator="lessThan">
      <formula>42</formula>
    </cfRule>
    <cfRule type="cellIs" dxfId="32" priority="2" stopIfTrue="1" operator="lessThan">
      <formula>45</formula>
    </cfRule>
  </conditionalFormatting>
  <dataValidations disablePrompts="1" count="6">
    <dataValidation showDropDown="1" showInputMessage="1" showErrorMessage="1" sqref="W9 I8" xr:uid="{00000000-0002-0000-0500-000000000000}"/>
    <dataValidation type="list" allowBlank="1" showInputMessage="1" showErrorMessage="1" sqref="E5" xr:uid="{00000000-0002-0000-0500-000001000000}">
      <formula1>"15,20,25,30,35,40,45,50,55,60"</formula1>
    </dataValidation>
    <dataValidation type="list" allowBlank="1" showInputMessage="1" showErrorMessage="1" sqref="E3" xr:uid="{00000000-0002-0000-0500-000002000000}">
      <formula1>$AM$11:$BF$11</formula1>
    </dataValidation>
    <dataValidation type="list" allowBlank="1" showInputMessage="1" showErrorMessage="1" sqref="E7:G7" xr:uid="{00000000-0002-0000-0500-000003000000}">
      <formula1>$D$729:$D$748</formula1>
    </dataValidation>
    <dataValidation type="list" allowBlank="1" showInputMessage="1" showErrorMessage="1" sqref="E8" xr:uid="{00000000-0002-0000-0500-000004000000}">
      <formula1>$B$719:$B$720</formula1>
    </dataValidation>
    <dataValidation type="list" showInputMessage="1" showErrorMessage="1" sqref="E4" xr:uid="{00000000-0002-0000-0500-000005000000}">
      <formula1>$AN$3:$AN$6</formula1>
    </dataValidation>
  </dataValidations>
  <pageMargins left="0.125" right="0.125" top="0.25" bottom="0.375" header="0" footer="0"/>
  <pageSetup scale="38" fitToHeight="10" orientation="landscape" horizontalDpi="4294967292" r:id="rId1"/>
  <headerFooter alignWithMargins="0">
    <oddFooter>&amp;L&amp;8&amp;Z&amp;F</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AP189"/>
  <sheetViews>
    <sheetView zoomScaleNormal="100" zoomScaleSheetLayoutView="100" workbookViewId="0">
      <pane ySplit="15" topLeftCell="A81" activePane="bottomLeft" state="frozen"/>
      <selection pane="bottomLeft" activeCell="E7" sqref="E7"/>
    </sheetView>
  </sheetViews>
  <sheetFormatPr defaultColWidth="9" defaultRowHeight="16.2" x14ac:dyDescent="0.4"/>
  <cols>
    <col min="1" max="1" width="6.59765625" style="422" customWidth="1"/>
    <col min="4" max="4" width="2.59765625" customWidth="1"/>
    <col min="8" max="8" width="1.59765625" customWidth="1"/>
    <col min="10" max="10" width="1.8984375" bestFit="1" customWidth="1"/>
    <col min="12" max="12" width="1.8984375" bestFit="1" customWidth="1"/>
    <col min="14" max="14" width="2.3984375" bestFit="1" customWidth="1"/>
    <col min="15" max="15" width="5.09765625" bestFit="1" customWidth="1"/>
    <col min="16" max="16" width="3.59765625" bestFit="1" customWidth="1"/>
    <col min="18" max="18" width="2.3984375" bestFit="1" customWidth="1"/>
    <col min="19" max="19" width="10.59765625" bestFit="1" customWidth="1"/>
    <col min="20" max="20" width="7.5" bestFit="1" customWidth="1"/>
    <col min="21" max="21" width="1.59765625" customWidth="1"/>
    <col min="22" max="22" width="5.3984375" bestFit="1" customWidth="1"/>
    <col min="23" max="23" width="5.59765625" customWidth="1"/>
    <col min="24" max="24" width="5.59765625" bestFit="1" customWidth="1"/>
    <col min="25" max="25" width="13" style="1574" customWidth="1"/>
    <col min="26" max="26" width="1.59765625" customWidth="1"/>
    <col min="27" max="27" width="6.59765625" bestFit="1" customWidth="1"/>
    <col min="28" max="28" width="5.59765625" bestFit="1" customWidth="1"/>
    <col min="29" max="29" width="6.8984375" bestFit="1" customWidth="1"/>
    <col min="30" max="30" width="6" bestFit="1" customWidth="1"/>
    <col min="31" max="31" width="6.59765625" bestFit="1" customWidth="1"/>
    <col min="32" max="32" width="7.3984375" customWidth="1"/>
    <col min="33" max="33" width="7.5" style="830" bestFit="1" customWidth="1"/>
    <col min="34" max="34" width="6.8984375" customWidth="1"/>
  </cols>
  <sheetData>
    <row r="1" spans="1:34" ht="35.4" x14ac:dyDescent="0.4">
      <c r="A1" s="421" t="s">
        <v>2386</v>
      </c>
    </row>
    <row r="2" spans="1:34" ht="8.1" customHeight="1" x14ac:dyDescent="0.4"/>
    <row r="3" spans="1:34" ht="15" customHeight="1" x14ac:dyDescent="0.4">
      <c r="F3" s="78">
        <f>LEN(E7)</f>
        <v>3</v>
      </c>
      <c r="G3" s="1579" t="str">
        <f>IF(INTNW=2,(INT2width-0.5)/2,"---")</f>
        <v>---</v>
      </c>
      <c r="H3" s="1580"/>
      <c r="I3" s="1581" t="s">
        <v>2185</v>
      </c>
      <c r="J3" s="78"/>
      <c r="Q3" s="115" t="s">
        <v>2189</v>
      </c>
    </row>
    <row r="4" spans="1:34" ht="15" customHeight="1" thickBot="1" x14ac:dyDescent="0.45">
      <c r="F4" s="1573" t="s">
        <v>2180</v>
      </c>
      <c r="G4" s="1579">
        <f>IF(INTNW=3,(INT2width-1)/3,"---")</f>
        <v>23.5</v>
      </c>
      <c r="H4" s="1582"/>
      <c r="I4" s="1581" t="s">
        <v>2186</v>
      </c>
      <c r="J4" s="423"/>
      <c r="Q4" s="115" t="s">
        <v>2188</v>
      </c>
    </row>
    <row r="5" spans="1:34" ht="15" customHeight="1" thickBot="1" x14ac:dyDescent="0.45">
      <c r="B5" s="2076" t="s">
        <v>297</v>
      </c>
      <c r="C5" s="2077"/>
      <c r="D5" s="2077"/>
      <c r="E5" s="2078"/>
      <c r="G5" s="426">
        <f>IF(INTNW=3,G4-3.75,"---")</f>
        <v>19.75</v>
      </c>
      <c r="H5" s="423"/>
      <c r="I5" s="1572" t="s">
        <v>1431</v>
      </c>
      <c r="J5" s="423"/>
      <c r="Q5" s="115" t="s">
        <v>1432</v>
      </c>
    </row>
    <row r="6" spans="1:34" ht="8.1" customHeight="1" x14ac:dyDescent="0.4">
      <c r="D6" s="424"/>
      <c r="E6" s="424"/>
      <c r="H6" s="423"/>
      <c r="J6" s="423"/>
    </row>
    <row r="7" spans="1:34" ht="15" customHeight="1" x14ac:dyDescent="0.45">
      <c r="C7" s="1571" t="s">
        <v>2182</v>
      </c>
      <c r="E7" s="1503" t="s">
        <v>2403</v>
      </c>
      <c r="G7" s="837">
        <v>33</v>
      </c>
      <c r="H7" s="423"/>
      <c r="I7" s="836" t="s">
        <v>2187</v>
      </c>
      <c r="J7" s="423"/>
    </row>
    <row r="8" spans="1:34" ht="15" customHeight="1" x14ac:dyDescent="0.4">
      <c r="C8" s="1571" t="s">
        <v>2173</v>
      </c>
      <c r="E8" s="833">
        <v>71.5</v>
      </c>
      <c r="G8" s="1583">
        <f>INTSideliteW-3.75</f>
        <v>29.25</v>
      </c>
      <c r="H8" s="1584"/>
      <c r="I8" s="1572" t="s">
        <v>2184</v>
      </c>
      <c r="J8" s="423"/>
      <c r="Q8" s="115" t="s">
        <v>1433</v>
      </c>
    </row>
    <row r="9" spans="1:34" ht="15" customHeight="1" x14ac:dyDescent="0.4">
      <c r="C9" s="1571" t="s">
        <v>2174</v>
      </c>
      <c r="E9" s="455">
        <v>59.5</v>
      </c>
      <c r="G9" s="425">
        <f>IF(INTNW=2,(INT2width-0.5-INTSideliteW),(INT2width-1-2*INTSideliteW))</f>
        <v>4.5</v>
      </c>
      <c r="H9" s="317"/>
      <c r="I9" s="835" t="str">
        <f>IF(INTNW=2,"Twin Other Unit Width","Triple Center Unit Width")</f>
        <v>Triple Center Unit Width</v>
      </c>
      <c r="J9" s="423"/>
      <c r="Q9" s="115" t="s">
        <v>1434</v>
      </c>
    </row>
    <row r="10" spans="1:34" ht="15" customHeight="1" x14ac:dyDescent="0.4">
      <c r="G10" s="1583">
        <f>G9-3.75</f>
        <v>0.75</v>
      </c>
      <c r="H10" s="1584"/>
      <c r="I10" s="1572" t="str">
        <f>IF(INTNW=2,"Twin Other Unit Fixed Glass Width","Triple Center Fixed Glass Width")</f>
        <v>Triple Center Fixed Glass Width</v>
      </c>
      <c r="J10" s="423"/>
      <c r="Q10" s="115" t="s">
        <v>1432</v>
      </c>
    </row>
    <row r="11" spans="1:34" ht="15" customHeight="1" x14ac:dyDescent="0.4">
      <c r="G11" s="839">
        <f>INTheight-3.75</f>
        <v>55.75</v>
      </c>
      <c r="H11" s="317"/>
      <c r="I11" s="115" t="s">
        <v>1435</v>
      </c>
      <c r="J11" s="423"/>
      <c r="O11" s="115"/>
    </row>
    <row r="12" spans="1:34" ht="17.25" customHeight="1" x14ac:dyDescent="0.4">
      <c r="G12" s="840">
        <f>'Single Hung'!Y8</f>
        <v>0</v>
      </c>
      <c r="I12" s="422" t="s">
        <v>1436</v>
      </c>
    </row>
    <row r="13" spans="1:34" ht="36" x14ac:dyDescent="0.4">
      <c r="S13" s="21" t="s">
        <v>330</v>
      </c>
      <c r="T13" s="605" t="s">
        <v>331</v>
      </c>
      <c r="V13" s="1969" t="s">
        <v>332</v>
      </c>
      <c r="W13" s="1969"/>
      <c r="X13" s="1969"/>
      <c r="Y13" s="1969"/>
      <c r="AA13" s="145" t="s">
        <v>333</v>
      </c>
      <c r="AB13" s="145" t="s">
        <v>334</v>
      </c>
      <c r="AC13" s="21" t="s">
        <v>335</v>
      </c>
      <c r="AD13" s="21" t="s">
        <v>336</v>
      </c>
      <c r="AE13" s="21" t="s">
        <v>337</v>
      </c>
      <c r="AF13" s="77">
        <v>0.63249999999999995</v>
      </c>
      <c r="AG13" s="49" t="s">
        <v>338</v>
      </c>
      <c r="AH13" s="606" t="s">
        <v>342</v>
      </c>
    </row>
    <row r="14" spans="1:34" x14ac:dyDescent="0.4">
      <c r="I14" s="607" t="s">
        <v>345</v>
      </c>
      <c r="J14" s="608" t="s">
        <v>346</v>
      </c>
      <c r="K14" s="607" t="s">
        <v>347</v>
      </c>
      <c r="L14" s="438" t="s">
        <v>348</v>
      </c>
      <c r="M14" s="609" t="s">
        <v>347</v>
      </c>
      <c r="N14" s="609" t="s">
        <v>348</v>
      </c>
      <c r="O14" s="609" t="s">
        <v>349</v>
      </c>
      <c r="P14" s="610" t="s">
        <v>350</v>
      </c>
      <c r="Q14" s="609" t="s">
        <v>351</v>
      </c>
      <c r="V14" s="31" t="s">
        <v>2361</v>
      </c>
      <c r="W14" s="31" t="s">
        <v>2369</v>
      </c>
      <c r="X14" s="31" t="s">
        <v>2362</v>
      </c>
      <c r="Y14" s="1575" t="s">
        <v>356</v>
      </c>
    </row>
    <row r="15" spans="1:34" s="428" customFormat="1" ht="6" customHeight="1" x14ac:dyDescent="0.4">
      <c r="A15" s="427"/>
      <c r="F15" s="429"/>
      <c r="V15" s="373"/>
      <c r="W15" s="373"/>
      <c r="X15" s="373"/>
      <c r="Y15" s="1576"/>
      <c r="AG15" s="831"/>
    </row>
    <row r="16" spans="1:34" x14ac:dyDescent="0.4">
      <c r="B16" s="36" t="s">
        <v>1437</v>
      </c>
      <c r="C16" s="3"/>
      <c r="D16" s="36"/>
      <c r="E16" s="3"/>
      <c r="F16" s="155"/>
      <c r="G16" s="7"/>
      <c r="H16" s="20"/>
      <c r="I16" s="8" t="s">
        <v>1438</v>
      </c>
      <c r="J16" s="3"/>
      <c r="L16" s="3"/>
      <c r="M16" s="5"/>
      <c r="N16" s="5"/>
      <c r="O16" s="5"/>
      <c r="P16" s="5"/>
      <c r="Q16" s="5"/>
      <c r="R16" s="3"/>
      <c r="S16" s="5">
        <v>1</v>
      </c>
      <c r="T16" s="3" t="s">
        <v>385</v>
      </c>
      <c r="U16" s="20"/>
      <c r="V16" s="639" t="s">
        <v>369</v>
      </c>
      <c r="W16" s="639" t="s">
        <v>369</v>
      </c>
      <c r="X16" s="639" t="s">
        <v>369</v>
      </c>
      <c r="Y16" s="1443">
        <v>440036000</v>
      </c>
      <c r="Z16" s="20"/>
      <c r="AA16" s="3">
        <v>45</v>
      </c>
      <c r="AB16" s="3">
        <f>IF(INTNW=2,8,16)</f>
        <v>16</v>
      </c>
      <c r="AC16" s="5">
        <f>AB16*S16</f>
        <v>16</v>
      </c>
      <c r="AD16" s="3" t="s">
        <v>385</v>
      </c>
      <c r="AE16" s="38" t="s">
        <v>8</v>
      </c>
      <c r="AF16" s="38" t="s">
        <v>8</v>
      </c>
      <c r="AG16" s="51">
        <v>3.7199999999999997E-2</v>
      </c>
      <c r="AH16" s="39">
        <f>AC16*AG16</f>
        <v>0.59519999999999995</v>
      </c>
    </row>
    <row r="17" spans="1:39" x14ac:dyDescent="0.4">
      <c r="B17" s="36"/>
      <c r="C17" s="3"/>
      <c r="D17" s="36"/>
      <c r="E17" s="3"/>
      <c r="F17" s="155"/>
      <c r="G17" s="7"/>
      <c r="H17" s="20"/>
      <c r="I17" s="3"/>
      <c r="J17" s="3"/>
      <c r="K17" s="3"/>
      <c r="L17" s="3"/>
      <c r="M17" s="5"/>
      <c r="N17" s="5"/>
      <c r="O17" s="5"/>
      <c r="P17" s="5"/>
      <c r="Q17" s="5"/>
      <c r="R17" s="3"/>
      <c r="S17" s="5"/>
      <c r="T17" s="3"/>
      <c r="U17" s="20"/>
      <c r="V17" s="7"/>
      <c r="W17" s="7"/>
      <c r="X17" s="7"/>
      <c r="Y17" s="1443"/>
      <c r="Z17" s="20"/>
      <c r="AA17" s="3"/>
      <c r="AB17" s="3"/>
      <c r="AC17" s="5"/>
      <c r="AD17" s="3"/>
      <c r="AE17" s="38"/>
      <c r="AF17" s="5"/>
      <c r="AG17" s="51"/>
      <c r="AH17" s="39"/>
    </row>
    <row r="18" spans="1:39" ht="16.8" thickBot="1" x14ac:dyDescent="0.45">
      <c r="B18" s="36"/>
      <c r="C18" s="3"/>
      <c r="D18" s="36"/>
      <c r="E18" s="3"/>
      <c r="F18" s="155"/>
      <c r="G18" s="924"/>
      <c r="H18" s="887"/>
      <c r="I18" s="889"/>
      <c r="J18" s="889"/>
      <c r="K18" s="889"/>
      <c r="L18" s="3"/>
      <c r="M18" s="5"/>
      <c r="N18" s="5"/>
      <c r="O18" s="5"/>
      <c r="P18" s="5"/>
      <c r="Q18" s="5"/>
      <c r="R18" s="3"/>
      <c r="S18" s="5"/>
      <c r="T18" s="3"/>
      <c r="U18" s="20"/>
      <c r="V18" s="924"/>
      <c r="W18" s="924"/>
      <c r="X18" s="924"/>
      <c r="Y18" s="1443"/>
      <c r="Z18" s="20"/>
      <c r="AA18" s="3"/>
      <c r="AB18" s="889"/>
      <c r="AC18" s="5"/>
      <c r="AD18" s="3"/>
      <c r="AE18" s="38"/>
      <c r="AF18" s="5"/>
      <c r="AG18" s="51"/>
      <c r="AH18" s="39"/>
    </row>
    <row r="19" spans="1:39" x14ac:dyDescent="0.4">
      <c r="B19" s="181" t="s">
        <v>1439</v>
      </c>
      <c r="C19" s="116"/>
      <c r="D19" s="181"/>
      <c r="E19" s="116"/>
      <c r="F19" s="182"/>
      <c r="G19" s="7"/>
      <c r="H19" s="20"/>
      <c r="I19" s="8" t="s">
        <v>1440</v>
      </c>
      <c r="J19" s="3"/>
      <c r="K19" s="3"/>
      <c r="L19" s="116"/>
      <c r="M19" s="177"/>
      <c r="N19" s="177"/>
      <c r="O19" s="177"/>
      <c r="P19" s="177"/>
      <c r="Q19" s="177"/>
      <c r="R19" s="116"/>
      <c r="S19" s="177">
        <v>1</v>
      </c>
      <c r="T19" s="116" t="s">
        <v>385</v>
      </c>
      <c r="U19" s="175"/>
      <c r="V19" s="38" t="s">
        <v>369</v>
      </c>
      <c r="W19" s="3" t="s">
        <v>370</v>
      </c>
      <c r="X19" s="38" t="s">
        <v>369</v>
      </c>
      <c r="Y19" s="1449">
        <v>600047000</v>
      </c>
      <c r="Z19" s="175"/>
      <c r="AA19" s="116">
        <v>45</v>
      </c>
      <c r="AB19" s="3">
        <f>IF(INTNW=2,1,2)</f>
        <v>2</v>
      </c>
      <c r="AC19" s="177">
        <f>AB19*S19</f>
        <v>2</v>
      </c>
      <c r="AD19" s="116" t="s">
        <v>385</v>
      </c>
      <c r="AE19" s="179" t="s">
        <v>8</v>
      </c>
      <c r="AF19" s="179" t="s">
        <v>8</v>
      </c>
      <c r="AG19" s="185">
        <v>0.10340000000000001</v>
      </c>
      <c r="AH19" s="180">
        <f>AC19*AG19</f>
        <v>0.20680000000000001</v>
      </c>
    </row>
    <row r="20" spans="1:39" x14ac:dyDescent="0.4">
      <c r="B20" s="36"/>
      <c r="C20" s="3"/>
      <c r="D20" s="36"/>
      <c r="E20" s="3"/>
      <c r="F20" s="155"/>
      <c r="G20" s="7"/>
      <c r="H20" s="20"/>
      <c r="I20" s="3"/>
      <c r="J20" s="3"/>
      <c r="K20" s="3"/>
      <c r="L20" s="3"/>
      <c r="M20" s="5"/>
      <c r="N20" s="5"/>
      <c r="O20" s="5"/>
      <c r="P20" s="5"/>
      <c r="Q20" s="5"/>
      <c r="R20" s="3"/>
      <c r="S20" s="5"/>
      <c r="T20" s="3"/>
      <c r="U20" s="20"/>
      <c r="V20" s="7"/>
      <c r="W20" s="7"/>
      <c r="X20" s="7"/>
      <c r="Y20" s="1443"/>
      <c r="Z20" s="20"/>
      <c r="AA20" s="3"/>
      <c r="AB20" s="3"/>
      <c r="AC20" s="5"/>
      <c r="AD20" s="3"/>
      <c r="AE20" s="38"/>
      <c r="AF20" s="5"/>
      <c r="AG20" s="51"/>
      <c r="AH20" s="39"/>
    </row>
    <row r="21" spans="1:39" ht="16.8" thickBot="1" x14ac:dyDescent="0.45">
      <c r="B21" s="36"/>
      <c r="C21" s="3"/>
      <c r="D21" s="36"/>
      <c r="E21" s="3"/>
      <c r="F21" s="155"/>
      <c r="G21" s="7"/>
      <c r="H21" s="20"/>
      <c r="I21" s="889"/>
      <c r="J21" s="3"/>
      <c r="K21" s="3"/>
      <c r="L21" s="3"/>
      <c r="M21" s="5"/>
      <c r="N21" s="5"/>
      <c r="O21" s="5"/>
      <c r="P21" s="5"/>
      <c r="Q21" s="5"/>
      <c r="R21" s="3"/>
      <c r="S21" s="5"/>
      <c r="T21" s="3"/>
      <c r="U21" s="20"/>
      <c r="V21" s="924"/>
      <c r="W21" s="924"/>
      <c r="X21" s="924"/>
      <c r="Y21" s="1443"/>
      <c r="Z21" s="20"/>
      <c r="AA21" s="3"/>
      <c r="AB21" s="889"/>
      <c r="AC21" s="5"/>
      <c r="AD21" s="3"/>
      <c r="AE21" s="38"/>
      <c r="AF21" s="5"/>
      <c r="AG21" s="51"/>
      <c r="AH21" s="39"/>
    </row>
    <row r="22" spans="1:39" s="3" customFormat="1" ht="15" customHeight="1" x14ac:dyDescent="0.4">
      <c r="A22" s="8"/>
      <c r="B22" s="181" t="s">
        <v>1441</v>
      </c>
      <c r="C22" s="116"/>
      <c r="D22" s="181"/>
      <c r="E22" s="116"/>
      <c r="F22" s="182"/>
      <c r="G22" s="173"/>
      <c r="H22" s="175"/>
      <c r="I22" s="8" t="s">
        <v>1442</v>
      </c>
      <c r="J22" s="116"/>
      <c r="K22" s="116"/>
      <c r="L22" s="116"/>
      <c r="M22" s="177"/>
      <c r="N22" s="177"/>
      <c r="O22" s="177"/>
      <c r="P22" s="177"/>
      <c r="Q22" s="177"/>
      <c r="R22" s="116"/>
      <c r="S22" s="177">
        <v>1</v>
      </c>
      <c r="T22" s="116" t="s">
        <v>385</v>
      </c>
      <c r="U22" s="175"/>
      <c r="V22" s="639" t="s">
        <v>369</v>
      </c>
      <c r="W22" s="639" t="s">
        <v>369</v>
      </c>
      <c r="X22" s="639" t="s">
        <v>369</v>
      </c>
      <c r="Y22" s="1449">
        <v>460053000</v>
      </c>
      <c r="Z22" s="175"/>
      <c r="AA22" s="116">
        <v>45</v>
      </c>
      <c r="AB22" s="3">
        <f>IF(INTNW=2,1,2)</f>
        <v>2</v>
      </c>
      <c r="AC22" s="177">
        <f>AB22*S22</f>
        <v>2</v>
      </c>
      <c r="AD22" s="116" t="s">
        <v>385</v>
      </c>
      <c r="AE22" s="179" t="s">
        <v>8</v>
      </c>
      <c r="AF22" s="179" t="s">
        <v>8</v>
      </c>
      <c r="AG22" s="185">
        <v>0.79200000000000004</v>
      </c>
      <c r="AH22" s="180">
        <f>AC22*AG22</f>
        <v>1.5840000000000001</v>
      </c>
      <c r="AI22" s="140"/>
      <c r="AJ22" s="140"/>
      <c r="AK22" s="139"/>
      <c r="AL22" s="139"/>
      <c r="AM22" s="139"/>
    </row>
    <row r="23" spans="1:39" s="3" customFormat="1" ht="15" customHeight="1" x14ac:dyDescent="0.4">
      <c r="A23" s="8"/>
      <c r="B23" s="36"/>
      <c r="D23" s="36"/>
      <c r="F23" s="155"/>
      <c r="G23" s="7"/>
      <c r="H23" s="20"/>
      <c r="M23" s="5"/>
      <c r="N23" s="5"/>
      <c r="O23" s="5"/>
      <c r="P23" s="5"/>
      <c r="Q23" s="5"/>
      <c r="S23" s="5"/>
      <c r="U23" s="20"/>
      <c r="V23" s="7"/>
      <c r="W23" s="7"/>
      <c r="X23" s="7"/>
      <c r="Y23" s="1443"/>
      <c r="Z23" s="20"/>
      <c r="AC23" s="5"/>
      <c r="AE23" s="38"/>
      <c r="AF23" s="5"/>
      <c r="AG23" s="51"/>
      <c r="AH23" s="39"/>
      <c r="AI23" s="140"/>
      <c r="AJ23" s="140"/>
      <c r="AK23" s="139"/>
      <c r="AL23" s="139"/>
      <c r="AM23" s="139"/>
    </row>
    <row r="24" spans="1:39" s="3" customFormat="1" ht="15" customHeight="1" x14ac:dyDescent="0.4">
      <c r="A24" s="8"/>
      <c r="B24" s="36"/>
      <c r="D24" s="36"/>
      <c r="F24" s="155"/>
      <c r="G24" s="7"/>
      <c r="H24" s="20"/>
      <c r="M24" s="5"/>
      <c r="N24" s="5"/>
      <c r="O24" s="5"/>
      <c r="P24" s="5"/>
      <c r="Q24" s="5"/>
      <c r="S24" s="5"/>
      <c r="U24" s="20"/>
      <c r="V24" s="7"/>
      <c r="W24" s="7"/>
      <c r="X24" s="7"/>
      <c r="Y24" s="1443"/>
      <c r="Z24" s="20"/>
      <c r="AC24" s="5"/>
      <c r="AE24" s="38"/>
      <c r="AF24" s="5"/>
      <c r="AG24" s="51"/>
      <c r="AH24" s="39"/>
      <c r="AI24" s="140"/>
      <c r="AJ24" s="140"/>
      <c r="AK24" s="139"/>
      <c r="AL24" s="139"/>
      <c r="AM24" s="139"/>
    </row>
    <row r="25" spans="1:39" ht="16.8" thickBot="1" x14ac:dyDescent="0.45">
      <c r="B25" s="3"/>
      <c r="C25" s="3"/>
      <c r="D25" s="3"/>
      <c r="E25" s="3"/>
      <c r="F25" s="3"/>
      <c r="G25" s="3"/>
      <c r="H25" s="20"/>
      <c r="I25" s="889"/>
      <c r="J25" s="3"/>
      <c r="K25" s="3"/>
      <c r="L25" s="3"/>
      <c r="M25" s="3"/>
      <c r="N25" s="3"/>
      <c r="U25" s="887"/>
      <c r="Z25" s="887"/>
    </row>
    <row r="26" spans="1:39" s="3" customFormat="1" ht="15" customHeight="1" x14ac:dyDescent="0.4">
      <c r="A26" s="8"/>
      <c r="B26" s="173" t="s">
        <v>1443</v>
      </c>
      <c r="C26" s="182"/>
      <c r="D26" s="138"/>
      <c r="E26" s="182"/>
      <c r="F26" s="430" t="s">
        <v>1444</v>
      </c>
      <c r="G26" s="834">
        <v>3</v>
      </c>
      <c r="H26" s="175"/>
      <c r="J26" s="116"/>
      <c r="K26" s="116"/>
      <c r="L26" s="116"/>
      <c r="M26" s="177"/>
      <c r="N26" s="177"/>
      <c r="O26" s="116"/>
      <c r="P26" s="116"/>
      <c r="Q26" s="116"/>
      <c r="R26" s="116"/>
      <c r="S26" s="116"/>
      <c r="T26" s="116"/>
      <c r="U26" s="175"/>
      <c r="V26" s="179"/>
      <c r="W26" s="116"/>
      <c r="X26" s="116"/>
      <c r="Y26" s="1449"/>
      <c r="Z26" s="175"/>
      <c r="AA26" s="116"/>
      <c r="AB26" s="116"/>
      <c r="AC26" s="116"/>
      <c r="AD26" s="116"/>
      <c r="AE26" s="116"/>
      <c r="AF26" s="116"/>
      <c r="AG26" s="185"/>
      <c r="AH26" s="433"/>
      <c r="AI26" s="139"/>
      <c r="AJ26" s="139"/>
      <c r="AK26" s="139"/>
      <c r="AL26" s="139"/>
      <c r="AM26" s="139"/>
    </row>
    <row r="27" spans="1:39" s="3" customFormat="1" ht="15" customHeight="1" x14ac:dyDescent="0.4">
      <c r="A27" s="8"/>
      <c r="B27" s="7"/>
      <c r="C27" s="155"/>
      <c r="D27" s="4"/>
      <c r="E27" s="155"/>
      <c r="F27" s="434" t="s">
        <v>1445</v>
      </c>
      <c r="G27" s="662">
        <v>4</v>
      </c>
      <c r="H27" s="20"/>
      <c r="I27" s="436" t="str">
        <f xml:space="preserve"> "Length = INT ( ( UH - " &amp;FIXED(G27,2)&amp;") / "&amp;FIXED(G26,2)&amp;" ) *"&amp;FIXED(G26,2)</f>
        <v>Length = INT ( ( UH - 4.00) / 3.00 ) *3.00</v>
      </c>
      <c r="M27" s="5"/>
      <c r="N27" s="5"/>
      <c r="Q27" s="535" t="str">
        <f>LOOKUP(S27,S30:S56,Q30:Q56)</f>
        <v>M</v>
      </c>
      <c r="R27" s="500" t="s">
        <v>352</v>
      </c>
      <c r="S27" s="832">
        <f>LOOKUP(INT((INTheight-G27)/G26)*G26,S30:S56)</f>
        <v>54</v>
      </c>
      <c r="T27" s="500" t="s">
        <v>366</v>
      </c>
      <c r="U27" s="20"/>
      <c r="V27" s="38"/>
      <c r="Y27" s="1462">
        <f>LOOKUP(S27,S31:S56,Y31:Y56)</f>
        <v>250010000013</v>
      </c>
      <c r="Z27" s="20"/>
      <c r="AA27" s="3">
        <v>45</v>
      </c>
      <c r="AB27" s="3">
        <f>IF(INTNW=2,1,2)</f>
        <v>2</v>
      </c>
      <c r="AC27" s="5">
        <f>LOOKUP(S27,S31:S56,AC31:AC56)</f>
        <v>4.5</v>
      </c>
      <c r="AD27" s="3" t="s">
        <v>367</v>
      </c>
      <c r="AE27" s="38"/>
      <c r="AF27" s="38"/>
      <c r="AG27" s="51">
        <f>LOOKUP(S27,S31:S56,AG31:AG56)</f>
        <v>3.9434</v>
      </c>
      <c r="AH27" s="39">
        <f>AB27*AG27</f>
        <v>7.8868</v>
      </c>
      <c r="AI27" s="139"/>
      <c r="AJ27" s="139"/>
      <c r="AK27" s="139"/>
      <c r="AL27" s="139"/>
      <c r="AM27" s="139"/>
    </row>
    <row r="28" spans="1:39" s="3" customFormat="1" ht="15" customHeight="1" x14ac:dyDescent="0.4">
      <c r="A28" s="8"/>
      <c r="B28" s="7"/>
      <c r="C28" s="155"/>
      <c r="D28" s="573"/>
      <c r="E28" s="623"/>
      <c r="F28" s="720" t="s">
        <v>1446</v>
      </c>
      <c r="G28" s="859">
        <v>0</v>
      </c>
      <c r="H28" s="624"/>
      <c r="I28" s="860"/>
      <c r="J28" s="577"/>
      <c r="K28" s="577"/>
      <c r="L28" s="577"/>
      <c r="M28" s="575"/>
      <c r="N28" s="575"/>
      <c r="O28" s="577"/>
      <c r="P28" s="577"/>
      <c r="Q28" s="625"/>
      <c r="R28" s="577"/>
      <c r="S28" s="625" t="s">
        <v>523</v>
      </c>
      <c r="T28" s="577"/>
      <c r="U28" s="574"/>
      <c r="V28" s="223"/>
      <c r="W28" s="223"/>
      <c r="X28" s="223"/>
      <c r="Y28" s="1460"/>
      <c r="Z28" s="574"/>
      <c r="AA28" s="577"/>
      <c r="AB28" s="577"/>
      <c r="AC28" s="575"/>
      <c r="AD28" s="575"/>
      <c r="AE28" s="575"/>
      <c r="AF28" s="575"/>
      <c r="AG28" s="626"/>
      <c r="AH28" s="581"/>
      <c r="AI28" s="139"/>
      <c r="AJ28" s="139"/>
      <c r="AK28" s="139"/>
      <c r="AL28" s="139"/>
      <c r="AM28" s="139"/>
    </row>
    <row r="29" spans="1:39" s="3" customFormat="1" ht="15" customHeight="1" x14ac:dyDescent="0.4">
      <c r="A29" s="8"/>
      <c r="B29" s="7"/>
      <c r="C29" s="155"/>
      <c r="D29" s="155"/>
      <c r="E29" s="155"/>
      <c r="F29" s="434"/>
      <c r="G29" s="498"/>
      <c r="H29" s="20"/>
      <c r="M29" s="5"/>
      <c r="N29" s="5"/>
      <c r="O29" s="5"/>
      <c r="P29" s="5"/>
      <c r="Q29" s="24"/>
      <c r="S29" s="5"/>
      <c r="U29" s="20"/>
      <c r="V29" s="38"/>
      <c r="X29" s="38"/>
      <c r="Y29" s="1445"/>
      <c r="Z29" s="20"/>
      <c r="AC29" s="5"/>
      <c r="AE29" s="38"/>
      <c r="AF29" s="38"/>
      <c r="AG29" s="51"/>
      <c r="AH29" s="39"/>
      <c r="AI29" s="139"/>
      <c r="AJ29" s="139"/>
      <c r="AK29" s="139"/>
      <c r="AL29" s="139"/>
      <c r="AM29" s="139"/>
    </row>
    <row r="30" spans="1:39" s="3" customFormat="1" ht="15" customHeight="1" x14ac:dyDescent="0.4">
      <c r="A30" s="8"/>
      <c r="B30" s="7"/>
      <c r="C30" s="155"/>
      <c r="D30" s="155"/>
      <c r="E30" s="155"/>
      <c r="F30" s="434" t="s">
        <v>878</v>
      </c>
      <c r="G30" s="662">
        <v>18</v>
      </c>
      <c r="H30" s="20"/>
      <c r="M30" s="5"/>
      <c r="N30" s="5"/>
      <c r="O30" s="5"/>
      <c r="P30" s="5"/>
      <c r="Q30" s="439" t="s">
        <v>529</v>
      </c>
      <c r="R30" s="3" t="s">
        <v>352</v>
      </c>
      <c r="S30" s="5">
        <v>0</v>
      </c>
      <c r="T30" s="3" t="s">
        <v>366</v>
      </c>
      <c r="U30" s="20"/>
      <c r="V30" s="38"/>
      <c r="X30" s="38"/>
      <c r="Y30" s="1445" t="s">
        <v>529</v>
      </c>
      <c r="Z30" s="20"/>
      <c r="AC30" s="5">
        <v>0</v>
      </c>
      <c r="AD30" s="3" t="s">
        <v>367</v>
      </c>
      <c r="AE30" s="38"/>
      <c r="AF30" s="38"/>
      <c r="AG30" s="51"/>
      <c r="AH30" s="39"/>
      <c r="AI30" s="139"/>
      <c r="AJ30" s="139"/>
      <c r="AK30" s="139"/>
      <c r="AL30" s="139"/>
      <c r="AM30" s="139"/>
    </row>
    <row r="31" spans="1:39" s="3" customFormat="1" ht="15" customHeight="1" x14ac:dyDescent="0.4">
      <c r="A31" s="8"/>
      <c r="B31" s="7"/>
      <c r="C31" s="155"/>
      <c r="D31" s="155"/>
      <c r="E31" s="155"/>
      <c r="H31" s="20"/>
      <c r="M31" s="5"/>
      <c r="N31" s="5"/>
      <c r="O31" s="5"/>
      <c r="P31" s="5"/>
      <c r="Q31" s="439" t="s">
        <v>70</v>
      </c>
      <c r="R31" s="440" t="s">
        <v>352</v>
      </c>
      <c r="S31" s="376">
        <f>G30</f>
        <v>18</v>
      </c>
      <c r="T31" s="3" t="s">
        <v>366</v>
      </c>
      <c r="U31" s="20"/>
      <c r="V31" s="38"/>
      <c r="X31" s="38"/>
      <c r="Y31" s="1454">
        <v>250010000001</v>
      </c>
      <c r="Z31" s="20"/>
      <c r="AA31" s="3">
        <v>45</v>
      </c>
      <c r="AB31" s="3">
        <v>1</v>
      </c>
      <c r="AC31" s="5">
        <f>AB31*S31/12</f>
        <v>1.5</v>
      </c>
      <c r="AD31" s="3" t="s">
        <v>367</v>
      </c>
      <c r="AE31" s="38"/>
      <c r="AF31" s="38"/>
      <c r="AG31" s="51">
        <f>AG$58/S$58*AC31</f>
        <v>1.2882</v>
      </c>
      <c r="AH31" s="39"/>
      <c r="AI31" s="139"/>
      <c r="AJ31" s="139"/>
      <c r="AK31" s="139"/>
      <c r="AL31" s="139"/>
      <c r="AM31" s="139"/>
    </row>
    <row r="32" spans="1:39" s="3" customFormat="1" ht="15" customHeight="1" x14ac:dyDescent="0.4">
      <c r="A32" s="8"/>
      <c r="B32" s="7"/>
      <c r="C32" s="155"/>
      <c r="D32" s="155"/>
      <c r="E32" s="155"/>
      <c r="F32" s="434"/>
      <c r="G32" s="498"/>
      <c r="H32" s="20"/>
      <c r="M32" s="5"/>
      <c r="N32" s="5"/>
      <c r="O32" s="5"/>
      <c r="P32" s="5"/>
      <c r="Q32" s="439" t="s">
        <v>81</v>
      </c>
      <c r="R32" s="440" t="s">
        <v>352</v>
      </c>
      <c r="S32" s="376">
        <f t="shared" ref="S32:S56" si="0">S31+$G$26</f>
        <v>21</v>
      </c>
      <c r="T32" s="3" t="s">
        <v>366</v>
      </c>
      <c r="U32" s="20"/>
      <c r="V32" s="38"/>
      <c r="X32" s="38"/>
      <c r="Y32" s="1454">
        <v>250010000002</v>
      </c>
      <c r="Z32" s="20"/>
      <c r="AA32" s="3">
        <v>45</v>
      </c>
      <c r="AB32" s="3">
        <v>1</v>
      </c>
      <c r="AC32" s="5">
        <f>AB32*S32/12</f>
        <v>1.75</v>
      </c>
      <c r="AD32" s="3" t="s">
        <v>367</v>
      </c>
      <c r="AE32" s="38"/>
      <c r="AF32" s="38"/>
      <c r="AG32" s="51">
        <f t="shared" ref="AG32:AG41" si="1">AG$58/S$58*AC32</f>
        <v>1.5028999999999999</v>
      </c>
      <c r="AH32" s="39"/>
      <c r="AI32" s="139"/>
      <c r="AJ32" s="139"/>
      <c r="AK32" s="139"/>
      <c r="AL32" s="139"/>
      <c r="AM32" s="139"/>
    </row>
    <row r="33" spans="1:39" s="3" customFormat="1" ht="15" customHeight="1" x14ac:dyDescent="0.4">
      <c r="A33" s="8"/>
      <c r="B33" s="7"/>
      <c r="C33" s="155"/>
      <c r="D33" s="155"/>
      <c r="E33" s="155"/>
      <c r="F33" s="4"/>
      <c r="G33" s="4"/>
      <c r="H33" s="20"/>
      <c r="I33" s="442"/>
      <c r="M33" s="5"/>
      <c r="N33" s="5"/>
      <c r="O33" s="5"/>
      <c r="P33" s="5"/>
      <c r="Q33" s="439" t="s">
        <v>531</v>
      </c>
      <c r="R33" s="440" t="s">
        <v>352</v>
      </c>
      <c r="S33" s="376">
        <f t="shared" si="0"/>
        <v>24</v>
      </c>
      <c r="T33" s="3" t="s">
        <v>366</v>
      </c>
      <c r="U33" s="20"/>
      <c r="V33" s="38"/>
      <c r="X33" s="38"/>
      <c r="Y33" s="1454">
        <v>250010000003</v>
      </c>
      <c r="Z33" s="20"/>
      <c r="AA33" s="3">
        <v>45</v>
      </c>
      <c r="AB33" s="3">
        <v>1</v>
      </c>
      <c r="AC33" s="5">
        <f t="shared" ref="AC33:AC44" si="2">AB33*S33/12</f>
        <v>2</v>
      </c>
      <c r="AD33" s="3" t="s">
        <v>367</v>
      </c>
      <c r="AE33" s="38"/>
      <c r="AF33" s="38"/>
      <c r="AG33" s="51">
        <f t="shared" si="1"/>
        <v>1.7176</v>
      </c>
      <c r="AH33" s="39"/>
      <c r="AI33" s="139"/>
      <c r="AJ33" s="139"/>
      <c r="AK33" s="139"/>
      <c r="AL33" s="139"/>
      <c r="AM33" s="139"/>
    </row>
    <row r="34" spans="1:39" s="3" customFormat="1" ht="15" customHeight="1" x14ac:dyDescent="0.4">
      <c r="A34" s="8"/>
      <c r="B34" s="7"/>
      <c r="C34" s="155"/>
      <c r="D34" s="155"/>
      <c r="E34" s="155"/>
      <c r="F34" s="155"/>
      <c r="G34" s="7"/>
      <c r="H34" s="20"/>
      <c r="I34" s="443"/>
      <c r="M34" s="5"/>
      <c r="N34" s="5"/>
      <c r="O34" s="5"/>
      <c r="P34" s="5"/>
      <c r="Q34" s="439" t="s">
        <v>94</v>
      </c>
      <c r="R34" s="440" t="s">
        <v>352</v>
      </c>
      <c r="S34" s="376">
        <f t="shared" si="0"/>
        <v>27</v>
      </c>
      <c r="T34" s="3" t="s">
        <v>366</v>
      </c>
      <c r="U34" s="20"/>
      <c r="V34" s="38"/>
      <c r="X34" s="38"/>
      <c r="Y34" s="1454">
        <v>250010000004</v>
      </c>
      <c r="Z34" s="20"/>
      <c r="AA34" s="3">
        <v>45</v>
      </c>
      <c r="AB34" s="3">
        <v>1</v>
      </c>
      <c r="AC34" s="5">
        <f t="shared" si="2"/>
        <v>2.25</v>
      </c>
      <c r="AD34" s="3" t="s">
        <v>367</v>
      </c>
      <c r="AE34" s="38"/>
      <c r="AF34" s="38"/>
      <c r="AG34" s="51">
        <f t="shared" si="1"/>
        <v>1.9323000000000001</v>
      </c>
      <c r="AH34" s="39"/>
      <c r="AI34" s="139"/>
      <c r="AJ34" s="139"/>
      <c r="AK34" s="139"/>
      <c r="AL34" s="139"/>
      <c r="AM34" s="139"/>
    </row>
    <row r="35" spans="1:39" s="3" customFormat="1" ht="15" customHeight="1" x14ac:dyDescent="0.4">
      <c r="A35" s="8"/>
      <c r="B35" s="7"/>
      <c r="C35" s="155"/>
      <c r="D35" s="155"/>
      <c r="E35" s="155"/>
      <c r="F35" s="155"/>
      <c r="G35" s="7"/>
      <c r="H35" s="20"/>
      <c r="M35" s="5"/>
      <c r="N35" s="5"/>
      <c r="O35" s="5"/>
      <c r="P35" s="5"/>
      <c r="Q35" s="439" t="s">
        <v>112</v>
      </c>
      <c r="R35" s="440" t="s">
        <v>352</v>
      </c>
      <c r="S35" s="376">
        <f t="shared" si="0"/>
        <v>30</v>
      </c>
      <c r="T35" s="3" t="s">
        <v>366</v>
      </c>
      <c r="U35" s="20"/>
      <c r="V35" s="38"/>
      <c r="X35" s="38"/>
      <c r="Y35" s="1454">
        <v>250010000005</v>
      </c>
      <c r="Z35" s="20"/>
      <c r="AA35" s="3">
        <v>45</v>
      </c>
      <c r="AB35" s="3">
        <v>1</v>
      </c>
      <c r="AC35" s="5">
        <f t="shared" si="2"/>
        <v>2.5</v>
      </c>
      <c r="AD35" s="3" t="s">
        <v>367</v>
      </c>
      <c r="AE35" s="38"/>
      <c r="AF35" s="38"/>
      <c r="AG35" s="51">
        <f t="shared" si="1"/>
        <v>2.1470000000000002</v>
      </c>
      <c r="AH35" s="39"/>
      <c r="AI35" s="139"/>
      <c r="AJ35" s="139"/>
      <c r="AK35" s="139"/>
      <c r="AL35" s="139"/>
      <c r="AM35" s="139"/>
    </row>
    <row r="36" spans="1:39" s="3" customFormat="1" ht="15" customHeight="1" x14ac:dyDescent="0.4">
      <c r="A36" s="8"/>
      <c r="B36" s="7"/>
      <c r="C36" s="155"/>
      <c r="D36" s="155"/>
      <c r="E36" s="155"/>
      <c r="F36" s="155"/>
      <c r="G36" s="7"/>
      <c r="H36" s="20"/>
      <c r="M36" s="5"/>
      <c r="N36" s="5"/>
      <c r="O36" s="5"/>
      <c r="P36" s="5"/>
      <c r="Q36" s="439" t="s">
        <v>128</v>
      </c>
      <c r="R36" s="440" t="s">
        <v>352</v>
      </c>
      <c r="S36" s="376">
        <f t="shared" si="0"/>
        <v>33</v>
      </c>
      <c r="T36" s="3" t="s">
        <v>366</v>
      </c>
      <c r="U36" s="20"/>
      <c r="V36" s="38"/>
      <c r="X36" s="38"/>
      <c r="Y36" s="1454">
        <v>250010000006</v>
      </c>
      <c r="Z36" s="20"/>
      <c r="AA36" s="3">
        <v>45</v>
      </c>
      <c r="AB36" s="3">
        <v>1</v>
      </c>
      <c r="AC36" s="5">
        <f t="shared" si="2"/>
        <v>2.75</v>
      </c>
      <c r="AD36" s="3" t="s">
        <v>367</v>
      </c>
      <c r="AE36" s="38"/>
      <c r="AF36" s="38"/>
      <c r="AG36" s="51">
        <f t="shared" si="1"/>
        <v>2.3616999999999999</v>
      </c>
      <c r="AH36" s="39"/>
      <c r="AI36" s="139"/>
      <c r="AJ36" s="139"/>
      <c r="AK36" s="139"/>
      <c r="AL36" s="139"/>
      <c r="AM36" s="139"/>
    </row>
    <row r="37" spans="1:39" s="3" customFormat="1" ht="15" customHeight="1" x14ac:dyDescent="0.4">
      <c r="A37" s="8"/>
      <c r="B37" s="7"/>
      <c r="C37" s="155"/>
      <c r="D37" s="155"/>
      <c r="E37" s="155"/>
      <c r="F37" s="155"/>
      <c r="G37" s="7"/>
      <c r="H37" s="20"/>
      <c r="M37" s="5"/>
      <c r="N37" s="5"/>
      <c r="O37" s="5"/>
      <c r="P37" s="5"/>
      <c r="Q37" s="439" t="s">
        <v>155</v>
      </c>
      <c r="R37" s="440" t="s">
        <v>352</v>
      </c>
      <c r="S37" s="376">
        <f t="shared" si="0"/>
        <v>36</v>
      </c>
      <c r="T37" s="3" t="s">
        <v>366</v>
      </c>
      <c r="U37" s="20"/>
      <c r="V37" s="38"/>
      <c r="X37" s="38"/>
      <c r="Y37" s="1454">
        <v>250010000007</v>
      </c>
      <c r="Z37" s="20"/>
      <c r="AA37" s="3">
        <v>45</v>
      </c>
      <c r="AB37" s="3">
        <v>1</v>
      </c>
      <c r="AC37" s="5">
        <f t="shared" si="2"/>
        <v>3</v>
      </c>
      <c r="AD37" s="3" t="s">
        <v>367</v>
      </c>
      <c r="AE37" s="38"/>
      <c r="AF37" s="38"/>
      <c r="AG37" s="51">
        <f t="shared" si="1"/>
        <v>2.5764</v>
      </c>
      <c r="AH37" s="39"/>
      <c r="AI37" s="139"/>
      <c r="AJ37" s="139"/>
      <c r="AK37" s="139"/>
      <c r="AL37" s="139"/>
      <c r="AM37" s="139"/>
    </row>
    <row r="38" spans="1:39" s="3" customFormat="1" ht="15" customHeight="1" x14ac:dyDescent="0.4">
      <c r="A38" s="8"/>
      <c r="B38" s="7"/>
      <c r="C38" s="155"/>
      <c r="D38" s="155"/>
      <c r="E38" s="155"/>
      <c r="F38" s="155"/>
      <c r="G38" s="7"/>
      <c r="H38" s="20"/>
      <c r="M38" s="5"/>
      <c r="N38" s="5"/>
      <c r="O38" s="5"/>
      <c r="P38" s="5"/>
      <c r="Q38" s="439" t="s">
        <v>163</v>
      </c>
      <c r="R38" s="440" t="s">
        <v>352</v>
      </c>
      <c r="S38" s="376">
        <f t="shared" si="0"/>
        <v>39</v>
      </c>
      <c r="T38" s="3" t="s">
        <v>366</v>
      </c>
      <c r="U38" s="20"/>
      <c r="V38" s="38"/>
      <c r="X38" s="38"/>
      <c r="Y38" s="1454">
        <v>250010000008</v>
      </c>
      <c r="Z38" s="20"/>
      <c r="AA38" s="3">
        <v>45</v>
      </c>
      <c r="AB38" s="3">
        <v>1</v>
      </c>
      <c r="AC38" s="5">
        <f t="shared" si="2"/>
        <v>3.25</v>
      </c>
      <c r="AD38" s="3" t="s">
        <v>367</v>
      </c>
      <c r="AE38" s="38"/>
      <c r="AF38" s="38"/>
      <c r="AG38" s="51">
        <f t="shared" si="1"/>
        <v>2.7911000000000001</v>
      </c>
      <c r="AH38" s="39"/>
      <c r="AI38" s="139"/>
      <c r="AJ38" s="139"/>
      <c r="AK38" s="139"/>
      <c r="AL38" s="139"/>
      <c r="AM38" s="139"/>
    </row>
    <row r="39" spans="1:39" s="3" customFormat="1" ht="15" customHeight="1" x14ac:dyDescent="0.4">
      <c r="A39" s="8"/>
      <c r="H39" s="20"/>
      <c r="O39" s="5"/>
      <c r="P39" s="5"/>
      <c r="Q39" s="439" t="s">
        <v>175</v>
      </c>
      <c r="R39" s="440" t="s">
        <v>352</v>
      </c>
      <c r="S39" s="376">
        <f t="shared" si="0"/>
        <v>42</v>
      </c>
      <c r="T39" s="3" t="s">
        <v>366</v>
      </c>
      <c r="U39" s="20"/>
      <c r="V39" s="38"/>
      <c r="X39" s="38"/>
      <c r="Y39" s="1454">
        <v>250010000009</v>
      </c>
      <c r="Z39" s="20"/>
      <c r="AA39" s="3">
        <v>45</v>
      </c>
      <c r="AB39" s="3">
        <v>1</v>
      </c>
      <c r="AC39" s="5">
        <f t="shared" si="2"/>
        <v>3.5</v>
      </c>
      <c r="AD39" s="3" t="s">
        <v>367</v>
      </c>
      <c r="AE39" s="38"/>
      <c r="AF39" s="38"/>
      <c r="AG39" s="51">
        <f t="shared" si="1"/>
        <v>3.0057999999999998</v>
      </c>
      <c r="AH39" s="39"/>
      <c r="AI39" s="139"/>
      <c r="AJ39" s="139"/>
      <c r="AK39" s="139"/>
      <c r="AL39" s="139"/>
      <c r="AM39" s="139"/>
    </row>
    <row r="40" spans="1:39" s="3" customFormat="1" ht="15" customHeight="1" x14ac:dyDescent="0.4">
      <c r="A40" s="8"/>
      <c r="H40" s="20"/>
      <c r="O40" s="5"/>
      <c r="P40" s="5"/>
      <c r="Q40" s="439" t="s">
        <v>533</v>
      </c>
      <c r="R40" s="440" t="s">
        <v>352</v>
      </c>
      <c r="S40" s="376">
        <f t="shared" si="0"/>
        <v>45</v>
      </c>
      <c r="T40" s="3" t="s">
        <v>366</v>
      </c>
      <c r="U40" s="20"/>
      <c r="V40" s="38"/>
      <c r="X40" s="38"/>
      <c r="Y40" s="1454">
        <v>250010000010</v>
      </c>
      <c r="Z40" s="20"/>
      <c r="AA40" s="3">
        <v>45</v>
      </c>
      <c r="AB40" s="3">
        <v>1</v>
      </c>
      <c r="AC40" s="5">
        <f t="shared" si="2"/>
        <v>3.75</v>
      </c>
      <c r="AD40" s="3" t="s">
        <v>367</v>
      </c>
      <c r="AE40" s="38"/>
      <c r="AF40" s="38"/>
      <c r="AG40" s="1022">
        <v>3.2860999999999998</v>
      </c>
      <c r="AH40" s="1021" t="s">
        <v>1447</v>
      </c>
      <c r="AI40" s="139"/>
      <c r="AJ40" s="139"/>
      <c r="AK40" s="139"/>
      <c r="AL40" s="139"/>
      <c r="AM40" s="139"/>
    </row>
    <row r="41" spans="1:39" s="3" customFormat="1" ht="15" customHeight="1" x14ac:dyDescent="0.4">
      <c r="A41" s="8"/>
      <c r="H41" s="20"/>
      <c r="O41" s="5"/>
      <c r="P41" s="5"/>
      <c r="Q41" s="439" t="s">
        <v>534</v>
      </c>
      <c r="R41" s="440" t="s">
        <v>352</v>
      </c>
      <c r="S41" s="376">
        <f t="shared" si="0"/>
        <v>48</v>
      </c>
      <c r="T41" s="3" t="s">
        <v>366</v>
      </c>
      <c r="U41" s="20"/>
      <c r="V41" s="38"/>
      <c r="X41" s="38"/>
      <c r="Y41" s="1454">
        <v>250010000011</v>
      </c>
      <c r="Z41" s="20"/>
      <c r="AA41" s="3">
        <v>45</v>
      </c>
      <c r="AB41" s="3">
        <v>1</v>
      </c>
      <c r="AC41" s="5">
        <f t="shared" si="2"/>
        <v>4</v>
      </c>
      <c r="AD41" s="3" t="s">
        <v>367</v>
      </c>
      <c r="AE41" s="38"/>
      <c r="AF41" s="38"/>
      <c r="AG41" s="51">
        <f t="shared" si="1"/>
        <v>3.4352</v>
      </c>
      <c r="AH41" s="39"/>
      <c r="AI41" s="139"/>
      <c r="AJ41" s="139"/>
      <c r="AK41" s="139"/>
      <c r="AL41" s="139"/>
      <c r="AM41" s="139"/>
    </row>
    <row r="42" spans="1:39" s="3" customFormat="1" ht="15" customHeight="1" x14ac:dyDescent="0.4">
      <c r="A42" s="8"/>
      <c r="B42" s="7"/>
      <c r="C42" s="155"/>
      <c r="D42" s="155"/>
      <c r="E42" s="155"/>
      <c r="F42" s="155"/>
      <c r="G42" s="7"/>
      <c r="H42" s="20"/>
      <c r="M42" s="5"/>
      <c r="N42" s="5"/>
      <c r="O42" s="5"/>
      <c r="P42" s="5"/>
      <c r="Q42" s="439" t="s">
        <v>535</v>
      </c>
      <c r="R42" s="440" t="s">
        <v>352</v>
      </c>
      <c r="S42" s="376">
        <f t="shared" si="0"/>
        <v>51</v>
      </c>
      <c r="T42" s="3" t="s">
        <v>366</v>
      </c>
      <c r="U42" s="20"/>
      <c r="V42" s="38"/>
      <c r="X42" s="38"/>
      <c r="Y42" s="1454">
        <v>250010000012</v>
      </c>
      <c r="Z42" s="20"/>
      <c r="AA42" s="3">
        <v>45</v>
      </c>
      <c r="AB42" s="3">
        <v>1</v>
      </c>
      <c r="AC42" s="5">
        <f t="shared" si="2"/>
        <v>4.25</v>
      </c>
      <c r="AD42" s="3" t="s">
        <v>367</v>
      </c>
      <c r="AE42" s="38"/>
      <c r="AF42" s="38"/>
      <c r="AG42" s="1022">
        <v>3.7242999999999999</v>
      </c>
      <c r="AH42" s="1021" t="s">
        <v>1447</v>
      </c>
      <c r="AI42" s="139"/>
      <c r="AJ42" s="139"/>
      <c r="AK42" s="139"/>
      <c r="AL42" s="139"/>
      <c r="AM42" s="139"/>
    </row>
    <row r="43" spans="1:39" s="3" customFormat="1" ht="15" customHeight="1" x14ac:dyDescent="0.4">
      <c r="A43" s="8"/>
      <c r="B43" s="7"/>
      <c r="C43" s="155"/>
      <c r="D43" s="155"/>
      <c r="E43" s="155"/>
      <c r="F43" s="155"/>
      <c r="G43" s="7"/>
      <c r="H43" s="20"/>
      <c r="M43" s="5"/>
      <c r="N43" s="5"/>
      <c r="O43" s="5"/>
      <c r="P43" s="5"/>
      <c r="Q43" s="439" t="s">
        <v>536</v>
      </c>
      <c r="R43" s="440" t="s">
        <v>352</v>
      </c>
      <c r="S43" s="376">
        <f t="shared" si="0"/>
        <v>54</v>
      </c>
      <c r="T43" s="3" t="s">
        <v>366</v>
      </c>
      <c r="U43" s="20"/>
      <c r="V43" s="38"/>
      <c r="X43" s="38"/>
      <c r="Y43" s="1454">
        <v>250010000013</v>
      </c>
      <c r="Z43" s="20"/>
      <c r="AA43" s="3">
        <v>45</v>
      </c>
      <c r="AB43" s="3">
        <v>1</v>
      </c>
      <c r="AC43" s="5">
        <f t="shared" si="2"/>
        <v>4.5</v>
      </c>
      <c r="AD43" s="3" t="s">
        <v>367</v>
      </c>
      <c r="AE43" s="38"/>
      <c r="AF43" s="38"/>
      <c r="AG43" s="1022">
        <v>3.9434</v>
      </c>
      <c r="AH43" s="1021" t="s">
        <v>1447</v>
      </c>
      <c r="AI43" s="139"/>
      <c r="AJ43" s="139"/>
      <c r="AK43" s="139"/>
      <c r="AL43" s="139"/>
      <c r="AM43" s="139"/>
    </row>
    <row r="44" spans="1:39" s="3" customFormat="1" ht="15" customHeight="1" x14ac:dyDescent="0.4">
      <c r="A44" s="8"/>
      <c r="B44" s="7"/>
      <c r="C44" s="155"/>
      <c r="D44" s="155"/>
      <c r="E44" s="155"/>
      <c r="F44" s="155"/>
      <c r="G44" s="7"/>
      <c r="H44" s="20"/>
      <c r="M44" s="5"/>
      <c r="N44" s="5"/>
      <c r="O44" s="5"/>
      <c r="P44" s="5"/>
      <c r="Q44" s="439" t="s">
        <v>537</v>
      </c>
      <c r="R44" s="440" t="s">
        <v>352</v>
      </c>
      <c r="S44" s="376">
        <f t="shared" si="0"/>
        <v>57</v>
      </c>
      <c r="T44" s="3" t="s">
        <v>366</v>
      </c>
      <c r="U44" s="20"/>
      <c r="V44" s="38"/>
      <c r="X44" s="38"/>
      <c r="Y44" s="1454">
        <v>250010000014</v>
      </c>
      <c r="Z44" s="20"/>
      <c r="AA44" s="3">
        <v>45</v>
      </c>
      <c r="AB44" s="3">
        <v>1</v>
      </c>
      <c r="AC44" s="5">
        <f t="shared" si="2"/>
        <v>4.75</v>
      </c>
      <c r="AD44" s="3" t="s">
        <v>367</v>
      </c>
      <c r="AE44" s="38"/>
      <c r="AF44" s="38"/>
      <c r="AG44" s="1022">
        <v>4.1623999999999999</v>
      </c>
      <c r="AH44" s="1021" t="s">
        <v>1447</v>
      </c>
      <c r="AI44" s="139"/>
      <c r="AJ44" s="139"/>
      <c r="AK44" s="139"/>
      <c r="AL44" s="139"/>
      <c r="AM44" s="139"/>
    </row>
    <row r="45" spans="1:39" s="3" customFormat="1" ht="15" customHeight="1" x14ac:dyDescent="0.4">
      <c r="A45" s="8"/>
      <c r="B45" s="7"/>
      <c r="C45" s="155"/>
      <c r="D45" s="155"/>
      <c r="E45" s="155"/>
      <c r="F45" s="155"/>
      <c r="G45" s="7"/>
      <c r="H45" s="20"/>
      <c r="M45" s="5"/>
      <c r="N45" s="5"/>
      <c r="O45" s="5"/>
      <c r="P45" s="5"/>
      <c r="Q45" s="439" t="s">
        <v>371</v>
      </c>
      <c r="R45" s="440" t="s">
        <v>352</v>
      </c>
      <c r="S45" s="376">
        <f t="shared" si="0"/>
        <v>60</v>
      </c>
      <c r="T45" s="3" t="s">
        <v>366</v>
      </c>
      <c r="U45" s="20"/>
      <c r="V45" s="38"/>
      <c r="X45" s="38"/>
      <c r="Y45" s="1454">
        <v>250010000015</v>
      </c>
      <c r="Z45" s="20"/>
      <c r="AA45" s="3">
        <v>45</v>
      </c>
      <c r="AB45" s="3">
        <v>1</v>
      </c>
      <c r="AC45" s="5">
        <f>AB45*S45/12</f>
        <v>5</v>
      </c>
      <c r="AD45" s="3" t="s">
        <v>367</v>
      </c>
      <c r="AE45" s="38"/>
      <c r="AF45" s="38"/>
      <c r="AG45" s="1022">
        <v>4.3815</v>
      </c>
      <c r="AH45" s="1021" t="s">
        <v>1447</v>
      </c>
      <c r="AI45" s="139"/>
      <c r="AJ45" s="139"/>
      <c r="AK45" s="139"/>
      <c r="AL45" s="139"/>
      <c r="AM45" s="139"/>
    </row>
    <row r="46" spans="1:39" s="3" customFormat="1" ht="15" customHeight="1" x14ac:dyDescent="0.4">
      <c r="A46" s="8"/>
      <c r="B46" s="7"/>
      <c r="C46" s="155"/>
      <c r="D46" s="155"/>
      <c r="E46" s="155"/>
      <c r="F46" s="155"/>
      <c r="G46" s="7"/>
      <c r="H46" s="20"/>
      <c r="M46" s="5"/>
      <c r="N46" s="5"/>
      <c r="O46" s="5"/>
      <c r="P46" s="5"/>
      <c r="Q46" s="439" t="s">
        <v>538</v>
      </c>
      <c r="R46" s="440" t="s">
        <v>352</v>
      </c>
      <c r="S46" s="376">
        <f t="shared" si="0"/>
        <v>63</v>
      </c>
      <c r="T46" s="3" t="s">
        <v>366</v>
      </c>
      <c r="U46" s="20"/>
      <c r="V46" s="38"/>
      <c r="X46" s="38"/>
      <c r="Y46" s="1454">
        <v>250010000016</v>
      </c>
      <c r="Z46" s="20"/>
      <c r="AA46" s="3">
        <v>45</v>
      </c>
      <c r="AB46" s="3">
        <v>1</v>
      </c>
      <c r="AC46" s="5">
        <f>AB46*S46/12</f>
        <v>5.25</v>
      </c>
      <c r="AD46" s="3" t="s">
        <v>367</v>
      </c>
      <c r="AE46" s="38"/>
      <c r="AF46" s="38"/>
      <c r="AG46" s="51">
        <f t="shared" ref="AG46" si="3">AG$58/S$58*AC46</f>
        <v>4.5087000000000002</v>
      </c>
      <c r="AH46" s="39"/>
      <c r="AI46" s="139"/>
      <c r="AJ46" s="139"/>
      <c r="AK46" s="139"/>
      <c r="AL46" s="139"/>
      <c r="AM46" s="139"/>
    </row>
    <row r="47" spans="1:39" s="3" customFormat="1" ht="15" customHeight="1" x14ac:dyDescent="0.4">
      <c r="A47" s="8"/>
      <c r="B47" s="7"/>
      <c r="C47" s="155"/>
      <c r="D47" s="155"/>
      <c r="E47" s="155"/>
      <c r="F47" s="155"/>
      <c r="G47" s="7"/>
      <c r="H47" s="20"/>
      <c r="M47" s="5"/>
      <c r="N47" s="5"/>
      <c r="O47" s="5"/>
      <c r="P47" s="5"/>
      <c r="Q47" s="439" t="s">
        <v>539</v>
      </c>
      <c r="R47" s="440" t="s">
        <v>352</v>
      </c>
      <c r="S47" s="376">
        <f t="shared" si="0"/>
        <v>66</v>
      </c>
      <c r="T47" s="3" t="s">
        <v>366</v>
      </c>
      <c r="U47" s="20"/>
      <c r="V47" s="38"/>
      <c r="X47" s="38"/>
      <c r="Y47" s="1454">
        <v>250010000017</v>
      </c>
      <c r="Z47" s="20"/>
      <c r="AA47" s="3">
        <v>45</v>
      </c>
      <c r="AB47" s="3">
        <v>1</v>
      </c>
      <c r="AC47" s="5">
        <f>AB47*S47/12</f>
        <v>5.5</v>
      </c>
      <c r="AD47" s="3" t="s">
        <v>367</v>
      </c>
      <c r="AE47" s="38"/>
      <c r="AF47" s="38"/>
      <c r="AG47" s="1022">
        <v>4.7233999999999998</v>
      </c>
      <c r="AH47" s="1021" t="s">
        <v>1447</v>
      </c>
      <c r="AI47" s="139"/>
      <c r="AJ47" s="139"/>
      <c r="AK47" s="139"/>
      <c r="AL47" s="139"/>
      <c r="AM47" s="139"/>
    </row>
    <row r="48" spans="1:39" s="3" customFormat="1" ht="15" customHeight="1" x14ac:dyDescent="0.4">
      <c r="A48" s="8"/>
      <c r="B48" s="7"/>
      <c r="C48" s="155"/>
      <c r="D48" s="155"/>
      <c r="E48" s="155"/>
      <c r="F48" s="155"/>
      <c r="G48" s="7"/>
      <c r="H48" s="20"/>
      <c r="M48" s="5"/>
      <c r="N48" s="5"/>
      <c r="O48" s="5"/>
      <c r="P48" s="5"/>
      <c r="Q48" s="439" t="s">
        <v>540</v>
      </c>
      <c r="R48" s="440" t="s">
        <v>352</v>
      </c>
      <c r="S48" s="376">
        <f t="shared" si="0"/>
        <v>69</v>
      </c>
      <c r="T48" s="3" t="s">
        <v>366</v>
      </c>
      <c r="U48" s="20"/>
      <c r="V48" s="38"/>
      <c r="X48" s="38"/>
      <c r="Y48" s="1454">
        <v>250010000018</v>
      </c>
      <c r="Z48" s="20"/>
      <c r="AA48" s="3">
        <v>45</v>
      </c>
      <c r="AB48" s="3">
        <v>1</v>
      </c>
      <c r="AC48" s="5">
        <f>AB48*S48/12</f>
        <v>5.75</v>
      </c>
      <c r="AD48" s="3" t="s">
        <v>367</v>
      </c>
      <c r="AE48" s="38"/>
      <c r="AF48" s="38"/>
      <c r="AG48" s="1022">
        <v>5.0387000000000004</v>
      </c>
      <c r="AH48" s="1021" t="s">
        <v>1447</v>
      </c>
      <c r="AI48" s="139"/>
      <c r="AJ48" s="139"/>
      <c r="AK48" s="139"/>
      <c r="AL48" s="139"/>
      <c r="AM48" s="139"/>
    </row>
    <row r="49" spans="1:39" s="3" customFormat="1" ht="15" customHeight="1" x14ac:dyDescent="0.4">
      <c r="A49" s="8"/>
      <c r="B49" s="7"/>
      <c r="C49" s="155"/>
      <c r="D49" s="155"/>
      <c r="E49" s="155"/>
      <c r="F49" s="155"/>
      <c r="G49" s="7"/>
      <c r="H49" s="20"/>
      <c r="M49" s="5"/>
      <c r="N49" s="5"/>
      <c r="O49" s="5"/>
      <c r="P49" s="5"/>
      <c r="Q49" s="439" t="s">
        <v>1448</v>
      </c>
      <c r="R49" s="440" t="s">
        <v>352</v>
      </c>
      <c r="S49" s="376">
        <f t="shared" si="0"/>
        <v>72</v>
      </c>
      <c r="T49" s="3" t="s">
        <v>366</v>
      </c>
      <c r="U49" s="20"/>
      <c r="V49" s="38"/>
      <c r="X49" s="38"/>
      <c r="Y49" s="1454">
        <v>250010000019</v>
      </c>
      <c r="Z49" s="20"/>
      <c r="AA49" s="3">
        <v>45</v>
      </c>
      <c r="AB49" s="3">
        <v>1</v>
      </c>
      <c r="AC49" s="5">
        <f t="shared" ref="AC49:AC56" si="4">AB49*S49/12</f>
        <v>6</v>
      </c>
      <c r="AD49" s="3" t="s">
        <v>367</v>
      </c>
      <c r="AE49" s="38"/>
      <c r="AF49" s="38"/>
      <c r="AG49" s="51">
        <f t="shared" ref="AG49:AG56" si="5">AG$58/S$58*AC49</f>
        <v>5.1528</v>
      </c>
      <c r="AH49" s="39"/>
      <c r="AI49" s="139"/>
      <c r="AJ49" s="139"/>
      <c r="AK49" s="139"/>
      <c r="AL49" s="139"/>
      <c r="AM49" s="139"/>
    </row>
    <row r="50" spans="1:39" s="3" customFormat="1" ht="15" customHeight="1" x14ac:dyDescent="0.4">
      <c r="A50" s="8"/>
      <c r="C50" s="155"/>
      <c r="D50" s="155"/>
      <c r="E50" s="155"/>
      <c r="F50" s="155"/>
      <c r="G50" s="7"/>
      <c r="H50" s="20"/>
      <c r="M50" s="5"/>
      <c r="N50" s="5"/>
      <c r="O50" s="5"/>
      <c r="P50" s="5"/>
      <c r="Q50" s="439" t="s">
        <v>1449</v>
      </c>
      <c r="R50" s="440" t="s">
        <v>352</v>
      </c>
      <c r="S50" s="376">
        <f t="shared" si="0"/>
        <v>75</v>
      </c>
      <c r="T50" s="3" t="s">
        <v>366</v>
      </c>
      <c r="U50" s="20"/>
      <c r="V50" s="38"/>
      <c r="X50" s="38"/>
      <c r="Y50" s="1454">
        <v>250010000020</v>
      </c>
      <c r="Z50" s="20"/>
      <c r="AA50" s="3">
        <v>45</v>
      </c>
      <c r="AB50" s="3">
        <v>1</v>
      </c>
      <c r="AC50" s="5">
        <f t="shared" si="4"/>
        <v>6.25</v>
      </c>
      <c r="AD50" s="3" t="s">
        <v>367</v>
      </c>
      <c r="AE50" s="38"/>
      <c r="AF50" s="38"/>
      <c r="AG50" s="51">
        <f t="shared" si="5"/>
        <v>5.3674999999999997</v>
      </c>
      <c r="AH50" s="39"/>
      <c r="AI50" s="139"/>
      <c r="AJ50" s="139"/>
      <c r="AK50" s="139"/>
      <c r="AL50" s="139"/>
      <c r="AM50" s="139"/>
    </row>
    <row r="51" spans="1:39" s="3" customFormat="1" ht="15" customHeight="1" x14ac:dyDescent="0.4">
      <c r="A51" s="8"/>
      <c r="B51" s="7"/>
      <c r="C51" s="155"/>
      <c r="D51" s="155"/>
      <c r="E51" s="155"/>
      <c r="F51" s="155"/>
      <c r="G51" s="7"/>
      <c r="H51" s="20"/>
      <c r="M51" s="5"/>
      <c r="N51" s="5"/>
      <c r="O51" s="5"/>
      <c r="P51" s="5"/>
      <c r="Q51" s="439" t="s">
        <v>1450</v>
      </c>
      <c r="R51" s="440" t="s">
        <v>352</v>
      </c>
      <c r="S51" s="376">
        <f t="shared" si="0"/>
        <v>78</v>
      </c>
      <c r="T51" s="3" t="s">
        <v>366</v>
      </c>
      <c r="U51" s="20"/>
      <c r="V51" s="38"/>
      <c r="X51" s="38"/>
      <c r="Y51" s="1454">
        <v>250010000021</v>
      </c>
      <c r="Z51" s="20"/>
      <c r="AA51" s="3">
        <v>45</v>
      </c>
      <c r="AB51" s="3">
        <v>1</v>
      </c>
      <c r="AC51" s="5">
        <f t="shared" si="4"/>
        <v>6.5</v>
      </c>
      <c r="AD51" s="3" t="s">
        <v>367</v>
      </c>
      <c r="AE51" s="38"/>
      <c r="AF51" s="38"/>
      <c r="AG51" s="51">
        <f t="shared" si="5"/>
        <v>5.5822000000000003</v>
      </c>
      <c r="AH51" s="39"/>
      <c r="AI51" s="139"/>
      <c r="AJ51" s="139"/>
      <c r="AK51" s="139"/>
      <c r="AL51" s="139"/>
      <c r="AM51" s="139"/>
    </row>
    <row r="52" spans="1:39" s="3" customFormat="1" ht="15" customHeight="1" x14ac:dyDescent="0.4">
      <c r="A52" s="8"/>
      <c r="B52" s="7"/>
      <c r="C52" s="155"/>
      <c r="D52" s="155"/>
      <c r="E52" s="155"/>
      <c r="F52" s="155"/>
      <c r="G52" s="7"/>
      <c r="H52" s="20"/>
      <c r="M52" s="5"/>
      <c r="N52" s="5"/>
      <c r="O52" s="5"/>
      <c r="P52" s="5"/>
      <c r="Q52" s="439" t="s">
        <v>1451</v>
      </c>
      <c r="R52" s="440" t="s">
        <v>352</v>
      </c>
      <c r="S52" s="376">
        <f t="shared" si="0"/>
        <v>81</v>
      </c>
      <c r="T52" s="3" t="s">
        <v>366</v>
      </c>
      <c r="U52" s="20"/>
      <c r="V52" s="38"/>
      <c r="X52" s="38"/>
      <c r="Y52" s="1454">
        <v>250010000022</v>
      </c>
      <c r="Z52" s="20"/>
      <c r="AA52" s="3">
        <v>45</v>
      </c>
      <c r="AB52" s="3">
        <v>1</v>
      </c>
      <c r="AC52" s="5">
        <f t="shared" si="4"/>
        <v>6.75</v>
      </c>
      <c r="AD52" s="3" t="s">
        <v>367</v>
      </c>
      <c r="AE52" s="38"/>
      <c r="AF52" s="38"/>
      <c r="AG52" s="51">
        <f t="shared" si="5"/>
        <v>5.7968999999999999</v>
      </c>
      <c r="AH52" s="39"/>
      <c r="AI52" s="139"/>
      <c r="AJ52" s="139"/>
      <c r="AK52" s="139"/>
      <c r="AL52" s="139"/>
      <c r="AM52" s="139"/>
    </row>
    <row r="53" spans="1:39" s="3" customFormat="1" ht="15" customHeight="1" x14ac:dyDescent="0.4">
      <c r="A53" s="8"/>
      <c r="B53" s="7"/>
      <c r="C53" s="155"/>
      <c r="D53" s="155"/>
      <c r="E53" s="155"/>
      <c r="F53" s="155"/>
      <c r="G53" s="7"/>
      <c r="H53" s="20"/>
      <c r="M53" s="5"/>
      <c r="N53" s="5"/>
      <c r="O53" s="5"/>
      <c r="P53" s="5"/>
      <c r="Q53" s="439" t="s">
        <v>1452</v>
      </c>
      <c r="R53" s="440" t="s">
        <v>352</v>
      </c>
      <c r="S53" s="376">
        <f t="shared" si="0"/>
        <v>84</v>
      </c>
      <c r="T53" s="3" t="s">
        <v>366</v>
      </c>
      <c r="U53" s="20"/>
      <c r="V53" s="38"/>
      <c r="X53" s="38"/>
      <c r="Y53" s="1454">
        <v>250010000023</v>
      </c>
      <c r="Z53" s="20"/>
      <c r="AA53" s="3">
        <v>45</v>
      </c>
      <c r="AB53" s="3">
        <v>1</v>
      </c>
      <c r="AC53" s="5">
        <f t="shared" si="4"/>
        <v>7</v>
      </c>
      <c r="AD53" s="3" t="s">
        <v>367</v>
      </c>
      <c r="AE53" s="38"/>
      <c r="AF53" s="38"/>
      <c r="AG53" s="51">
        <f t="shared" si="5"/>
        <v>6.0115999999999996</v>
      </c>
      <c r="AH53" s="39"/>
      <c r="AI53" s="139"/>
      <c r="AJ53" s="139"/>
      <c r="AK53" s="139"/>
      <c r="AL53" s="139"/>
      <c r="AM53" s="139"/>
    </row>
    <row r="54" spans="1:39" s="3" customFormat="1" ht="15" customHeight="1" x14ac:dyDescent="0.4">
      <c r="A54" s="8"/>
      <c r="B54" s="7"/>
      <c r="C54" s="155"/>
      <c r="D54" s="155"/>
      <c r="E54" s="155"/>
      <c r="F54" s="155"/>
      <c r="G54" s="7"/>
      <c r="H54" s="20"/>
      <c r="M54" s="5"/>
      <c r="N54" s="5"/>
      <c r="O54" s="5"/>
      <c r="P54" s="5"/>
      <c r="Q54" s="439" t="s">
        <v>1453</v>
      </c>
      <c r="R54" s="440" t="s">
        <v>352</v>
      </c>
      <c r="S54" s="376">
        <f t="shared" si="0"/>
        <v>87</v>
      </c>
      <c r="T54" s="3" t="s">
        <v>366</v>
      </c>
      <c r="U54" s="20"/>
      <c r="V54" s="38"/>
      <c r="X54" s="38"/>
      <c r="Y54" s="1454">
        <v>250010000024</v>
      </c>
      <c r="Z54" s="20"/>
      <c r="AA54" s="3">
        <v>45</v>
      </c>
      <c r="AB54" s="3">
        <v>1</v>
      </c>
      <c r="AC54" s="5">
        <f t="shared" si="4"/>
        <v>7.25</v>
      </c>
      <c r="AD54" s="3" t="s">
        <v>367</v>
      </c>
      <c r="AE54" s="38"/>
      <c r="AF54" s="38"/>
      <c r="AG54" s="51">
        <f t="shared" si="5"/>
        <v>6.2263000000000002</v>
      </c>
      <c r="AH54" s="39"/>
      <c r="AI54" s="139"/>
      <c r="AJ54" s="139"/>
      <c r="AK54" s="139"/>
      <c r="AL54" s="139"/>
      <c r="AM54" s="139"/>
    </row>
    <row r="55" spans="1:39" s="3" customFormat="1" ht="15" customHeight="1" x14ac:dyDescent="0.4">
      <c r="A55" s="8"/>
      <c r="B55" s="7"/>
      <c r="C55" s="155"/>
      <c r="D55" s="155"/>
      <c r="E55" s="155"/>
      <c r="F55" s="155"/>
      <c r="G55" s="7"/>
      <c r="H55" s="20"/>
      <c r="M55" s="5"/>
      <c r="N55" s="5"/>
      <c r="O55" s="5"/>
      <c r="P55" s="5"/>
      <c r="Q55" s="439" t="s">
        <v>1454</v>
      </c>
      <c r="R55" s="440" t="s">
        <v>352</v>
      </c>
      <c r="S55" s="376">
        <f t="shared" si="0"/>
        <v>90</v>
      </c>
      <c r="T55" s="3" t="s">
        <v>366</v>
      </c>
      <c r="U55" s="20"/>
      <c r="V55" s="38"/>
      <c r="X55" s="38"/>
      <c r="Y55" s="1454">
        <v>250010000025</v>
      </c>
      <c r="Z55" s="20"/>
      <c r="AA55" s="3">
        <v>45</v>
      </c>
      <c r="AB55" s="3">
        <v>1</v>
      </c>
      <c r="AC55" s="5">
        <f t="shared" si="4"/>
        <v>7.5</v>
      </c>
      <c r="AD55" s="3" t="s">
        <v>367</v>
      </c>
      <c r="AE55" s="38"/>
      <c r="AF55" s="38"/>
      <c r="AG55" s="51">
        <f t="shared" si="5"/>
        <v>6.4409999999999998</v>
      </c>
      <c r="AH55" s="39"/>
      <c r="AI55" s="139"/>
      <c r="AJ55" s="139"/>
      <c r="AK55" s="139"/>
      <c r="AL55" s="139"/>
      <c r="AM55" s="139"/>
    </row>
    <row r="56" spans="1:39" s="3" customFormat="1" ht="15" customHeight="1" x14ac:dyDescent="0.4">
      <c r="A56" s="8"/>
      <c r="B56" s="7"/>
      <c r="C56" s="155"/>
      <c r="D56" s="155"/>
      <c r="E56" s="155"/>
      <c r="F56" s="155"/>
      <c r="G56" s="7"/>
      <c r="H56" s="20"/>
      <c r="M56" s="5"/>
      <c r="N56" s="5"/>
      <c r="O56" s="5"/>
      <c r="P56" s="5"/>
      <c r="Q56" s="439" t="s">
        <v>1455</v>
      </c>
      <c r="R56" s="440" t="s">
        <v>352</v>
      </c>
      <c r="S56" s="376">
        <f t="shared" si="0"/>
        <v>93</v>
      </c>
      <c r="T56" s="3" t="s">
        <v>366</v>
      </c>
      <c r="U56" s="20"/>
      <c r="V56" s="38"/>
      <c r="X56" s="38"/>
      <c r="Y56" s="1454">
        <v>250010000026</v>
      </c>
      <c r="Z56" s="20"/>
      <c r="AA56" s="3">
        <v>45</v>
      </c>
      <c r="AB56" s="3">
        <v>1</v>
      </c>
      <c r="AC56" s="5">
        <f t="shared" si="4"/>
        <v>7.75</v>
      </c>
      <c r="AD56" s="3" t="s">
        <v>367</v>
      </c>
      <c r="AE56" s="38"/>
      <c r="AF56" s="38"/>
      <c r="AG56" s="51">
        <f t="shared" si="5"/>
        <v>6.6557000000000004</v>
      </c>
      <c r="AH56" s="39"/>
      <c r="AI56" s="139"/>
      <c r="AJ56" s="139"/>
      <c r="AK56" s="139"/>
      <c r="AL56" s="139"/>
      <c r="AM56" s="139"/>
    </row>
    <row r="57" spans="1:39" s="3" customFormat="1" ht="15" customHeight="1" x14ac:dyDescent="0.4">
      <c r="A57" s="8"/>
      <c r="B57" s="7"/>
      <c r="C57" s="155"/>
      <c r="D57" s="155"/>
      <c r="E57" s="155"/>
      <c r="F57" s="155"/>
      <c r="G57" s="7"/>
      <c r="H57" s="20"/>
      <c r="M57" s="5"/>
      <c r="N57" s="5"/>
      <c r="O57" s="5"/>
      <c r="P57" s="5"/>
      <c r="Q57" s="24"/>
      <c r="R57" s="440"/>
      <c r="S57" s="376"/>
      <c r="U57" s="20"/>
      <c r="V57" s="38"/>
      <c r="X57" s="38"/>
      <c r="Y57" s="1577"/>
      <c r="Z57" s="20"/>
      <c r="AC57" s="5"/>
      <c r="AE57" s="38"/>
      <c r="AF57" s="38"/>
      <c r="AG57" s="51"/>
      <c r="AH57" s="39"/>
      <c r="AI57" s="139"/>
      <c r="AJ57" s="139"/>
      <c r="AK57" s="139"/>
      <c r="AL57" s="139"/>
      <c r="AM57" s="139"/>
    </row>
    <row r="58" spans="1:39" s="3" customFormat="1" ht="15" customHeight="1" x14ac:dyDescent="0.4">
      <c r="A58" s="8"/>
      <c r="B58" s="7"/>
      <c r="C58" s="155"/>
      <c r="D58" s="155"/>
      <c r="E58" s="155"/>
      <c r="F58" s="155"/>
      <c r="G58" s="7"/>
      <c r="H58" s="20"/>
      <c r="M58" s="5"/>
      <c r="N58" s="5"/>
      <c r="O58" s="5"/>
      <c r="P58" s="5"/>
      <c r="Q58" s="24" t="s">
        <v>1456</v>
      </c>
      <c r="R58" s="440"/>
      <c r="S58" s="376">
        <v>12</v>
      </c>
      <c r="T58" s="3" t="s">
        <v>367</v>
      </c>
      <c r="U58" s="20"/>
      <c r="V58" s="38"/>
      <c r="X58" s="38"/>
      <c r="Y58" s="1577">
        <v>250010000</v>
      </c>
      <c r="Z58" s="20"/>
      <c r="AA58" s="3">
        <v>45</v>
      </c>
      <c r="AB58" s="3">
        <v>1</v>
      </c>
      <c r="AC58" s="5">
        <f t="shared" ref="AC58" si="6">AB58*S58/12</f>
        <v>1</v>
      </c>
      <c r="AD58" s="3" t="s">
        <v>367</v>
      </c>
      <c r="AE58" s="38"/>
      <c r="AF58" s="38"/>
      <c r="AG58" s="51">
        <v>10.3056</v>
      </c>
      <c r="AH58" s="39"/>
      <c r="AI58" s="139"/>
      <c r="AJ58" s="139"/>
      <c r="AK58" s="139"/>
      <c r="AL58" s="139"/>
      <c r="AM58" s="139"/>
    </row>
    <row r="59" spans="1:39" s="3" customFormat="1" ht="15" customHeight="1" x14ac:dyDescent="0.4">
      <c r="A59" s="8"/>
      <c r="B59" s="7"/>
      <c r="C59" s="155"/>
      <c r="D59" s="155"/>
      <c r="E59" s="155"/>
      <c r="F59" s="155"/>
      <c r="G59" s="7"/>
      <c r="H59" s="20"/>
      <c r="M59" s="5"/>
      <c r="N59" s="5"/>
      <c r="O59" s="5"/>
      <c r="P59" s="5"/>
      <c r="Q59" s="24"/>
      <c r="R59" s="440"/>
      <c r="S59" s="376"/>
      <c r="U59" s="20"/>
      <c r="V59" s="38"/>
      <c r="X59" s="38"/>
      <c r="Y59" s="1577"/>
      <c r="Z59" s="20"/>
      <c r="AC59" s="5"/>
      <c r="AE59" s="38"/>
      <c r="AF59" s="38"/>
      <c r="AG59" s="51"/>
      <c r="AH59" s="39"/>
      <c r="AI59" s="139"/>
      <c r="AJ59" s="139"/>
      <c r="AK59" s="139"/>
      <c r="AL59" s="139"/>
      <c r="AM59" s="139"/>
    </row>
    <row r="60" spans="1:39" s="3" customFormat="1" ht="15" customHeight="1" thickBot="1" x14ac:dyDescent="0.45">
      <c r="A60" s="949"/>
      <c r="B60" s="924"/>
      <c r="C60" s="925"/>
      <c r="D60" s="925"/>
      <c r="E60" s="925"/>
      <c r="F60" s="925"/>
      <c r="G60" s="924"/>
      <c r="H60" s="887"/>
      <c r="I60" s="889"/>
      <c r="J60" s="889"/>
      <c r="K60" s="889"/>
      <c r="L60" s="889"/>
      <c r="M60" s="945"/>
      <c r="N60" s="945"/>
      <c r="O60" s="945"/>
      <c r="P60" s="945"/>
      <c r="Q60" s="1020"/>
      <c r="R60" s="1005"/>
      <c r="S60" s="970"/>
      <c r="T60" s="889"/>
      <c r="U60" s="887"/>
      <c r="V60" s="888"/>
      <c r="W60" s="889"/>
      <c r="X60" s="888"/>
      <c r="Y60" s="1578"/>
      <c r="Z60" s="887"/>
      <c r="AA60" s="889"/>
      <c r="AB60" s="889"/>
      <c r="AC60" s="945"/>
      <c r="AD60" s="889"/>
      <c r="AE60" s="888"/>
      <c r="AF60" s="888"/>
      <c r="AG60" s="937"/>
      <c r="AH60" s="947"/>
      <c r="AI60" s="139"/>
      <c r="AJ60" s="139"/>
      <c r="AK60" s="139"/>
      <c r="AL60" s="139"/>
      <c r="AM60" s="139"/>
    </row>
    <row r="61" spans="1:39" s="3" customFormat="1" ht="12.6" thickBot="1" x14ac:dyDescent="0.45">
      <c r="A61" s="1265" t="s">
        <v>2183</v>
      </c>
      <c r="B61" s="1266"/>
      <c r="C61" s="1267"/>
      <c r="D61" s="925"/>
      <c r="E61" s="925"/>
      <c r="F61" s="925"/>
      <c r="G61" s="924"/>
      <c r="H61" s="887"/>
      <c r="I61" s="1997"/>
      <c r="J61" s="1997"/>
      <c r="K61" s="1997"/>
      <c r="L61" s="1997"/>
      <c r="M61" s="1997"/>
      <c r="N61" s="1494"/>
      <c r="O61" s="1494"/>
      <c r="P61" s="1494"/>
      <c r="Q61" s="1494"/>
      <c r="R61" s="1494"/>
      <c r="S61" s="1268"/>
      <c r="T61" s="1269"/>
      <c r="U61" s="887"/>
      <c r="V61" s="888"/>
      <c r="W61" s="889"/>
      <c r="X61" s="888"/>
      <c r="Y61" s="1578"/>
      <c r="Z61" s="887"/>
      <c r="AA61" s="889"/>
      <c r="AB61" s="889"/>
      <c r="AC61" s="945"/>
      <c r="AD61" s="889"/>
      <c r="AE61" s="888"/>
      <c r="AF61" s="888"/>
      <c r="AG61" s="937"/>
      <c r="AH61" s="947"/>
      <c r="AI61" s="139"/>
      <c r="AJ61" s="139"/>
      <c r="AK61" s="139"/>
      <c r="AL61" s="139"/>
      <c r="AM61" s="139"/>
    </row>
    <row r="62" spans="1:39" s="3" customFormat="1" ht="15" customHeight="1" x14ac:dyDescent="0.25">
      <c r="A62" s="8"/>
      <c r="B62" s="7" t="s">
        <v>388</v>
      </c>
      <c r="C62" s="7"/>
      <c r="F62" s="47"/>
      <c r="G62" s="7"/>
      <c r="H62" s="20"/>
      <c r="I62" s="23"/>
      <c r="J62" s="28"/>
      <c r="K62" s="23"/>
      <c r="M62" s="29"/>
      <c r="N62" s="29"/>
      <c r="O62" s="29"/>
      <c r="P62" s="72"/>
      <c r="Q62" s="29"/>
      <c r="R62" s="30"/>
      <c r="S62" s="29"/>
      <c r="T62" s="23"/>
      <c r="U62" s="20"/>
      <c r="V62" s="7"/>
      <c r="W62" s="7"/>
      <c r="X62" s="7"/>
      <c r="Y62" s="1443"/>
      <c r="Z62" s="20"/>
      <c r="AC62" s="5"/>
      <c r="AE62" s="38"/>
      <c r="AF62" s="5"/>
      <c r="AG62" s="51"/>
      <c r="AH62" s="39"/>
      <c r="AI62" s="139"/>
      <c r="AJ62" s="139"/>
      <c r="AK62" s="139"/>
      <c r="AL62" s="139"/>
      <c r="AM62" s="139"/>
    </row>
    <row r="63" spans="1:39" s="3" customFormat="1" ht="15" customHeight="1" x14ac:dyDescent="0.4">
      <c r="A63" s="8" t="s">
        <v>389</v>
      </c>
      <c r="B63" s="7"/>
      <c r="C63" s="7" t="s">
        <v>390</v>
      </c>
      <c r="E63" s="155" t="s">
        <v>438</v>
      </c>
      <c r="F63" s="155"/>
      <c r="G63" s="7"/>
      <c r="H63" s="20"/>
      <c r="I63" s="3" t="s">
        <v>392</v>
      </c>
      <c r="L63" s="3" t="s">
        <v>348</v>
      </c>
      <c r="M63" s="5">
        <f>1.375*2</f>
        <v>2.75</v>
      </c>
      <c r="N63" s="5" t="s">
        <v>348</v>
      </c>
      <c r="O63" s="5">
        <f>0.25</f>
        <v>0.25</v>
      </c>
      <c r="P63" s="5"/>
      <c r="Q63" s="5"/>
      <c r="R63" s="3" t="s">
        <v>352</v>
      </c>
      <c r="S63" s="5">
        <f>INT2width+M63+O63</f>
        <v>74.5</v>
      </c>
      <c r="T63" s="3" t="s">
        <v>366</v>
      </c>
      <c r="U63" s="20"/>
      <c r="V63" s="38"/>
      <c r="X63" s="38"/>
      <c r="Y63" s="1443"/>
      <c r="Z63" s="20"/>
      <c r="AA63" s="3">
        <v>45</v>
      </c>
      <c r="AB63" s="3">
        <v>1</v>
      </c>
      <c r="AC63" s="5">
        <f>AB63*S63/12</f>
        <v>6.208333333333333</v>
      </c>
      <c r="AD63" s="3" t="s">
        <v>367</v>
      </c>
      <c r="AE63" s="38">
        <f>'Single Hung'!AG18</f>
        <v>1.075</v>
      </c>
      <c r="AF63" s="5">
        <f>AE63*AtolbperftINT</f>
        <v>0.67993749999999997</v>
      </c>
      <c r="AG63" s="51"/>
      <c r="AH63" s="39"/>
      <c r="AI63" s="139"/>
      <c r="AJ63" s="139"/>
      <c r="AK63" s="139"/>
      <c r="AL63" s="139"/>
      <c r="AM63" s="139"/>
    </row>
    <row r="64" spans="1:39" s="3" customFormat="1" ht="15" customHeight="1" x14ac:dyDescent="0.4">
      <c r="A64" s="8"/>
      <c r="C64" s="36"/>
      <c r="D64" s="155"/>
      <c r="E64" s="47" t="s">
        <v>393</v>
      </c>
      <c r="F64" s="47"/>
      <c r="G64" s="7"/>
      <c r="H64" s="20"/>
      <c r="I64" s="3" t="s">
        <v>392</v>
      </c>
      <c r="L64" s="3" t="s">
        <v>348</v>
      </c>
      <c r="M64" s="5">
        <v>0</v>
      </c>
      <c r="N64" s="5" t="s">
        <v>348</v>
      </c>
      <c r="O64" s="5">
        <v>0.25</v>
      </c>
      <c r="P64" s="5"/>
      <c r="Q64" s="5"/>
      <c r="R64" s="3" t="s">
        <v>352</v>
      </c>
      <c r="S64" s="5">
        <f>INT2width+M64+O64</f>
        <v>71.75</v>
      </c>
      <c r="T64" s="3" t="s">
        <v>366</v>
      </c>
      <c r="U64" s="20"/>
      <c r="V64" s="38" t="s">
        <v>369</v>
      </c>
      <c r="W64" s="3" t="s">
        <v>370</v>
      </c>
      <c r="X64" s="38" t="s">
        <v>369</v>
      </c>
      <c r="Y64" s="1443">
        <v>200135003</v>
      </c>
      <c r="Z64" s="20"/>
      <c r="AC64" s="5"/>
      <c r="AE64" s="38"/>
      <c r="AF64" s="5"/>
      <c r="AG64" s="51">
        <f>'Single Hung'!AI19</f>
        <v>0.6109</v>
      </c>
      <c r="AH64" s="39">
        <f>AG64*AC$63</f>
        <v>3.7926708333333332</v>
      </c>
      <c r="AI64" s="139"/>
      <c r="AJ64" s="139"/>
      <c r="AK64" s="139"/>
      <c r="AL64" s="139"/>
      <c r="AM64" s="139"/>
    </row>
    <row r="65" spans="1:39" s="3" customFormat="1" ht="15" customHeight="1" x14ac:dyDescent="0.4">
      <c r="A65" s="8"/>
      <c r="C65" s="36"/>
      <c r="D65" s="155"/>
      <c r="E65" s="155"/>
      <c r="F65" s="155"/>
      <c r="G65" s="7"/>
      <c r="H65" s="20"/>
      <c r="M65" s="5"/>
      <c r="N65" s="5"/>
      <c r="O65" s="5"/>
      <c r="P65" s="5"/>
      <c r="Q65" s="5"/>
      <c r="S65" s="5"/>
      <c r="U65" s="20"/>
      <c r="V65" s="38" t="s">
        <v>369</v>
      </c>
      <c r="W65" s="3" t="s">
        <v>372</v>
      </c>
      <c r="X65" s="38" t="s">
        <v>369</v>
      </c>
      <c r="Y65" s="1443">
        <v>200135021</v>
      </c>
      <c r="Z65" s="20"/>
      <c r="AC65" s="5"/>
      <c r="AE65" s="38"/>
      <c r="AF65" s="5"/>
      <c r="AG65" s="51">
        <f>'Single Hung'!AI20</f>
        <v>0.65580000000000005</v>
      </c>
      <c r="AH65" s="39">
        <f t="shared" ref="AH65:AH68" si="7">AG65*AC$63</f>
        <v>4.0714250000000005</v>
      </c>
      <c r="AI65" s="139"/>
      <c r="AJ65" s="139"/>
      <c r="AK65" s="139"/>
      <c r="AL65" s="139"/>
      <c r="AM65" s="139"/>
    </row>
    <row r="66" spans="1:39" s="3" customFormat="1" ht="15" customHeight="1" x14ac:dyDescent="0.4">
      <c r="A66" s="8"/>
      <c r="C66" s="36"/>
      <c r="D66" s="155"/>
      <c r="E66" s="155"/>
      <c r="F66" s="155"/>
      <c r="G66" s="7"/>
      <c r="H66" s="20"/>
      <c r="M66" s="5"/>
      <c r="N66" s="5"/>
      <c r="O66" s="5"/>
      <c r="P66" s="5"/>
      <c r="Q66" s="5"/>
      <c r="S66" s="5"/>
      <c r="U66" s="20"/>
      <c r="V66" s="38" t="s">
        <v>369</v>
      </c>
      <c r="W66" s="3" t="s">
        <v>373</v>
      </c>
      <c r="X66" s="38" t="s">
        <v>369</v>
      </c>
      <c r="Y66" s="1443">
        <v>200135033</v>
      </c>
      <c r="Z66" s="20"/>
      <c r="AC66" s="5"/>
      <c r="AE66" s="38"/>
      <c r="AF66" s="5"/>
      <c r="AG66" s="51">
        <f>'Single Hung'!AI21</f>
        <v>0.71130000000000004</v>
      </c>
      <c r="AH66" s="39">
        <f t="shared" si="7"/>
        <v>4.4159875</v>
      </c>
      <c r="AI66" s="139"/>
      <c r="AJ66" s="139"/>
      <c r="AK66" s="139"/>
      <c r="AL66" s="139"/>
      <c r="AM66" s="139"/>
    </row>
    <row r="67" spans="1:39" s="3" customFormat="1" ht="15" customHeight="1" x14ac:dyDescent="0.4">
      <c r="A67" s="8"/>
      <c r="C67" s="36"/>
      <c r="D67" s="155"/>
      <c r="E67" s="155" t="s">
        <v>1457</v>
      </c>
      <c r="F67" s="155"/>
      <c r="G67" s="7"/>
      <c r="H67" s="20"/>
      <c r="I67" s="3" t="s">
        <v>1458</v>
      </c>
      <c r="L67" s="3" t="s">
        <v>348</v>
      </c>
      <c r="M67" s="5">
        <v>-0.69799999999999995</v>
      </c>
      <c r="N67" s="5" t="s">
        <v>348</v>
      </c>
      <c r="O67" s="5">
        <v>0.125</v>
      </c>
      <c r="P67" s="5"/>
      <c r="Q67" s="5"/>
      <c r="R67" s="3" t="s">
        <v>352</v>
      </c>
      <c r="S67" s="5">
        <f>INTSideliteW+M67+O67</f>
        <v>32.427</v>
      </c>
      <c r="T67" s="3" t="s">
        <v>366</v>
      </c>
      <c r="U67" s="20"/>
      <c r="V67" s="3" t="s">
        <v>2363</v>
      </c>
      <c r="W67" s="3" t="s">
        <v>370</v>
      </c>
      <c r="X67" s="38" t="s">
        <v>369</v>
      </c>
      <c r="Y67" s="1443">
        <v>200135127</v>
      </c>
      <c r="Z67" s="20"/>
      <c r="AC67" s="5"/>
      <c r="AE67" s="38"/>
      <c r="AF67" s="5"/>
      <c r="AG67" s="51">
        <f>'Single Hung'!AI22</f>
        <v>0.81010000000000004</v>
      </c>
      <c r="AH67" s="39">
        <f t="shared" si="7"/>
        <v>5.0293708333333331</v>
      </c>
      <c r="AI67" s="139"/>
      <c r="AJ67" s="139"/>
      <c r="AK67" s="139"/>
      <c r="AL67" s="139"/>
      <c r="AM67" s="139"/>
    </row>
    <row r="68" spans="1:39" s="3" customFormat="1" ht="15" customHeight="1" x14ac:dyDescent="0.4">
      <c r="A68" s="8"/>
      <c r="C68" s="36"/>
      <c r="D68" s="155"/>
      <c r="E68" s="155"/>
      <c r="F68" s="155"/>
      <c r="G68" s="7"/>
      <c r="H68" s="20"/>
      <c r="M68" s="5"/>
      <c r="N68" s="5"/>
      <c r="O68" s="5"/>
      <c r="P68" s="5"/>
      <c r="Q68" s="5"/>
      <c r="S68" s="5"/>
      <c r="U68" s="20"/>
      <c r="V68" s="572" t="s">
        <v>2366</v>
      </c>
      <c r="W68" s="572" t="s">
        <v>370</v>
      </c>
      <c r="X68" s="571" t="s">
        <v>369</v>
      </c>
      <c r="Y68" s="1447">
        <v>200135128</v>
      </c>
      <c r="Z68" s="20"/>
      <c r="AC68" s="5"/>
      <c r="AE68" s="38"/>
      <c r="AF68" s="5"/>
      <c r="AG68" s="51">
        <f>'Single Hung'!AI23</f>
        <v>0.7792</v>
      </c>
      <c r="AH68" s="39">
        <f t="shared" si="7"/>
        <v>4.837533333333333</v>
      </c>
      <c r="AI68" s="139"/>
      <c r="AJ68" s="139"/>
      <c r="AK68" s="139"/>
      <c r="AL68" s="139"/>
      <c r="AM68" s="139"/>
    </row>
    <row r="69" spans="1:39" s="3" customFormat="1" ht="15" customHeight="1" x14ac:dyDescent="0.4">
      <c r="A69" s="8"/>
      <c r="C69" s="36"/>
      <c r="D69" s="155"/>
      <c r="E69" s="155"/>
      <c r="F69" s="155"/>
      <c r="G69" s="7"/>
      <c r="H69" s="20"/>
      <c r="M69" s="5"/>
      <c r="N69" s="5"/>
      <c r="O69" s="5"/>
      <c r="P69" s="5"/>
      <c r="Q69" s="5"/>
      <c r="S69" s="5"/>
      <c r="U69" s="20"/>
      <c r="V69" s="3" t="s">
        <v>2364</v>
      </c>
      <c r="W69" s="3" t="s">
        <v>370</v>
      </c>
      <c r="X69" s="38" t="s">
        <v>369</v>
      </c>
      <c r="Y69" s="1443">
        <v>200135129</v>
      </c>
      <c r="Z69" s="20"/>
      <c r="AC69" s="5"/>
      <c r="AE69" s="38"/>
      <c r="AF69" s="5"/>
      <c r="AG69" s="51">
        <f>'Single Hung'!AI24</f>
        <v>0.78490000000000004</v>
      </c>
      <c r="AH69" s="39">
        <f>AG69*AC$63</f>
        <v>4.8729208333333336</v>
      </c>
      <c r="AI69" s="139"/>
      <c r="AJ69" s="139"/>
      <c r="AK69" s="139"/>
      <c r="AL69" s="139"/>
      <c r="AM69" s="139"/>
    </row>
    <row r="70" spans="1:39" s="3" customFormat="1" ht="15" customHeight="1" x14ac:dyDescent="0.4">
      <c r="A70" s="8"/>
      <c r="C70" s="36"/>
      <c r="D70" s="155"/>
      <c r="E70" s="155"/>
      <c r="F70" s="155"/>
      <c r="G70" s="7"/>
      <c r="H70" s="20"/>
      <c r="M70" s="5"/>
      <c r="N70" s="5"/>
      <c r="O70" s="5"/>
      <c r="P70" s="5"/>
      <c r="Q70" s="5"/>
      <c r="S70" s="5"/>
      <c r="U70" s="20"/>
      <c r="V70" s="3" t="s">
        <v>2365</v>
      </c>
      <c r="W70" s="3" t="s">
        <v>370</v>
      </c>
      <c r="X70" s="38" t="s">
        <v>369</v>
      </c>
      <c r="Y70" s="1443">
        <v>200135180</v>
      </c>
      <c r="Z70" s="20"/>
      <c r="AC70" s="5"/>
      <c r="AE70" s="38"/>
      <c r="AF70" s="5"/>
      <c r="AG70" s="844">
        <f>'Single Hung'!AI25</f>
        <v>0.88580000000000003</v>
      </c>
      <c r="AH70" s="39">
        <f t="shared" ref="AH70" si="8">AG70*AC$63</f>
        <v>5.499341666666667</v>
      </c>
      <c r="AI70" s="139"/>
      <c r="AJ70" s="139"/>
      <c r="AK70" s="139"/>
      <c r="AL70" s="139"/>
      <c r="AM70" s="139"/>
    </row>
    <row r="71" spans="1:39" s="3" customFormat="1" ht="15" customHeight="1" x14ac:dyDescent="0.4">
      <c r="A71" s="8"/>
      <c r="C71" s="36"/>
      <c r="D71" s="155"/>
      <c r="E71" s="155"/>
      <c r="F71" s="155"/>
      <c r="G71" s="7"/>
      <c r="H71" s="20"/>
      <c r="M71" s="5"/>
      <c r="N71" s="5"/>
      <c r="O71" s="5"/>
      <c r="P71" s="5"/>
      <c r="Q71" s="5"/>
      <c r="S71" s="5"/>
      <c r="U71" s="20"/>
      <c r="V71" s="112" t="s">
        <v>2367</v>
      </c>
      <c r="W71" s="112" t="s">
        <v>370</v>
      </c>
      <c r="X71" s="279" t="s">
        <v>369</v>
      </c>
      <c r="Y71" s="1871">
        <v>200135152</v>
      </c>
      <c r="Z71" s="20"/>
      <c r="AC71" s="5"/>
      <c r="AE71" s="38"/>
      <c r="AF71" s="5"/>
      <c r="AG71" s="844">
        <v>0</v>
      </c>
      <c r="AH71" s="39">
        <f t="shared" ref="AH71:AH72" si="9">AG71*AC$63</f>
        <v>0</v>
      </c>
      <c r="AI71" s="139"/>
      <c r="AJ71" s="139"/>
      <c r="AK71" s="139"/>
      <c r="AL71" s="139"/>
      <c r="AM71" s="139"/>
    </row>
    <row r="72" spans="1:39" s="3" customFormat="1" ht="15" customHeight="1" thickBot="1" x14ac:dyDescent="0.45">
      <c r="A72" s="8"/>
      <c r="B72" s="889"/>
      <c r="C72" s="943"/>
      <c r="D72" s="925"/>
      <c r="E72" s="925"/>
      <c r="F72" s="925"/>
      <c r="G72" s="924"/>
      <c r="H72" s="887"/>
      <c r="I72" s="889"/>
      <c r="J72" s="889"/>
      <c r="K72" s="889"/>
      <c r="L72" s="889"/>
      <c r="M72" s="945"/>
      <c r="N72" s="945"/>
      <c r="O72" s="945"/>
      <c r="P72" s="945"/>
      <c r="Q72" s="945"/>
      <c r="R72" s="889"/>
      <c r="S72" s="945"/>
      <c r="T72" s="889"/>
      <c r="U72" s="887"/>
      <c r="V72" s="889" t="s">
        <v>2365</v>
      </c>
      <c r="W72" s="889" t="s">
        <v>370</v>
      </c>
      <c r="X72" s="888" t="s">
        <v>2365</v>
      </c>
      <c r="Y72" s="1444">
        <v>200135181</v>
      </c>
      <c r="Z72" s="887"/>
      <c r="AA72" s="889"/>
      <c r="AB72" s="889"/>
      <c r="AC72" s="945"/>
      <c r="AD72" s="889"/>
      <c r="AE72" s="888"/>
      <c r="AF72" s="945"/>
      <c r="AG72" s="998">
        <f>'Single Hung'!AI26</f>
        <v>0</v>
      </c>
      <c r="AH72" s="947">
        <f t="shared" si="9"/>
        <v>0</v>
      </c>
      <c r="AI72" s="139"/>
      <c r="AJ72" s="139"/>
      <c r="AK72" s="139"/>
      <c r="AL72" s="139"/>
      <c r="AM72" s="139"/>
    </row>
    <row r="73" spans="1:39" s="3" customFormat="1" ht="15" customHeight="1" x14ac:dyDescent="0.4">
      <c r="A73" s="8"/>
      <c r="B73" s="7" t="s">
        <v>401</v>
      </c>
      <c r="C73" s="7"/>
      <c r="F73" s="47"/>
      <c r="G73" s="7"/>
      <c r="H73" s="20"/>
      <c r="N73" s="5"/>
      <c r="O73" s="5"/>
      <c r="P73" s="5"/>
      <c r="Q73" s="5"/>
      <c r="S73" s="5"/>
      <c r="U73" s="20"/>
      <c r="V73" s="7"/>
      <c r="W73" s="7"/>
      <c r="X73" s="7"/>
      <c r="Y73" s="1443"/>
      <c r="Z73" s="20"/>
      <c r="AC73" s="5"/>
      <c r="AE73" s="38"/>
      <c r="AF73" s="5"/>
      <c r="AG73" s="51"/>
      <c r="AH73" s="39"/>
      <c r="AI73" s="139"/>
      <c r="AJ73" s="139"/>
      <c r="AK73" s="139"/>
      <c r="AL73" s="139"/>
      <c r="AM73" s="139"/>
    </row>
    <row r="74" spans="1:39" s="3" customFormat="1" ht="15" customHeight="1" x14ac:dyDescent="0.4">
      <c r="A74" s="8" t="s">
        <v>402</v>
      </c>
      <c r="B74" s="7"/>
      <c r="C74" s="7" t="s">
        <v>403</v>
      </c>
      <c r="D74" s="155"/>
      <c r="E74" s="155" t="s">
        <v>1222</v>
      </c>
      <c r="F74" s="7"/>
      <c r="G74" s="7"/>
      <c r="H74" s="20"/>
      <c r="I74" s="3" t="s">
        <v>392</v>
      </c>
      <c r="L74" s="3" t="s">
        <v>348</v>
      </c>
      <c r="M74" s="5">
        <f>1.375*2</f>
        <v>2.75</v>
      </c>
      <c r="N74" s="5" t="s">
        <v>348</v>
      </c>
      <c r="O74" s="5">
        <f>0.25</f>
        <v>0.25</v>
      </c>
      <c r="P74" s="5"/>
      <c r="Q74" s="5"/>
      <c r="R74" s="3" t="s">
        <v>352</v>
      </c>
      <c r="S74" s="5">
        <f>INT2width+M74+O74</f>
        <v>74.5</v>
      </c>
      <c r="T74" s="3" t="s">
        <v>366</v>
      </c>
      <c r="U74" s="20"/>
      <c r="V74" s="38"/>
      <c r="X74" s="38"/>
      <c r="Y74" s="1443"/>
      <c r="Z74" s="20"/>
      <c r="AA74" s="3">
        <v>45</v>
      </c>
      <c r="AB74" s="3">
        <v>1</v>
      </c>
      <c r="AC74" s="5">
        <f>AB74*S74/12</f>
        <v>6.208333333333333</v>
      </c>
      <c r="AD74" s="3" t="s">
        <v>367</v>
      </c>
      <c r="AE74" s="38">
        <v>0.88200000000000001</v>
      </c>
      <c r="AF74" s="5">
        <f>AE74*AtolbperftINT</f>
        <v>0.55786499999999994</v>
      </c>
      <c r="AG74" s="51"/>
      <c r="AH74" s="39"/>
      <c r="AI74" s="139"/>
      <c r="AJ74" s="139"/>
      <c r="AK74" s="139"/>
      <c r="AL74" s="139"/>
      <c r="AM74" s="139"/>
    </row>
    <row r="75" spans="1:39" s="3" customFormat="1" ht="15" customHeight="1" x14ac:dyDescent="0.4">
      <c r="A75" s="8"/>
      <c r="B75" s="4"/>
      <c r="C75" s="36"/>
      <c r="D75" s="7"/>
      <c r="E75" s="47" t="s">
        <v>393</v>
      </c>
      <c r="G75" s="7"/>
      <c r="H75" s="20"/>
      <c r="I75" s="3" t="s">
        <v>392</v>
      </c>
      <c r="L75" s="3" t="s">
        <v>348</v>
      </c>
      <c r="M75" s="5">
        <v>0</v>
      </c>
      <c r="N75" s="5" t="s">
        <v>348</v>
      </c>
      <c r="O75" s="5">
        <v>0.25</v>
      </c>
      <c r="P75" s="5"/>
      <c r="Q75" s="5"/>
      <c r="R75" s="3" t="s">
        <v>352</v>
      </c>
      <c r="S75" s="5">
        <f>INT2width+M75+O75</f>
        <v>71.75</v>
      </c>
      <c r="T75" s="3" t="s">
        <v>366</v>
      </c>
      <c r="U75" s="20"/>
      <c r="V75" s="38" t="s">
        <v>369</v>
      </c>
      <c r="W75" s="3" t="s">
        <v>370</v>
      </c>
      <c r="X75" s="38" t="s">
        <v>369</v>
      </c>
      <c r="Y75" s="1443">
        <v>200138003</v>
      </c>
      <c r="Z75" s="20"/>
      <c r="AC75" s="5"/>
      <c r="AE75" s="38"/>
      <c r="AF75" s="5"/>
      <c r="AG75" s="51">
        <f>'Single Hung'!AI130</f>
        <v>0.5897</v>
      </c>
      <c r="AH75" s="39">
        <f>AG75*AC$74</f>
        <v>3.6610541666666667</v>
      </c>
      <c r="AI75" s="139"/>
      <c r="AJ75" s="444"/>
      <c r="AK75" s="139"/>
      <c r="AL75" s="139"/>
      <c r="AM75" s="139"/>
    </row>
    <row r="76" spans="1:39" s="3" customFormat="1" ht="15" customHeight="1" x14ac:dyDescent="0.4">
      <c r="A76" s="8"/>
      <c r="B76" s="4"/>
      <c r="C76" s="36"/>
      <c r="D76" s="7"/>
      <c r="E76" s="155"/>
      <c r="F76" s="155"/>
      <c r="G76" s="7"/>
      <c r="H76" s="20"/>
      <c r="M76" s="5"/>
      <c r="N76" s="5"/>
      <c r="O76" s="5"/>
      <c r="P76" s="5"/>
      <c r="Q76" s="5"/>
      <c r="S76" s="5"/>
      <c r="U76" s="20"/>
      <c r="V76" s="38" t="s">
        <v>369</v>
      </c>
      <c r="W76" s="3" t="s">
        <v>372</v>
      </c>
      <c r="X76" s="38" t="s">
        <v>369</v>
      </c>
      <c r="Y76" s="1443">
        <v>200138021</v>
      </c>
      <c r="Z76" s="20"/>
      <c r="AC76" s="5"/>
      <c r="AE76" s="38"/>
      <c r="AF76" s="5"/>
      <c r="AG76" s="51">
        <f>'Single Hung'!AI131</f>
        <v>0.63339999999999996</v>
      </c>
      <c r="AH76" s="39">
        <f t="shared" ref="AH76:AH79" si="10">AG76*AC$74</f>
        <v>3.9323583333333327</v>
      </c>
      <c r="AI76" s="139"/>
      <c r="AJ76" s="444"/>
      <c r="AK76" s="139"/>
      <c r="AL76" s="139"/>
      <c r="AM76" s="139"/>
    </row>
    <row r="77" spans="1:39" s="3" customFormat="1" ht="15" customHeight="1" x14ac:dyDescent="0.4">
      <c r="A77" s="8"/>
      <c r="B77" s="4"/>
      <c r="C77" s="36"/>
      <c r="D77" s="7"/>
      <c r="E77" s="155"/>
      <c r="F77" s="155"/>
      <c r="G77" s="7"/>
      <c r="H77" s="20"/>
      <c r="M77" s="5"/>
      <c r="N77" s="5"/>
      <c r="O77" s="5"/>
      <c r="P77" s="5"/>
      <c r="Q77" s="5"/>
      <c r="S77" s="5"/>
      <c r="U77" s="20"/>
      <c r="V77" s="38" t="s">
        <v>369</v>
      </c>
      <c r="W77" s="3" t="s">
        <v>373</v>
      </c>
      <c r="X77" s="38" t="s">
        <v>369</v>
      </c>
      <c r="Y77" s="1443">
        <v>200138033</v>
      </c>
      <c r="Z77" s="20"/>
      <c r="AC77" s="5"/>
      <c r="AE77" s="38"/>
      <c r="AF77" s="5"/>
      <c r="AG77" s="51">
        <f>'Single Hung'!AI132</f>
        <v>0.67769999999999997</v>
      </c>
      <c r="AH77" s="39">
        <f t="shared" si="10"/>
        <v>4.2073874999999994</v>
      </c>
      <c r="AI77" s="445"/>
      <c r="AJ77" s="446"/>
      <c r="AK77" s="139"/>
      <c r="AL77" s="139"/>
      <c r="AM77" s="139"/>
    </row>
    <row r="78" spans="1:39" s="3" customFormat="1" ht="15" customHeight="1" x14ac:dyDescent="0.4">
      <c r="A78" s="8"/>
      <c r="B78" s="4"/>
      <c r="C78" s="36"/>
      <c r="D78" s="7"/>
      <c r="E78" s="155"/>
      <c r="F78" s="155"/>
      <c r="G78" s="7"/>
      <c r="H78" s="20"/>
      <c r="M78" s="5"/>
      <c r="N78" s="5"/>
      <c r="O78" s="5"/>
      <c r="P78" s="5"/>
      <c r="Q78" s="5"/>
      <c r="S78" s="5"/>
      <c r="U78" s="20"/>
      <c r="V78" s="3" t="s">
        <v>2363</v>
      </c>
      <c r="W78" s="3" t="s">
        <v>370</v>
      </c>
      <c r="X78" s="38" t="s">
        <v>369</v>
      </c>
      <c r="Y78" s="1443">
        <v>200138127</v>
      </c>
      <c r="Z78" s="20"/>
      <c r="AC78" s="5"/>
      <c r="AE78" s="38"/>
      <c r="AF78" s="5"/>
      <c r="AG78" s="51">
        <f>'Single Hung'!AI133</f>
        <v>0.75639999999999996</v>
      </c>
      <c r="AH78" s="39">
        <f t="shared" si="10"/>
        <v>4.6959833333333325</v>
      </c>
      <c r="AI78" s="445"/>
      <c r="AJ78" s="446"/>
      <c r="AK78" s="139"/>
      <c r="AL78" s="139"/>
      <c r="AM78" s="139"/>
    </row>
    <row r="79" spans="1:39" s="3" customFormat="1" ht="15" customHeight="1" x14ac:dyDescent="0.4">
      <c r="A79" s="8"/>
      <c r="B79" s="4"/>
      <c r="C79" s="36"/>
      <c r="D79" s="7"/>
      <c r="E79" s="155"/>
      <c r="F79" s="155"/>
      <c r="G79" s="7"/>
      <c r="H79" s="20"/>
      <c r="M79" s="5"/>
      <c r="N79" s="5"/>
      <c r="O79" s="5"/>
      <c r="P79" s="5"/>
      <c r="Q79" s="5"/>
      <c r="S79" s="5"/>
      <c r="U79" s="20"/>
      <c r="V79" s="572" t="s">
        <v>2366</v>
      </c>
      <c r="W79" s="572" t="s">
        <v>370</v>
      </c>
      <c r="X79" s="571" t="s">
        <v>369</v>
      </c>
      <c r="Y79" s="1447">
        <v>200138128</v>
      </c>
      <c r="Z79" s="20"/>
      <c r="AC79" s="5"/>
      <c r="AE79" s="38"/>
      <c r="AF79" s="5"/>
      <c r="AG79" s="51">
        <f>'Single Hung'!AI134</f>
        <v>0.73350000000000004</v>
      </c>
      <c r="AH79" s="39">
        <f t="shared" si="10"/>
        <v>4.5538125000000003</v>
      </c>
      <c r="AI79" s="445"/>
      <c r="AJ79" s="446"/>
      <c r="AK79" s="139"/>
      <c r="AL79" s="139"/>
      <c r="AM79" s="139"/>
    </row>
    <row r="80" spans="1:39" s="3" customFormat="1" ht="15" customHeight="1" x14ac:dyDescent="0.4">
      <c r="A80" s="8"/>
      <c r="B80" s="4"/>
      <c r="C80" s="36"/>
      <c r="D80" s="7"/>
      <c r="E80" s="155"/>
      <c r="F80" s="155"/>
      <c r="G80" s="7"/>
      <c r="H80" s="20"/>
      <c r="M80" s="5"/>
      <c r="N80" s="5"/>
      <c r="O80" s="5"/>
      <c r="P80" s="5"/>
      <c r="Q80" s="5"/>
      <c r="S80" s="5"/>
      <c r="U80" s="20"/>
      <c r="V80" s="3" t="s">
        <v>2364</v>
      </c>
      <c r="W80" s="3" t="s">
        <v>370</v>
      </c>
      <c r="X80" s="38" t="s">
        <v>369</v>
      </c>
      <c r="Y80" s="1443">
        <v>200138129</v>
      </c>
      <c r="Z80" s="20"/>
      <c r="AC80" s="5"/>
      <c r="AE80" s="38"/>
      <c r="AF80" s="5"/>
      <c r="AG80" s="51">
        <f>'Single Hung'!AI135</f>
        <v>0.7379</v>
      </c>
      <c r="AH80" s="39">
        <f>AG80*AC$74</f>
        <v>4.581129166666666</v>
      </c>
      <c r="AI80" s="445"/>
      <c r="AJ80" s="446"/>
      <c r="AK80" s="139"/>
      <c r="AL80" s="139"/>
      <c r="AM80" s="139"/>
    </row>
    <row r="81" spans="1:39" s="3" customFormat="1" ht="15" customHeight="1" x14ac:dyDescent="0.4">
      <c r="A81" s="8"/>
      <c r="B81" s="4"/>
      <c r="C81" s="36"/>
      <c r="D81" s="7"/>
      <c r="E81" s="155"/>
      <c r="F81" s="155"/>
      <c r="G81" s="7"/>
      <c r="H81" s="20"/>
      <c r="M81" s="5"/>
      <c r="N81" s="5"/>
      <c r="O81" s="5"/>
      <c r="P81" s="5"/>
      <c r="Q81" s="5"/>
      <c r="S81" s="5"/>
      <c r="U81" s="20"/>
      <c r="V81" s="3" t="s">
        <v>2365</v>
      </c>
      <c r="W81" s="3" t="s">
        <v>370</v>
      </c>
      <c r="X81" s="38" t="s">
        <v>369</v>
      </c>
      <c r="Y81" s="1443">
        <v>200138180</v>
      </c>
      <c r="Z81" s="20"/>
      <c r="AC81" s="5"/>
      <c r="AE81" s="38"/>
      <c r="AF81" s="5"/>
      <c r="AG81" s="51">
        <f>'Single Hung'!AI136</f>
        <v>0.81299999999999994</v>
      </c>
      <c r="AH81" s="39">
        <f t="shared" ref="AH81:AH83" si="11">AG81*AC$74</f>
        <v>5.0473749999999997</v>
      </c>
      <c r="AI81" s="445"/>
      <c r="AJ81" s="446"/>
      <c r="AK81" s="139"/>
      <c r="AL81" s="139"/>
      <c r="AM81" s="139"/>
    </row>
    <row r="82" spans="1:39" s="3" customFormat="1" ht="15" customHeight="1" x14ac:dyDescent="0.4">
      <c r="A82" s="8"/>
      <c r="B82" s="4"/>
      <c r="C82" s="36"/>
      <c r="D82" s="7"/>
      <c r="E82" s="155"/>
      <c r="F82" s="155"/>
      <c r="G82" s="7"/>
      <c r="H82" s="20"/>
      <c r="M82" s="5"/>
      <c r="N82" s="5"/>
      <c r="O82" s="5"/>
      <c r="P82" s="5"/>
      <c r="Q82" s="5"/>
      <c r="S82" s="5"/>
      <c r="U82" s="20"/>
      <c r="V82" s="112" t="s">
        <v>2367</v>
      </c>
      <c r="W82" s="112" t="s">
        <v>370</v>
      </c>
      <c r="X82" s="279" t="s">
        <v>369</v>
      </c>
      <c r="Y82" s="1871">
        <v>200138152</v>
      </c>
      <c r="Z82" s="20"/>
      <c r="AC82" s="5"/>
      <c r="AE82" s="38"/>
      <c r="AF82" s="5"/>
      <c r="AG82" s="51">
        <f>'Single Hung'!AI137</f>
        <v>0.75339999999999996</v>
      </c>
      <c r="AH82" s="39">
        <f t="shared" si="11"/>
        <v>4.6773583333333333</v>
      </c>
      <c r="AI82" s="445"/>
      <c r="AJ82" s="446"/>
      <c r="AK82" s="139"/>
      <c r="AL82" s="139"/>
      <c r="AM82" s="139"/>
    </row>
    <row r="83" spans="1:39" s="3" customFormat="1" ht="15" customHeight="1" x14ac:dyDescent="0.4">
      <c r="A83" s="8"/>
      <c r="B83" s="4"/>
      <c r="C83" s="36"/>
      <c r="D83" s="7"/>
      <c r="E83" s="155"/>
      <c r="F83" s="155"/>
      <c r="G83" s="7"/>
      <c r="H83" s="20"/>
      <c r="M83" s="5"/>
      <c r="N83" s="5"/>
      <c r="O83" s="5"/>
      <c r="P83" s="5"/>
      <c r="Q83" s="5"/>
      <c r="S83" s="5"/>
      <c r="U83" s="20"/>
      <c r="V83" s="3" t="s">
        <v>2365</v>
      </c>
      <c r="W83" s="3" t="s">
        <v>370</v>
      </c>
      <c r="X83" s="38" t="s">
        <v>2365</v>
      </c>
      <c r="Y83" s="1443">
        <v>200138181</v>
      </c>
      <c r="Z83" s="20"/>
      <c r="AC83" s="5"/>
      <c r="AE83" s="38"/>
      <c r="AF83" s="5"/>
      <c r="AG83" s="51">
        <f>'Single Hung'!AI138</f>
        <v>0</v>
      </c>
      <c r="AH83" s="39">
        <f t="shared" si="11"/>
        <v>0</v>
      </c>
      <c r="AI83" s="445"/>
      <c r="AJ83" s="446"/>
      <c r="AK83" s="139"/>
      <c r="AL83" s="139"/>
      <c r="AM83" s="139"/>
    </row>
    <row r="84" spans="1:39" s="3" customFormat="1" ht="15" customHeight="1" x14ac:dyDescent="0.4">
      <c r="A84" s="8"/>
      <c r="B84" s="4"/>
      <c r="C84" s="36"/>
      <c r="D84" s="36"/>
      <c r="E84" s="447" t="s">
        <v>1457</v>
      </c>
      <c r="F84" s="155"/>
      <c r="G84" s="7"/>
      <c r="H84" s="20"/>
      <c r="I84" s="3" t="s">
        <v>1458</v>
      </c>
      <c r="L84" s="3" t="s">
        <v>348</v>
      </c>
      <c r="M84" s="5">
        <v>-0.63500000000000001</v>
      </c>
      <c r="N84" s="5" t="s">
        <v>348</v>
      </c>
      <c r="O84" s="5">
        <v>0.125</v>
      </c>
      <c r="P84" s="5"/>
      <c r="Q84" s="5"/>
      <c r="R84" s="3" t="s">
        <v>352</v>
      </c>
      <c r="S84" s="5">
        <f>INTSideliteW+M84+O84</f>
        <v>32.49</v>
      </c>
      <c r="T84" s="3" t="s">
        <v>366</v>
      </c>
      <c r="U84" s="20"/>
      <c r="V84" s="38"/>
      <c r="X84" s="38"/>
      <c r="Y84" s="1443"/>
      <c r="Z84" s="20"/>
      <c r="AC84" s="5"/>
      <c r="AG84" s="51"/>
      <c r="AH84" s="39"/>
      <c r="AI84" s="140"/>
      <c r="AJ84" s="140"/>
      <c r="AK84" s="139"/>
      <c r="AL84" s="139"/>
      <c r="AM84" s="139"/>
    </row>
    <row r="85" spans="1:39" s="3" customFormat="1" ht="15" customHeight="1" x14ac:dyDescent="0.4">
      <c r="A85" s="8"/>
      <c r="B85" s="4"/>
      <c r="C85" s="36"/>
      <c r="D85" s="36"/>
      <c r="E85" s="447" t="s">
        <v>1459</v>
      </c>
      <c r="F85" s="155"/>
      <c r="G85" s="7"/>
      <c r="H85" s="20"/>
      <c r="I85" s="3" t="s">
        <v>1458</v>
      </c>
      <c r="L85" s="3" t="s">
        <v>348</v>
      </c>
      <c r="M85" s="5">
        <v>-6.1719999999999997</v>
      </c>
      <c r="N85" s="5" t="s">
        <v>348</v>
      </c>
      <c r="O85" s="5">
        <v>0.125</v>
      </c>
      <c r="P85" s="5"/>
      <c r="Q85" s="5"/>
      <c r="R85" s="3" t="s">
        <v>352</v>
      </c>
      <c r="S85" s="5">
        <f>INTSideliteW+M85+O85</f>
        <v>26.952999999999999</v>
      </c>
      <c r="T85" s="3" t="s">
        <v>366</v>
      </c>
      <c r="U85" s="20"/>
      <c r="V85" s="38"/>
      <c r="X85" s="38"/>
      <c r="Y85" s="1443"/>
      <c r="Z85" s="20"/>
      <c r="AC85" s="5"/>
      <c r="AG85" s="51"/>
      <c r="AH85" s="39"/>
      <c r="AI85" s="140"/>
      <c r="AJ85" s="140"/>
      <c r="AK85" s="139"/>
      <c r="AL85" s="139"/>
      <c r="AM85" s="139"/>
    </row>
    <row r="86" spans="1:39" s="3" customFormat="1" ht="15" customHeight="1" thickBot="1" x14ac:dyDescent="0.45">
      <c r="A86" s="8"/>
      <c r="B86" s="968"/>
      <c r="C86" s="36"/>
      <c r="D86" s="36"/>
      <c r="E86" s="447" t="s">
        <v>1460</v>
      </c>
      <c r="F86" s="155"/>
      <c r="G86" s="7"/>
      <c r="H86" s="20"/>
      <c r="I86" s="889" t="s">
        <v>1458</v>
      </c>
      <c r="L86" s="3" t="s">
        <v>348</v>
      </c>
      <c r="M86" s="5">
        <v>-0.64700000000000002</v>
      </c>
      <c r="N86" s="5" t="s">
        <v>348</v>
      </c>
      <c r="O86" s="5">
        <v>0.125</v>
      </c>
      <c r="P86" s="5"/>
      <c r="Q86" s="5"/>
      <c r="R86" s="3" t="s">
        <v>352</v>
      </c>
      <c r="S86" s="5">
        <f>INTSideliteW+M86+O86</f>
        <v>32.478000000000002</v>
      </c>
      <c r="T86" s="3" t="s">
        <v>366</v>
      </c>
      <c r="U86" s="20"/>
      <c r="V86" s="38"/>
      <c r="X86" s="38"/>
      <c r="Y86" s="1443"/>
      <c r="Z86" s="20"/>
      <c r="AC86" s="5"/>
      <c r="AG86" s="51"/>
      <c r="AH86" s="39"/>
      <c r="AI86" s="140"/>
      <c r="AJ86" s="140"/>
      <c r="AK86" s="139"/>
      <c r="AL86" s="139"/>
      <c r="AM86" s="139"/>
    </row>
    <row r="87" spans="1:39" s="3" customFormat="1" ht="15" customHeight="1" x14ac:dyDescent="0.4">
      <c r="A87" s="8"/>
      <c r="C87" s="448"/>
      <c r="D87" s="449" t="s">
        <v>1141</v>
      </c>
      <c r="E87" s="182"/>
      <c r="F87" s="430" t="s">
        <v>418</v>
      </c>
      <c r="G87" s="431">
        <v>3</v>
      </c>
      <c r="H87" s="175"/>
      <c r="I87" s="432" t="str">
        <f xml:space="preserve"> "Length = INT ( ( UW - " &amp;FIXED(G88,2)&amp;") / "&amp;FIXED(G87,2)&amp;" ) *"&amp;FIXED(G87,2)</f>
        <v>Length = INT ( ( UW - 2.00) / 3.00 ) *3.00</v>
      </c>
      <c r="J87" s="116"/>
      <c r="K87" s="116"/>
      <c r="L87" s="116"/>
      <c r="M87" s="177"/>
      <c r="N87" s="177"/>
      <c r="O87" s="177"/>
      <c r="P87" s="178"/>
      <c r="Q87" s="178"/>
      <c r="R87" s="116" t="s">
        <v>352</v>
      </c>
      <c r="S87" s="177">
        <f>INT((INT2width-G88)/G87)*G87</f>
        <v>69</v>
      </c>
      <c r="T87" s="116" t="s">
        <v>366</v>
      </c>
      <c r="U87" s="175"/>
      <c r="V87" s="179"/>
      <c r="W87" s="116"/>
      <c r="X87" s="179"/>
      <c r="Y87" s="1449"/>
      <c r="Z87" s="175"/>
      <c r="AA87" s="116">
        <v>45</v>
      </c>
      <c r="AB87" s="116">
        <v>1</v>
      </c>
      <c r="AC87" s="177">
        <f>AB87*S87/12</f>
        <v>5.75</v>
      </c>
      <c r="AD87" s="116" t="s">
        <v>367</v>
      </c>
      <c r="AE87" s="116">
        <f>'Single Hung'!AG194</f>
        <v>0.13900000000000001</v>
      </c>
      <c r="AF87" s="177">
        <f>AE87*AtolbperftINT</f>
        <v>8.7917499999999996E-2</v>
      </c>
      <c r="AG87" s="185"/>
      <c r="AH87" s="180"/>
      <c r="AI87" s="139"/>
      <c r="AJ87" s="139"/>
      <c r="AK87" s="139"/>
      <c r="AL87" s="139"/>
      <c r="AM87" s="139"/>
    </row>
    <row r="88" spans="1:39" s="3" customFormat="1" ht="15" customHeight="1" x14ac:dyDescent="0.4">
      <c r="A88" s="8"/>
      <c r="B88" s="36"/>
      <c r="C88" s="155"/>
      <c r="D88" s="155"/>
      <c r="E88" s="155"/>
      <c r="F88" s="434" t="s">
        <v>419</v>
      </c>
      <c r="G88" s="435">
        <v>2</v>
      </c>
      <c r="H88" s="20"/>
      <c r="M88" s="5"/>
      <c r="N88" s="5"/>
      <c r="O88" s="5"/>
      <c r="P88" s="24"/>
      <c r="Q88" s="24"/>
      <c r="S88" s="5"/>
      <c r="U88" s="20"/>
      <c r="V88" s="38" t="s">
        <v>369</v>
      </c>
      <c r="W88" s="3" t="s">
        <v>370</v>
      </c>
      <c r="X88" s="38" t="s">
        <v>369</v>
      </c>
      <c r="Y88" s="1443">
        <v>200143003</v>
      </c>
      <c r="Z88" s="20"/>
      <c r="AC88" s="5"/>
      <c r="AE88" s="38"/>
      <c r="AF88" s="5"/>
      <c r="AG88" s="51">
        <f>'Single Hung'!AI195</f>
        <v>0.1434</v>
      </c>
      <c r="AH88" s="39">
        <f>AG88*AC87</f>
        <v>0.82455000000000001</v>
      </c>
      <c r="AI88" s="139"/>
      <c r="AJ88" s="139"/>
      <c r="AK88" s="139"/>
      <c r="AL88" s="139"/>
      <c r="AM88" s="139"/>
    </row>
    <row r="89" spans="1:39" s="3" customFormat="1" ht="15" customHeight="1" x14ac:dyDescent="0.4">
      <c r="A89" s="8"/>
      <c r="B89" s="36"/>
      <c r="C89" s="155"/>
      <c r="D89" s="155"/>
      <c r="E89" s="155"/>
      <c r="F89" s="155"/>
      <c r="G89" s="7"/>
      <c r="H89" s="20"/>
      <c r="M89" s="5"/>
      <c r="N89" s="5"/>
      <c r="O89" s="5"/>
      <c r="P89" s="24"/>
      <c r="Q89" s="24"/>
      <c r="S89" s="5"/>
      <c r="U89" s="20"/>
      <c r="V89" s="38" t="s">
        <v>369</v>
      </c>
      <c r="W89" s="3" t="s">
        <v>372</v>
      </c>
      <c r="X89" s="38" t="s">
        <v>369</v>
      </c>
      <c r="Y89" s="1443">
        <v>200143021</v>
      </c>
      <c r="Z89" s="20"/>
      <c r="AC89" s="5"/>
      <c r="AF89" s="5"/>
      <c r="AG89" s="51">
        <f>'Single Hung'!AI196</f>
        <v>0.182</v>
      </c>
      <c r="AH89" s="39">
        <f>AG89*AC87</f>
        <v>1.0465</v>
      </c>
      <c r="AI89" s="139"/>
      <c r="AJ89" s="139"/>
      <c r="AK89" s="139"/>
      <c r="AL89" s="139"/>
      <c r="AM89" s="139"/>
    </row>
    <row r="90" spans="1:39" s="3" customFormat="1" ht="15" customHeight="1" x14ac:dyDescent="0.4">
      <c r="A90" s="8"/>
      <c r="B90" s="36"/>
      <c r="C90" s="155"/>
      <c r="D90" s="155"/>
      <c r="E90" s="155"/>
      <c r="F90" s="155"/>
      <c r="G90" s="7"/>
      <c r="H90" s="20"/>
      <c r="M90" s="5"/>
      <c r="N90" s="5"/>
      <c r="O90" s="5"/>
      <c r="P90" s="24"/>
      <c r="Q90" s="24"/>
      <c r="S90" s="5"/>
      <c r="U90" s="20"/>
      <c r="V90" s="38" t="s">
        <v>369</v>
      </c>
      <c r="W90" s="3" t="s">
        <v>373</v>
      </c>
      <c r="X90" s="38" t="s">
        <v>369</v>
      </c>
      <c r="Y90" s="1443">
        <v>200143033</v>
      </c>
      <c r="Z90" s="20"/>
      <c r="AC90" s="5"/>
      <c r="AF90" s="5"/>
      <c r="AG90" s="51">
        <f>'Single Hung'!AI197</f>
        <v>0.16950000000000001</v>
      </c>
      <c r="AH90" s="39">
        <f>AG90*AC87</f>
        <v>0.97462500000000007</v>
      </c>
      <c r="AI90" s="139"/>
      <c r="AJ90" s="139"/>
      <c r="AK90" s="139"/>
      <c r="AL90" s="139"/>
      <c r="AM90" s="139"/>
    </row>
    <row r="91" spans="1:39" s="3" customFormat="1" ht="15" customHeight="1" x14ac:dyDescent="0.4">
      <c r="A91" s="8"/>
      <c r="B91" s="36"/>
      <c r="C91" s="155"/>
      <c r="D91" s="155"/>
      <c r="E91" s="155"/>
      <c r="F91" s="155"/>
      <c r="G91" s="7"/>
      <c r="H91" s="20"/>
      <c r="M91" s="5"/>
      <c r="N91" s="5"/>
      <c r="O91" s="5"/>
      <c r="P91" s="24"/>
      <c r="Q91" s="24"/>
      <c r="S91" s="5"/>
      <c r="U91" s="20"/>
      <c r="V91" s="38" t="s">
        <v>369</v>
      </c>
      <c r="W91" s="3" t="s">
        <v>374</v>
      </c>
      <c r="X91" s="38" t="s">
        <v>369</v>
      </c>
      <c r="Y91" s="1443">
        <v>200143090</v>
      </c>
      <c r="Z91" s="20"/>
      <c r="AC91" s="5"/>
      <c r="AF91" s="5"/>
      <c r="AG91" s="51">
        <f>'Single Hung'!AI198</f>
        <v>0.43090000000000001</v>
      </c>
      <c r="AH91" s="39">
        <f>AG91*AC88</f>
        <v>0</v>
      </c>
      <c r="AI91" s="139"/>
      <c r="AJ91" s="139"/>
      <c r="AK91" s="139"/>
      <c r="AL91" s="139"/>
      <c r="AM91" s="139"/>
    </row>
    <row r="92" spans="1:39" s="3" customFormat="1" ht="15" customHeight="1" x14ac:dyDescent="0.4">
      <c r="A92" s="8"/>
      <c r="B92" s="36"/>
      <c r="C92" s="155"/>
      <c r="D92" s="155"/>
      <c r="E92" s="155"/>
      <c r="F92" s="155"/>
      <c r="G92" s="7"/>
      <c r="H92" s="20"/>
      <c r="M92" s="5"/>
      <c r="N92" s="5"/>
      <c r="O92" s="5"/>
      <c r="P92" s="24"/>
      <c r="Q92" s="24"/>
      <c r="S92" s="5"/>
      <c r="U92" s="20"/>
      <c r="V92" s="38" t="s">
        <v>369</v>
      </c>
      <c r="W92" s="3" t="s">
        <v>375</v>
      </c>
      <c r="X92" s="38" t="s">
        <v>369</v>
      </c>
      <c r="Y92" s="1443">
        <v>200143133</v>
      </c>
      <c r="Z92" s="20"/>
      <c r="AC92" s="5"/>
      <c r="AF92" s="5"/>
      <c r="AG92" s="844">
        <f>'Single Hung'!AI199</f>
        <v>0.37780000000000002</v>
      </c>
      <c r="AH92" s="39">
        <f>AG92*AC88</f>
        <v>0</v>
      </c>
      <c r="AI92" s="139"/>
      <c r="AJ92" s="139"/>
      <c r="AK92" s="139"/>
      <c r="AL92" s="139"/>
      <c r="AM92" s="139"/>
    </row>
    <row r="93" spans="1:39" s="3" customFormat="1" ht="15" customHeight="1" thickBot="1" x14ac:dyDescent="0.45">
      <c r="A93" s="8"/>
      <c r="B93" s="943"/>
      <c r="C93" s="925"/>
      <c r="D93" s="925"/>
      <c r="E93" s="925"/>
      <c r="F93" s="925"/>
      <c r="G93" s="924"/>
      <c r="H93" s="887"/>
      <c r="I93" s="889"/>
      <c r="J93" s="889"/>
      <c r="K93" s="889"/>
      <c r="L93" s="889"/>
      <c r="M93" s="945"/>
      <c r="N93" s="945"/>
      <c r="O93" s="945"/>
      <c r="P93" s="1020"/>
      <c r="Q93" s="1020"/>
      <c r="R93" s="889"/>
      <c r="S93" s="945"/>
      <c r="T93" s="889"/>
      <c r="U93" s="887"/>
      <c r="V93" s="1876" t="s">
        <v>369</v>
      </c>
      <c r="W93" s="1877" t="s">
        <v>1849</v>
      </c>
      <c r="X93" s="1876" t="s">
        <v>369</v>
      </c>
      <c r="Y93" s="1878">
        <v>200143148</v>
      </c>
      <c r="Z93" s="887"/>
      <c r="AA93" s="889"/>
      <c r="AB93" s="889"/>
      <c r="AC93" s="945"/>
      <c r="AD93" s="889"/>
      <c r="AE93" s="889"/>
      <c r="AF93" s="945"/>
      <c r="AG93" s="937">
        <v>0</v>
      </c>
      <c r="AH93" s="947">
        <f>AG93*AC89</f>
        <v>0</v>
      </c>
      <c r="AI93" s="139"/>
      <c r="AJ93" s="139"/>
      <c r="AK93" s="139"/>
      <c r="AL93" s="139"/>
      <c r="AM93" s="139"/>
    </row>
    <row r="94" spans="1:39" s="3" customFormat="1" ht="15" customHeight="1" x14ac:dyDescent="0.25">
      <c r="A94" s="8"/>
      <c r="B94" s="7" t="s">
        <v>436</v>
      </c>
      <c r="C94" s="7"/>
      <c r="F94" s="47"/>
      <c r="G94" s="7"/>
      <c r="H94" s="20"/>
      <c r="I94" s="23"/>
      <c r="J94" s="28"/>
      <c r="K94" s="23"/>
      <c r="M94" s="29"/>
      <c r="N94" s="29"/>
      <c r="O94" s="29"/>
      <c r="P94" s="72"/>
      <c r="Q94" s="29"/>
      <c r="R94" s="30"/>
      <c r="S94" s="29"/>
      <c r="T94" s="23"/>
      <c r="U94" s="20"/>
      <c r="V94" s="7"/>
      <c r="W94" s="7"/>
      <c r="X94" s="7"/>
      <c r="Y94" s="1443"/>
      <c r="Z94" s="20"/>
      <c r="AC94" s="5"/>
      <c r="AE94" s="38"/>
      <c r="AF94" s="5"/>
      <c r="AG94" s="51"/>
      <c r="AH94" s="39"/>
      <c r="AI94" s="139"/>
      <c r="AJ94" s="139"/>
      <c r="AK94" s="139"/>
      <c r="AL94" s="139"/>
      <c r="AM94" s="139"/>
    </row>
    <row r="95" spans="1:39" s="3" customFormat="1" ht="15" customHeight="1" x14ac:dyDescent="0.4">
      <c r="A95" s="8" t="s">
        <v>389</v>
      </c>
      <c r="B95" s="7"/>
      <c r="C95" s="7" t="s">
        <v>390</v>
      </c>
      <c r="E95" s="155" t="s">
        <v>438</v>
      </c>
      <c r="F95" s="155"/>
      <c r="G95" s="7"/>
      <c r="H95" s="20"/>
      <c r="I95" s="3" t="s">
        <v>392</v>
      </c>
      <c r="L95" s="3" t="s">
        <v>348</v>
      </c>
      <c r="M95" s="5">
        <f>1.375*2</f>
        <v>2.75</v>
      </c>
      <c r="N95" s="5" t="s">
        <v>348</v>
      </c>
      <c r="O95" s="5">
        <f>0.25</f>
        <v>0.25</v>
      </c>
      <c r="P95" s="5"/>
      <c r="Q95" s="5"/>
      <c r="R95" s="3" t="s">
        <v>352</v>
      </c>
      <c r="S95" s="5">
        <f>INT2width+M95+O95</f>
        <v>74.5</v>
      </c>
      <c r="T95" s="3" t="s">
        <v>366</v>
      </c>
      <c r="U95" s="20"/>
      <c r="V95" s="38"/>
      <c r="X95" s="38"/>
      <c r="Y95" s="1443"/>
      <c r="Z95" s="20"/>
      <c r="AA95" s="3">
        <v>45</v>
      </c>
      <c r="AB95" s="3">
        <v>1</v>
      </c>
      <c r="AC95" s="5">
        <f>AB95*S95/12</f>
        <v>6.208333333333333</v>
      </c>
      <c r="AD95" s="3" t="s">
        <v>367</v>
      </c>
      <c r="AE95" s="38">
        <f>'Single Hung'!AG219</f>
        <v>1.073</v>
      </c>
      <c r="AF95" s="5">
        <f>AE95*AtolbperftINT</f>
        <v>0.6786724999999999</v>
      </c>
      <c r="AG95" s="51"/>
      <c r="AH95" s="39"/>
      <c r="AI95" s="139"/>
      <c r="AJ95" s="139"/>
      <c r="AK95" s="139"/>
      <c r="AL95" s="139"/>
      <c r="AM95" s="139"/>
    </row>
    <row r="96" spans="1:39" s="3" customFormat="1" ht="15" customHeight="1" x14ac:dyDescent="0.4">
      <c r="A96" s="8"/>
      <c r="C96" s="36"/>
      <c r="D96" s="155"/>
      <c r="E96" s="47" t="s">
        <v>393</v>
      </c>
      <c r="F96" s="47"/>
      <c r="G96" s="7"/>
      <c r="H96" s="20"/>
      <c r="I96" s="3" t="s">
        <v>392</v>
      </c>
      <c r="L96" s="3" t="s">
        <v>348</v>
      </c>
      <c r="M96" s="5">
        <v>0</v>
      </c>
      <c r="N96" s="5" t="s">
        <v>348</v>
      </c>
      <c r="O96" s="5">
        <v>0.25</v>
      </c>
      <c r="P96" s="5"/>
      <c r="Q96" s="5"/>
      <c r="R96" s="3" t="s">
        <v>352</v>
      </c>
      <c r="S96" s="5">
        <f>INT2width+M96+O96</f>
        <v>71.75</v>
      </c>
      <c r="T96" s="3" t="s">
        <v>366</v>
      </c>
      <c r="U96" s="20"/>
      <c r="V96" s="38" t="s">
        <v>369</v>
      </c>
      <c r="W96" s="3" t="s">
        <v>370</v>
      </c>
      <c r="X96" s="38" t="s">
        <v>369</v>
      </c>
      <c r="Y96" s="1443">
        <f>'Single Hung'!Y220</f>
        <v>200134003</v>
      </c>
      <c r="Z96" s="20"/>
      <c r="AC96" s="5"/>
      <c r="AE96" s="38"/>
      <c r="AF96" s="5"/>
      <c r="AG96" s="51">
        <f>'Single Hung'!AI220</f>
        <v>0.61450000000000005</v>
      </c>
      <c r="AH96" s="39">
        <f>AG96*AC$95</f>
        <v>3.8150208333333335</v>
      </c>
      <c r="AI96" s="139"/>
      <c r="AJ96" s="139"/>
      <c r="AK96" s="139"/>
      <c r="AL96" s="139"/>
      <c r="AM96" s="139"/>
    </row>
    <row r="97" spans="1:39" s="3" customFormat="1" ht="15" customHeight="1" x14ac:dyDescent="0.4">
      <c r="A97" s="8"/>
      <c r="C97" s="36"/>
      <c r="D97" s="155"/>
      <c r="E97" s="155"/>
      <c r="F97" s="155"/>
      <c r="G97" s="7"/>
      <c r="H97" s="20"/>
      <c r="M97" s="5"/>
      <c r="N97" s="5"/>
      <c r="O97" s="5"/>
      <c r="P97" s="5"/>
      <c r="Q97" s="5"/>
      <c r="S97" s="5"/>
      <c r="U97" s="20"/>
      <c r="V97" s="38" t="s">
        <v>369</v>
      </c>
      <c r="W97" s="3" t="s">
        <v>372</v>
      </c>
      <c r="X97" s="38" t="s">
        <v>369</v>
      </c>
      <c r="Y97" s="1443">
        <f>'Single Hung'!Y221</f>
        <v>200134021</v>
      </c>
      <c r="Z97" s="20"/>
      <c r="AC97" s="5"/>
      <c r="AE97" s="38"/>
      <c r="AF97" s="5"/>
      <c r="AG97" s="51">
        <f>'Single Hung'!AI221</f>
        <v>0.65790000000000004</v>
      </c>
      <c r="AH97" s="39">
        <f t="shared" ref="AH97:AH100" si="12">AG97*AC$95</f>
        <v>4.0844624999999999</v>
      </c>
      <c r="AI97" s="139"/>
      <c r="AJ97" s="139"/>
      <c r="AK97" s="139"/>
      <c r="AL97" s="139"/>
      <c r="AM97" s="139"/>
    </row>
    <row r="98" spans="1:39" s="3" customFormat="1" ht="15" customHeight="1" x14ac:dyDescent="0.4">
      <c r="A98" s="8"/>
      <c r="C98" s="36"/>
      <c r="D98" s="155"/>
      <c r="E98" s="155"/>
      <c r="F98" s="155"/>
      <c r="G98" s="7"/>
      <c r="H98" s="20"/>
      <c r="M98" s="5"/>
      <c r="N98" s="5"/>
      <c r="O98" s="5"/>
      <c r="P98" s="5"/>
      <c r="Q98" s="5"/>
      <c r="S98" s="5"/>
      <c r="U98" s="20"/>
      <c r="V98" s="38" t="s">
        <v>369</v>
      </c>
      <c r="W98" s="3" t="s">
        <v>373</v>
      </c>
      <c r="X98" s="38" t="s">
        <v>369</v>
      </c>
      <c r="Y98" s="1443">
        <f>'Single Hung'!Y222</f>
        <v>200134033</v>
      </c>
      <c r="Z98" s="20"/>
      <c r="AC98" s="5"/>
      <c r="AE98" s="38"/>
      <c r="AF98" s="5"/>
      <c r="AG98" s="51">
        <f>'Single Hung'!AI222</f>
        <v>0.70960000000000001</v>
      </c>
      <c r="AH98" s="39">
        <f t="shared" si="12"/>
        <v>4.4054333333333329</v>
      </c>
      <c r="AI98" s="139"/>
      <c r="AJ98" s="139"/>
      <c r="AK98" s="139"/>
      <c r="AL98" s="139"/>
      <c r="AM98" s="139"/>
    </row>
    <row r="99" spans="1:39" s="3" customFormat="1" ht="15" customHeight="1" x14ac:dyDescent="0.4">
      <c r="A99" s="8"/>
      <c r="C99" s="36"/>
      <c r="D99" s="155"/>
      <c r="E99" s="155" t="s">
        <v>1457</v>
      </c>
      <c r="F99" s="155"/>
      <c r="G99" s="7"/>
      <c r="H99" s="20"/>
      <c r="I99" s="3" t="s">
        <v>1458</v>
      </c>
      <c r="L99" s="3" t="s">
        <v>348</v>
      </c>
      <c r="M99" s="5">
        <v>-0.69799999999999995</v>
      </c>
      <c r="N99" s="5" t="s">
        <v>348</v>
      </c>
      <c r="O99" s="5">
        <v>0.125</v>
      </c>
      <c r="P99" s="5"/>
      <c r="Q99" s="5"/>
      <c r="R99" s="3" t="s">
        <v>352</v>
      </c>
      <c r="S99" s="5">
        <f>INTSideliteW+M99+O99</f>
        <v>32.427</v>
      </c>
      <c r="T99" s="3" t="s">
        <v>366</v>
      </c>
      <c r="U99" s="20"/>
      <c r="V99" s="38" t="s">
        <v>2363</v>
      </c>
      <c r="W99" s="3" t="s">
        <v>370</v>
      </c>
      <c r="X99" s="38" t="s">
        <v>369</v>
      </c>
      <c r="Y99" s="1443">
        <v>200134127</v>
      </c>
      <c r="Z99" s="20"/>
      <c r="AC99" s="5"/>
      <c r="AE99" s="38"/>
      <c r="AF99" s="5"/>
      <c r="AG99" s="51">
        <v>0.81020000000000003</v>
      </c>
      <c r="AH99" s="39">
        <f t="shared" si="12"/>
        <v>5.0299916666666666</v>
      </c>
      <c r="AI99" s="139"/>
      <c r="AJ99" s="139"/>
      <c r="AK99" s="139"/>
      <c r="AL99" s="139"/>
      <c r="AM99" s="139"/>
    </row>
    <row r="100" spans="1:39" s="3" customFormat="1" ht="15" customHeight="1" x14ac:dyDescent="0.4">
      <c r="A100" s="8"/>
      <c r="C100" s="36"/>
      <c r="D100" s="155"/>
      <c r="E100" s="155"/>
      <c r="F100" s="155"/>
      <c r="G100" s="7"/>
      <c r="H100" s="20"/>
      <c r="M100" s="5"/>
      <c r="N100" s="5"/>
      <c r="O100" s="5"/>
      <c r="P100" s="5"/>
      <c r="Q100" s="5"/>
      <c r="S100" s="5"/>
      <c r="U100" s="20"/>
      <c r="V100" s="38" t="s">
        <v>2365</v>
      </c>
      <c r="W100" s="3" t="s">
        <v>370</v>
      </c>
      <c r="X100" s="38" t="s">
        <v>369</v>
      </c>
      <c r="Y100" s="1443">
        <v>200134180</v>
      </c>
      <c r="Z100" s="20"/>
      <c r="AC100" s="5"/>
      <c r="AE100" s="38"/>
      <c r="AF100" s="5"/>
      <c r="AG100" s="51">
        <v>0.87970000000000004</v>
      </c>
      <c r="AH100" s="39">
        <f t="shared" si="12"/>
        <v>5.4614708333333333</v>
      </c>
      <c r="AI100" s="139"/>
      <c r="AJ100" s="139"/>
      <c r="AK100" s="139"/>
      <c r="AL100" s="139"/>
      <c r="AM100" s="139"/>
    </row>
    <row r="101" spans="1:39" s="3" customFormat="1" ht="15" customHeight="1" thickBot="1" x14ac:dyDescent="0.45">
      <c r="A101" s="8"/>
      <c r="B101" s="889"/>
      <c r="C101" s="943"/>
      <c r="D101" s="925"/>
      <c r="E101" s="925"/>
      <c r="F101" s="925"/>
      <c r="G101" s="924"/>
      <c r="H101" s="887"/>
      <c r="I101" s="889"/>
      <c r="J101" s="889"/>
      <c r="K101" s="889"/>
      <c r="L101" s="889"/>
      <c r="M101" s="945"/>
      <c r="N101" s="945"/>
      <c r="O101" s="945"/>
      <c r="P101" s="945"/>
      <c r="Q101" s="945"/>
      <c r="R101" s="889"/>
      <c r="S101" s="945"/>
      <c r="T101" s="889"/>
      <c r="U101" s="887"/>
      <c r="V101" s="888"/>
      <c r="W101" s="889"/>
      <c r="X101" s="888"/>
      <c r="Y101" s="1444"/>
      <c r="Z101" s="887"/>
      <c r="AA101" s="889"/>
      <c r="AB101" s="889"/>
      <c r="AC101" s="945"/>
      <c r="AD101" s="889"/>
      <c r="AE101" s="888"/>
      <c r="AF101" s="945"/>
      <c r="AG101" s="937"/>
      <c r="AH101" s="947"/>
      <c r="AI101" s="139"/>
      <c r="AJ101" s="139"/>
      <c r="AK101" s="139"/>
      <c r="AL101" s="139"/>
      <c r="AM101" s="139"/>
    </row>
    <row r="102" spans="1:39" s="3" customFormat="1" ht="15" customHeight="1" x14ac:dyDescent="0.4">
      <c r="A102" s="8"/>
      <c r="B102" s="7" t="s">
        <v>442</v>
      </c>
      <c r="C102" s="7"/>
      <c r="F102" s="47"/>
      <c r="G102" s="7"/>
      <c r="H102" s="20"/>
      <c r="N102" s="5"/>
      <c r="O102" s="5"/>
      <c r="P102" s="5"/>
      <c r="Q102" s="5"/>
      <c r="S102" s="5"/>
      <c r="U102" s="20"/>
      <c r="V102" s="7"/>
      <c r="W102" s="7"/>
      <c r="X102" s="7"/>
      <c r="Y102" s="1443"/>
      <c r="Z102" s="20"/>
      <c r="AC102" s="5"/>
      <c r="AE102" s="38"/>
      <c r="AF102" s="5"/>
      <c r="AG102" s="51"/>
      <c r="AH102" s="39"/>
      <c r="AI102" s="139"/>
      <c r="AJ102" s="139"/>
      <c r="AK102" s="139"/>
      <c r="AL102" s="139"/>
      <c r="AM102" s="139"/>
    </row>
    <row r="103" spans="1:39" s="3" customFormat="1" ht="15" customHeight="1" x14ac:dyDescent="0.4">
      <c r="A103" s="8" t="s">
        <v>402</v>
      </c>
      <c r="B103" s="7"/>
      <c r="C103" s="7" t="s">
        <v>403</v>
      </c>
      <c r="D103" s="155"/>
      <c r="E103" s="155" t="s">
        <v>1222</v>
      </c>
      <c r="F103" s="7"/>
      <c r="G103" s="7"/>
      <c r="H103" s="20"/>
      <c r="I103" s="3" t="s">
        <v>392</v>
      </c>
      <c r="L103" s="3" t="s">
        <v>348</v>
      </c>
      <c r="M103" s="5">
        <f>1.375*2</f>
        <v>2.75</v>
      </c>
      <c r="N103" s="5" t="s">
        <v>348</v>
      </c>
      <c r="O103" s="5">
        <f>0.25</f>
        <v>0.25</v>
      </c>
      <c r="P103" s="5"/>
      <c r="Q103" s="5"/>
      <c r="R103" s="3" t="s">
        <v>352</v>
      </c>
      <c r="S103" s="5">
        <f>INT2width+M103+O103</f>
        <v>74.5</v>
      </c>
      <c r="T103" s="3" t="s">
        <v>366</v>
      </c>
      <c r="U103" s="20"/>
      <c r="V103" s="38"/>
      <c r="X103" s="38"/>
      <c r="Y103" s="1443"/>
      <c r="Z103" s="20"/>
      <c r="AA103" s="3">
        <v>45</v>
      </c>
      <c r="AB103" s="3">
        <v>1</v>
      </c>
      <c r="AC103" s="5">
        <f>AB103*S103/12</f>
        <v>6.208333333333333</v>
      </c>
      <c r="AD103" s="3" t="s">
        <v>367</v>
      </c>
      <c r="AE103" s="38">
        <f>'Single Hung'!AG318</f>
        <v>0.96799999999999997</v>
      </c>
      <c r="AF103" s="5">
        <f>AE103*AtolbperftINT</f>
        <v>0.61225999999999992</v>
      </c>
      <c r="AG103" s="51"/>
      <c r="AH103" s="39"/>
      <c r="AI103" s="139"/>
      <c r="AJ103" s="139"/>
      <c r="AK103" s="139"/>
      <c r="AL103" s="139"/>
      <c r="AM103" s="139"/>
    </row>
    <row r="104" spans="1:39" s="3" customFormat="1" ht="15" customHeight="1" x14ac:dyDescent="0.4">
      <c r="A104" s="8"/>
      <c r="B104" s="4"/>
      <c r="C104" s="36"/>
      <c r="D104" s="7"/>
      <c r="E104" s="47" t="s">
        <v>393</v>
      </c>
      <c r="G104" s="7"/>
      <c r="H104" s="20"/>
      <c r="I104" s="3" t="s">
        <v>392</v>
      </c>
      <c r="L104" s="3" t="s">
        <v>348</v>
      </c>
      <c r="M104" s="5">
        <v>0</v>
      </c>
      <c r="N104" s="5" t="s">
        <v>348</v>
      </c>
      <c r="O104" s="5">
        <v>0.25</v>
      </c>
      <c r="P104" s="5"/>
      <c r="Q104" s="5"/>
      <c r="R104" s="3" t="s">
        <v>352</v>
      </c>
      <c r="S104" s="5">
        <f>INT2width+M104+O104</f>
        <v>71.75</v>
      </c>
      <c r="T104" s="3" t="s">
        <v>366</v>
      </c>
      <c r="U104" s="20"/>
      <c r="V104" s="38" t="s">
        <v>369</v>
      </c>
      <c r="W104" s="3" t="s">
        <v>370</v>
      </c>
      <c r="X104" s="38" t="s">
        <v>369</v>
      </c>
      <c r="Y104" s="1443">
        <f>'Single Hung'!Y319</f>
        <v>200137003</v>
      </c>
      <c r="Z104" s="20"/>
      <c r="AC104" s="5"/>
      <c r="AE104" s="38"/>
      <c r="AF104" s="5"/>
      <c r="AG104" s="51">
        <f>'Single Hung'!AI319</f>
        <v>0.55230000000000001</v>
      </c>
      <c r="AH104" s="39">
        <f>AG104*$AC$103</f>
        <v>3.4288624999999997</v>
      </c>
      <c r="AI104" s="139"/>
      <c r="AJ104" s="444"/>
      <c r="AK104" s="139"/>
      <c r="AL104" s="139"/>
      <c r="AM104" s="139"/>
    </row>
    <row r="105" spans="1:39" s="3" customFormat="1" ht="15" customHeight="1" x14ac:dyDescent="0.4">
      <c r="A105" s="8"/>
      <c r="B105" s="4"/>
      <c r="C105" s="36"/>
      <c r="D105" s="7"/>
      <c r="E105" s="155"/>
      <c r="F105" s="155"/>
      <c r="G105" s="7"/>
      <c r="H105" s="20"/>
      <c r="M105" s="5"/>
      <c r="N105" s="5"/>
      <c r="O105" s="5"/>
      <c r="P105" s="5"/>
      <c r="Q105" s="5"/>
      <c r="S105" s="5"/>
      <c r="U105" s="20"/>
      <c r="V105" s="38" t="s">
        <v>369</v>
      </c>
      <c r="W105" s="3" t="s">
        <v>372</v>
      </c>
      <c r="X105" s="38" t="s">
        <v>369</v>
      </c>
      <c r="Y105" s="1443">
        <f>'Single Hung'!Y320</f>
        <v>200137021</v>
      </c>
      <c r="Z105" s="20"/>
      <c r="AC105" s="5"/>
      <c r="AE105" s="38"/>
      <c r="AF105" s="5"/>
      <c r="AG105" s="51">
        <f>1*AF103</f>
        <v>0.61225999999999992</v>
      </c>
      <c r="AH105" s="39">
        <f t="shared" ref="AH105:AH108" si="13">AG105*$AC$103</f>
        <v>3.8011141666666659</v>
      </c>
      <c r="AI105" s="139"/>
      <c r="AJ105" s="444"/>
      <c r="AK105" s="139"/>
      <c r="AL105" s="139"/>
      <c r="AM105" s="139"/>
    </row>
    <row r="106" spans="1:39" s="3" customFormat="1" ht="15" customHeight="1" x14ac:dyDescent="0.4">
      <c r="A106" s="8"/>
      <c r="B106" s="4"/>
      <c r="C106" s="36"/>
      <c r="D106" s="7"/>
      <c r="E106" s="155"/>
      <c r="F106" s="155"/>
      <c r="G106" s="7"/>
      <c r="H106" s="20"/>
      <c r="M106" s="5"/>
      <c r="N106" s="5"/>
      <c r="O106" s="5"/>
      <c r="P106" s="5"/>
      <c r="Q106" s="5"/>
      <c r="S106" s="5"/>
      <c r="U106" s="20"/>
      <c r="V106" s="38" t="s">
        <v>369</v>
      </c>
      <c r="W106" s="3" t="s">
        <v>373</v>
      </c>
      <c r="X106" s="38" t="s">
        <v>369</v>
      </c>
      <c r="Y106" s="1443">
        <f>'Single Hung'!Y321</f>
        <v>200137033</v>
      </c>
      <c r="Z106" s="20"/>
      <c r="AC106" s="5"/>
      <c r="AE106" s="38"/>
      <c r="AF106" s="5"/>
      <c r="AG106" s="51">
        <f>1*AF103</f>
        <v>0.61225999999999992</v>
      </c>
      <c r="AH106" s="39">
        <f t="shared" si="13"/>
        <v>3.8011141666666659</v>
      </c>
      <c r="AI106" s="445"/>
      <c r="AJ106" s="446"/>
      <c r="AK106" s="139"/>
      <c r="AL106" s="139"/>
      <c r="AM106" s="139"/>
    </row>
    <row r="107" spans="1:39" s="3" customFormat="1" ht="15" customHeight="1" x14ac:dyDescent="0.4">
      <c r="A107" s="8"/>
      <c r="B107" s="4"/>
      <c r="C107" s="36"/>
      <c r="D107" s="36"/>
      <c r="E107" s="447" t="s">
        <v>1457</v>
      </c>
      <c r="F107" s="155"/>
      <c r="G107" s="7"/>
      <c r="H107" s="20"/>
      <c r="I107" s="3" t="s">
        <v>1458</v>
      </c>
      <c r="L107" s="3" t="s">
        <v>348</v>
      </c>
      <c r="M107" s="5">
        <v>-0.63500000000000001</v>
      </c>
      <c r="N107" s="5" t="s">
        <v>348</v>
      </c>
      <c r="O107" s="5">
        <v>0.125</v>
      </c>
      <c r="P107" s="5"/>
      <c r="Q107" s="5"/>
      <c r="R107" s="3" t="s">
        <v>352</v>
      </c>
      <c r="S107" s="5">
        <f>INTSideliteW+M107+O107</f>
        <v>32.49</v>
      </c>
      <c r="T107" s="3" t="s">
        <v>366</v>
      </c>
      <c r="U107" s="20"/>
      <c r="V107" s="38" t="s">
        <v>2363</v>
      </c>
      <c r="W107" s="3" t="s">
        <v>370</v>
      </c>
      <c r="X107" s="38" t="s">
        <v>369</v>
      </c>
      <c r="Y107" s="1443">
        <v>200137127</v>
      </c>
      <c r="Z107" s="20"/>
      <c r="AC107" s="5"/>
      <c r="AG107" s="51">
        <v>0.75900000000000001</v>
      </c>
      <c r="AH107" s="39">
        <f t="shared" si="13"/>
        <v>4.7121249999999995</v>
      </c>
      <c r="AI107" s="140"/>
      <c r="AJ107" s="140"/>
      <c r="AK107" s="139"/>
      <c r="AL107" s="139"/>
      <c r="AM107" s="139"/>
    </row>
    <row r="108" spans="1:39" s="3" customFormat="1" ht="15" customHeight="1" x14ac:dyDescent="0.4">
      <c r="A108" s="8"/>
      <c r="B108" s="4"/>
      <c r="C108" s="36"/>
      <c r="D108" s="36"/>
      <c r="E108" s="447" t="s">
        <v>1459</v>
      </c>
      <c r="F108" s="155"/>
      <c r="G108" s="7"/>
      <c r="H108" s="20"/>
      <c r="I108" s="3" t="s">
        <v>1458</v>
      </c>
      <c r="L108" s="3" t="s">
        <v>348</v>
      </c>
      <c r="M108" s="5">
        <v>-6.1719999999999997</v>
      </c>
      <c r="N108" s="5" t="s">
        <v>348</v>
      </c>
      <c r="O108" s="5">
        <v>0.125</v>
      </c>
      <c r="P108" s="5"/>
      <c r="Q108" s="5"/>
      <c r="R108" s="3" t="s">
        <v>352</v>
      </c>
      <c r="S108" s="5">
        <f>INTSideliteW+M108+O108</f>
        <v>26.952999999999999</v>
      </c>
      <c r="T108" s="3" t="s">
        <v>366</v>
      </c>
      <c r="U108" s="20"/>
      <c r="V108" s="38" t="s">
        <v>2365</v>
      </c>
      <c r="W108" s="3" t="s">
        <v>370</v>
      </c>
      <c r="X108" s="38" t="s">
        <v>369</v>
      </c>
      <c r="Y108" s="1443">
        <v>200137180</v>
      </c>
      <c r="Z108" s="20"/>
      <c r="AC108" s="5"/>
      <c r="AG108" s="51">
        <v>0.82120000000000004</v>
      </c>
      <c r="AH108" s="39">
        <f t="shared" si="13"/>
        <v>5.0982833333333337</v>
      </c>
      <c r="AI108" s="140"/>
      <c r="AJ108" s="140"/>
      <c r="AK108" s="139"/>
      <c r="AL108" s="139"/>
      <c r="AM108" s="139"/>
    </row>
    <row r="109" spans="1:39" s="3" customFormat="1" ht="15" customHeight="1" thickBot="1" x14ac:dyDescent="0.45">
      <c r="A109" s="8"/>
      <c r="B109" s="4"/>
      <c r="C109" s="36"/>
      <c r="D109" s="36"/>
      <c r="E109" s="447" t="s">
        <v>1460</v>
      </c>
      <c r="F109" s="155"/>
      <c r="G109" s="7"/>
      <c r="H109" s="20"/>
      <c r="I109" s="889" t="s">
        <v>1458</v>
      </c>
      <c r="L109" s="3" t="s">
        <v>348</v>
      </c>
      <c r="M109" s="5">
        <v>-0.64700000000000002</v>
      </c>
      <c r="N109" s="5" t="s">
        <v>348</v>
      </c>
      <c r="O109" s="5">
        <v>0.125</v>
      </c>
      <c r="P109" s="5"/>
      <c r="Q109" s="5"/>
      <c r="R109" s="3" t="s">
        <v>352</v>
      </c>
      <c r="S109" s="5">
        <f>INTSideliteW+M109+O109</f>
        <v>32.478000000000002</v>
      </c>
      <c r="T109" s="3" t="s">
        <v>366</v>
      </c>
      <c r="U109" s="20"/>
      <c r="V109" s="38"/>
      <c r="X109" s="38"/>
      <c r="Y109" s="1443"/>
      <c r="Z109" s="20"/>
      <c r="AC109" s="5"/>
      <c r="AG109" s="51"/>
      <c r="AH109" s="39"/>
      <c r="AI109" s="140"/>
      <c r="AJ109" s="140"/>
      <c r="AK109" s="139"/>
      <c r="AL109" s="139"/>
      <c r="AM109" s="139"/>
    </row>
    <row r="110" spans="1:39" s="3" customFormat="1" ht="15" customHeight="1" x14ac:dyDescent="0.4">
      <c r="A110" s="8"/>
      <c r="B110" s="173" t="s">
        <v>446</v>
      </c>
      <c r="C110" s="173"/>
      <c r="D110" s="181"/>
      <c r="E110" s="182"/>
      <c r="F110" s="430" t="s">
        <v>418</v>
      </c>
      <c r="G110" s="431">
        <v>3</v>
      </c>
      <c r="H110" s="175"/>
      <c r="I110" s="432" t="str">
        <f xml:space="preserve"> "Length = INT ( ( UW - " &amp;FIXED(G111,2)&amp;") / "&amp;FIXED(G110,2)&amp;" ) *"&amp;FIXED(G110,2)</f>
        <v>Length = INT ( ( UW - 1.00) / 3.00 ) *3.00</v>
      </c>
      <c r="J110" s="116"/>
      <c r="K110" s="116"/>
      <c r="L110" s="116"/>
      <c r="M110" s="177"/>
      <c r="N110" s="177"/>
      <c r="O110" s="177"/>
      <c r="P110" s="178"/>
      <c r="Q110" s="178"/>
      <c r="R110" s="116" t="s">
        <v>352</v>
      </c>
      <c r="S110" s="177">
        <f>INT((INT2width-G111)/G110)*G110</f>
        <v>69</v>
      </c>
      <c r="T110" s="116" t="s">
        <v>366</v>
      </c>
      <c r="U110" s="175"/>
      <c r="V110" s="179"/>
      <c r="W110" s="116"/>
      <c r="X110" s="179"/>
      <c r="Y110" s="1449"/>
      <c r="Z110" s="175"/>
      <c r="AA110" s="116">
        <v>45</v>
      </c>
      <c r="AB110" s="116">
        <v>1</v>
      </c>
      <c r="AC110" s="177">
        <f>AB110*S110/12</f>
        <v>5.75</v>
      </c>
      <c r="AD110" s="116" t="s">
        <v>367</v>
      </c>
      <c r="AE110" s="116">
        <f>'Single Hung'!AG358</f>
        <v>0.17599999999999999</v>
      </c>
      <c r="AF110" s="177">
        <f>AE110*AtolbperftINT</f>
        <v>0.11131999999999999</v>
      </c>
      <c r="AG110" s="185"/>
      <c r="AH110" s="180"/>
      <c r="AI110" s="139"/>
      <c r="AJ110" s="139"/>
      <c r="AK110" s="139"/>
      <c r="AL110" s="139"/>
      <c r="AM110" s="139"/>
    </row>
    <row r="111" spans="1:39" s="3" customFormat="1" ht="15" customHeight="1" x14ac:dyDescent="0.4">
      <c r="A111" s="8"/>
      <c r="B111" s="36"/>
      <c r="C111" s="155"/>
      <c r="D111" s="155"/>
      <c r="E111" s="155"/>
      <c r="F111" s="434" t="s">
        <v>419</v>
      </c>
      <c r="G111" s="435">
        <v>1</v>
      </c>
      <c r="H111" s="20"/>
      <c r="M111" s="5"/>
      <c r="N111" s="5"/>
      <c r="O111" s="5"/>
      <c r="P111" s="24"/>
      <c r="Q111" s="24"/>
      <c r="S111" s="5"/>
      <c r="U111" s="20"/>
      <c r="V111" s="38" t="s">
        <v>369</v>
      </c>
      <c r="W111" s="3" t="s">
        <v>370</v>
      </c>
      <c r="X111" s="38" t="s">
        <v>369</v>
      </c>
      <c r="Y111" s="1443">
        <v>200142003</v>
      </c>
      <c r="Z111" s="20"/>
      <c r="AC111" s="5"/>
      <c r="AE111" s="38"/>
      <c r="AF111" s="5"/>
      <c r="AG111" s="51">
        <f>'Single Hung'!AI359</f>
        <v>0.16520000000000001</v>
      </c>
      <c r="AH111" s="39">
        <f>AG111*$AC$110</f>
        <v>0.94990000000000008</v>
      </c>
      <c r="AI111" s="139"/>
      <c r="AJ111" s="139"/>
      <c r="AK111" s="139"/>
      <c r="AL111" s="139"/>
      <c r="AM111" s="139"/>
    </row>
    <row r="112" spans="1:39" s="3" customFormat="1" ht="15" customHeight="1" x14ac:dyDescent="0.4">
      <c r="A112" s="8"/>
      <c r="B112" s="36"/>
      <c r="C112" s="155"/>
      <c r="D112" s="155"/>
      <c r="E112" s="155"/>
      <c r="F112" s="155"/>
      <c r="G112" s="7"/>
      <c r="H112" s="20"/>
      <c r="M112" s="5"/>
      <c r="N112" s="5"/>
      <c r="O112" s="5"/>
      <c r="P112" s="24"/>
      <c r="Q112" s="24"/>
      <c r="S112" s="5"/>
      <c r="U112" s="20"/>
      <c r="V112" s="38" t="s">
        <v>369</v>
      </c>
      <c r="W112" s="3" t="s">
        <v>372</v>
      </c>
      <c r="X112" s="38" t="s">
        <v>369</v>
      </c>
      <c r="Y112" s="1443">
        <v>200142021</v>
      </c>
      <c r="Z112" s="20"/>
      <c r="AC112" s="5"/>
      <c r="AF112" s="5"/>
      <c r="AG112" s="51">
        <f>'Single Hung'!AI360</f>
        <v>0.19359999999999999</v>
      </c>
      <c r="AH112" s="39">
        <f t="shared" ref="AH112:AH115" si="14">AG112*$AC$110</f>
        <v>1.1132</v>
      </c>
      <c r="AI112" s="139"/>
      <c r="AJ112" s="139"/>
      <c r="AK112" s="139"/>
      <c r="AL112" s="139"/>
      <c r="AM112" s="139"/>
    </row>
    <row r="113" spans="1:39" s="3" customFormat="1" ht="15" customHeight="1" x14ac:dyDescent="0.4">
      <c r="A113" s="8"/>
      <c r="B113" s="36"/>
      <c r="C113" s="155"/>
      <c r="D113" s="155"/>
      <c r="E113" s="155"/>
      <c r="F113" s="155"/>
      <c r="G113" s="7"/>
      <c r="H113" s="20"/>
      <c r="M113" s="5"/>
      <c r="N113" s="5"/>
      <c r="O113" s="5"/>
      <c r="P113" s="24"/>
      <c r="Q113" s="24"/>
      <c r="S113" s="5"/>
      <c r="U113" s="20"/>
      <c r="V113" s="38" t="s">
        <v>369</v>
      </c>
      <c r="W113" s="3" t="s">
        <v>373</v>
      </c>
      <c r="X113" s="38" t="s">
        <v>369</v>
      </c>
      <c r="Y113" s="1443">
        <v>200142033</v>
      </c>
      <c r="Z113" s="20"/>
      <c r="AC113" s="5"/>
      <c r="AF113" s="5"/>
      <c r="AG113" s="51">
        <f>'Single Hung'!AI361</f>
        <v>0.1971</v>
      </c>
      <c r="AH113" s="39">
        <f t="shared" si="14"/>
        <v>1.1333249999999999</v>
      </c>
      <c r="AI113" s="139"/>
      <c r="AJ113" s="139"/>
      <c r="AK113" s="139"/>
      <c r="AL113" s="139"/>
      <c r="AM113" s="139"/>
    </row>
    <row r="114" spans="1:39" s="3" customFormat="1" ht="15" customHeight="1" x14ac:dyDescent="0.4">
      <c r="A114" s="8"/>
      <c r="B114" s="36"/>
      <c r="C114" s="155"/>
      <c r="D114" s="155"/>
      <c r="E114" s="155"/>
      <c r="F114" s="155"/>
      <c r="G114" s="7"/>
      <c r="H114" s="20"/>
      <c r="M114" s="5"/>
      <c r="N114" s="5"/>
      <c r="O114" s="5"/>
      <c r="P114" s="24"/>
      <c r="Q114" s="24"/>
      <c r="S114" s="5"/>
      <c r="U114" s="20"/>
      <c r="V114" s="38" t="s">
        <v>369</v>
      </c>
      <c r="W114" s="3" t="s">
        <v>374</v>
      </c>
      <c r="X114" s="38" t="s">
        <v>369</v>
      </c>
      <c r="Y114" s="1443">
        <v>200142090</v>
      </c>
      <c r="Z114" s="20"/>
      <c r="AC114" s="5"/>
      <c r="AF114" s="5"/>
      <c r="AG114" s="51">
        <v>0.51639999999999997</v>
      </c>
      <c r="AH114" s="39">
        <f t="shared" si="14"/>
        <v>2.9692999999999996</v>
      </c>
      <c r="AI114" s="139"/>
      <c r="AJ114" s="139"/>
      <c r="AK114" s="139"/>
      <c r="AL114" s="139"/>
      <c r="AM114" s="139"/>
    </row>
    <row r="115" spans="1:39" s="3" customFormat="1" ht="15" customHeight="1" thickBot="1" x14ac:dyDescent="0.45">
      <c r="A115" s="8"/>
      <c r="B115" s="943"/>
      <c r="C115" s="925"/>
      <c r="D115" s="925"/>
      <c r="E115" s="925"/>
      <c r="F115" s="925"/>
      <c r="G115" s="924"/>
      <c r="H115" s="887"/>
      <c r="I115" s="889"/>
      <c r="J115" s="889"/>
      <c r="K115" s="889"/>
      <c r="L115" s="889"/>
      <c r="M115" s="945"/>
      <c r="N115" s="945"/>
      <c r="O115" s="945"/>
      <c r="P115" s="1020"/>
      <c r="Q115" s="1020"/>
      <c r="R115" s="889"/>
      <c r="S115" s="945"/>
      <c r="T115" s="889"/>
      <c r="U115" s="887"/>
      <c r="V115" s="888" t="s">
        <v>369</v>
      </c>
      <c r="W115" s="889" t="s">
        <v>375</v>
      </c>
      <c r="X115" s="888" t="s">
        <v>369</v>
      </c>
      <c r="Y115" s="1444">
        <v>200142133</v>
      </c>
      <c r="Z115" s="887"/>
      <c r="AA115" s="889"/>
      <c r="AB115" s="889"/>
      <c r="AC115" s="945"/>
      <c r="AD115" s="889"/>
      <c r="AE115" s="889"/>
      <c r="AF115" s="945"/>
      <c r="AG115" s="937">
        <v>0.55810000000000004</v>
      </c>
      <c r="AH115" s="947">
        <f t="shared" si="14"/>
        <v>3.2090750000000003</v>
      </c>
      <c r="AI115" s="139"/>
      <c r="AJ115" s="139"/>
      <c r="AK115" s="139"/>
      <c r="AL115" s="139"/>
      <c r="AM115" s="139"/>
    </row>
    <row r="116" spans="1:39" s="3" customFormat="1" ht="14.25" customHeight="1" x14ac:dyDescent="0.4">
      <c r="A116" s="8"/>
      <c r="B116" s="7" t="s">
        <v>1461</v>
      </c>
      <c r="C116" s="36"/>
      <c r="D116" s="36"/>
      <c r="E116" s="155"/>
      <c r="F116" s="155"/>
      <c r="G116" s="7"/>
      <c r="H116" s="20"/>
      <c r="M116" s="5"/>
      <c r="N116" s="5"/>
      <c r="O116" s="5"/>
      <c r="P116" s="5"/>
      <c r="Q116" s="5"/>
      <c r="S116" s="5"/>
      <c r="U116" s="20"/>
      <c r="V116" s="38"/>
      <c r="X116" s="38"/>
      <c r="Y116" s="1443"/>
      <c r="Z116" s="20"/>
      <c r="AC116" s="5"/>
      <c r="AG116" s="51"/>
      <c r="AH116" s="39"/>
      <c r="AI116" s="140"/>
      <c r="AJ116" s="140"/>
      <c r="AK116" s="139"/>
      <c r="AL116" s="139"/>
      <c r="AM116" s="139"/>
    </row>
    <row r="117" spans="1:39" s="3" customFormat="1" ht="15" customHeight="1" x14ac:dyDescent="0.4">
      <c r="A117" s="8"/>
      <c r="B117" s="4"/>
      <c r="C117" s="8" t="s">
        <v>1462</v>
      </c>
      <c r="D117" s="36"/>
      <c r="E117" s="155"/>
      <c r="F117" s="155"/>
      <c r="G117" s="7"/>
      <c r="H117" s="20"/>
      <c r="M117" s="5"/>
      <c r="N117" s="5"/>
      <c r="O117" s="5"/>
      <c r="P117" s="5"/>
      <c r="Q117" s="5"/>
      <c r="S117" s="5"/>
      <c r="U117" s="20"/>
      <c r="V117" s="38"/>
      <c r="X117" s="38"/>
      <c r="Y117" s="1443"/>
      <c r="Z117" s="20"/>
      <c r="AA117" s="3">
        <v>45</v>
      </c>
      <c r="AB117" s="3">
        <f>IF(INTNW=2,1,2)</f>
        <v>2</v>
      </c>
      <c r="AC117" s="5">
        <f>S118*AB117/12</f>
        <v>9.7466666666666661</v>
      </c>
      <c r="AD117" s="3" t="s">
        <v>367</v>
      </c>
      <c r="AG117" s="51"/>
      <c r="AH117" s="39"/>
      <c r="AI117" s="140"/>
      <c r="AJ117" s="140"/>
      <c r="AK117" s="139"/>
      <c r="AL117" s="139"/>
      <c r="AM117" s="139"/>
    </row>
    <row r="118" spans="1:39" s="3" customFormat="1" ht="15" customHeight="1" x14ac:dyDescent="0.4">
      <c r="A118" s="8"/>
      <c r="B118" s="4"/>
      <c r="C118" s="8"/>
      <c r="D118" s="36"/>
      <c r="E118" s="155" t="s">
        <v>2179</v>
      </c>
      <c r="F118" s="155"/>
      <c r="G118" s="7"/>
      <c r="H118" s="20"/>
      <c r="I118" s="3" t="s">
        <v>365</v>
      </c>
      <c r="L118" s="3" t="s">
        <v>348</v>
      </c>
      <c r="M118" s="5">
        <v>-1.02</v>
      </c>
      <c r="N118" s="5"/>
      <c r="O118" s="5"/>
      <c r="P118" s="5"/>
      <c r="Q118" s="5"/>
      <c r="R118" s="3" t="s">
        <v>352</v>
      </c>
      <c r="S118" s="5">
        <f>INTheight+M118</f>
        <v>58.48</v>
      </c>
      <c r="T118" s="3" t="s">
        <v>366</v>
      </c>
      <c r="U118" s="20"/>
      <c r="V118" s="38" t="s">
        <v>369</v>
      </c>
      <c r="W118" s="3" t="s">
        <v>370</v>
      </c>
      <c r="X118" s="38" t="s">
        <v>369</v>
      </c>
      <c r="Y118" s="1443">
        <v>200140003</v>
      </c>
      <c r="Z118" s="20"/>
      <c r="AC118" s="5"/>
      <c r="AG118" s="51">
        <v>1.1453</v>
      </c>
      <c r="AH118" s="39">
        <f>AC$117*AG118</f>
        <v>11.162857333333333</v>
      </c>
      <c r="AI118" s="140"/>
      <c r="AJ118" s="140"/>
      <c r="AK118" s="139"/>
      <c r="AL118" s="139"/>
      <c r="AM118" s="139"/>
    </row>
    <row r="119" spans="1:39" s="3" customFormat="1" ht="15" customHeight="1" x14ac:dyDescent="0.4">
      <c r="A119" s="8"/>
      <c r="B119" s="4"/>
      <c r="C119" s="36"/>
      <c r="D119" s="36"/>
      <c r="E119" s="155" t="s">
        <v>2175</v>
      </c>
      <c r="F119" s="155"/>
      <c r="G119" s="7"/>
      <c r="H119" s="20"/>
      <c r="I119" s="3" t="s">
        <v>365</v>
      </c>
      <c r="L119" s="3" t="s">
        <v>348</v>
      </c>
      <c r="M119" s="5">
        <v>-1.27</v>
      </c>
      <c r="N119" s="5"/>
      <c r="O119" s="5"/>
      <c r="P119" s="5"/>
      <c r="Q119" s="5"/>
      <c r="R119" s="3" t="s">
        <v>352</v>
      </c>
      <c r="S119" s="5">
        <f>INTheight+M119</f>
        <v>58.23</v>
      </c>
      <c r="T119" s="3" t="s">
        <v>366</v>
      </c>
      <c r="U119" s="20"/>
      <c r="V119" s="38" t="s">
        <v>369</v>
      </c>
      <c r="W119" s="3" t="s">
        <v>372</v>
      </c>
      <c r="X119" s="38" t="s">
        <v>369</v>
      </c>
      <c r="Y119" s="1443">
        <v>200140021</v>
      </c>
      <c r="Z119" s="20"/>
      <c r="AC119" s="5"/>
      <c r="AG119" s="51">
        <v>1.2388999999999999</v>
      </c>
      <c r="AH119" s="39">
        <f t="shared" ref="AH119:AH125" si="15">AC$117*AG119</f>
        <v>12.075145333333332</v>
      </c>
      <c r="AI119" s="140"/>
      <c r="AJ119" s="140"/>
      <c r="AK119" s="139"/>
      <c r="AL119" s="139"/>
      <c r="AM119" s="139"/>
    </row>
    <row r="120" spans="1:39" s="3" customFormat="1" ht="15" customHeight="1" x14ac:dyDescent="0.4">
      <c r="A120" s="8"/>
      <c r="B120" s="4"/>
      <c r="C120" s="36"/>
      <c r="D120" s="36"/>
      <c r="E120" s="155" t="s">
        <v>2176</v>
      </c>
      <c r="F120" s="155"/>
      <c r="G120" s="7"/>
      <c r="H120" s="20"/>
      <c r="I120" s="3" t="s">
        <v>365</v>
      </c>
      <c r="J120" s="3" t="s">
        <v>346</v>
      </c>
      <c r="K120" s="3">
        <v>2</v>
      </c>
      <c r="L120" s="3" t="s">
        <v>348</v>
      </c>
      <c r="M120" s="5">
        <v>-2.125</v>
      </c>
      <c r="N120" s="5"/>
      <c r="O120" s="5"/>
      <c r="P120" s="5" t="s">
        <v>456</v>
      </c>
      <c r="Q120" s="5" t="s">
        <v>462</v>
      </c>
      <c r="R120" s="3" t="s">
        <v>352</v>
      </c>
      <c r="S120" s="5">
        <f>INTheight/K120+M120-G12</f>
        <v>27.625</v>
      </c>
      <c r="T120" s="3" t="s">
        <v>366</v>
      </c>
      <c r="U120" s="20"/>
      <c r="V120" s="38" t="s">
        <v>369</v>
      </c>
      <c r="W120" s="3" t="s">
        <v>373</v>
      </c>
      <c r="X120" s="38" t="s">
        <v>369</v>
      </c>
      <c r="Y120" s="1443">
        <v>200140033</v>
      </c>
      <c r="Z120" s="20"/>
      <c r="AC120" s="5"/>
      <c r="AG120" s="51">
        <v>1.3681000000000001</v>
      </c>
      <c r="AH120" s="39">
        <f t="shared" si="15"/>
        <v>13.334414666666667</v>
      </c>
      <c r="AI120" s="140"/>
      <c r="AJ120" s="140"/>
      <c r="AK120" s="139"/>
      <c r="AL120" s="139"/>
      <c r="AM120" s="139"/>
    </row>
    <row r="121" spans="1:39" s="3" customFormat="1" ht="15" customHeight="1" x14ac:dyDescent="0.4">
      <c r="A121" s="8"/>
      <c r="B121" s="4"/>
      <c r="C121" s="36"/>
      <c r="D121" s="36"/>
      <c r="E121" s="155" t="s">
        <v>2177</v>
      </c>
      <c r="F121" s="155"/>
      <c r="G121" s="7"/>
      <c r="H121" s="20"/>
      <c r="I121" s="3" t="s">
        <v>365</v>
      </c>
      <c r="L121" s="3" t="s">
        <v>348</v>
      </c>
      <c r="M121" s="5">
        <v>-3.2629999999999999</v>
      </c>
      <c r="N121" s="5"/>
      <c r="O121" s="5"/>
      <c r="P121" s="5"/>
      <c r="Q121" s="5"/>
      <c r="R121" s="3" t="s">
        <v>352</v>
      </c>
      <c r="S121" s="5">
        <f>INTheight+M121</f>
        <v>56.237000000000002</v>
      </c>
      <c r="T121" s="3" t="s">
        <v>366</v>
      </c>
      <c r="U121" s="20"/>
      <c r="V121" s="3" t="s">
        <v>2363</v>
      </c>
      <c r="W121" s="3" t="s">
        <v>370</v>
      </c>
      <c r="X121" s="38" t="s">
        <v>369</v>
      </c>
      <c r="Y121" s="1443">
        <v>200140127</v>
      </c>
      <c r="Z121" s="20"/>
      <c r="AC121" s="5"/>
      <c r="AG121" s="51">
        <v>1.3681000000000001</v>
      </c>
      <c r="AH121" s="39">
        <f t="shared" si="15"/>
        <v>13.334414666666667</v>
      </c>
      <c r="AI121" s="140"/>
      <c r="AJ121" s="140"/>
      <c r="AK121" s="139"/>
      <c r="AL121" s="139"/>
      <c r="AM121" s="139"/>
    </row>
    <row r="122" spans="1:39" s="3" customFormat="1" ht="15" customHeight="1" x14ac:dyDescent="0.4">
      <c r="A122" s="8"/>
      <c r="B122" s="4"/>
      <c r="C122" s="36"/>
      <c r="D122" s="36"/>
      <c r="E122" s="155" t="s">
        <v>2178</v>
      </c>
      <c r="F122" s="155"/>
      <c r="G122" s="7"/>
      <c r="H122" s="20"/>
      <c r="I122" s="3" t="s">
        <v>365</v>
      </c>
      <c r="L122" s="3" t="s">
        <v>348</v>
      </c>
      <c r="M122" s="5">
        <v>-2.7749999999999999</v>
      </c>
      <c r="N122" s="5"/>
      <c r="O122" s="5"/>
      <c r="P122" s="5"/>
      <c r="Q122" s="5"/>
      <c r="R122" s="3" t="s">
        <v>352</v>
      </c>
      <c r="S122" s="5">
        <f>INTheight+M122</f>
        <v>56.725000000000001</v>
      </c>
      <c r="T122" s="3" t="s">
        <v>366</v>
      </c>
      <c r="U122" s="20"/>
      <c r="V122" s="572" t="s">
        <v>2366</v>
      </c>
      <c r="W122" s="572" t="s">
        <v>370</v>
      </c>
      <c r="X122" s="571" t="s">
        <v>369</v>
      </c>
      <c r="Y122" s="1447">
        <v>200140128</v>
      </c>
      <c r="Z122" s="20"/>
      <c r="AC122" s="5"/>
      <c r="AG122" s="51">
        <v>1.3681000000000001</v>
      </c>
      <c r="AH122" s="39">
        <f t="shared" si="15"/>
        <v>13.334414666666667</v>
      </c>
      <c r="AI122" s="140"/>
      <c r="AJ122" s="140"/>
      <c r="AK122" s="139"/>
      <c r="AL122" s="139"/>
      <c r="AM122" s="139"/>
    </row>
    <row r="123" spans="1:39" s="3" customFormat="1" ht="15" customHeight="1" x14ac:dyDescent="0.4">
      <c r="A123" s="8"/>
      <c r="B123" s="4"/>
      <c r="C123" s="36"/>
      <c r="D123" s="36"/>
      <c r="E123" s="155"/>
      <c r="F123" s="155"/>
      <c r="G123" s="7"/>
      <c r="H123" s="20"/>
      <c r="M123" s="5"/>
      <c r="N123" s="5"/>
      <c r="O123" s="5"/>
      <c r="P123" s="5"/>
      <c r="Q123" s="5"/>
      <c r="S123" s="5"/>
      <c r="U123" s="20"/>
      <c r="V123" s="3" t="s">
        <v>2364</v>
      </c>
      <c r="W123" s="3" t="s">
        <v>370</v>
      </c>
      <c r="X123" s="38" t="s">
        <v>369</v>
      </c>
      <c r="Y123" s="1443">
        <v>200140129</v>
      </c>
      <c r="Z123" s="20"/>
      <c r="AC123" s="5"/>
      <c r="AG123" s="51">
        <v>1.3681000000000001</v>
      </c>
      <c r="AH123" s="39">
        <f>AC$117*AG123</f>
        <v>13.334414666666667</v>
      </c>
      <c r="AI123" s="140"/>
      <c r="AJ123" s="140"/>
      <c r="AK123" s="139"/>
      <c r="AL123" s="139"/>
      <c r="AM123" s="139"/>
    </row>
    <row r="124" spans="1:39" s="3" customFormat="1" ht="15" customHeight="1" x14ac:dyDescent="0.4">
      <c r="A124" s="8"/>
      <c r="B124" s="4"/>
      <c r="C124" s="36"/>
      <c r="D124" s="36"/>
      <c r="E124" s="155"/>
      <c r="F124" s="155"/>
      <c r="G124" s="7"/>
      <c r="H124" s="20"/>
      <c r="M124" s="5"/>
      <c r="N124" s="5"/>
      <c r="O124" s="5"/>
      <c r="P124" s="5"/>
      <c r="Q124" s="5"/>
      <c r="S124" s="5"/>
      <c r="U124" s="20"/>
      <c r="V124" s="3" t="s">
        <v>2365</v>
      </c>
      <c r="W124" s="3" t="s">
        <v>370</v>
      </c>
      <c r="X124" s="38" t="s">
        <v>369</v>
      </c>
      <c r="Y124" s="1443">
        <v>200140180</v>
      </c>
      <c r="Z124" s="20"/>
      <c r="AC124" s="5"/>
      <c r="AG124" s="51">
        <v>1.3681000000000001</v>
      </c>
      <c r="AH124" s="39">
        <f t="shared" ref="AH124" si="16">AC$117*AG124</f>
        <v>13.334414666666667</v>
      </c>
      <c r="AI124" s="140"/>
      <c r="AJ124" s="140"/>
      <c r="AK124" s="139"/>
      <c r="AL124" s="139"/>
      <c r="AM124" s="139"/>
    </row>
    <row r="125" spans="1:39" s="3" customFormat="1" ht="15" customHeight="1" x14ac:dyDescent="0.4">
      <c r="A125" s="8"/>
      <c r="B125" s="4"/>
      <c r="C125" s="36"/>
      <c r="D125" s="36"/>
      <c r="E125" s="155"/>
      <c r="F125" s="155"/>
      <c r="G125" s="7"/>
      <c r="H125" s="20"/>
      <c r="M125" s="5"/>
      <c r="N125" s="5"/>
      <c r="O125" s="5"/>
      <c r="P125" s="5"/>
      <c r="Q125" s="5"/>
      <c r="S125" s="5"/>
      <c r="U125" s="20"/>
      <c r="V125" s="112" t="s">
        <v>2367</v>
      </c>
      <c r="W125" s="112" t="s">
        <v>370</v>
      </c>
      <c r="X125" s="279" t="s">
        <v>369</v>
      </c>
      <c r="Y125" s="1871">
        <v>200140152</v>
      </c>
      <c r="Z125" s="20"/>
      <c r="AC125" s="5"/>
      <c r="AG125" s="51">
        <v>1.3681000000000001</v>
      </c>
      <c r="AH125" s="39">
        <f t="shared" si="15"/>
        <v>13.334414666666667</v>
      </c>
      <c r="AI125" s="140"/>
      <c r="AJ125" s="140"/>
      <c r="AK125" s="139"/>
      <c r="AL125" s="139"/>
      <c r="AM125" s="139"/>
    </row>
    <row r="126" spans="1:39" s="3" customFormat="1" ht="15" customHeight="1" x14ac:dyDescent="0.4">
      <c r="A126" s="8"/>
      <c r="B126" s="4"/>
      <c r="C126" s="36"/>
      <c r="D126" s="36"/>
      <c r="E126" s="155"/>
      <c r="F126" s="155"/>
      <c r="G126" s="7"/>
      <c r="H126" s="20"/>
      <c r="M126" s="5"/>
      <c r="N126" s="5"/>
      <c r="O126" s="5"/>
      <c r="P126" s="5"/>
      <c r="Q126" s="5"/>
      <c r="S126" s="5"/>
      <c r="U126" s="20"/>
      <c r="V126" s="3" t="s">
        <v>2365</v>
      </c>
      <c r="W126" s="3" t="s">
        <v>370</v>
      </c>
      <c r="X126" s="3" t="s">
        <v>2365</v>
      </c>
      <c r="Y126" s="1443">
        <v>200140181</v>
      </c>
      <c r="Z126" s="20"/>
      <c r="AC126" s="5"/>
      <c r="AG126" s="51">
        <v>1.3681000000000001</v>
      </c>
      <c r="AH126" s="39">
        <f t="shared" ref="AH126" si="17">AC$117*AG126</f>
        <v>13.334414666666667</v>
      </c>
      <c r="AI126" s="140"/>
      <c r="AJ126" s="140"/>
      <c r="AK126" s="139"/>
      <c r="AL126" s="139"/>
      <c r="AM126" s="139"/>
    </row>
    <row r="127" spans="1:39" s="3" customFormat="1" ht="15" customHeight="1" x14ac:dyDescent="0.4">
      <c r="B127" s="8" t="s">
        <v>468</v>
      </c>
      <c r="C127" s="36"/>
      <c r="D127" s="4"/>
      <c r="E127" s="4" t="s">
        <v>495</v>
      </c>
      <c r="G127" s="7"/>
      <c r="H127" s="20"/>
      <c r="I127" s="3" t="s">
        <v>365</v>
      </c>
      <c r="J127" s="38" t="s">
        <v>346</v>
      </c>
      <c r="K127" s="3">
        <v>2</v>
      </c>
      <c r="L127" s="3" t="s">
        <v>348</v>
      </c>
      <c r="M127" s="5">
        <v>3.407</v>
      </c>
      <c r="N127" s="5"/>
      <c r="O127" s="5"/>
      <c r="P127" s="5" t="s">
        <v>348</v>
      </c>
      <c r="Q127" s="5" t="s">
        <v>462</v>
      </c>
      <c r="R127" s="3" t="s">
        <v>352</v>
      </c>
      <c r="S127" s="5">
        <f>INTheight/K127+M127+O127+G12</f>
        <v>33.156999999999996</v>
      </c>
      <c r="T127" s="3" t="s">
        <v>366</v>
      </c>
      <c r="U127" s="20"/>
      <c r="V127" s="7"/>
      <c r="W127" s="7"/>
      <c r="X127" s="7"/>
      <c r="Y127" s="1443"/>
      <c r="Z127" s="20"/>
      <c r="AC127" s="5"/>
      <c r="AE127" s="38"/>
      <c r="AG127" s="51"/>
      <c r="AH127" s="39"/>
      <c r="AI127" s="139"/>
      <c r="AJ127" s="139"/>
      <c r="AK127" s="139"/>
      <c r="AL127" s="139"/>
      <c r="AM127" s="139"/>
    </row>
    <row r="128" spans="1:39" s="3" customFormat="1" ht="15" customHeight="1" thickBot="1" x14ac:dyDescent="0.45">
      <c r="A128" s="8"/>
      <c r="B128" s="1865" t="s">
        <v>2356</v>
      </c>
      <c r="C128" s="1866"/>
      <c r="D128" s="1867"/>
      <c r="E128" s="1865" t="s">
        <v>2357</v>
      </c>
      <c r="F128" s="1867"/>
      <c r="G128" s="1867"/>
      <c r="H128" s="1868"/>
      <c r="I128" s="1869" t="s">
        <v>365</v>
      </c>
      <c r="J128" s="1848"/>
      <c r="K128" s="1848"/>
      <c r="L128" s="1848" t="s">
        <v>348</v>
      </c>
      <c r="M128" s="1848">
        <v>-2.7749999999999999</v>
      </c>
      <c r="N128" s="1848"/>
      <c r="O128" s="1848"/>
      <c r="P128" s="1848"/>
      <c r="Q128" s="1848"/>
      <c r="R128" s="1848" t="s">
        <v>352</v>
      </c>
      <c r="S128" s="1848">
        <f>INTheight+M128</f>
        <v>56.725000000000001</v>
      </c>
      <c r="T128" s="1848" t="s">
        <v>366</v>
      </c>
      <c r="U128" s="1868"/>
      <c r="V128" s="1848" t="s">
        <v>369</v>
      </c>
      <c r="W128" s="1848" t="s">
        <v>370</v>
      </c>
      <c r="X128" s="1848" t="s">
        <v>369</v>
      </c>
      <c r="Y128" s="1870">
        <v>120074014005</v>
      </c>
      <c r="Z128" s="1868"/>
      <c r="AA128" s="1848"/>
      <c r="AB128" s="1848">
        <v>1</v>
      </c>
      <c r="AC128" s="1848">
        <f>S128*AB128/12</f>
        <v>4.7270833333333337</v>
      </c>
      <c r="AD128" s="1848" t="s">
        <v>367</v>
      </c>
      <c r="AE128" s="1848"/>
      <c r="AF128" s="1848"/>
      <c r="AG128" s="1848">
        <v>4.675E-2</v>
      </c>
      <c r="AH128" s="1848">
        <f>AG128*AC128</f>
        <v>0.22099114583333335</v>
      </c>
      <c r="AI128" s="140"/>
      <c r="AJ128" s="140"/>
      <c r="AK128" s="139"/>
      <c r="AL128" s="139"/>
      <c r="AM128" s="139"/>
    </row>
    <row r="129" spans="1:39" s="3" customFormat="1" ht="15" customHeight="1" x14ac:dyDescent="0.4">
      <c r="A129" s="8"/>
      <c r="B129" s="7" t="s">
        <v>1463</v>
      </c>
      <c r="C129" s="36"/>
      <c r="D129" s="36"/>
      <c r="E129" s="155"/>
      <c r="F129" s="155"/>
      <c r="G129" s="7"/>
      <c r="H129" s="20"/>
      <c r="M129" s="5"/>
      <c r="N129" s="5"/>
      <c r="O129" s="5"/>
      <c r="P129" s="5"/>
      <c r="Q129" s="5"/>
      <c r="S129" s="5"/>
      <c r="U129" s="20"/>
      <c r="V129" s="38"/>
      <c r="X129" s="38"/>
      <c r="Y129" s="1443"/>
      <c r="Z129" s="20"/>
      <c r="AG129" s="51"/>
      <c r="AH129" s="39"/>
      <c r="AI129" s="140"/>
      <c r="AJ129" s="140"/>
      <c r="AK129" s="139"/>
      <c r="AL129" s="139"/>
      <c r="AM129" s="139"/>
    </row>
    <row r="130" spans="1:39" s="3" customFormat="1" ht="15" customHeight="1" x14ac:dyDescent="0.4">
      <c r="A130" s="8"/>
      <c r="B130" s="4"/>
      <c r="C130" s="8" t="s">
        <v>1464</v>
      </c>
      <c r="D130" s="36"/>
      <c r="E130" s="155" t="s">
        <v>495</v>
      </c>
      <c r="F130" s="155"/>
      <c r="G130" s="7"/>
      <c r="H130" s="20"/>
      <c r="I130" s="8" t="s">
        <v>2181</v>
      </c>
      <c r="L130" s="3" t="s">
        <v>348</v>
      </c>
      <c r="M130" s="5">
        <v>-2.375</v>
      </c>
      <c r="N130" s="5"/>
      <c r="O130" s="5"/>
      <c r="P130" s="5"/>
      <c r="Q130" s="5"/>
      <c r="R130" s="3" t="s">
        <v>352</v>
      </c>
      <c r="S130" s="5">
        <f>INTSideliteW+M130</f>
        <v>30.625</v>
      </c>
      <c r="U130" s="20"/>
      <c r="Y130" s="1443"/>
      <c r="Z130" s="20"/>
      <c r="AA130" s="3">
        <v>45</v>
      </c>
      <c r="AB130" s="3">
        <f>IF(INTNW=2,2,2)</f>
        <v>2</v>
      </c>
      <c r="AC130" s="5">
        <f>S130*AB130/12</f>
        <v>5.104166666666667</v>
      </c>
      <c r="AD130" s="3" t="s">
        <v>367</v>
      </c>
      <c r="AI130" s="140"/>
      <c r="AJ130" s="140"/>
      <c r="AK130" s="139"/>
      <c r="AL130" s="139"/>
      <c r="AM130" s="139"/>
    </row>
    <row r="131" spans="1:39" s="3" customFormat="1" ht="15" customHeight="1" x14ac:dyDescent="0.4">
      <c r="A131" s="8"/>
      <c r="B131" s="4"/>
      <c r="C131" s="36"/>
      <c r="D131" s="36"/>
      <c r="E131" s="155"/>
      <c r="F131" s="155"/>
      <c r="G131" s="7"/>
      <c r="H131" s="20"/>
      <c r="M131" s="5"/>
      <c r="N131" s="5"/>
      <c r="O131" s="5"/>
      <c r="P131" s="5"/>
      <c r="Q131" s="5"/>
      <c r="S131" s="5"/>
      <c r="U131" s="20"/>
      <c r="V131" s="38" t="s">
        <v>369</v>
      </c>
      <c r="W131" s="3" t="s">
        <v>370</v>
      </c>
      <c r="X131" s="38" t="s">
        <v>369</v>
      </c>
      <c r="Y131" s="1443">
        <v>200141003</v>
      </c>
      <c r="Z131" s="20"/>
      <c r="AC131" s="5"/>
      <c r="AG131" s="51">
        <v>0.41649999999999998</v>
      </c>
      <c r="AH131" s="39">
        <f t="shared" ref="AH131:AH138" si="18">AC$130*AG131</f>
        <v>2.1258854166666667</v>
      </c>
      <c r="AI131" s="140"/>
      <c r="AJ131" s="140"/>
      <c r="AK131" s="139"/>
      <c r="AL131" s="139"/>
      <c r="AM131" s="139"/>
    </row>
    <row r="132" spans="1:39" s="3" customFormat="1" ht="15" customHeight="1" x14ac:dyDescent="0.4">
      <c r="A132" s="8"/>
      <c r="B132" s="4"/>
      <c r="C132" s="36"/>
      <c r="D132" s="36"/>
      <c r="E132" s="155"/>
      <c r="F132" s="155"/>
      <c r="G132" s="7"/>
      <c r="H132" s="20"/>
      <c r="M132" s="5"/>
      <c r="N132" s="5"/>
      <c r="O132" s="5"/>
      <c r="P132" s="5"/>
      <c r="Q132" s="5"/>
      <c r="S132" s="5"/>
      <c r="U132" s="20"/>
      <c r="V132" s="38" t="s">
        <v>369</v>
      </c>
      <c r="W132" s="3" t="s">
        <v>372</v>
      </c>
      <c r="X132" s="38" t="s">
        <v>369</v>
      </c>
      <c r="Y132" s="1443">
        <v>200141021</v>
      </c>
      <c r="Z132" s="20"/>
      <c r="AC132" s="5"/>
      <c r="AG132" s="51">
        <v>0.44940000000000002</v>
      </c>
      <c r="AH132" s="39">
        <f t="shared" si="18"/>
        <v>2.2938125</v>
      </c>
      <c r="AI132" s="140"/>
      <c r="AJ132" s="140"/>
      <c r="AK132" s="139"/>
      <c r="AL132" s="139"/>
      <c r="AM132" s="139"/>
    </row>
    <row r="133" spans="1:39" s="3" customFormat="1" ht="15" customHeight="1" x14ac:dyDescent="0.4">
      <c r="A133" s="8"/>
      <c r="B133" s="4"/>
      <c r="C133" s="36"/>
      <c r="D133" s="36"/>
      <c r="E133" s="155"/>
      <c r="F133" s="155"/>
      <c r="G133" s="7"/>
      <c r="H133" s="20"/>
      <c r="M133" s="5"/>
      <c r="N133" s="5"/>
      <c r="O133" s="5"/>
      <c r="P133" s="5"/>
      <c r="Q133" s="5"/>
      <c r="S133" s="5"/>
      <c r="U133" s="20"/>
      <c r="V133" s="38" t="s">
        <v>369</v>
      </c>
      <c r="W133" s="3" t="s">
        <v>373</v>
      </c>
      <c r="X133" s="38" t="s">
        <v>369</v>
      </c>
      <c r="Y133" s="1443">
        <v>200141033</v>
      </c>
      <c r="Z133" s="20"/>
      <c r="AC133" s="5"/>
      <c r="AG133" s="51">
        <v>0.49469999999999997</v>
      </c>
      <c r="AH133" s="39">
        <f t="shared" si="18"/>
        <v>2.5250312500000001</v>
      </c>
      <c r="AI133" s="140"/>
      <c r="AJ133" s="140"/>
      <c r="AK133" s="139"/>
      <c r="AL133" s="139"/>
      <c r="AM133" s="139"/>
    </row>
    <row r="134" spans="1:39" s="3" customFormat="1" ht="15" customHeight="1" x14ac:dyDescent="0.4">
      <c r="A134" s="8"/>
      <c r="B134" s="4"/>
      <c r="C134" s="36"/>
      <c r="D134" s="36"/>
      <c r="E134" s="155"/>
      <c r="F134" s="155"/>
      <c r="G134" s="7"/>
      <c r="H134" s="20"/>
      <c r="M134" s="5"/>
      <c r="N134" s="5"/>
      <c r="O134" s="5"/>
      <c r="P134" s="5"/>
      <c r="Q134" s="5"/>
      <c r="S134" s="5"/>
      <c r="U134" s="20"/>
      <c r="V134" s="3" t="s">
        <v>2363</v>
      </c>
      <c r="W134" s="3" t="s">
        <v>370</v>
      </c>
      <c r="X134" s="38" t="s">
        <v>369</v>
      </c>
      <c r="Y134" s="1443">
        <v>200141127</v>
      </c>
      <c r="Z134" s="20"/>
      <c r="AC134" s="5"/>
      <c r="AG134" s="51">
        <v>0.53639999999999999</v>
      </c>
      <c r="AH134" s="39">
        <f t="shared" si="18"/>
        <v>2.7378750000000003</v>
      </c>
      <c r="AI134" s="140"/>
      <c r="AJ134" s="140"/>
      <c r="AK134" s="139"/>
      <c r="AL134" s="139"/>
      <c r="AM134" s="139"/>
    </row>
    <row r="135" spans="1:39" s="3" customFormat="1" ht="15" customHeight="1" x14ac:dyDescent="0.4">
      <c r="A135" s="8"/>
      <c r="B135" s="4"/>
      <c r="C135" s="36"/>
      <c r="D135" s="36"/>
      <c r="E135" s="155"/>
      <c r="F135" s="155"/>
      <c r="G135" s="7"/>
      <c r="H135" s="20"/>
      <c r="M135" s="5"/>
      <c r="N135" s="5"/>
      <c r="O135" s="5"/>
      <c r="P135" s="5"/>
      <c r="Q135" s="5"/>
      <c r="S135" s="5"/>
      <c r="U135" s="20"/>
      <c r="V135" s="572" t="s">
        <v>2366</v>
      </c>
      <c r="W135" s="572" t="s">
        <v>370</v>
      </c>
      <c r="X135" s="571" t="s">
        <v>369</v>
      </c>
      <c r="Y135" s="1447">
        <v>200141128</v>
      </c>
      <c r="Z135" s="20"/>
      <c r="AC135" s="5"/>
      <c r="AG135" s="51">
        <v>0.55769999999999997</v>
      </c>
      <c r="AH135" s="39">
        <f t="shared" si="18"/>
        <v>2.8465937499999998</v>
      </c>
      <c r="AI135" s="140"/>
      <c r="AJ135" s="140"/>
      <c r="AK135" s="139"/>
      <c r="AL135" s="139"/>
      <c r="AM135" s="139"/>
    </row>
    <row r="136" spans="1:39" s="3" customFormat="1" ht="15" customHeight="1" x14ac:dyDescent="0.4">
      <c r="A136" s="8"/>
      <c r="B136" s="4"/>
      <c r="C136" s="36"/>
      <c r="D136" s="36"/>
      <c r="E136" s="155"/>
      <c r="F136" s="155"/>
      <c r="G136" s="7"/>
      <c r="H136" s="20"/>
      <c r="M136" s="5"/>
      <c r="N136" s="5"/>
      <c r="O136" s="5"/>
      <c r="P136" s="5"/>
      <c r="Q136" s="5"/>
      <c r="S136" s="5"/>
      <c r="U136" s="20"/>
      <c r="V136" s="3" t="s">
        <v>2364</v>
      </c>
      <c r="W136" s="3" t="s">
        <v>370</v>
      </c>
      <c r="X136" s="38" t="s">
        <v>369</v>
      </c>
      <c r="Y136" s="1443">
        <v>200141129</v>
      </c>
      <c r="Z136" s="20"/>
      <c r="AC136" s="5"/>
      <c r="AG136" s="51">
        <v>0.55769999999999997</v>
      </c>
      <c r="AH136" s="39">
        <f t="shared" si="18"/>
        <v>2.8465937499999998</v>
      </c>
      <c r="AI136" s="140"/>
      <c r="AJ136" s="140"/>
      <c r="AK136" s="139"/>
      <c r="AL136" s="139"/>
      <c r="AM136" s="139"/>
    </row>
    <row r="137" spans="1:39" s="3" customFormat="1" ht="15" customHeight="1" x14ac:dyDescent="0.4">
      <c r="A137" s="8"/>
      <c r="B137" s="4"/>
      <c r="C137" s="36"/>
      <c r="D137" s="36"/>
      <c r="E137" s="155"/>
      <c r="F137" s="155"/>
      <c r="G137" s="7"/>
      <c r="H137" s="20"/>
      <c r="M137" s="5"/>
      <c r="N137" s="5"/>
      <c r="O137" s="5"/>
      <c r="P137" s="5"/>
      <c r="Q137" s="5"/>
      <c r="S137" s="5"/>
      <c r="U137" s="20"/>
      <c r="V137" s="3" t="s">
        <v>2365</v>
      </c>
      <c r="W137" s="3" t="s">
        <v>370</v>
      </c>
      <c r="X137" s="38" t="s">
        <v>369</v>
      </c>
      <c r="Y137" s="1443">
        <v>200141180</v>
      </c>
      <c r="Z137" s="20"/>
      <c r="AC137" s="5"/>
      <c r="AG137" s="51">
        <v>0.55769999999999997</v>
      </c>
      <c r="AH137" s="39">
        <f t="shared" si="18"/>
        <v>2.8465937499999998</v>
      </c>
      <c r="AI137" s="140"/>
      <c r="AJ137" s="140"/>
      <c r="AK137" s="139"/>
      <c r="AL137" s="139"/>
      <c r="AM137" s="139"/>
    </row>
    <row r="138" spans="1:39" s="3" customFormat="1" ht="15" customHeight="1" x14ac:dyDescent="0.4">
      <c r="A138" s="8"/>
      <c r="B138" s="4"/>
      <c r="C138" s="36"/>
      <c r="D138" s="36"/>
      <c r="E138" s="155"/>
      <c r="F138" s="155"/>
      <c r="G138" s="7"/>
      <c r="H138" s="20"/>
      <c r="M138" s="5"/>
      <c r="N138" s="5"/>
      <c r="O138" s="5"/>
      <c r="P138" s="5"/>
      <c r="Q138" s="5"/>
      <c r="S138" s="5"/>
      <c r="U138" s="20"/>
      <c r="V138" s="112" t="s">
        <v>2367</v>
      </c>
      <c r="W138" s="112" t="s">
        <v>370</v>
      </c>
      <c r="X138" s="279" t="s">
        <v>369</v>
      </c>
      <c r="Y138" s="1871">
        <v>200141152</v>
      </c>
      <c r="Z138" s="20"/>
      <c r="AC138" s="5"/>
      <c r="AG138" s="51">
        <v>0.55769999999999997</v>
      </c>
      <c r="AH138" s="39">
        <f t="shared" si="18"/>
        <v>2.8465937499999998</v>
      </c>
      <c r="AI138" s="140"/>
      <c r="AJ138" s="140"/>
      <c r="AK138" s="139"/>
      <c r="AL138" s="139"/>
      <c r="AM138" s="139"/>
    </row>
    <row r="139" spans="1:39" s="3" customFormat="1" ht="15" customHeight="1" thickBot="1" x14ac:dyDescent="0.45">
      <c r="A139" s="8"/>
      <c r="B139" s="4"/>
      <c r="C139" s="36"/>
      <c r="D139" s="36"/>
      <c r="E139" s="155"/>
      <c r="F139" s="155"/>
      <c r="G139" s="7"/>
      <c r="H139" s="20"/>
      <c r="I139" s="889"/>
      <c r="J139" s="889"/>
      <c r="K139" s="889"/>
      <c r="L139" s="889"/>
      <c r="M139" s="945"/>
      <c r="N139" s="945"/>
      <c r="O139" s="945"/>
      <c r="P139" s="945"/>
      <c r="Q139" s="945"/>
      <c r="R139" s="889"/>
      <c r="S139" s="945"/>
      <c r="T139" s="889"/>
      <c r="U139" s="887"/>
      <c r="V139" s="889" t="s">
        <v>2365</v>
      </c>
      <c r="W139" s="889" t="s">
        <v>370</v>
      </c>
      <c r="X139" s="889" t="s">
        <v>2365</v>
      </c>
      <c r="Y139" s="1444">
        <v>200141152</v>
      </c>
      <c r="Z139" s="887"/>
      <c r="AA139" s="889"/>
      <c r="AB139" s="889"/>
      <c r="AC139" s="945"/>
      <c r="AD139" s="889"/>
      <c r="AE139" s="889"/>
      <c r="AF139" s="889"/>
      <c r="AG139" s="937">
        <v>0.55769999999999997</v>
      </c>
      <c r="AH139" s="947">
        <f t="shared" ref="AH139" si="19">AC$130*AG139</f>
        <v>2.8465937499999998</v>
      </c>
      <c r="AI139" s="140"/>
      <c r="AJ139" s="140"/>
      <c r="AK139" s="139"/>
      <c r="AL139" s="139"/>
      <c r="AM139" s="139"/>
    </row>
    <row r="140" spans="1:39" s="3" customFormat="1" ht="15" customHeight="1" x14ac:dyDescent="0.4">
      <c r="A140" s="8"/>
      <c r="B140" s="4"/>
      <c r="C140" s="36"/>
      <c r="D140" s="36"/>
      <c r="E140" s="155"/>
      <c r="F140" s="155"/>
      <c r="G140" s="7"/>
      <c r="H140" s="20"/>
      <c r="I140" s="8" t="str">
        <f>IF(INTNW=2,"Twin Other Unit Width","Triple Center Unit Width")</f>
        <v>Triple Center Unit Width</v>
      </c>
      <c r="L140" s="3" t="s">
        <v>348</v>
      </c>
      <c r="M140" s="5">
        <v>-2.375</v>
      </c>
      <c r="N140" s="5"/>
      <c r="O140" s="5"/>
      <c r="P140" s="5"/>
      <c r="Q140" s="5"/>
      <c r="R140" s="3" t="s">
        <v>352</v>
      </c>
      <c r="S140" s="5">
        <f>G9+M140</f>
        <v>2.125</v>
      </c>
      <c r="U140" s="20"/>
      <c r="Y140" s="1443"/>
      <c r="Z140" s="20"/>
      <c r="AA140" s="3">
        <v>45</v>
      </c>
      <c r="AB140" s="3">
        <f>IF(INTNW=3,1,0)</f>
        <v>1</v>
      </c>
      <c r="AC140" s="5">
        <f>S140*AB140/12</f>
        <v>0.17708333333333334</v>
      </c>
      <c r="AD140" s="3" t="s">
        <v>367</v>
      </c>
      <c r="AI140" s="140"/>
      <c r="AJ140" s="140"/>
      <c r="AK140" s="139"/>
      <c r="AL140" s="139"/>
      <c r="AM140" s="139"/>
    </row>
    <row r="141" spans="1:39" s="3" customFormat="1" ht="15" customHeight="1" x14ac:dyDescent="0.4">
      <c r="A141" s="8"/>
      <c r="B141" s="4"/>
      <c r="C141" s="36"/>
      <c r="D141" s="36"/>
      <c r="E141" s="155"/>
      <c r="F141" s="155"/>
      <c r="G141" s="7"/>
      <c r="H141" s="20"/>
      <c r="M141" s="5"/>
      <c r="N141" s="5"/>
      <c r="O141" s="5"/>
      <c r="P141" s="5"/>
      <c r="Q141" s="5"/>
      <c r="S141" s="5"/>
      <c r="U141" s="20"/>
      <c r="V141" s="38" t="s">
        <v>369</v>
      </c>
      <c r="W141" s="3" t="s">
        <v>370</v>
      </c>
      <c r="X141" s="38" t="s">
        <v>369</v>
      </c>
      <c r="Y141" s="1443">
        <v>200141003</v>
      </c>
      <c r="Z141" s="20"/>
      <c r="AC141" s="5"/>
      <c r="AG141" s="51">
        <f>AG131</f>
        <v>0.41649999999999998</v>
      </c>
      <c r="AH141" s="39">
        <f>AC$140*AG141</f>
        <v>7.3755208333333336E-2</v>
      </c>
      <c r="AI141" s="140"/>
      <c r="AJ141" s="140"/>
      <c r="AK141" s="139"/>
      <c r="AL141" s="139"/>
      <c r="AM141" s="139"/>
    </row>
    <row r="142" spans="1:39" s="3" customFormat="1" ht="15" customHeight="1" x14ac:dyDescent="0.4">
      <c r="A142" s="8"/>
      <c r="B142" s="4"/>
      <c r="C142" s="36"/>
      <c r="D142" s="36"/>
      <c r="E142" s="155"/>
      <c r="F142" s="155"/>
      <c r="G142" s="7"/>
      <c r="H142" s="20"/>
      <c r="M142" s="5"/>
      <c r="N142" s="5"/>
      <c r="O142" s="5"/>
      <c r="P142" s="5"/>
      <c r="Q142" s="5"/>
      <c r="S142" s="5"/>
      <c r="U142" s="20"/>
      <c r="V142" s="38" t="s">
        <v>369</v>
      </c>
      <c r="W142" s="3" t="s">
        <v>372</v>
      </c>
      <c r="X142" s="38" t="s">
        <v>369</v>
      </c>
      <c r="Y142" s="1443">
        <v>200141021</v>
      </c>
      <c r="Z142" s="20"/>
      <c r="AC142" s="5"/>
      <c r="AG142" s="51">
        <f>AG132</f>
        <v>0.44940000000000002</v>
      </c>
      <c r="AH142" s="39">
        <f t="shared" ref="AH142:AH147" si="20">AC$140*AG142</f>
        <v>7.9581250000000006E-2</v>
      </c>
      <c r="AI142" s="140"/>
      <c r="AJ142" s="140"/>
      <c r="AK142" s="139"/>
      <c r="AL142" s="139"/>
      <c r="AM142" s="139"/>
    </row>
    <row r="143" spans="1:39" s="3" customFormat="1" ht="15" customHeight="1" x14ac:dyDescent="0.4">
      <c r="A143" s="8"/>
      <c r="B143" s="4"/>
      <c r="C143" s="36"/>
      <c r="D143" s="36"/>
      <c r="E143" s="155"/>
      <c r="F143" s="155"/>
      <c r="G143" s="7"/>
      <c r="H143" s="20"/>
      <c r="M143" s="5"/>
      <c r="N143" s="5"/>
      <c r="O143" s="5"/>
      <c r="P143" s="5"/>
      <c r="Q143" s="5"/>
      <c r="S143" s="5"/>
      <c r="U143" s="20"/>
      <c r="V143" s="38" t="s">
        <v>369</v>
      </c>
      <c r="W143" s="3" t="s">
        <v>373</v>
      </c>
      <c r="X143" s="38" t="s">
        <v>369</v>
      </c>
      <c r="Y143" s="1443">
        <v>200141033</v>
      </c>
      <c r="Z143" s="20"/>
      <c r="AC143" s="5"/>
      <c r="AG143" s="51">
        <f>AG133</f>
        <v>0.49469999999999997</v>
      </c>
      <c r="AH143" s="39">
        <f t="shared" si="20"/>
        <v>8.7603125000000004E-2</v>
      </c>
      <c r="AI143" s="140"/>
      <c r="AJ143" s="140"/>
      <c r="AK143" s="139"/>
      <c r="AL143" s="139"/>
      <c r="AM143" s="139"/>
    </row>
    <row r="144" spans="1:39" s="3" customFormat="1" ht="15" customHeight="1" x14ac:dyDescent="0.4">
      <c r="A144" s="8"/>
      <c r="B144" s="4"/>
      <c r="C144" s="36"/>
      <c r="D144" s="36"/>
      <c r="E144" s="155"/>
      <c r="F144" s="155"/>
      <c r="G144" s="7"/>
      <c r="H144" s="20"/>
      <c r="M144" s="5"/>
      <c r="N144" s="5"/>
      <c r="O144" s="5"/>
      <c r="P144" s="5"/>
      <c r="Q144" s="5"/>
      <c r="S144" s="5"/>
      <c r="U144" s="20"/>
      <c r="V144" s="3" t="s">
        <v>2363</v>
      </c>
      <c r="W144" s="3" t="s">
        <v>370</v>
      </c>
      <c r="X144" s="38" t="s">
        <v>369</v>
      </c>
      <c r="Y144" s="1443">
        <v>200141127</v>
      </c>
      <c r="Z144" s="20"/>
      <c r="AC144" s="5"/>
      <c r="AG144" s="51">
        <f>AG134</f>
        <v>0.53639999999999999</v>
      </c>
      <c r="AH144" s="39">
        <f t="shared" si="20"/>
        <v>9.4987500000000002E-2</v>
      </c>
      <c r="AI144" s="140"/>
      <c r="AJ144" s="140"/>
      <c r="AK144" s="139"/>
      <c r="AL144" s="139"/>
      <c r="AM144" s="139"/>
    </row>
    <row r="145" spans="1:42" s="3" customFormat="1" ht="15" customHeight="1" x14ac:dyDescent="0.4">
      <c r="A145" s="8"/>
      <c r="B145" s="4"/>
      <c r="C145" s="36"/>
      <c r="D145" s="36"/>
      <c r="E145" s="155"/>
      <c r="F145" s="155"/>
      <c r="G145" s="7"/>
      <c r="H145" s="20"/>
      <c r="M145" s="5"/>
      <c r="N145" s="5"/>
      <c r="O145" s="5"/>
      <c r="P145" s="5"/>
      <c r="Q145" s="5"/>
      <c r="S145" s="5"/>
      <c r="U145" s="20"/>
      <c r="V145" s="572" t="s">
        <v>2366</v>
      </c>
      <c r="W145" s="572" t="s">
        <v>370</v>
      </c>
      <c r="X145" s="571" t="s">
        <v>369</v>
      </c>
      <c r="Y145" s="1447">
        <v>200141128</v>
      </c>
      <c r="Z145" s="20"/>
      <c r="AC145" s="5"/>
      <c r="AG145" s="51">
        <f>AG135</f>
        <v>0.55769999999999997</v>
      </c>
      <c r="AH145" s="39">
        <f t="shared" si="20"/>
        <v>9.8759374999999996E-2</v>
      </c>
      <c r="AI145" s="140"/>
      <c r="AJ145" s="140"/>
      <c r="AK145" s="139"/>
      <c r="AL145" s="139"/>
      <c r="AM145" s="139"/>
    </row>
    <row r="146" spans="1:42" s="3" customFormat="1" ht="15" customHeight="1" x14ac:dyDescent="0.4">
      <c r="A146" s="8"/>
      <c r="B146" s="4"/>
      <c r="C146" s="36"/>
      <c r="D146" s="36"/>
      <c r="E146" s="155"/>
      <c r="F146" s="155"/>
      <c r="G146" s="7"/>
      <c r="H146" s="20"/>
      <c r="M146" s="5"/>
      <c r="N146" s="5"/>
      <c r="O146" s="5"/>
      <c r="P146" s="5"/>
      <c r="Q146" s="5"/>
      <c r="S146" s="5"/>
      <c r="U146" s="20"/>
      <c r="V146" s="3" t="s">
        <v>2364</v>
      </c>
      <c r="W146" s="3" t="s">
        <v>370</v>
      </c>
      <c r="X146" s="38" t="s">
        <v>369</v>
      </c>
      <c r="Y146" s="1443">
        <v>200141129</v>
      </c>
      <c r="Z146" s="20"/>
      <c r="AC146" s="5"/>
      <c r="AG146" s="844">
        <f>AG137</f>
        <v>0.55769999999999997</v>
      </c>
      <c r="AH146" s="39">
        <f t="shared" ref="AH146" si="21">AC$140*AG146</f>
        <v>9.8759374999999996E-2</v>
      </c>
      <c r="AI146" s="140"/>
      <c r="AJ146" s="140"/>
      <c r="AK146" s="139"/>
      <c r="AL146" s="139"/>
      <c r="AM146" s="139"/>
    </row>
    <row r="147" spans="1:42" s="3" customFormat="1" ht="15" customHeight="1" x14ac:dyDescent="0.4">
      <c r="A147" s="8"/>
      <c r="B147" s="4"/>
      <c r="C147" s="36"/>
      <c r="D147" s="36"/>
      <c r="E147" s="155"/>
      <c r="F147" s="155"/>
      <c r="G147" s="7"/>
      <c r="H147" s="20"/>
      <c r="M147" s="5"/>
      <c r="N147" s="5"/>
      <c r="O147" s="5"/>
      <c r="P147" s="5"/>
      <c r="Q147" s="5"/>
      <c r="S147" s="5"/>
      <c r="U147" s="20"/>
      <c r="V147" s="3" t="s">
        <v>2365</v>
      </c>
      <c r="W147" s="3" t="s">
        <v>370</v>
      </c>
      <c r="X147" s="38" t="s">
        <v>369</v>
      </c>
      <c r="Y147" s="1443">
        <v>200141180</v>
      </c>
      <c r="Z147" s="20"/>
      <c r="AC147" s="5"/>
      <c r="AG147" s="51">
        <f>AG136</f>
        <v>0.55769999999999997</v>
      </c>
      <c r="AH147" s="39">
        <f t="shared" si="20"/>
        <v>9.8759374999999996E-2</v>
      </c>
      <c r="AI147" s="140"/>
      <c r="AJ147" s="140"/>
      <c r="AK147" s="139"/>
      <c r="AL147" s="139"/>
      <c r="AM147" s="139"/>
    </row>
    <row r="148" spans="1:42" s="112" customFormat="1" ht="15" customHeight="1" x14ac:dyDescent="0.4">
      <c r="A148" s="275"/>
      <c r="B148" s="7"/>
      <c r="C148" s="7"/>
      <c r="D148" s="7"/>
      <c r="E148" s="7"/>
      <c r="F148" s="7"/>
      <c r="G148" s="7"/>
      <c r="H148" s="20"/>
      <c r="I148" s="500"/>
      <c r="J148" s="500"/>
      <c r="K148" s="500"/>
      <c r="L148" s="500"/>
      <c r="M148" s="24"/>
      <c r="N148" s="24"/>
      <c r="O148" s="24"/>
      <c r="P148" s="24"/>
      <c r="Q148" s="24"/>
      <c r="R148" s="500"/>
      <c r="S148" s="24"/>
      <c r="T148" s="500"/>
      <c r="U148" s="20"/>
      <c r="V148" s="112" t="s">
        <v>2367</v>
      </c>
      <c r="W148" s="112" t="s">
        <v>370</v>
      </c>
      <c r="X148" s="279" t="s">
        <v>369</v>
      </c>
      <c r="Y148" s="1871">
        <v>200141152</v>
      </c>
      <c r="Z148" s="20"/>
      <c r="AA148" s="3"/>
      <c r="AB148" s="500"/>
      <c r="AC148" s="24"/>
      <c r="AD148" s="500"/>
      <c r="AE148" s="500"/>
      <c r="AF148" s="500"/>
      <c r="AG148" s="51">
        <f t="shared" ref="AG148:AG149" si="22">AG137</f>
        <v>0.55769999999999997</v>
      </c>
      <c r="AH148" s="39">
        <f t="shared" ref="AH148:AH149" si="23">AC$140*AG148</f>
        <v>9.8759374999999996E-2</v>
      </c>
      <c r="AI148" s="3"/>
      <c r="AJ148" s="3"/>
      <c r="AK148" s="3"/>
      <c r="AL148" s="450"/>
      <c r="AM148" s="450"/>
      <c r="AN148" s="450"/>
      <c r="AO148" s="450"/>
      <c r="AP148" s="450"/>
    </row>
    <row r="149" spans="1:42" s="112" customFormat="1" ht="15" customHeight="1" thickBot="1" x14ac:dyDescent="0.45">
      <c r="A149" s="275"/>
      <c r="B149" s="924"/>
      <c r="C149" s="924"/>
      <c r="D149" s="924"/>
      <c r="E149" s="924"/>
      <c r="F149" s="924"/>
      <c r="G149" s="924"/>
      <c r="H149" s="887"/>
      <c r="I149" s="1494"/>
      <c r="J149" s="1494"/>
      <c r="K149" s="1494"/>
      <c r="L149" s="1494"/>
      <c r="M149" s="1020"/>
      <c r="N149" s="1020"/>
      <c r="O149" s="1020"/>
      <c r="P149" s="1020"/>
      <c r="Q149" s="1020"/>
      <c r="R149" s="1494"/>
      <c r="S149" s="1020"/>
      <c r="T149" s="1494"/>
      <c r="U149" s="887"/>
      <c r="V149" s="889" t="s">
        <v>2365</v>
      </c>
      <c r="W149" s="889" t="s">
        <v>370</v>
      </c>
      <c r="X149" s="889" t="s">
        <v>2365</v>
      </c>
      <c r="Y149" s="1444">
        <v>200141181</v>
      </c>
      <c r="Z149" s="887"/>
      <c r="AA149" s="889"/>
      <c r="AB149" s="1494"/>
      <c r="AC149" s="1020"/>
      <c r="AD149" s="1494"/>
      <c r="AE149" s="1494"/>
      <c r="AF149" s="1494"/>
      <c r="AG149" s="937">
        <f t="shared" si="22"/>
        <v>0.55769999999999997</v>
      </c>
      <c r="AH149" s="947">
        <f t="shared" si="23"/>
        <v>9.8759374999999996E-2</v>
      </c>
      <c r="AI149" s="3"/>
      <c r="AJ149" s="3"/>
      <c r="AK149" s="3"/>
      <c r="AL149" s="450"/>
      <c r="AM149" s="450"/>
      <c r="AN149" s="450"/>
      <c r="AO149" s="450"/>
      <c r="AP149" s="450"/>
    </row>
    <row r="150" spans="1:42" s="3" customFormat="1" ht="15" customHeight="1" x14ac:dyDescent="0.4">
      <c r="A150" s="8"/>
      <c r="B150" s="7" t="s">
        <v>1465</v>
      </c>
      <c r="D150" s="36"/>
      <c r="E150" s="155"/>
      <c r="F150" s="155"/>
      <c r="H150" s="20"/>
      <c r="I150" s="3" t="s">
        <v>365</v>
      </c>
      <c r="L150" s="3" t="s">
        <v>348</v>
      </c>
      <c r="M150" s="5">
        <v>-3</v>
      </c>
      <c r="N150" s="5"/>
      <c r="O150" s="5"/>
      <c r="P150" s="24"/>
      <c r="Q150" s="24"/>
      <c r="R150" s="3" t="s">
        <v>352</v>
      </c>
      <c r="S150" s="5">
        <f>INTheight+M150</f>
        <v>56.5</v>
      </c>
      <c r="T150" s="3" t="s">
        <v>366</v>
      </c>
      <c r="U150" s="20"/>
      <c r="V150" s="38"/>
      <c r="X150" s="38"/>
      <c r="Y150" s="1443"/>
      <c r="Z150" s="20"/>
      <c r="AA150" s="3">
        <v>45</v>
      </c>
      <c r="AB150" s="3">
        <f>IF(INTNW=2,2,4)</f>
        <v>4</v>
      </c>
      <c r="AC150" s="5">
        <f>AB150*S150/12</f>
        <v>18.833333333333332</v>
      </c>
      <c r="AD150" s="3" t="s">
        <v>367</v>
      </c>
      <c r="AE150" s="3">
        <v>0</v>
      </c>
      <c r="AF150" s="5">
        <f>AE150*AtolbperftINT</f>
        <v>0</v>
      </c>
      <c r="AG150" s="51"/>
      <c r="AH150" s="51"/>
      <c r="AL150" s="139"/>
      <c r="AM150" s="139"/>
      <c r="AN150" s="139"/>
      <c r="AO150" s="139"/>
      <c r="AP150" s="139"/>
    </row>
    <row r="151" spans="1:42" s="3" customFormat="1" ht="15" customHeight="1" x14ac:dyDescent="0.4">
      <c r="A151" s="8"/>
      <c r="B151" s="155"/>
      <c r="D151" s="155"/>
      <c r="E151" s="155"/>
      <c r="F151" s="42" t="s">
        <v>1159</v>
      </c>
      <c r="G151" s="434"/>
      <c r="H151" s="20"/>
      <c r="M151" s="5"/>
      <c r="N151" s="5"/>
      <c r="O151" s="5"/>
      <c r="P151" s="24"/>
      <c r="Q151" s="24"/>
      <c r="S151" s="5"/>
      <c r="T151" s="3" t="s">
        <v>366</v>
      </c>
      <c r="U151" s="20"/>
      <c r="V151" s="38" t="s">
        <v>369</v>
      </c>
      <c r="W151" s="3" t="s">
        <v>370</v>
      </c>
      <c r="X151" s="38" t="s">
        <v>369</v>
      </c>
      <c r="Y151" s="1443">
        <v>200183003</v>
      </c>
      <c r="Z151" s="20"/>
      <c r="AC151" s="5"/>
      <c r="AE151" s="38"/>
      <c r="AF151" s="5"/>
      <c r="AG151" s="51">
        <f>'Fixed Window'!AH361</f>
        <v>9.4100000000000003E-2</v>
      </c>
      <c r="AH151" s="39">
        <f>AC$150*AG151</f>
        <v>1.7722166666666666</v>
      </c>
      <c r="AL151" s="139"/>
      <c r="AM151" s="139"/>
      <c r="AN151" s="139"/>
      <c r="AO151" s="139"/>
      <c r="AP151" s="139"/>
    </row>
    <row r="152" spans="1:42" s="3" customFormat="1" ht="15" customHeight="1" x14ac:dyDescent="0.4">
      <c r="A152" s="8"/>
      <c r="B152" s="155"/>
      <c r="D152" s="155"/>
      <c r="E152" s="155"/>
      <c r="F152" s="155"/>
      <c r="G152" s="434"/>
      <c r="H152" s="20"/>
      <c r="M152" s="5"/>
      <c r="N152" s="5"/>
      <c r="O152" s="5"/>
      <c r="P152" s="24"/>
      <c r="Q152" s="24"/>
      <c r="S152" s="5"/>
      <c r="U152" s="20"/>
      <c r="V152" s="38" t="s">
        <v>369</v>
      </c>
      <c r="W152" s="3" t="s">
        <v>372</v>
      </c>
      <c r="X152" s="38" t="s">
        <v>369</v>
      </c>
      <c r="Y152" s="1443">
        <v>200183021</v>
      </c>
      <c r="Z152" s="20"/>
      <c r="AC152" s="5"/>
      <c r="AF152" s="5"/>
      <c r="AG152" s="51">
        <f>'Fixed Window'!AH362</f>
        <v>0.10440000000000001</v>
      </c>
      <c r="AH152" s="39">
        <f t="shared" ref="AH152:AH153" si="24">AC$150*AG152</f>
        <v>1.9661999999999999</v>
      </c>
      <c r="AL152" s="139"/>
      <c r="AM152" s="139"/>
      <c r="AN152" s="139"/>
      <c r="AO152" s="139"/>
      <c r="AP152" s="139"/>
    </row>
    <row r="153" spans="1:42" s="3" customFormat="1" ht="15" customHeight="1" x14ac:dyDescent="0.4">
      <c r="A153" s="8"/>
      <c r="B153" s="36"/>
      <c r="D153" s="155"/>
      <c r="E153" s="155"/>
      <c r="F153" s="155"/>
      <c r="G153" s="434"/>
      <c r="H153" s="20"/>
      <c r="M153" s="5"/>
      <c r="N153" s="5"/>
      <c r="O153" s="5"/>
      <c r="P153" s="24"/>
      <c r="Q153" s="24"/>
      <c r="S153" s="5"/>
      <c r="U153" s="20"/>
      <c r="V153" s="38" t="s">
        <v>369</v>
      </c>
      <c r="W153" s="3" t="s">
        <v>373</v>
      </c>
      <c r="X153" s="38" t="s">
        <v>369</v>
      </c>
      <c r="Y153" s="1443">
        <v>200183033</v>
      </c>
      <c r="Z153" s="20"/>
      <c r="AC153" s="5"/>
      <c r="AF153" s="5"/>
      <c r="AG153" s="51">
        <f>'Fixed Window'!AH363</f>
        <v>0.1123</v>
      </c>
      <c r="AH153" s="39">
        <f t="shared" si="24"/>
        <v>2.114983333333333</v>
      </c>
      <c r="AL153" s="139"/>
      <c r="AM153" s="139"/>
      <c r="AN153" s="139"/>
      <c r="AO153" s="139"/>
      <c r="AP153" s="139"/>
    </row>
    <row r="154" spans="1:42" s="3" customFormat="1" ht="15" customHeight="1" thickBot="1" x14ac:dyDescent="0.45">
      <c r="A154" s="8"/>
      <c r="B154" s="949"/>
      <c r="C154" s="889"/>
      <c r="D154" s="925"/>
      <c r="E154" s="925"/>
      <c r="F154" s="925"/>
      <c r="G154" s="1243"/>
      <c r="H154" s="948"/>
      <c r="I154" s="889"/>
      <c r="J154" s="889"/>
      <c r="K154" s="889"/>
      <c r="L154" s="889"/>
      <c r="M154" s="945"/>
      <c r="N154" s="945"/>
      <c r="O154" s="945"/>
      <c r="P154" s="945"/>
      <c r="Q154" s="945"/>
      <c r="R154" s="889"/>
      <c r="S154" s="945"/>
      <c r="T154" s="889"/>
      <c r="U154" s="948"/>
      <c r="V154" s="888" t="s">
        <v>369</v>
      </c>
      <c r="W154" s="889" t="s">
        <v>375</v>
      </c>
      <c r="X154" s="888" t="s">
        <v>369</v>
      </c>
      <c r="Y154" s="1444">
        <v>200183133</v>
      </c>
      <c r="Z154" s="948"/>
      <c r="AA154" s="889"/>
      <c r="AB154" s="889"/>
      <c r="AC154" s="945"/>
      <c r="AD154" s="889"/>
      <c r="AE154" s="889"/>
      <c r="AF154" s="945"/>
      <c r="AG154" s="937">
        <f>'Fixed Window'!AH364</f>
        <v>0</v>
      </c>
      <c r="AH154" s="947">
        <f t="shared" ref="AH154" si="25">AC$150*AG154</f>
        <v>0</v>
      </c>
      <c r="AL154" s="139"/>
      <c r="AM154" s="139"/>
      <c r="AN154" s="139"/>
      <c r="AO154" s="139"/>
      <c r="AP154" s="139"/>
    </row>
    <row r="155" spans="1:42" s="3" customFormat="1" ht="15" customHeight="1" x14ac:dyDescent="0.4">
      <c r="A155" s="8"/>
      <c r="B155" s="7" t="s">
        <v>1466</v>
      </c>
      <c r="D155" s="36"/>
      <c r="E155" s="155"/>
      <c r="F155" s="155"/>
      <c r="H155" s="20"/>
      <c r="I155" s="3" t="s">
        <v>1458</v>
      </c>
      <c r="L155" s="3" t="s">
        <v>348</v>
      </c>
      <c r="M155" s="5">
        <v>-2.375</v>
      </c>
      <c r="N155" s="5"/>
      <c r="O155" s="5"/>
      <c r="P155" s="24"/>
      <c r="Q155" s="24"/>
      <c r="R155" s="3" t="s">
        <v>352</v>
      </c>
      <c r="S155" s="5">
        <f>INTSideliteW+M155+O155</f>
        <v>30.625</v>
      </c>
      <c r="T155" s="3" t="s">
        <v>366</v>
      </c>
      <c r="U155" s="20"/>
      <c r="V155" s="38"/>
      <c r="X155" s="38"/>
      <c r="Y155" s="1443"/>
      <c r="Z155" s="20"/>
      <c r="AA155" s="3">
        <v>45</v>
      </c>
      <c r="AB155" s="3">
        <f>IF(INTNW=2,1,2)</f>
        <v>2</v>
      </c>
      <c r="AC155" s="5">
        <f>AB155*S155/12</f>
        <v>5.104166666666667</v>
      </c>
      <c r="AD155" s="3" t="s">
        <v>367</v>
      </c>
      <c r="AE155" s="3">
        <v>0</v>
      </c>
      <c r="AF155" s="5">
        <f>AE155*AtolbperftINT</f>
        <v>0</v>
      </c>
      <c r="AG155" s="51"/>
      <c r="AH155" s="51"/>
      <c r="AL155" s="139"/>
      <c r="AM155" s="139"/>
      <c r="AN155" s="139"/>
      <c r="AO155" s="139"/>
      <c r="AP155" s="139"/>
    </row>
    <row r="156" spans="1:42" s="3" customFormat="1" ht="15" customHeight="1" x14ac:dyDescent="0.4">
      <c r="A156" s="8"/>
      <c r="B156" s="155"/>
      <c r="D156" s="155"/>
      <c r="E156" s="155"/>
      <c r="F156" s="42" t="s">
        <v>1159</v>
      </c>
      <c r="G156" s="434"/>
      <c r="H156" s="20"/>
      <c r="M156" s="5"/>
      <c r="N156" s="5"/>
      <c r="O156" s="5"/>
      <c r="P156" s="24"/>
      <c r="Q156" s="24"/>
      <c r="S156" s="5"/>
      <c r="T156" s="3" t="s">
        <v>366</v>
      </c>
      <c r="U156" s="20"/>
      <c r="V156" s="38" t="s">
        <v>369</v>
      </c>
      <c r="W156" s="3" t="s">
        <v>370</v>
      </c>
      <c r="X156" s="38" t="s">
        <v>369</v>
      </c>
      <c r="Y156" s="1443">
        <v>200183003</v>
      </c>
      <c r="Z156" s="20"/>
      <c r="AC156" s="5"/>
      <c r="AE156" s="38"/>
      <c r="AF156" s="5"/>
      <c r="AG156" s="51">
        <f>AG151</f>
        <v>9.4100000000000003E-2</v>
      </c>
      <c r="AH156" s="39">
        <f>AC$155*AG156</f>
        <v>0.48030208333333335</v>
      </c>
      <c r="AL156" s="139"/>
      <c r="AM156" s="139"/>
      <c r="AN156" s="139"/>
      <c r="AO156" s="139"/>
      <c r="AP156" s="139"/>
    </row>
    <row r="157" spans="1:42" s="3" customFormat="1" ht="15" customHeight="1" x14ac:dyDescent="0.4">
      <c r="A157" s="8"/>
      <c r="B157" s="155"/>
      <c r="D157" s="155"/>
      <c r="E157" s="155"/>
      <c r="F157" s="155"/>
      <c r="G157" s="434"/>
      <c r="H157" s="20"/>
      <c r="M157" s="5"/>
      <c r="N157" s="5"/>
      <c r="O157" s="5"/>
      <c r="P157" s="24"/>
      <c r="Q157" s="24"/>
      <c r="S157" s="5"/>
      <c r="U157" s="20"/>
      <c r="V157" s="38" t="s">
        <v>369</v>
      </c>
      <c r="W157" s="3" t="s">
        <v>372</v>
      </c>
      <c r="X157" s="38" t="s">
        <v>369</v>
      </c>
      <c r="Y157" s="1443">
        <v>200183021</v>
      </c>
      <c r="Z157" s="20"/>
      <c r="AC157" s="5"/>
      <c r="AF157" s="5"/>
      <c r="AG157" s="51">
        <f>AG152</f>
        <v>0.10440000000000001</v>
      </c>
      <c r="AH157" s="39">
        <f t="shared" ref="AH157:AH158" si="26">AC$155*AG157</f>
        <v>0.5328750000000001</v>
      </c>
      <c r="AL157" s="139"/>
      <c r="AM157" s="139"/>
      <c r="AN157" s="139"/>
      <c r="AO157" s="139"/>
      <c r="AP157" s="139"/>
    </row>
    <row r="158" spans="1:42" s="3" customFormat="1" ht="15" customHeight="1" x14ac:dyDescent="0.4">
      <c r="A158" s="8"/>
      <c r="B158" s="36"/>
      <c r="D158" s="155"/>
      <c r="E158" s="155"/>
      <c r="F158" s="155"/>
      <c r="G158" s="434"/>
      <c r="H158" s="20"/>
      <c r="M158" s="5"/>
      <c r="N158" s="5"/>
      <c r="O158" s="5"/>
      <c r="P158" s="24"/>
      <c r="Q158" s="24"/>
      <c r="S158" s="5"/>
      <c r="U158" s="20"/>
      <c r="V158" s="38" t="s">
        <v>369</v>
      </c>
      <c r="W158" s="3" t="s">
        <v>373</v>
      </c>
      <c r="X158" s="38" t="s">
        <v>369</v>
      </c>
      <c r="Y158" s="1443">
        <v>200183033</v>
      </c>
      <c r="Z158" s="20"/>
      <c r="AC158" s="5"/>
      <c r="AF158" s="5"/>
      <c r="AG158" s="51">
        <f>AG153</f>
        <v>0.1123</v>
      </c>
      <c r="AH158" s="39">
        <f t="shared" si="26"/>
        <v>0.57319791666666664</v>
      </c>
      <c r="AL158" s="139"/>
      <c r="AM158" s="139"/>
      <c r="AN158" s="139"/>
      <c r="AO158" s="139"/>
      <c r="AP158" s="139"/>
    </row>
    <row r="159" spans="1:42" s="3" customFormat="1" ht="15" customHeight="1" thickBot="1" x14ac:dyDescent="0.45">
      <c r="A159" s="8"/>
      <c r="B159" s="943"/>
      <c r="C159" s="889"/>
      <c r="D159" s="925"/>
      <c r="E159" s="925"/>
      <c r="F159" s="925"/>
      <c r="G159" s="1243"/>
      <c r="H159" s="887"/>
      <c r="I159" s="889"/>
      <c r="J159" s="889"/>
      <c r="K159" s="889"/>
      <c r="L159" s="889"/>
      <c r="M159" s="945"/>
      <c r="N159" s="945"/>
      <c r="O159" s="945"/>
      <c r="P159" s="1020"/>
      <c r="Q159" s="1020"/>
      <c r="R159" s="889"/>
      <c r="S159" s="945"/>
      <c r="T159" s="889"/>
      <c r="U159" s="887"/>
      <c r="V159" s="888" t="s">
        <v>369</v>
      </c>
      <c r="W159" s="889" t="s">
        <v>375</v>
      </c>
      <c r="X159" s="888" t="s">
        <v>369</v>
      </c>
      <c r="Y159" s="1444">
        <v>200183133</v>
      </c>
      <c r="Z159" s="887"/>
      <c r="AA159" s="889"/>
      <c r="AB159" s="889"/>
      <c r="AC159" s="945"/>
      <c r="AD159" s="889"/>
      <c r="AE159" s="889"/>
      <c r="AF159" s="945"/>
      <c r="AG159" s="937">
        <f>AG154</f>
        <v>0</v>
      </c>
      <c r="AH159" s="947">
        <f t="shared" ref="AH159" si="27">AC$155*AG159</f>
        <v>0</v>
      </c>
      <c r="AL159" s="139"/>
      <c r="AM159" s="139"/>
      <c r="AN159" s="139"/>
      <c r="AO159" s="139"/>
      <c r="AP159" s="139"/>
    </row>
    <row r="160" spans="1:42" s="3" customFormat="1" ht="15" customHeight="1" x14ac:dyDescent="0.4">
      <c r="A160" s="8"/>
      <c r="B160" s="7" t="s">
        <v>1467</v>
      </c>
      <c r="D160" s="36"/>
      <c r="E160" s="155"/>
      <c r="F160" s="155"/>
      <c r="H160" s="20"/>
      <c r="I160" s="3" t="s">
        <v>1468</v>
      </c>
      <c r="L160" s="3" t="s">
        <v>348</v>
      </c>
      <c r="M160" s="5">
        <v>-2.375</v>
      </c>
      <c r="N160" s="5"/>
      <c r="O160" s="5"/>
      <c r="P160" s="24"/>
      <c r="Q160" s="24"/>
      <c r="R160" s="3" t="s">
        <v>352</v>
      </c>
      <c r="S160" s="5">
        <f>G9+M160</f>
        <v>2.125</v>
      </c>
      <c r="T160" s="3" t="s">
        <v>366</v>
      </c>
      <c r="U160" s="20"/>
      <c r="V160" s="38"/>
      <c r="X160" s="38"/>
      <c r="Y160" s="1443"/>
      <c r="Z160" s="20"/>
      <c r="AA160" s="3">
        <v>45</v>
      </c>
      <c r="AB160" s="3">
        <f>IF(INTNW=3,1,0)</f>
        <v>1</v>
      </c>
      <c r="AC160" s="5">
        <f>AB160*S160/12</f>
        <v>0.17708333333333334</v>
      </c>
      <c r="AD160" s="3" t="s">
        <v>367</v>
      </c>
      <c r="AE160" s="3">
        <v>0</v>
      </c>
      <c r="AF160" s="5">
        <f>AE160*AtolbperftINT</f>
        <v>0</v>
      </c>
      <c r="AG160" s="51"/>
      <c r="AH160" s="51"/>
      <c r="AL160" s="139"/>
      <c r="AM160" s="139"/>
      <c r="AN160" s="139"/>
      <c r="AO160" s="139"/>
      <c r="AP160" s="139"/>
    </row>
    <row r="161" spans="1:42" s="3" customFormat="1" ht="15" customHeight="1" x14ac:dyDescent="0.4">
      <c r="A161" s="8"/>
      <c r="B161" s="155"/>
      <c r="D161" s="155"/>
      <c r="E161" s="155"/>
      <c r="F161" s="42" t="s">
        <v>1159</v>
      </c>
      <c r="G161" s="7"/>
      <c r="H161" s="20"/>
      <c r="M161" s="5"/>
      <c r="N161" s="5"/>
      <c r="O161" s="5"/>
      <c r="P161" s="24"/>
      <c r="Q161" s="24"/>
      <c r="S161" s="5"/>
      <c r="T161" s="3" t="s">
        <v>366</v>
      </c>
      <c r="U161" s="20"/>
      <c r="V161" s="38" t="s">
        <v>369</v>
      </c>
      <c r="W161" s="3" t="s">
        <v>370</v>
      </c>
      <c r="X161" s="38" t="s">
        <v>369</v>
      </c>
      <c r="Y161" s="1443">
        <v>200183003</v>
      </c>
      <c r="Z161" s="20"/>
      <c r="AC161" s="5"/>
      <c r="AE161" s="38"/>
      <c r="AF161" s="5"/>
      <c r="AG161" s="51">
        <f>AG151</f>
        <v>9.4100000000000003E-2</v>
      </c>
      <c r="AH161" s="39">
        <f>AC$160*AG161</f>
        <v>1.6663541666666667E-2</v>
      </c>
      <c r="AL161" s="139"/>
      <c r="AM161" s="139"/>
      <c r="AN161" s="139"/>
      <c r="AO161" s="139"/>
      <c r="AP161" s="139"/>
    </row>
    <row r="162" spans="1:42" s="3" customFormat="1" ht="15" customHeight="1" x14ac:dyDescent="0.4">
      <c r="A162" s="8"/>
      <c r="B162" s="155"/>
      <c r="D162" s="155"/>
      <c r="E162" s="155"/>
      <c r="F162" s="155"/>
      <c r="G162" s="7"/>
      <c r="H162" s="20"/>
      <c r="M162" s="5"/>
      <c r="N162" s="5"/>
      <c r="O162" s="5"/>
      <c r="P162" s="24"/>
      <c r="Q162" s="24"/>
      <c r="S162" s="5"/>
      <c r="U162" s="20"/>
      <c r="V162" s="38" t="s">
        <v>369</v>
      </c>
      <c r="W162" s="3" t="s">
        <v>372</v>
      </c>
      <c r="X162" s="38" t="s">
        <v>369</v>
      </c>
      <c r="Y162" s="1443">
        <v>200183021</v>
      </c>
      <c r="Z162" s="20"/>
      <c r="AC162" s="5"/>
      <c r="AF162" s="5"/>
      <c r="AG162" s="51">
        <f>AG152</f>
        <v>0.10440000000000001</v>
      </c>
      <c r="AH162" s="39">
        <f t="shared" ref="AH162:AH163" si="28">AC$160*AG162</f>
        <v>1.84875E-2</v>
      </c>
      <c r="AL162" s="139"/>
      <c r="AM162" s="139"/>
      <c r="AN162" s="139"/>
      <c r="AO162" s="139"/>
      <c r="AP162" s="139"/>
    </row>
    <row r="163" spans="1:42" s="3" customFormat="1" ht="15" customHeight="1" x14ac:dyDescent="0.4">
      <c r="A163" s="8"/>
      <c r="B163" s="36"/>
      <c r="D163" s="155"/>
      <c r="E163" s="155"/>
      <c r="F163" s="155"/>
      <c r="G163" s="7"/>
      <c r="H163" s="20"/>
      <c r="M163" s="5"/>
      <c r="N163" s="5"/>
      <c r="O163" s="5"/>
      <c r="P163" s="24"/>
      <c r="Q163" s="24"/>
      <c r="S163" s="5"/>
      <c r="U163" s="20"/>
      <c r="V163" s="38" t="s">
        <v>369</v>
      </c>
      <c r="W163" s="3" t="s">
        <v>373</v>
      </c>
      <c r="X163" s="38" t="s">
        <v>369</v>
      </c>
      <c r="Y163" s="1443">
        <v>200183033</v>
      </c>
      <c r="Z163" s="20"/>
      <c r="AC163" s="5"/>
      <c r="AF163" s="5"/>
      <c r="AG163" s="51">
        <f>AG153</f>
        <v>0.1123</v>
      </c>
      <c r="AH163" s="39">
        <f t="shared" si="28"/>
        <v>1.9886458333333332E-2</v>
      </c>
      <c r="AL163" s="139"/>
      <c r="AM163" s="139"/>
      <c r="AN163" s="139"/>
      <c r="AO163" s="139"/>
      <c r="AP163" s="139"/>
    </row>
    <row r="164" spans="1:42" s="3" customFormat="1" ht="15" customHeight="1" thickBot="1" x14ac:dyDescent="0.45">
      <c r="A164" s="8"/>
      <c r="B164" s="943"/>
      <c r="C164" s="889"/>
      <c r="D164" s="925"/>
      <c r="E164" s="925"/>
      <c r="F164" s="925"/>
      <c r="G164" s="924"/>
      <c r="H164" s="887"/>
      <c r="I164" s="889"/>
      <c r="J164" s="889"/>
      <c r="K164" s="889"/>
      <c r="L164" s="889"/>
      <c r="M164" s="945"/>
      <c r="N164" s="945"/>
      <c r="O164" s="945"/>
      <c r="P164" s="1020"/>
      <c r="Q164" s="1020"/>
      <c r="R164" s="889"/>
      <c r="S164" s="945"/>
      <c r="T164" s="889"/>
      <c r="U164" s="887"/>
      <c r="V164" s="888" t="s">
        <v>369</v>
      </c>
      <c r="W164" s="889" t="s">
        <v>375</v>
      </c>
      <c r="X164" s="888" t="s">
        <v>369</v>
      </c>
      <c r="Y164" s="1444">
        <v>200183133</v>
      </c>
      <c r="Z164" s="887"/>
      <c r="AA164" s="889"/>
      <c r="AB164" s="889"/>
      <c r="AC164" s="945"/>
      <c r="AD164" s="889"/>
      <c r="AE164" s="889"/>
      <c r="AF164" s="945"/>
      <c r="AG164" s="937">
        <f>AG154</f>
        <v>0</v>
      </c>
      <c r="AH164" s="947">
        <f t="shared" ref="AH164" si="29">AC$160*AG164</f>
        <v>0</v>
      </c>
      <c r="AL164" s="139"/>
      <c r="AM164" s="139"/>
      <c r="AN164" s="139"/>
      <c r="AO164" s="139"/>
      <c r="AP164" s="139"/>
    </row>
    <row r="165" spans="1:42" s="3" customFormat="1" ht="15" customHeight="1" x14ac:dyDescent="0.4">
      <c r="A165" s="8"/>
      <c r="C165" s="36"/>
      <c r="D165" s="155"/>
      <c r="E165" s="155"/>
      <c r="F165" s="155"/>
      <c r="G165" s="7"/>
      <c r="H165" s="500"/>
      <c r="M165" s="5"/>
      <c r="N165" s="5"/>
      <c r="O165" s="5"/>
      <c r="P165" s="24"/>
      <c r="Q165" s="24"/>
      <c r="S165" s="5"/>
      <c r="U165" s="500"/>
      <c r="V165" s="38"/>
      <c r="X165" s="38"/>
      <c r="Y165" s="1443"/>
      <c r="Z165" s="500"/>
      <c r="AC165" s="5"/>
      <c r="AF165" s="5"/>
      <c r="AG165" s="51"/>
      <c r="AH165" s="39"/>
      <c r="AL165" s="139"/>
      <c r="AM165" s="139"/>
      <c r="AN165" s="139"/>
      <c r="AO165" s="139"/>
      <c r="AP165" s="139"/>
    </row>
    <row r="166" spans="1:42" s="3" customFormat="1" ht="22.2" customHeight="1" x14ac:dyDescent="0.4">
      <c r="A166" s="8"/>
      <c r="B166" s="1948" t="s">
        <v>2400</v>
      </c>
      <c r="C166" s="36"/>
      <c r="D166" s="155"/>
      <c r="E166" s="155"/>
      <c r="F166" s="155"/>
      <c r="G166" s="7"/>
      <c r="H166" s="500"/>
      <c r="M166" s="5"/>
      <c r="N166" s="5"/>
      <c r="O166" s="5"/>
      <c r="P166" s="24"/>
      <c r="Q166" s="24"/>
      <c r="S166" s="5"/>
      <c r="U166" s="500"/>
      <c r="V166" s="38"/>
      <c r="X166" s="38"/>
      <c r="Y166" s="1443"/>
      <c r="Z166" s="500"/>
      <c r="AC166" s="5"/>
      <c r="AF166" s="5"/>
      <c r="AG166" s="51"/>
      <c r="AH166" s="39"/>
      <c r="AL166" s="139"/>
      <c r="AM166" s="139"/>
      <c r="AN166" s="139"/>
      <c r="AO166" s="139"/>
      <c r="AP166" s="139"/>
    </row>
    <row r="168" spans="1:42" ht="21" x14ac:dyDescent="0.4">
      <c r="C168" s="76" t="s">
        <v>1035</v>
      </c>
      <c r="D168" s="299"/>
      <c r="E168" s="452"/>
      <c r="F168" s="452"/>
      <c r="G168" s="452"/>
      <c r="H168" s="453"/>
    </row>
    <row r="169" spans="1:42" ht="16.8" thickBot="1" x14ac:dyDescent="0.45">
      <c r="C169" s="454" t="s">
        <v>1036</v>
      </c>
      <c r="D169" s="300"/>
      <c r="E169" s="122"/>
      <c r="F169" s="122"/>
      <c r="G169" s="122"/>
      <c r="H169" s="123"/>
    </row>
    <row r="170" spans="1:42" ht="16.8" thickBot="1" x14ac:dyDescent="0.45">
      <c r="C170" s="1270" t="s">
        <v>1037</v>
      </c>
      <c r="D170" s="2079" t="s">
        <v>1469</v>
      </c>
      <c r="E170" s="2079"/>
      <c r="F170" s="2079"/>
      <c r="G170" s="2079"/>
      <c r="I170" s="123">
        <v>0</v>
      </c>
    </row>
    <row r="171" spans="1:42" ht="16.8" thickBot="1" x14ac:dyDescent="0.45">
      <c r="C171" s="1270" t="s">
        <v>1039</v>
      </c>
      <c r="D171" s="2079" t="s">
        <v>1470</v>
      </c>
      <c r="E171" s="2079"/>
      <c r="F171" s="2079"/>
      <c r="G171" s="2079"/>
      <c r="I171" s="123">
        <v>0</v>
      </c>
    </row>
    <row r="172" spans="1:42" ht="16.8" thickBot="1" x14ac:dyDescent="0.45">
      <c r="C172" s="1270" t="s">
        <v>1041</v>
      </c>
      <c r="D172" s="2079" t="s">
        <v>1471</v>
      </c>
      <c r="E172" s="2079"/>
      <c r="F172" s="2079"/>
      <c r="G172" s="2079"/>
      <c r="I172" s="123">
        <v>0</v>
      </c>
    </row>
    <row r="173" spans="1:42" ht="16.8" thickBot="1" x14ac:dyDescent="0.45">
      <c r="C173" s="1270" t="s">
        <v>1043</v>
      </c>
      <c r="D173" s="2079" t="s">
        <v>1042</v>
      </c>
      <c r="E173" s="2079"/>
      <c r="F173" s="2079"/>
      <c r="G173" s="2079"/>
      <c r="I173" s="123">
        <v>0</v>
      </c>
    </row>
    <row r="174" spans="1:42" ht="16.8" thickBot="1" x14ac:dyDescent="0.45">
      <c r="C174" s="1270" t="s">
        <v>1045</v>
      </c>
      <c r="D174" s="2079" t="s">
        <v>1319</v>
      </c>
      <c r="E174" s="2079"/>
      <c r="F174" s="2079"/>
      <c r="G174" s="2079"/>
      <c r="I174" s="123">
        <v>0</v>
      </c>
    </row>
    <row r="175" spans="1:42" ht="16.8" thickBot="1" x14ac:dyDescent="0.45">
      <c r="C175" s="1270" t="s">
        <v>1320</v>
      </c>
      <c r="D175" s="2079" t="s">
        <v>1321</v>
      </c>
      <c r="E175" s="2079"/>
      <c r="F175" s="2079"/>
      <c r="G175" s="2079"/>
      <c r="I175" s="123">
        <v>0</v>
      </c>
    </row>
    <row r="176" spans="1:42" ht="16.8" thickBot="1" x14ac:dyDescent="0.45">
      <c r="C176" s="1270" t="s">
        <v>1322</v>
      </c>
      <c r="D176" s="2079" t="s">
        <v>1323</v>
      </c>
      <c r="E176" s="2079"/>
      <c r="F176" s="2079"/>
      <c r="G176" s="2079"/>
      <c r="I176" s="123">
        <v>0</v>
      </c>
      <c r="J176" s="443"/>
      <c r="K176" s="376"/>
      <c r="L176" s="3"/>
      <c r="M176" s="376"/>
      <c r="N176" s="5"/>
      <c r="O176" s="5"/>
      <c r="P176" s="5"/>
      <c r="Q176" s="5"/>
      <c r="R176" s="5"/>
      <c r="S176" s="376"/>
      <c r="T176" s="5"/>
      <c r="U176" s="376"/>
    </row>
    <row r="177" spans="1:21" x14ac:dyDescent="0.4">
      <c r="I177" s="3"/>
      <c r="J177" s="443"/>
      <c r="K177" s="376"/>
      <c r="L177" s="3"/>
      <c r="M177" s="376"/>
      <c r="N177" s="5"/>
      <c r="O177" s="5"/>
      <c r="P177" s="5"/>
      <c r="Q177" s="5"/>
      <c r="R177" s="5"/>
      <c r="S177" s="376"/>
      <c r="T177" s="5"/>
      <c r="U177" s="376"/>
    </row>
    <row r="178" spans="1:21" ht="16.8" thickBot="1" x14ac:dyDescent="0.45">
      <c r="C178" s="454" t="s">
        <v>1047</v>
      </c>
      <c r="D178" s="300"/>
      <c r="E178" s="122"/>
      <c r="F178" s="122"/>
      <c r="G178" s="122"/>
      <c r="H178" s="123"/>
      <c r="I178" s="3"/>
      <c r="J178" s="443"/>
      <c r="K178" s="376"/>
      <c r="L178" s="3"/>
      <c r="M178" s="376"/>
      <c r="N178" s="5"/>
      <c r="O178" s="5"/>
      <c r="P178" s="5"/>
      <c r="Q178" s="5"/>
      <c r="R178" s="5"/>
      <c r="S178" s="376"/>
      <c r="T178" s="5"/>
      <c r="U178" s="376"/>
    </row>
    <row r="179" spans="1:21" ht="16.8" thickBot="1" x14ac:dyDescent="0.45">
      <c r="C179" s="1270" t="s">
        <v>1048</v>
      </c>
      <c r="D179" s="2080" t="s">
        <v>1324</v>
      </c>
      <c r="E179" s="2081"/>
      <c r="F179" s="2081"/>
      <c r="G179" s="2082"/>
      <c r="I179" s="123">
        <v>0</v>
      </c>
      <c r="J179" s="443"/>
      <c r="K179" s="376"/>
      <c r="L179" s="3"/>
      <c r="M179" s="376"/>
      <c r="N179" s="5"/>
      <c r="O179" s="5"/>
      <c r="P179" s="5"/>
      <c r="Q179" s="5"/>
      <c r="R179" s="5"/>
      <c r="S179" s="376"/>
      <c r="T179" s="5"/>
      <c r="U179" s="376"/>
    </row>
    <row r="180" spans="1:21" ht="16.8" thickBot="1" x14ac:dyDescent="0.45">
      <c r="C180" s="1270" t="s">
        <v>1050</v>
      </c>
      <c r="D180" s="2080" t="s">
        <v>1325</v>
      </c>
      <c r="E180" s="2081"/>
      <c r="F180" s="2081"/>
      <c r="G180" s="2082"/>
      <c r="I180" s="123">
        <v>0</v>
      </c>
      <c r="J180" s="443"/>
      <c r="K180" s="376"/>
      <c r="L180" s="3"/>
      <c r="M180" s="376"/>
      <c r="N180" s="5"/>
      <c r="O180" s="5"/>
      <c r="P180" s="5"/>
      <c r="Q180" s="5"/>
      <c r="R180" s="5"/>
      <c r="S180" s="376"/>
      <c r="T180" s="5"/>
      <c r="U180" s="376"/>
    </row>
    <row r="181" spans="1:21" ht="16.8" thickBot="1" x14ac:dyDescent="0.45">
      <c r="C181" s="1270" t="s">
        <v>1052</v>
      </c>
      <c r="D181" s="2080" t="s">
        <v>1326</v>
      </c>
      <c r="E181" s="2081"/>
      <c r="F181" s="2081"/>
      <c r="G181" s="2082"/>
      <c r="I181" s="123">
        <v>0</v>
      </c>
      <c r="J181" s="443"/>
      <c r="K181" s="376"/>
      <c r="L181" s="3"/>
      <c r="M181" s="376"/>
      <c r="N181" s="5"/>
      <c r="O181" s="5"/>
      <c r="P181" s="5"/>
      <c r="Q181" s="5"/>
      <c r="R181" s="5"/>
      <c r="S181" s="376"/>
      <c r="T181" s="5"/>
      <c r="U181" s="376"/>
    </row>
    <row r="182" spans="1:21" ht="16.8" thickBot="1" x14ac:dyDescent="0.45">
      <c r="A182" s="8"/>
      <c r="C182" s="1270" t="s">
        <v>1054</v>
      </c>
      <c r="D182" s="2080" t="s">
        <v>1327</v>
      </c>
      <c r="E182" s="2081"/>
      <c r="F182" s="2081"/>
      <c r="G182" s="2082"/>
      <c r="I182" s="123">
        <v>0</v>
      </c>
      <c r="J182" s="443"/>
      <c r="K182" s="376"/>
      <c r="L182" s="3"/>
      <c r="M182" s="376"/>
      <c r="N182" s="5"/>
      <c r="O182" s="5"/>
      <c r="P182" s="5"/>
      <c r="Q182" s="5"/>
      <c r="R182" s="5"/>
      <c r="S182" s="376"/>
      <c r="T182" s="5"/>
      <c r="U182" s="376"/>
    </row>
    <row r="183" spans="1:21" ht="16.8" thickBot="1" x14ac:dyDescent="0.45">
      <c r="A183" s="8"/>
      <c r="C183" s="1270" t="s">
        <v>1056</v>
      </c>
      <c r="D183" s="2080" t="s">
        <v>1328</v>
      </c>
      <c r="E183" s="2081"/>
      <c r="F183" s="2081"/>
      <c r="G183" s="2082"/>
      <c r="I183" s="123">
        <v>0</v>
      </c>
      <c r="J183" s="443"/>
      <c r="K183" s="376"/>
      <c r="L183" s="3"/>
      <c r="M183" s="376"/>
      <c r="N183" s="5"/>
      <c r="O183" s="5"/>
      <c r="P183" s="5"/>
      <c r="Q183" s="5"/>
      <c r="R183" s="5"/>
      <c r="S183" s="376"/>
      <c r="T183" s="5"/>
      <c r="U183" s="376"/>
    </row>
    <row r="184" spans="1:21" ht="16.8" thickBot="1" x14ac:dyDescent="0.45">
      <c r="A184" s="8"/>
      <c r="C184" s="1270" t="s">
        <v>1058</v>
      </c>
      <c r="D184" s="2080" t="s">
        <v>1329</v>
      </c>
      <c r="E184" s="2081"/>
      <c r="F184" s="2081"/>
      <c r="G184" s="2082"/>
      <c r="I184" s="123">
        <v>0</v>
      </c>
      <c r="J184" s="443"/>
      <c r="K184" s="376"/>
      <c r="L184" s="3"/>
      <c r="M184" s="376"/>
      <c r="N184" s="5"/>
      <c r="O184" s="5"/>
      <c r="P184" s="5"/>
      <c r="Q184" s="5"/>
      <c r="R184" s="5"/>
      <c r="S184" s="376"/>
      <c r="T184" s="5"/>
      <c r="U184" s="376"/>
    </row>
    <row r="185" spans="1:21" ht="16.8" thickBot="1" x14ac:dyDescent="0.45">
      <c r="A185" s="8"/>
      <c r="C185" s="1270" t="s">
        <v>1330</v>
      </c>
      <c r="D185" s="2080" t="s">
        <v>1331</v>
      </c>
      <c r="E185" s="2081"/>
      <c r="F185" s="2081"/>
      <c r="G185" s="2082"/>
      <c r="I185" s="123">
        <v>0</v>
      </c>
      <c r="J185" s="443"/>
      <c r="K185" s="376"/>
      <c r="L185" s="3"/>
      <c r="M185" s="376"/>
      <c r="N185" s="5"/>
      <c r="O185" s="5"/>
      <c r="P185" s="5"/>
      <c r="Q185" s="5"/>
      <c r="R185" s="5"/>
      <c r="S185" s="376"/>
      <c r="T185" s="5"/>
      <c r="U185" s="376"/>
    </row>
    <row r="186" spans="1:21" ht="16.8" thickBot="1" x14ac:dyDescent="0.45">
      <c r="A186" s="8"/>
      <c r="C186" s="1270" t="s">
        <v>1332</v>
      </c>
      <c r="D186" s="2080" t="s">
        <v>1333</v>
      </c>
      <c r="E186" s="2081"/>
      <c r="F186" s="2081"/>
      <c r="G186" s="2082"/>
      <c r="I186" s="123">
        <v>0</v>
      </c>
      <c r="J186" s="443"/>
      <c r="K186" s="376"/>
      <c r="L186" s="3"/>
      <c r="M186" s="376"/>
      <c r="N186" s="5"/>
      <c r="O186" s="5"/>
      <c r="P186" s="5"/>
      <c r="Q186" s="5"/>
      <c r="R186" s="5"/>
      <c r="S186" s="376"/>
      <c r="T186" s="5"/>
      <c r="U186" s="376"/>
    </row>
    <row r="187" spans="1:21" x14ac:dyDescent="0.4">
      <c r="A187" s="8"/>
      <c r="I187" s="3"/>
      <c r="J187" s="443"/>
      <c r="K187" s="376"/>
      <c r="L187" s="3"/>
      <c r="M187" s="376"/>
      <c r="N187" s="5"/>
      <c r="O187" s="5"/>
      <c r="P187" s="5"/>
      <c r="Q187" s="5"/>
      <c r="R187" s="5"/>
      <c r="S187" s="376"/>
      <c r="T187" s="5"/>
      <c r="U187" s="376"/>
    </row>
    <row r="188" spans="1:21" x14ac:dyDescent="0.4">
      <c r="A188" s="8"/>
      <c r="I188" s="3"/>
      <c r="J188" s="443"/>
      <c r="K188" s="376"/>
      <c r="L188" s="3"/>
      <c r="M188" s="376"/>
      <c r="N188" s="5"/>
      <c r="O188" s="5"/>
      <c r="P188" s="5"/>
      <c r="Q188" s="5"/>
      <c r="R188" s="5"/>
      <c r="S188" s="376"/>
      <c r="T188" s="5"/>
      <c r="U188" s="376"/>
    </row>
    <row r="189" spans="1:21" x14ac:dyDescent="0.4">
      <c r="A189" s="8"/>
      <c r="I189" s="3"/>
      <c r="J189" s="443"/>
      <c r="K189" s="376"/>
      <c r="L189" s="3"/>
      <c r="M189" s="376"/>
      <c r="N189" s="5"/>
      <c r="O189" s="5"/>
      <c r="P189" s="5"/>
      <c r="Q189" s="5"/>
      <c r="R189" s="5"/>
      <c r="S189" s="376"/>
      <c r="T189" s="5"/>
      <c r="U189" s="376"/>
    </row>
  </sheetData>
  <sheetProtection algorithmName="SHA-512" hashValue="oe+hnFvryJvI4XoO1KZ00JLTsBvqXYxv+qT4Ehz5AwqtTnNr+ZC5ZrAafOpC9pt6bhpYqqxhy+mBuxWiA+1odw==" saltValue="oaWw+wu4hYtI5+FdI+zx/A==" spinCount="100000" sheet="1" formatRows="0" insertRows="0" deleteRows="0"/>
  <mergeCells count="18">
    <mergeCell ref="D186:G186"/>
    <mergeCell ref="D175:G175"/>
    <mergeCell ref="D176:G176"/>
    <mergeCell ref="D179:G179"/>
    <mergeCell ref="D180:G180"/>
    <mergeCell ref="D185:G185"/>
    <mergeCell ref="D184:G184"/>
    <mergeCell ref="B5:E5"/>
    <mergeCell ref="V13:Y13"/>
    <mergeCell ref="D172:G172"/>
    <mergeCell ref="D173:G173"/>
    <mergeCell ref="D183:G183"/>
    <mergeCell ref="D182:G182"/>
    <mergeCell ref="D181:G181"/>
    <mergeCell ref="D174:G174"/>
    <mergeCell ref="D171:G171"/>
    <mergeCell ref="I61:M61"/>
    <mergeCell ref="D170:G170"/>
  </mergeCells>
  <phoneticPr fontId="27" type="noConversion"/>
  <conditionalFormatting sqref="AA16:AA24 AA27 AA147:AA166 AA29:AA69 AA71:AA80 AA82:AA91 AA125:AA127 AA93:AA123 AA138:AA145 AA130:AA136">
    <cfRule type="cellIs" dxfId="31" priority="22" stopIfTrue="1" operator="lessThan">
      <formula>42</formula>
    </cfRule>
    <cfRule type="cellIs" dxfId="30" priority="23" stopIfTrue="1" operator="lessThan">
      <formula>45</formula>
    </cfRule>
  </conditionalFormatting>
  <conditionalFormatting sqref="AA70">
    <cfRule type="cellIs" dxfId="29" priority="11" stopIfTrue="1" operator="lessThan">
      <formula>42</formula>
    </cfRule>
    <cfRule type="cellIs" dxfId="28" priority="12" stopIfTrue="1" operator="lessThan">
      <formula>45</formula>
    </cfRule>
  </conditionalFormatting>
  <conditionalFormatting sqref="AA81">
    <cfRule type="cellIs" dxfId="27" priority="9" stopIfTrue="1" operator="lessThan">
      <formula>42</formula>
    </cfRule>
    <cfRule type="cellIs" dxfId="26" priority="10" stopIfTrue="1" operator="lessThan">
      <formula>45</formula>
    </cfRule>
  </conditionalFormatting>
  <conditionalFormatting sqref="AA92">
    <cfRule type="cellIs" dxfId="25" priority="7" stopIfTrue="1" operator="lessThan">
      <formula>42</formula>
    </cfRule>
    <cfRule type="cellIs" dxfId="24" priority="8" stopIfTrue="1" operator="lessThan">
      <formula>45</formula>
    </cfRule>
  </conditionalFormatting>
  <conditionalFormatting sqref="AA124">
    <cfRule type="cellIs" dxfId="23" priority="5" stopIfTrue="1" operator="lessThan">
      <formula>42</formula>
    </cfRule>
    <cfRule type="cellIs" dxfId="22" priority="6" stopIfTrue="1" operator="lessThan">
      <formula>45</formula>
    </cfRule>
  </conditionalFormatting>
  <conditionalFormatting sqref="AA137">
    <cfRule type="cellIs" dxfId="21" priority="3" stopIfTrue="1" operator="lessThan">
      <formula>42</formula>
    </cfRule>
    <cfRule type="cellIs" dxfId="20" priority="4" stopIfTrue="1" operator="lessThan">
      <formula>45</formula>
    </cfRule>
  </conditionalFormatting>
  <conditionalFormatting sqref="AA146">
    <cfRule type="cellIs" dxfId="19" priority="1" stopIfTrue="1" operator="lessThan">
      <formula>42</formula>
    </cfRule>
    <cfRule type="cellIs" dxfId="18" priority="2" stopIfTrue="1" operator="lessThan">
      <formula>45</formula>
    </cfRule>
  </conditionalFormatting>
  <dataValidations count="2">
    <dataValidation showDropDown="1" showInputMessage="1" showErrorMessage="1" sqref="G12" xr:uid="{00000000-0002-0000-0600-000000000000}"/>
    <dataValidation type="list" allowBlank="1" showInputMessage="1" showErrorMessage="1" sqref="E7" xr:uid="{00000000-0002-0000-0600-000001000000}">
      <formula1>"XX,XO,XOX,XXX"</formula1>
    </dataValidation>
  </dataValidations>
  <pageMargins left="0.125" right="0.125" top="0.5" bottom="0.5" header="0" footer="0"/>
  <pageSetup scale="52" fitToHeight="3" orientation="landscape" r:id="rId1"/>
  <headerFooter alignWithMargins="0">
    <oddFooter>&amp;L&amp;Z&amp;F</oddFooter>
  </headerFooter>
  <ignoredErrors>
    <ignoredError sqref="Y150:Y151 Y67:Y68 Y73:Y74 Y84:Y88 Y116:Y118 Y127 Y140 Y94:Y98 Y101:Y106 Y109:Y111 Y134:Y135 Y78:Y79 Y113 Y120:Y122 Y155:Y156 Y160:Y161 Y163 Y129:Y130 Y153 Y158" numberStoredAsText="1"/>
    <ignoredError sqref="S120" 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F57"/>
  <sheetViews>
    <sheetView showGridLines="0" view="pageBreakPreview" zoomScale="85" zoomScaleSheetLayoutView="85" workbookViewId="0">
      <pane xSplit="10" ySplit="6" topLeftCell="K7" activePane="bottomRight" state="frozen"/>
      <selection activeCell="P178" sqref="P178"/>
      <selection pane="topRight" activeCell="P178" sqref="P178"/>
      <selection pane="bottomLeft" activeCell="P178" sqref="P178"/>
      <selection pane="bottomRight"/>
    </sheetView>
  </sheetViews>
  <sheetFormatPr defaultColWidth="9" defaultRowHeight="13.2" x14ac:dyDescent="0.25"/>
  <cols>
    <col min="1" max="1" width="3.59765625" style="86" customWidth="1"/>
    <col min="2" max="3" width="2.5" style="86" customWidth="1"/>
    <col min="4" max="4" width="20.59765625" style="86" customWidth="1"/>
    <col min="5" max="5" width="13.59765625" style="1655" bestFit="1" customWidth="1"/>
    <col min="6" max="6" width="12.59765625" style="86" customWidth="1"/>
    <col min="7" max="7" width="6.09765625" style="86" bestFit="1" customWidth="1"/>
    <col min="8" max="8" width="4.5" style="86" bestFit="1" customWidth="1"/>
    <col min="9" max="9" width="7" style="420" bestFit="1" customWidth="1"/>
    <col min="10" max="10" width="1.59765625" style="387" customWidth="1"/>
    <col min="11" max="11" width="12.59765625" style="86" customWidth="1"/>
    <col min="12" max="14" width="3.59765625" style="86" customWidth="1"/>
    <col min="15" max="15" width="13.59765625" style="86" bestFit="1" customWidth="1"/>
    <col min="16" max="21" width="8.59765625" style="86" customWidth="1"/>
    <col min="22" max="22" width="10.09765625" style="86" bestFit="1" customWidth="1"/>
    <col min="23" max="23" width="14.5" style="86" bestFit="1" customWidth="1"/>
    <col min="24" max="24" width="6.5" style="407" bestFit="1" customWidth="1"/>
    <col min="25" max="25" width="1.59765625" style="387" customWidth="1"/>
    <col min="26" max="26" width="12.59765625" style="86" customWidth="1"/>
    <col min="27" max="29" width="3.59765625" style="86" customWidth="1"/>
    <col min="30" max="36" width="8.59765625" style="86" customWidth="1"/>
    <col min="37" max="37" width="10.09765625" style="86" bestFit="1" customWidth="1"/>
    <col min="38" max="38" width="14.5" style="86" bestFit="1" customWidth="1"/>
    <col min="39" max="39" width="6.5" style="419" bestFit="1" customWidth="1"/>
    <col min="40" max="40" width="1.59765625" style="387" customWidth="1"/>
    <col min="41" max="41" width="12.59765625" style="86" customWidth="1"/>
    <col min="42" max="44" width="3.59765625" style="86" customWidth="1"/>
    <col min="45" max="51" width="8.59765625" style="86" customWidth="1"/>
    <col min="52" max="52" width="10.09765625" style="86" bestFit="1" customWidth="1"/>
    <col min="53" max="53" width="14.5" style="86" bestFit="1" customWidth="1"/>
    <col min="54" max="54" width="6.5" style="419" bestFit="1" customWidth="1"/>
    <col min="55" max="55" width="1.59765625" style="387" customWidth="1"/>
    <col min="56" max="56" width="12.59765625" style="86" customWidth="1"/>
    <col min="57" max="59" width="3.59765625" style="86" customWidth="1"/>
    <col min="60" max="66" width="8.59765625" style="86" customWidth="1"/>
    <col min="67" max="67" width="10.09765625" style="86" bestFit="1" customWidth="1"/>
    <col min="68" max="68" width="14.5" style="86" bestFit="1" customWidth="1"/>
    <col min="69" max="69" width="6.5" style="86" bestFit="1" customWidth="1"/>
    <col min="70" max="70" width="1.59765625" style="387" customWidth="1"/>
    <col min="71" max="71" width="12.59765625" style="86" customWidth="1"/>
    <col min="72" max="74" width="3.59765625" style="86" customWidth="1"/>
    <col min="75" max="81" width="8.59765625" style="86" customWidth="1"/>
    <col min="82" max="82" width="10.09765625" style="86" bestFit="1" customWidth="1"/>
    <col min="83" max="83" width="14.5" style="86" bestFit="1" customWidth="1"/>
    <col min="84" max="84" width="6.5" style="86" bestFit="1" customWidth="1"/>
    <col min="85" max="16384" width="9" style="86"/>
  </cols>
  <sheetData>
    <row r="1" spans="1:84" ht="36" thickBot="1" x14ac:dyDescent="0.45">
      <c r="A1" s="218" t="s">
        <v>1472</v>
      </c>
      <c r="B1"/>
      <c r="C1"/>
      <c r="D1" s="366"/>
      <c r="E1" s="1650"/>
      <c r="F1" s="366"/>
      <c r="G1" s="366"/>
      <c r="H1" s="366"/>
      <c r="I1" s="386"/>
      <c r="J1" s="1271"/>
      <c r="K1" s="388" t="s">
        <v>1473</v>
      </c>
      <c r="L1" s="366"/>
      <c r="M1" s="366"/>
      <c r="N1" s="366"/>
      <c r="O1" s="389"/>
      <c r="P1" s="366"/>
      <c r="Q1" s="366"/>
      <c r="R1" s="366"/>
      <c r="S1" s="366"/>
      <c r="T1" s="366"/>
      <c r="U1" s="366"/>
      <c r="V1" s="366"/>
      <c r="W1" s="366"/>
      <c r="X1" s="366"/>
      <c r="Y1" s="1271"/>
      <c r="Z1" s="366" t="s">
        <v>1474</v>
      </c>
      <c r="AA1" s="390"/>
      <c r="AB1" s="390"/>
      <c r="AC1" s="390"/>
      <c r="AD1" s="366"/>
      <c r="AE1" s="366"/>
      <c r="AF1" s="366"/>
      <c r="AG1" s="366"/>
      <c r="AH1" s="366"/>
      <c r="AI1" s="366"/>
      <c r="AJ1" s="366"/>
      <c r="AK1" s="366"/>
      <c r="AL1" s="366"/>
      <c r="AM1" s="366"/>
      <c r="AN1" s="1271"/>
      <c r="AO1" s="366" t="s">
        <v>1475</v>
      </c>
      <c r="AP1" s="390"/>
      <c r="AQ1" s="390"/>
      <c r="AR1" s="390"/>
      <c r="AS1" s="366"/>
      <c r="AT1" s="366"/>
      <c r="AU1" s="366"/>
      <c r="AV1" s="366"/>
      <c r="AW1" s="366"/>
      <c r="AX1" s="366"/>
      <c r="AY1" s="366"/>
      <c r="AZ1" s="366"/>
      <c r="BA1" s="366"/>
      <c r="BB1" s="366"/>
      <c r="BC1" s="391"/>
      <c r="BD1" s="366" t="s">
        <v>1476</v>
      </c>
      <c r="BE1" s="390"/>
      <c r="BF1" s="390"/>
      <c r="BG1" s="390"/>
      <c r="BH1" s="366"/>
      <c r="BI1" s="366"/>
      <c r="BJ1" s="366"/>
      <c r="BK1" s="366"/>
      <c r="BL1" s="366"/>
      <c r="BM1" s="366"/>
      <c r="BN1" s="366"/>
      <c r="BO1" s="366"/>
      <c r="BP1" s="366"/>
      <c r="BQ1" s="366"/>
      <c r="BR1" s="1271"/>
      <c r="BS1" s="388" t="s">
        <v>1477</v>
      </c>
      <c r="BT1" s="366"/>
      <c r="BU1" s="366"/>
      <c r="BV1" s="366"/>
      <c r="BW1" s="389"/>
      <c r="BX1" s="366"/>
      <c r="BY1" s="366"/>
      <c r="BZ1" s="366"/>
      <c r="CA1" s="366"/>
      <c r="CB1" s="366"/>
      <c r="CC1" s="366"/>
      <c r="CD1" s="366"/>
      <c r="CE1" s="366"/>
      <c r="CF1" s="366"/>
    </row>
    <row r="2" spans="1:84" ht="19.2" thickTop="1" x14ac:dyDescent="0.45">
      <c r="A2" s="2122"/>
      <c r="B2" s="2123"/>
      <c r="C2" s="2123"/>
      <c r="D2" s="392"/>
      <c r="E2" s="1651"/>
      <c r="F2" s="290"/>
      <c r="G2" s="290"/>
      <c r="H2" s="290"/>
      <c r="I2" s="393"/>
      <c r="J2" s="1271"/>
      <c r="K2" s="1272" t="s">
        <v>1478</v>
      </c>
      <c r="L2" s="2086">
        <f>'Single Hung'!SHWidth</f>
        <v>38.5625</v>
      </c>
      <c r="M2" s="2086"/>
      <c r="N2" s="2087"/>
      <c r="O2" s="2095" t="s">
        <v>1479</v>
      </c>
      <c r="P2" s="2096"/>
      <c r="Q2" s="2096"/>
      <c r="R2" s="1166">
        <f>Q7</f>
        <v>34.5625</v>
      </c>
      <c r="S2" s="394"/>
      <c r="T2" s="394"/>
      <c r="U2" s="395"/>
      <c r="V2" s="290"/>
      <c r="W2" s="290"/>
      <c r="X2" s="396"/>
      <c r="Y2" s="1271"/>
      <c r="Z2" s="1273" t="s">
        <v>1478</v>
      </c>
      <c r="AA2" s="2104">
        <f>'2SL Slider'!SL2Width</f>
        <v>47.5</v>
      </c>
      <c r="AB2" s="2104"/>
      <c r="AC2" s="2105"/>
      <c r="AD2" s="2112" t="s">
        <v>1479</v>
      </c>
      <c r="AE2" s="2113"/>
      <c r="AF2" s="2113"/>
      <c r="AG2" s="1009">
        <f>AF7</f>
        <v>21.0625</v>
      </c>
      <c r="AH2" s="290"/>
      <c r="AI2" s="394"/>
      <c r="AJ2" s="290"/>
      <c r="AK2" s="290"/>
      <c r="AL2" s="290"/>
      <c r="AM2" s="290"/>
      <c r="AN2" s="1271"/>
      <c r="AO2" s="1274" t="s">
        <v>1478</v>
      </c>
      <c r="AP2" s="2108">
        <f>[0]!SLEQwidth</f>
        <v>71.5</v>
      </c>
      <c r="AQ2" s="2108"/>
      <c r="AR2" s="2109"/>
      <c r="AS2" s="2116" t="s">
        <v>1479</v>
      </c>
      <c r="AT2" s="2117"/>
      <c r="AU2" s="2117"/>
      <c r="AV2" s="1010">
        <f>AU7</f>
        <v>21.063333333333333</v>
      </c>
      <c r="AW2" s="290"/>
      <c r="AX2" s="394"/>
      <c r="AY2" s="290"/>
      <c r="AZ2" s="290"/>
      <c r="BA2" s="290"/>
      <c r="BB2" s="290"/>
      <c r="BC2" s="1271"/>
      <c r="BD2" s="1275" t="s">
        <v>1478</v>
      </c>
      <c r="BE2" s="2100">
        <f>[0]!SLQHQwidth</f>
        <v>71.5</v>
      </c>
      <c r="BF2" s="2100"/>
      <c r="BG2" s="2101"/>
      <c r="BH2" s="2091" t="s">
        <v>1479</v>
      </c>
      <c r="BI2" s="2092"/>
      <c r="BJ2" s="2092"/>
      <c r="BK2" s="397" t="e">
        <f>BJ7</f>
        <v>#NAME?</v>
      </c>
      <c r="BL2" s="290"/>
      <c r="BM2" s="394"/>
      <c r="BN2" s="290"/>
      <c r="BO2" s="290"/>
      <c r="BP2" s="290"/>
      <c r="BQ2" s="290"/>
      <c r="BR2" s="1271"/>
      <c r="BS2" s="1272" t="s">
        <v>1478</v>
      </c>
      <c r="BT2" s="2086">
        <f>'Single Hung'!SHWidth</f>
        <v>38.5625</v>
      </c>
      <c r="BU2" s="2086"/>
      <c r="BV2" s="2087"/>
      <c r="BW2" s="2095" t="s">
        <v>1479</v>
      </c>
      <c r="BX2" s="2096"/>
      <c r="BY2" s="2096"/>
      <c r="BZ2" s="1166">
        <f>BY7</f>
        <v>34.249499999999998</v>
      </c>
      <c r="CA2" s="394"/>
      <c r="CB2" s="394"/>
      <c r="CC2" s="290"/>
      <c r="CD2" s="290"/>
      <c r="CE2" s="290"/>
      <c r="CF2" s="396"/>
    </row>
    <row r="3" spans="1:84" ht="19.5" customHeight="1" thickBot="1" x14ac:dyDescent="0.5">
      <c r="A3" s="290"/>
      <c r="B3" s="290"/>
      <c r="C3" s="290"/>
      <c r="D3" s="398"/>
      <c r="E3" s="1651"/>
      <c r="F3" s="290"/>
      <c r="G3" s="290"/>
      <c r="H3" s="290"/>
      <c r="I3" s="393"/>
      <c r="J3" s="1271"/>
      <c r="K3" s="1276" t="s">
        <v>1480</v>
      </c>
      <c r="L3" s="2088">
        <f>'Single Hung'!SHHeight</f>
        <v>74</v>
      </c>
      <c r="M3" s="2088"/>
      <c r="N3" s="2089"/>
      <c r="O3" s="2097" t="s">
        <v>1481</v>
      </c>
      <c r="P3" s="2098"/>
      <c r="Q3" s="2098"/>
      <c r="R3" s="1008">
        <f>Q8</f>
        <v>35.5</v>
      </c>
      <c r="S3" s="394"/>
      <c r="T3" s="394"/>
      <c r="U3" s="395"/>
      <c r="V3" s="290"/>
      <c r="W3" s="290"/>
      <c r="X3" s="396"/>
      <c r="Y3" s="1271"/>
      <c r="Z3" s="1277" t="s">
        <v>1480</v>
      </c>
      <c r="AA3" s="2106">
        <f>'2SL Slider'!SL2Height</f>
        <v>47.5</v>
      </c>
      <c r="AB3" s="2106"/>
      <c r="AC3" s="2107"/>
      <c r="AD3" s="2114" t="s">
        <v>1481</v>
      </c>
      <c r="AE3" s="2115"/>
      <c r="AF3" s="2115"/>
      <c r="AG3" s="1169">
        <f>AF8</f>
        <v>43</v>
      </c>
      <c r="AH3" s="290"/>
      <c r="AI3" s="394"/>
      <c r="AJ3" s="290"/>
      <c r="AK3" s="290"/>
      <c r="AL3" s="290"/>
      <c r="AM3" s="290"/>
      <c r="AN3" s="1271"/>
      <c r="AO3" s="1278" t="s">
        <v>1480</v>
      </c>
      <c r="AP3" s="2110">
        <f>[0]!SLEQheight</f>
        <v>47.5</v>
      </c>
      <c r="AQ3" s="2110"/>
      <c r="AR3" s="2111"/>
      <c r="AS3" s="2118" t="s">
        <v>1481</v>
      </c>
      <c r="AT3" s="2119"/>
      <c r="AU3" s="2119"/>
      <c r="AV3" s="1170">
        <f>AU8</f>
        <v>43</v>
      </c>
      <c r="AW3" s="290"/>
      <c r="AX3" s="394"/>
      <c r="AY3" s="290"/>
      <c r="AZ3" s="290"/>
      <c r="BA3" s="290"/>
      <c r="BB3" s="290"/>
      <c r="BC3" s="1271"/>
      <c r="BD3" s="1279" t="s">
        <v>1480</v>
      </c>
      <c r="BE3" s="2102">
        <f>[0]!SLQHQheight</f>
        <v>47.5</v>
      </c>
      <c r="BF3" s="2102"/>
      <c r="BG3" s="2103"/>
      <c r="BH3" s="2093" t="s">
        <v>1481</v>
      </c>
      <c r="BI3" s="2094"/>
      <c r="BJ3" s="2094"/>
      <c r="BK3" s="1168">
        <f>BJ8</f>
        <v>43</v>
      </c>
      <c r="BL3" s="290"/>
      <c r="BM3" s="394"/>
      <c r="BN3" s="290"/>
      <c r="BO3" s="290"/>
      <c r="BP3" s="290"/>
      <c r="BQ3" s="290"/>
      <c r="BR3" s="1271"/>
      <c r="BS3" s="1276" t="s">
        <v>1480</v>
      </c>
      <c r="BT3" s="2088">
        <f>'Single Hung'!SHHeight</f>
        <v>74</v>
      </c>
      <c r="BU3" s="2088"/>
      <c r="BV3" s="2089"/>
      <c r="BW3" s="2097" t="s">
        <v>1481</v>
      </c>
      <c r="BX3" s="2098"/>
      <c r="BY3" s="2098"/>
      <c r="BZ3" s="1167">
        <f>BY8</f>
        <v>36.375</v>
      </c>
      <c r="CA3" s="394"/>
      <c r="CB3" s="394"/>
      <c r="CC3" s="290"/>
      <c r="CD3" s="290"/>
      <c r="CE3" s="290"/>
      <c r="CF3" s="396"/>
    </row>
    <row r="4" spans="1:84" ht="17.25" customHeight="1" thickTop="1" x14ac:dyDescent="0.3">
      <c r="A4" s="203"/>
      <c r="B4" s="203"/>
      <c r="C4" s="203"/>
      <c r="D4" s="398"/>
      <c r="E4" s="1652"/>
      <c r="F4" s="87"/>
      <c r="G4" s="87"/>
      <c r="H4" s="396"/>
      <c r="I4" s="399"/>
      <c r="J4" s="1271"/>
      <c r="K4" s="2090" t="s">
        <v>329</v>
      </c>
      <c r="L4" s="2090"/>
      <c r="M4" s="2090"/>
      <c r="N4" s="2090"/>
      <c r="O4" s="2090"/>
      <c r="P4" s="400" t="s">
        <v>1482</v>
      </c>
      <c r="Q4" s="400"/>
      <c r="R4" s="400"/>
      <c r="S4" s="87"/>
      <c r="T4" s="87"/>
      <c r="U4" s="87"/>
      <c r="V4" s="290"/>
      <c r="W4" s="290"/>
      <c r="X4" s="396"/>
      <c r="Y4" s="1271"/>
      <c r="Z4" s="2099" t="s">
        <v>329</v>
      </c>
      <c r="AA4" s="2099"/>
      <c r="AB4" s="2099"/>
      <c r="AC4" s="2099"/>
      <c r="AD4" s="2099"/>
      <c r="AE4" s="2090" t="s">
        <v>1482</v>
      </c>
      <c r="AF4" s="2090"/>
      <c r="AG4" s="87"/>
      <c r="AH4" s="87"/>
      <c r="AI4" s="87"/>
      <c r="AJ4" s="290"/>
      <c r="AK4" s="290"/>
      <c r="AL4" s="290"/>
      <c r="AM4" s="290"/>
      <c r="AN4" s="1271"/>
      <c r="AO4" s="2099" t="s">
        <v>329</v>
      </c>
      <c r="AP4" s="2099"/>
      <c r="AQ4" s="2099"/>
      <c r="AR4" s="2099"/>
      <c r="AS4" s="2099"/>
      <c r="AT4" s="2090" t="s">
        <v>1482</v>
      </c>
      <c r="AU4" s="2090"/>
      <c r="AV4" s="87"/>
      <c r="AW4" s="87"/>
      <c r="AX4" s="87"/>
      <c r="AY4" s="290"/>
      <c r="AZ4" s="290"/>
      <c r="BA4" s="290"/>
      <c r="BB4" s="290"/>
      <c r="BC4" s="1271"/>
      <c r="BD4" s="2099" t="s">
        <v>329</v>
      </c>
      <c r="BE4" s="2099"/>
      <c r="BF4" s="2099"/>
      <c r="BG4" s="2099"/>
      <c r="BH4" s="2099"/>
      <c r="BI4" s="2090" t="s">
        <v>1482</v>
      </c>
      <c r="BJ4" s="2090"/>
      <c r="BK4" s="87"/>
      <c r="BL4" s="87"/>
      <c r="BM4" s="87"/>
      <c r="BN4" s="290"/>
      <c r="BO4" s="290"/>
      <c r="BP4" s="290"/>
      <c r="BQ4" s="290"/>
      <c r="BR4" s="1271"/>
      <c r="BS4" s="2090" t="s">
        <v>329</v>
      </c>
      <c r="BT4" s="2090"/>
      <c r="BU4" s="2090"/>
      <c r="BV4" s="2090"/>
      <c r="BW4" s="2090"/>
      <c r="BX4" s="400" t="s">
        <v>1482</v>
      </c>
      <c r="BY4" s="400"/>
      <c r="BZ4" s="400"/>
      <c r="CA4" s="87"/>
      <c r="CB4" s="87"/>
      <c r="CC4" s="87"/>
      <c r="CD4" s="290"/>
      <c r="CE4" s="290"/>
      <c r="CF4" s="396"/>
    </row>
    <row r="5" spans="1:84" s="387" customFormat="1" ht="3.75" customHeight="1" x14ac:dyDescent="0.25">
      <c r="A5" s="401"/>
      <c r="B5" s="401"/>
      <c r="C5" s="401"/>
      <c r="D5" s="401"/>
      <c r="E5" s="1653"/>
      <c r="F5" s="1271"/>
      <c r="G5" s="1271"/>
      <c r="H5" s="1271"/>
      <c r="I5" s="1280"/>
      <c r="J5" s="1271"/>
      <c r="K5" s="1271"/>
      <c r="L5" s="1271"/>
      <c r="M5" s="1271"/>
      <c r="N5" s="1271"/>
      <c r="O5" s="1271"/>
      <c r="P5" s="1271"/>
      <c r="Q5" s="1271"/>
      <c r="R5" s="1271"/>
      <c r="S5" s="1271"/>
      <c r="T5" s="1271"/>
      <c r="U5" s="1271"/>
      <c r="V5" s="1271"/>
      <c r="W5" s="1271"/>
      <c r="X5" s="402"/>
      <c r="Y5" s="1271"/>
      <c r="Z5" s="1271"/>
      <c r="AA5" s="1271"/>
      <c r="AB5" s="1271"/>
      <c r="AC5" s="1271"/>
      <c r="AD5" s="1271"/>
      <c r="AE5" s="1271"/>
      <c r="AF5" s="1271"/>
      <c r="AG5" s="1271"/>
      <c r="AH5" s="1271"/>
      <c r="AI5" s="1271"/>
      <c r="AJ5" s="1271"/>
      <c r="AK5" s="1271"/>
      <c r="AL5" s="1271"/>
      <c r="AM5" s="1271"/>
      <c r="AN5" s="1271"/>
      <c r="AO5" s="1271"/>
      <c r="AP5" s="1271"/>
      <c r="AQ5" s="1271"/>
      <c r="AR5" s="1271"/>
      <c r="AS5" s="1271"/>
      <c r="AT5" s="1271"/>
      <c r="AU5" s="1271"/>
      <c r="AV5" s="1271"/>
      <c r="AW5" s="1271"/>
      <c r="AX5" s="1271"/>
      <c r="AY5" s="1271"/>
      <c r="AZ5" s="1271"/>
      <c r="BA5" s="1271"/>
      <c r="BB5" s="1271"/>
      <c r="BC5" s="1271"/>
      <c r="BD5" s="1271"/>
      <c r="BE5" s="1271"/>
      <c r="BF5" s="1271"/>
      <c r="BG5" s="1271"/>
      <c r="BH5" s="1271"/>
      <c r="BI5" s="1271"/>
      <c r="BJ5" s="1271"/>
      <c r="BK5" s="1271"/>
      <c r="BL5" s="1271"/>
      <c r="BM5" s="1271"/>
      <c r="BN5" s="1271"/>
      <c r="BO5" s="1271"/>
      <c r="BP5" s="1271"/>
      <c r="BQ5" s="1271"/>
      <c r="BR5" s="1271"/>
      <c r="BS5" s="1271"/>
      <c r="BT5" s="1271"/>
      <c r="BU5" s="1271"/>
      <c r="BV5" s="1271"/>
      <c r="BW5" s="1271"/>
      <c r="BX5" s="1271"/>
      <c r="BY5" s="1271"/>
      <c r="BZ5" s="1271"/>
      <c r="CA5" s="1271"/>
      <c r="CB5" s="1271"/>
      <c r="CC5" s="1271"/>
      <c r="CD5" s="1271"/>
      <c r="CE5" s="1271"/>
      <c r="CF5" s="402"/>
    </row>
    <row r="6" spans="1:84" ht="18.600000000000001" x14ac:dyDescent="0.45">
      <c r="A6" s="2120" t="s">
        <v>328</v>
      </c>
      <c r="B6" s="2121"/>
      <c r="C6" s="2121"/>
      <c r="D6" s="2121"/>
      <c r="E6" s="1654" t="s">
        <v>2318</v>
      </c>
      <c r="F6" s="396" t="s">
        <v>2319</v>
      </c>
      <c r="G6" s="396" t="s">
        <v>1133</v>
      </c>
      <c r="H6" s="396" t="s">
        <v>1483</v>
      </c>
      <c r="I6" s="399" t="s">
        <v>2326</v>
      </c>
      <c r="J6" s="402"/>
      <c r="K6" s="403" t="s">
        <v>1484</v>
      </c>
      <c r="L6" s="403" t="s">
        <v>346</v>
      </c>
      <c r="M6" s="403" t="s">
        <v>347</v>
      </c>
      <c r="N6" s="403" t="s">
        <v>1485</v>
      </c>
      <c r="O6" s="403" t="s">
        <v>1486</v>
      </c>
      <c r="P6" s="403" t="s">
        <v>1487</v>
      </c>
      <c r="Q6" s="403" t="s">
        <v>1488</v>
      </c>
      <c r="R6" s="952" t="s">
        <v>339</v>
      </c>
      <c r="S6" s="403" t="s">
        <v>1489</v>
      </c>
      <c r="T6" s="403" t="s">
        <v>1490</v>
      </c>
      <c r="U6" s="403" t="s">
        <v>1135</v>
      </c>
      <c r="V6" s="403" t="s">
        <v>1491</v>
      </c>
      <c r="W6" s="403" t="s">
        <v>1492</v>
      </c>
      <c r="X6" s="403" t="s">
        <v>1493</v>
      </c>
      <c r="Y6" s="402"/>
      <c r="Z6" s="404" t="s">
        <v>1494</v>
      </c>
      <c r="AA6" s="404" t="s">
        <v>346</v>
      </c>
      <c r="AB6" s="404" t="s">
        <v>347</v>
      </c>
      <c r="AC6" s="404" t="s">
        <v>1485</v>
      </c>
      <c r="AD6" s="404" t="s">
        <v>1486</v>
      </c>
      <c r="AE6" s="404" t="s">
        <v>1487</v>
      </c>
      <c r="AF6" s="404" t="s">
        <v>1488</v>
      </c>
      <c r="AG6" s="404" t="s">
        <v>339</v>
      </c>
      <c r="AH6" s="953" t="s">
        <v>1489</v>
      </c>
      <c r="AI6" s="404" t="s">
        <v>1490</v>
      </c>
      <c r="AJ6" s="404" t="s">
        <v>1135</v>
      </c>
      <c r="AK6" s="404" t="s">
        <v>1491</v>
      </c>
      <c r="AL6" s="404" t="s">
        <v>1492</v>
      </c>
      <c r="AM6" s="404" t="s">
        <v>1493</v>
      </c>
      <c r="AN6" s="402"/>
      <c r="AO6" s="405" t="s">
        <v>1494</v>
      </c>
      <c r="AP6" s="405" t="s">
        <v>346</v>
      </c>
      <c r="AQ6" s="405" t="s">
        <v>347</v>
      </c>
      <c r="AR6" s="405" t="s">
        <v>1485</v>
      </c>
      <c r="AS6" s="405" t="s">
        <v>1486</v>
      </c>
      <c r="AT6" s="405" t="s">
        <v>1487</v>
      </c>
      <c r="AU6" s="405" t="s">
        <v>1488</v>
      </c>
      <c r="AV6" s="405" t="s">
        <v>339</v>
      </c>
      <c r="AW6" s="405" t="s">
        <v>1489</v>
      </c>
      <c r="AX6" s="405" t="s">
        <v>1490</v>
      </c>
      <c r="AY6" s="405" t="s">
        <v>1135</v>
      </c>
      <c r="AZ6" s="405" t="s">
        <v>1491</v>
      </c>
      <c r="BA6" s="405" t="s">
        <v>1492</v>
      </c>
      <c r="BB6" s="405" t="s">
        <v>1493</v>
      </c>
      <c r="BC6" s="402"/>
      <c r="BD6" s="406" t="s">
        <v>1494</v>
      </c>
      <c r="BE6" s="406" t="s">
        <v>346</v>
      </c>
      <c r="BF6" s="406" t="s">
        <v>347</v>
      </c>
      <c r="BG6" s="406" t="s">
        <v>1485</v>
      </c>
      <c r="BH6" s="406" t="s">
        <v>1486</v>
      </c>
      <c r="BI6" s="406" t="s">
        <v>1487</v>
      </c>
      <c r="BJ6" s="406" t="s">
        <v>1488</v>
      </c>
      <c r="BK6" s="406" t="s">
        <v>339</v>
      </c>
      <c r="BL6" s="406" t="s">
        <v>1489</v>
      </c>
      <c r="BM6" s="406" t="s">
        <v>1490</v>
      </c>
      <c r="BN6" s="406" t="s">
        <v>1135</v>
      </c>
      <c r="BO6" s="406" t="s">
        <v>1491</v>
      </c>
      <c r="BP6" s="406" t="s">
        <v>1492</v>
      </c>
      <c r="BQ6" s="406" t="s">
        <v>1493</v>
      </c>
      <c r="BR6" s="402"/>
      <c r="BS6" s="403" t="s">
        <v>1484</v>
      </c>
      <c r="BT6" s="403" t="s">
        <v>346</v>
      </c>
      <c r="BU6" s="403" t="s">
        <v>347</v>
      </c>
      <c r="BV6" s="403" t="s">
        <v>1485</v>
      </c>
      <c r="BW6" s="403" t="s">
        <v>1486</v>
      </c>
      <c r="BX6" s="403" t="s">
        <v>1487</v>
      </c>
      <c r="BY6" s="403" t="s">
        <v>1488</v>
      </c>
      <c r="BZ6" s="403" t="s">
        <v>339</v>
      </c>
      <c r="CA6" s="403" t="s">
        <v>1489</v>
      </c>
      <c r="CB6" s="403" t="s">
        <v>1490</v>
      </c>
      <c r="CC6" s="403" t="s">
        <v>1135</v>
      </c>
      <c r="CD6" s="403" t="s">
        <v>1491</v>
      </c>
      <c r="CE6" s="403" t="s">
        <v>1492</v>
      </c>
      <c r="CF6" s="403" t="s">
        <v>1493</v>
      </c>
    </row>
    <row r="7" spans="1:84" x14ac:dyDescent="0.25">
      <c r="A7" s="290"/>
      <c r="B7" s="87" t="s">
        <v>1495</v>
      </c>
      <c r="C7" s="290"/>
      <c r="D7" s="290"/>
      <c r="E7" s="1520"/>
      <c r="F7" s="289"/>
      <c r="G7" s="289"/>
      <c r="H7" s="289"/>
      <c r="I7" s="1281"/>
      <c r="J7" s="1271"/>
      <c r="K7" s="289" t="s">
        <v>392</v>
      </c>
      <c r="L7" s="408"/>
      <c r="M7" s="289"/>
      <c r="N7" s="289"/>
      <c r="O7" s="1282">
        <v>-4</v>
      </c>
      <c r="P7" s="290"/>
      <c r="Q7" s="322">
        <f>L2+O7</f>
        <v>34.5625</v>
      </c>
      <c r="R7" s="322"/>
      <c r="S7" s="322"/>
      <c r="T7" s="322"/>
      <c r="U7" s="1283"/>
      <c r="V7" s="290"/>
      <c r="W7" s="290"/>
      <c r="Y7" s="1271"/>
      <c r="Z7" s="289" t="s">
        <v>392</v>
      </c>
      <c r="AA7" s="408" t="s">
        <v>346</v>
      </c>
      <c r="AB7" s="289">
        <v>2</v>
      </c>
      <c r="AC7" s="289" t="s">
        <v>348</v>
      </c>
      <c r="AD7" s="1284">
        <v>-2.6875</v>
      </c>
      <c r="AE7" s="409" t="s">
        <v>1496</v>
      </c>
      <c r="AF7" s="1285">
        <f>AA2/AB7+AD7+'2SL Slider'!SL2SORnd</f>
        <v>21.0625</v>
      </c>
      <c r="AG7" s="322"/>
      <c r="AH7" s="322"/>
      <c r="AI7" s="322"/>
      <c r="AJ7" s="1283"/>
      <c r="AK7" s="290"/>
      <c r="AL7" s="290"/>
      <c r="AM7" s="1286"/>
      <c r="AN7" s="1271"/>
      <c r="AO7" s="289" t="s">
        <v>392</v>
      </c>
      <c r="AP7" s="408" t="s">
        <v>346</v>
      </c>
      <c r="AQ7" s="289">
        <v>3</v>
      </c>
      <c r="AR7" s="289" t="s">
        <v>348</v>
      </c>
      <c r="AS7" s="1282">
        <v>-2.77</v>
      </c>
      <c r="AT7" s="409" t="s">
        <v>1496</v>
      </c>
      <c r="AU7" s="1287">
        <f>AP2/AQ7+AS7+'3SL Even &amp; Custom Slider '!SLEQSORnd</f>
        <v>21.063333333333333</v>
      </c>
      <c r="AV7" s="322"/>
      <c r="AW7" s="322"/>
      <c r="AX7" s="322"/>
      <c r="AY7" s="1283"/>
      <c r="AZ7" s="290"/>
      <c r="BA7" s="290"/>
      <c r="BB7" s="1286"/>
      <c r="BC7" s="1271"/>
      <c r="BD7" s="289" t="s">
        <v>392</v>
      </c>
      <c r="BE7" s="408" t="s">
        <v>346</v>
      </c>
      <c r="BF7" s="289">
        <v>4</v>
      </c>
      <c r="BG7" s="289" t="s">
        <v>348</v>
      </c>
      <c r="BH7" s="1282">
        <v>-2.8125</v>
      </c>
      <c r="BI7" s="409" t="s">
        <v>1496</v>
      </c>
      <c r="BJ7" s="1285" t="e">
        <f>BE2/BF7+BH7+'3SL QHQ Slider'!CCO</f>
        <v>#NAME?</v>
      </c>
      <c r="BK7" s="322"/>
      <c r="BL7" s="322"/>
      <c r="BM7" s="322"/>
      <c r="BN7" s="1283"/>
      <c r="BO7" s="290"/>
      <c r="BP7" s="290"/>
      <c r="BQ7" s="1286"/>
      <c r="BR7" s="1271"/>
      <c r="BS7" s="289" t="s">
        <v>392</v>
      </c>
      <c r="BT7" s="408"/>
      <c r="BU7" s="289"/>
      <c r="BV7" s="289"/>
      <c r="BW7" s="1282">
        <v>-4.3129999999999997</v>
      </c>
      <c r="BX7" s="290"/>
      <c r="BY7" s="322">
        <f>BT2+BW7</f>
        <v>34.249499999999998</v>
      </c>
      <c r="BZ7" s="322"/>
      <c r="CA7" s="322"/>
      <c r="CB7" s="322"/>
      <c r="CC7" s="1283"/>
      <c r="CD7" s="290"/>
      <c r="CE7" s="290"/>
      <c r="CF7" s="407"/>
    </row>
    <row r="8" spans="1:84" s="377" customFormat="1" ht="13.8" thickBot="1" x14ac:dyDescent="0.3">
      <c r="A8" s="1098"/>
      <c r="B8" s="1288" t="s">
        <v>1497</v>
      </c>
      <c r="C8" s="1098"/>
      <c r="D8" s="1098"/>
      <c r="E8" s="1521"/>
      <c r="F8" s="894"/>
      <c r="G8" s="894"/>
      <c r="H8" s="894"/>
      <c r="I8" s="1289"/>
      <c r="J8" s="1290"/>
      <c r="K8" s="894" t="s">
        <v>365</v>
      </c>
      <c r="L8" s="1291" t="s">
        <v>346</v>
      </c>
      <c r="M8" s="894">
        <v>2</v>
      </c>
      <c r="N8" s="894" t="s">
        <v>348</v>
      </c>
      <c r="O8" s="1292">
        <v>-1.5</v>
      </c>
      <c r="P8" s="1293" t="s">
        <v>1496</v>
      </c>
      <c r="Q8" s="1294">
        <f>L3/M8+O8+'Single Hung'!SHCORnd</f>
        <v>35.5</v>
      </c>
      <c r="R8" s="1295"/>
      <c r="S8" s="1295"/>
      <c r="T8" s="1295"/>
      <c r="U8" s="1296"/>
      <c r="V8" s="1098"/>
      <c r="W8" s="1098"/>
      <c r="X8" s="1297"/>
      <c r="Y8" s="1290"/>
      <c r="Z8" s="894" t="s">
        <v>365</v>
      </c>
      <c r="AA8" s="1291"/>
      <c r="AB8" s="894"/>
      <c r="AC8" s="894"/>
      <c r="AD8" s="1298">
        <v>-4.5</v>
      </c>
      <c r="AE8" s="1098"/>
      <c r="AF8" s="1299">
        <f>AA3+AD8</f>
        <v>43</v>
      </c>
      <c r="AG8" s="1295"/>
      <c r="AH8" s="1295"/>
      <c r="AI8" s="1295"/>
      <c r="AJ8" s="1296"/>
      <c r="AK8" s="1098"/>
      <c r="AL8" s="1098"/>
      <c r="AM8" s="1300"/>
      <c r="AN8" s="1290"/>
      <c r="AO8" s="894" t="s">
        <v>365</v>
      </c>
      <c r="AP8" s="1291"/>
      <c r="AQ8" s="894"/>
      <c r="AR8" s="894"/>
      <c r="AS8" s="1298">
        <v>-4.5</v>
      </c>
      <c r="AT8" s="1098"/>
      <c r="AU8" s="1299">
        <f>AP3+AS8</f>
        <v>43</v>
      </c>
      <c r="AV8" s="1295"/>
      <c r="AW8" s="1295"/>
      <c r="AX8" s="1295"/>
      <c r="AY8" s="1296"/>
      <c r="AZ8" s="1098"/>
      <c r="BA8" s="1098"/>
      <c r="BB8" s="1300"/>
      <c r="BC8" s="1290"/>
      <c r="BD8" s="894" t="s">
        <v>365</v>
      </c>
      <c r="BE8" s="1291"/>
      <c r="BF8" s="894"/>
      <c r="BG8" s="894"/>
      <c r="BH8" s="1298">
        <v>-4.5</v>
      </c>
      <c r="BI8" s="1098"/>
      <c r="BJ8" s="1299">
        <f>BE3+BH8</f>
        <v>43</v>
      </c>
      <c r="BK8" s="1295"/>
      <c r="BL8" s="1295"/>
      <c r="BM8" s="1295"/>
      <c r="BN8" s="1296"/>
      <c r="BO8" s="1098"/>
      <c r="BP8" s="1098"/>
      <c r="BQ8" s="1300"/>
      <c r="BR8" s="1290"/>
      <c r="BS8" s="894" t="s">
        <v>365</v>
      </c>
      <c r="BT8" s="1291" t="s">
        <v>346</v>
      </c>
      <c r="BU8" s="894">
        <v>2</v>
      </c>
      <c r="BV8" s="894" t="s">
        <v>348</v>
      </c>
      <c r="BW8" s="1298">
        <v>-0.625</v>
      </c>
      <c r="BX8" s="1293" t="s">
        <v>1496</v>
      </c>
      <c r="BY8" s="1295">
        <f>BT3/BU8+BW8+'Single Hung'!SHCORnd</f>
        <v>36.375</v>
      </c>
      <c r="BZ8" s="1295"/>
      <c r="CA8" s="1295"/>
      <c r="CB8" s="1295"/>
      <c r="CC8" s="1296"/>
      <c r="CD8" s="1098"/>
      <c r="CE8" s="1098"/>
      <c r="CF8" s="1297"/>
    </row>
    <row r="9" spans="1:84" s="379" customFormat="1" x14ac:dyDescent="0.25">
      <c r="A9" s="1301"/>
      <c r="B9" s="378" t="s">
        <v>1498</v>
      </c>
      <c r="C9" s="1301"/>
      <c r="D9" s="1301"/>
      <c r="E9" s="1522"/>
      <c r="F9" s="895"/>
      <c r="G9" s="895">
        <v>45</v>
      </c>
      <c r="H9" s="895" t="s">
        <v>367</v>
      </c>
      <c r="I9" s="1302"/>
      <c r="J9" s="1303"/>
      <c r="K9" s="895" t="s">
        <v>392</v>
      </c>
      <c r="L9" s="380"/>
      <c r="M9" s="895"/>
      <c r="N9" s="895" t="s">
        <v>348</v>
      </c>
      <c r="O9" s="1304">
        <f>O7-2</f>
        <v>-6</v>
      </c>
      <c r="P9" s="1305">
        <f>L2+O9</f>
        <v>32.5625</v>
      </c>
      <c r="Q9" s="1306">
        <v>2</v>
      </c>
      <c r="R9" s="1306"/>
      <c r="S9" s="1306"/>
      <c r="T9" s="1306"/>
      <c r="U9" s="1301"/>
      <c r="V9" s="1301"/>
      <c r="W9" s="1301"/>
      <c r="X9" s="410" t="s">
        <v>81</v>
      </c>
      <c r="Y9" s="1303"/>
      <c r="Z9" s="895" t="s">
        <v>392</v>
      </c>
      <c r="AA9" s="380" t="s">
        <v>346</v>
      </c>
      <c r="AB9" s="895">
        <v>2</v>
      </c>
      <c r="AC9" s="895" t="s">
        <v>348</v>
      </c>
      <c r="AD9" s="1307">
        <v>-4.6875</v>
      </c>
      <c r="AE9" s="895"/>
      <c r="AF9" s="1308"/>
      <c r="AG9" s="1306"/>
      <c r="AH9" s="1306"/>
      <c r="AI9" s="1306"/>
      <c r="AJ9" s="1301"/>
      <c r="AK9" s="1301"/>
      <c r="AL9" s="1301"/>
      <c r="AM9" s="410" t="s">
        <v>81</v>
      </c>
      <c r="AN9" s="1303"/>
      <c r="AO9" s="895" t="s">
        <v>1452</v>
      </c>
      <c r="AP9" s="380" t="s">
        <v>346</v>
      </c>
      <c r="AQ9" s="895">
        <v>3</v>
      </c>
      <c r="AR9" s="895" t="s">
        <v>348</v>
      </c>
      <c r="AS9" s="1309">
        <v>-4.7699999999999996</v>
      </c>
      <c r="AT9" s="895"/>
      <c r="AU9" s="1308"/>
      <c r="AV9" s="1306"/>
      <c r="AW9" s="1306"/>
      <c r="AX9" s="1306"/>
      <c r="AY9" s="1301"/>
      <c r="AZ9" s="1301"/>
      <c r="BA9" s="1301"/>
      <c r="BB9" s="410" t="s">
        <v>81</v>
      </c>
      <c r="BC9" s="411"/>
      <c r="BD9" s="895" t="s">
        <v>1452</v>
      </c>
      <c r="BE9" s="380" t="s">
        <v>346</v>
      </c>
      <c r="BF9" s="895">
        <v>4</v>
      </c>
      <c r="BG9" s="895" t="s">
        <v>348</v>
      </c>
      <c r="BH9" s="1309">
        <v>-2.8125</v>
      </c>
      <c r="BI9" s="895"/>
      <c r="BJ9" s="1308"/>
      <c r="BK9" s="1306"/>
      <c r="BL9" s="1306"/>
      <c r="BM9" s="1306"/>
      <c r="BN9" s="1301"/>
      <c r="BO9" s="1301"/>
      <c r="BP9" s="1301"/>
      <c r="BQ9" s="410" t="s">
        <v>81</v>
      </c>
      <c r="BR9" s="1303"/>
      <c r="BS9" s="895" t="s">
        <v>392</v>
      </c>
      <c r="BT9" s="380"/>
      <c r="BU9" s="895"/>
      <c r="BV9" s="895" t="s">
        <v>348</v>
      </c>
      <c r="BW9" s="1304">
        <f>BW7-2</f>
        <v>-6.3129999999999997</v>
      </c>
      <c r="BX9" s="1305">
        <f>BT2+BW9</f>
        <v>32.249499999999998</v>
      </c>
      <c r="BY9" s="1306">
        <v>2</v>
      </c>
      <c r="BZ9" s="1306"/>
      <c r="CA9" s="1306"/>
      <c r="CB9" s="1306"/>
      <c r="CC9" s="1301"/>
      <c r="CD9" s="1301"/>
      <c r="CE9" s="1301"/>
      <c r="CF9" s="410" t="s">
        <v>81</v>
      </c>
    </row>
    <row r="10" spans="1:84" x14ac:dyDescent="0.25">
      <c r="A10" s="290"/>
      <c r="B10" s="290"/>
      <c r="C10" s="290"/>
      <c r="D10" s="290" t="s">
        <v>1499</v>
      </c>
      <c r="E10" s="1520">
        <v>580020003</v>
      </c>
      <c r="F10" s="289">
        <v>151239</v>
      </c>
      <c r="G10" s="289"/>
      <c r="H10" s="289"/>
      <c r="I10" s="1434">
        <v>0.18740000000000001</v>
      </c>
      <c r="J10" s="1271"/>
      <c r="K10" s="289"/>
      <c r="L10" s="289"/>
      <c r="M10" s="289"/>
      <c r="N10" s="289"/>
      <c r="O10" s="1310"/>
      <c r="P10" s="289"/>
      <c r="Q10" s="1283"/>
      <c r="R10" s="1283"/>
      <c r="S10" s="1283"/>
      <c r="T10" s="1283"/>
      <c r="U10" s="1283">
        <f t="shared" ref="U10:U15" si="0">I10*P$9/12*Q$9+SUM(R$9:T$9)</f>
        <v>1.0170354166666666</v>
      </c>
      <c r="V10" s="290" t="s">
        <v>1499</v>
      </c>
      <c r="W10" s="290"/>
      <c r="X10" s="407" t="s">
        <v>81</v>
      </c>
      <c r="Y10" s="1271"/>
      <c r="Z10" s="289"/>
      <c r="AA10" s="289"/>
      <c r="AB10" s="289"/>
      <c r="AC10" s="289" t="s">
        <v>348</v>
      </c>
      <c r="AD10" s="1311" t="s">
        <v>462</v>
      </c>
      <c r="AE10" s="1312">
        <f>AA2/AB9+AD9+'2SL Slider'!SL2SORnd</f>
        <v>19.0625</v>
      </c>
      <c r="AF10" s="1313">
        <v>2</v>
      </c>
      <c r="AG10" s="1283"/>
      <c r="AH10" s="1283"/>
      <c r="AI10" s="1283"/>
      <c r="AJ10" s="1283">
        <f>I10*AE10/12*AF10</f>
        <v>0.59538541666666667</v>
      </c>
      <c r="AK10" s="290" t="s">
        <v>824</v>
      </c>
      <c r="AL10" s="290"/>
      <c r="AM10" s="407" t="s">
        <v>81</v>
      </c>
      <c r="AN10" s="1271"/>
      <c r="AO10" s="289"/>
      <c r="AP10" s="289"/>
      <c r="AQ10" s="289"/>
      <c r="AR10" s="289" t="s">
        <v>348</v>
      </c>
      <c r="AS10" s="1311" t="s">
        <v>462</v>
      </c>
      <c r="AT10" s="1312">
        <f>AP2/AQ9+AS9+'3SL Even &amp; Custom Slider '!SLEQSORnd</f>
        <v>19.063333333333333</v>
      </c>
      <c r="AU10" s="1285">
        <f>4*AT10</f>
        <v>76.25333333333333</v>
      </c>
      <c r="AV10" s="1283"/>
      <c r="AW10" s="1283"/>
      <c r="AX10" s="1283"/>
      <c r="AY10" s="1283">
        <f>$I$10*AU10/12</f>
        <v>1.1908228888888888</v>
      </c>
      <c r="AZ10" s="290" t="s">
        <v>824</v>
      </c>
      <c r="BA10" s="290"/>
      <c r="BB10" s="407" t="s">
        <v>81</v>
      </c>
      <c r="BC10" s="402"/>
      <c r="BD10" s="289"/>
      <c r="BE10" s="289"/>
      <c r="BF10" s="289"/>
      <c r="BG10" s="289" t="s">
        <v>348</v>
      </c>
      <c r="BH10" s="1311" t="s">
        <v>462</v>
      </c>
      <c r="BI10" s="289" t="e">
        <f>BE2/BF9+BH9+'3SL QHQ Slider'!CCO</f>
        <v>#NAME?</v>
      </c>
      <c r="BJ10" s="1285" t="e">
        <f>4*BI10</f>
        <v>#NAME?</v>
      </c>
      <c r="BK10" s="1283"/>
      <c r="BL10" s="1283"/>
      <c r="BM10" s="1283"/>
      <c r="BN10" s="1283" t="e">
        <f>$I$10*BJ10/12</f>
        <v>#NAME?</v>
      </c>
      <c r="BO10" s="290" t="s">
        <v>824</v>
      </c>
      <c r="BP10" s="290"/>
      <c r="BQ10" s="407" t="s">
        <v>81</v>
      </c>
      <c r="BR10" s="1271"/>
      <c r="BS10" s="289"/>
      <c r="BT10" s="289"/>
      <c r="BU10" s="289"/>
      <c r="BV10" s="289"/>
      <c r="BW10" s="1310"/>
      <c r="BX10" s="289"/>
      <c r="BY10" s="1283"/>
      <c r="BZ10" s="1283"/>
      <c r="CA10" s="1283"/>
      <c r="CB10" s="1283"/>
      <c r="CC10" s="1283">
        <f>$I10*BX9/12*BY9</f>
        <v>1.0072593833333332</v>
      </c>
      <c r="CD10" s="290"/>
      <c r="CE10" s="290"/>
      <c r="CF10" s="407" t="s">
        <v>81</v>
      </c>
    </row>
    <row r="11" spans="1:84" x14ac:dyDescent="0.25">
      <c r="A11" s="290"/>
      <c r="B11" s="290"/>
      <c r="C11" s="290"/>
      <c r="D11" s="290" t="s">
        <v>1500</v>
      </c>
      <c r="E11" s="1520">
        <v>580020021</v>
      </c>
      <c r="F11" s="289">
        <v>151238</v>
      </c>
      <c r="G11" s="289"/>
      <c r="H11" s="289"/>
      <c r="I11" s="1434">
        <v>0.18740000000000001</v>
      </c>
      <c r="J11" s="1271"/>
      <c r="K11" s="289"/>
      <c r="L11" s="289"/>
      <c r="M11" s="289"/>
      <c r="N11" s="289"/>
      <c r="O11" s="1310"/>
      <c r="P11" s="289"/>
      <c r="Q11" s="1283"/>
      <c r="R11" s="1283"/>
      <c r="S11" s="1283"/>
      <c r="T11" s="1283"/>
      <c r="U11" s="1283">
        <f t="shared" si="0"/>
        <v>1.0170354166666666</v>
      </c>
      <c r="V11" s="290" t="s">
        <v>1500</v>
      </c>
      <c r="W11" s="290"/>
      <c r="X11" s="407" t="s">
        <v>371</v>
      </c>
      <c r="Y11" s="1271"/>
      <c r="Z11" s="289"/>
      <c r="AA11" s="289"/>
      <c r="AB11" s="289"/>
      <c r="AC11" s="289"/>
      <c r="AD11" s="1310"/>
      <c r="AE11" s="289"/>
      <c r="AF11" s="1283"/>
      <c r="AG11" s="1283"/>
      <c r="AH11" s="1283"/>
      <c r="AI11" s="1283"/>
      <c r="AJ11" s="1283">
        <f>I11*AE10/12*AF10</f>
        <v>0.59538541666666667</v>
      </c>
      <c r="AK11" s="290" t="s">
        <v>1501</v>
      </c>
      <c r="AL11" s="290"/>
      <c r="AM11" s="407" t="s">
        <v>371</v>
      </c>
      <c r="AN11" s="1271"/>
      <c r="AO11" s="289"/>
      <c r="AP11" s="289"/>
      <c r="AQ11" s="289"/>
      <c r="AR11" s="289"/>
      <c r="AS11" s="1310"/>
      <c r="AT11" s="289"/>
      <c r="AU11" s="1283"/>
      <c r="AV11" s="1283"/>
      <c r="AW11" s="1283"/>
      <c r="AX11" s="1283"/>
      <c r="AY11" s="1283"/>
      <c r="AZ11" s="290" t="s">
        <v>1501</v>
      </c>
      <c r="BA11" s="290"/>
      <c r="BB11" s="407" t="s">
        <v>371</v>
      </c>
      <c r="BC11" s="402"/>
      <c r="BD11" s="289"/>
      <c r="BE11" s="289"/>
      <c r="BF11" s="289"/>
      <c r="BG11" s="289"/>
      <c r="BH11" s="1310"/>
      <c r="BI11" s="289"/>
      <c r="BJ11" s="1283"/>
      <c r="BK11" s="1283"/>
      <c r="BL11" s="1283"/>
      <c r="BM11" s="1283"/>
      <c r="BN11" s="1283"/>
      <c r="BO11" s="290" t="s">
        <v>1501</v>
      </c>
      <c r="BP11" s="290"/>
      <c r="BQ11" s="407" t="s">
        <v>371</v>
      </c>
      <c r="BR11" s="1271"/>
      <c r="BS11" s="289"/>
      <c r="BT11" s="289"/>
      <c r="BU11" s="289"/>
      <c r="BV11" s="289"/>
      <c r="BW11" s="1310"/>
      <c r="BX11" s="289"/>
      <c r="BY11" s="1283"/>
      <c r="BZ11" s="1283"/>
      <c r="CA11" s="1283"/>
      <c r="CB11" s="1283"/>
      <c r="CC11" s="1283"/>
      <c r="CD11" s="290"/>
      <c r="CE11" s="290"/>
      <c r="CF11" s="407" t="s">
        <v>371</v>
      </c>
    </row>
    <row r="12" spans="1:84" x14ac:dyDescent="0.25">
      <c r="A12" s="290"/>
      <c r="B12" s="290"/>
      <c r="C12" s="290"/>
      <c r="D12" s="290" t="s">
        <v>1502</v>
      </c>
      <c r="E12" s="1520">
        <v>580020033</v>
      </c>
      <c r="F12" s="1520" t="s">
        <v>2320</v>
      </c>
      <c r="G12" s="289"/>
      <c r="H12" s="289"/>
      <c r="I12" s="1434">
        <v>0.18740000000000001</v>
      </c>
      <c r="J12" s="1271"/>
      <c r="K12" s="289"/>
      <c r="L12" s="289"/>
      <c r="M12" s="289"/>
      <c r="N12" s="289"/>
      <c r="O12" s="1310"/>
      <c r="P12" s="289"/>
      <c r="Q12" s="1283"/>
      <c r="R12" s="1283"/>
      <c r="S12" s="1283"/>
      <c r="T12" s="1283"/>
      <c r="U12" s="1283">
        <f t="shared" si="0"/>
        <v>1.0170354166666666</v>
      </c>
      <c r="V12" s="290" t="s">
        <v>1502</v>
      </c>
      <c r="W12" s="290"/>
      <c r="X12" s="407" t="s">
        <v>371</v>
      </c>
      <c r="Y12" s="1271"/>
      <c r="Z12" s="289"/>
      <c r="AA12" s="289"/>
      <c r="AB12" s="289"/>
      <c r="AC12" s="289"/>
      <c r="AD12" s="1310"/>
      <c r="AE12" s="289"/>
      <c r="AF12" s="1283"/>
      <c r="AG12" s="1283"/>
      <c r="AH12" s="1283"/>
      <c r="AI12" s="1283"/>
      <c r="AJ12" s="1283">
        <f>I12*$AE$10/12*$AF$10</f>
        <v>0.59538541666666667</v>
      </c>
      <c r="AK12" s="290" t="s">
        <v>1503</v>
      </c>
      <c r="AL12" s="290"/>
      <c r="AM12" s="407" t="s">
        <v>371</v>
      </c>
      <c r="AN12" s="1271"/>
      <c r="AO12" s="289"/>
      <c r="AP12" s="289"/>
      <c r="AQ12" s="289"/>
      <c r="AR12" s="289"/>
      <c r="AS12" s="1310"/>
      <c r="AT12" s="289"/>
      <c r="AU12" s="1283"/>
      <c r="AV12" s="1283"/>
      <c r="AW12" s="1283"/>
      <c r="AX12" s="1283"/>
      <c r="AY12" s="1283"/>
      <c r="AZ12" s="290" t="s">
        <v>1503</v>
      </c>
      <c r="BA12" s="290"/>
      <c r="BB12" s="407" t="s">
        <v>371</v>
      </c>
      <c r="BC12" s="402"/>
      <c r="BD12" s="289"/>
      <c r="BE12" s="289"/>
      <c r="BF12" s="289"/>
      <c r="BG12" s="289"/>
      <c r="BH12" s="1310"/>
      <c r="BI12" s="289"/>
      <c r="BJ12" s="1283"/>
      <c r="BK12" s="1283"/>
      <c r="BL12" s="1283"/>
      <c r="BM12" s="1283"/>
      <c r="BN12" s="1283"/>
      <c r="BO12" s="290" t="s">
        <v>1503</v>
      </c>
      <c r="BP12" s="290"/>
      <c r="BQ12" s="407" t="s">
        <v>371</v>
      </c>
      <c r="BR12" s="1271"/>
      <c r="BS12" s="289"/>
      <c r="BT12" s="289"/>
      <c r="BU12" s="289"/>
      <c r="BV12" s="289"/>
      <c r="BW12" s="1310"/>
      <c r="BX12" s="289"/>
      <c r="BY12" s="1283"/>
      <c r="BZ12" s="1283"/>
      <c r="CA12" s="1283"/>
      <c r="CB12" s="1283"/>
      <c r="CC12" s="1283"/>
      <c r="CD12" s="290"/>
      <c r="CE12" s="290"/>
      <c r="CF12" s="407" t="s">
        <v>371</v>
      </c>
    </row>
    <row r="13" spans="1:84" x14ac:dyDescent="0.25">
      <c r="A13" s="290"/>
      <c r="B13" s="290"/>
      <c r="C13" s="290"/>
      <c r="D13" s="290" t="s">
        <v>1504</v>
      </c>
      <c r="E13" s="1520">
        <v>580020090</v>
      </c>
      <c r="F13" s="1520" t="s">
        <v>2321</v>
      </c>
      <c r="G13" s="289"/>
      <c r="H13" s="289"/>
      <c r="I13" s="1434">
        <v>0.2283</v>
      </c>
      <c r="J13" s="1271"/>
      <c r="K13" s="289"/>
      <c r="L13" s="289"/>
      <c r="M13" s="289"/>
      <c r="N13" s="289"/>
      <c r="O13" s="1310"/>
      <c r="P13" s="289"/>
      <c r="Q13" s="1283"/>
      <c r="R13" s="1283"/>
      <c r="S13" s="1283"/>
      <c r="T13" s="1283"/>
      <c r="U13" s="1283">
        <f>I13*P$9/12*Q$9+SUM(R$9:T$9)</f>
        <v>1.239003125</v>
      </c>
      <c r="V13" s="290" t="s">
        <v>1504</v>
      </c>
      <c r="W13" s="290"/>
      <c r="X13" s="407" t="s">
        <v>371</v>
      </c>
      <c r="Y13" s="1271"/>
      <c r="Z13" s="289"/>
      <c r="AA13" s="289"/>
      <c r="AB13" s="289"/>
      <c r="AC13" s="289"/>
      <c r="AD13" s="1310"/>
      <c r="AE13" s="289"/>
      <c r="AF13" s="1283"/>
      <c r="AG13" s="1283"/>
      <c r="AH13" s="1283"/>
      <c r="AI13" s="1283"/>
      <c r="AJ13" s="1283">
        <f>I13*$AE$10/12*$AF$10</f>
        <v>0.72532812499999999</v>
      </c>
      <c r="AK13" s="290" t="s">
        <v>1505</v>
      </c>
      <c r="AL13" s="290"/>
      <c r="AM13" s="407" t="s">
        <v>371</v>
      </c>
      <c r="AN13" s="1271"/>
      <c r="AO13" s="289"/>
      <c r="AP13" s="289"/>
      <c r="AQ13" s="289"/>
      <c r="AR13" s="289"/>
      <c r="AS13" s="1310"/>
      <c r="AT13" s="289"/>
      <c r="AU13" s="1283"/>
      <c r="AV13" s="1283"/>
      <c r="AW13" s="1283"/>
      <c r="AX13" s="1283"/>
      <c r="AY13" s="1283"/>
      <c r="AZ13" s="290" t="s">
        <v>1505</v>
      </c>
      <c r="BA13" s="290"/>
      <c r="BB13" s="407" t="s">
        <v>371</v>
      </c>
      <c r="BC13" s="402"/>
      <c r="BD13" s="289"/>
      <c r="BE13" s="289"/>
      <c r="BF13" s="289"/>
      <c r="BG13" s="289"/>
      <c r="BH13" s="1310"/>
      <c r="BI13" s="289"/>
      <c r="BJ13" s="1283"/>
      <c r="BK13" s="1283"/>
      <c r="BL13" s="1283"/>
      <c r="BM13" s="1283"/>
      <c r="BN13" s="1283"/>
      <c r="BO13" s="290" t="s">
        <v>1505</v>
      </c>
      <c r="BP13" s="290"/>
      <c r="BQ13" s="407" t="s">
        <v>371</v>
      </c>
      <c r="BR13" s="1271"/>
      <c r="BS13" s="289"/>
      <c r="BT13" s="289"/>
      <c r="BU13" s="289"/>
      <c r="BV13" s="289"/>
      <c r="BW13" s="1310"/>
      <c r="BX13" s="289"/>
      <c r="BY13" s="1283"/>
      <c r="BZ13" s="1283"/>
      <c r="CA13" s="1283"/>
      <c r="CB13" s="1283"/>
      <c r="CC13" s="1283"/>
      <c r="CD13" s="290"/>
      <c r="CE13" s="290"/>
      <c r="CF13" s="407" t="s">
        <v>371</v>
      </c>
    </row>
    <row r="14" spans="1:84" x14ac:dyDescent="0.25">
      <c r="A14" s="290"/>
      <c r="B14" s="290"/>
      <c r="C14" s="290"/>
      <c r="D14" s="290" t="s">
        <v>569</v>
      </c>
      <c r="E14" s="1520">
        <v>580020133</v>
      </c>
      <c r="F14" s="1520"/>
      <c r="G14" s="289"/>
      <c r="H14" s="289"/>
      <c r="I14" s="1434">
        <v>0.18740000000000001</v>
      </c>
      <c r="J14" s="1271"/>
      <c r="K14" s="289"/>
      <c r="L14" s="289"/>
      <c r="M14" s="289"/>
      <c r="N14" s="289"/>
      <c r="O14" s="1310"/>
      <c r="P14" s="289"/>
      <c r="Q14" s="1283"/>
      <c r="R14" s="1283"/>
      <c r="S14" s="1283"/>
      <c r="T14" s="1283"/>
      <c r="U14" s="1283">
        <f t="shared" si="0"/>
        <v>1.0170354166666666</v>
      </c>
      <c r="V14" s="290" t="s">
        <v>569</v>
      </c>
      <c r="W14" s="290"/>
      <c r="X14" s="407" t="s">
        <v>371</v>
      </c>
      <c r="Y14" s="1271"/>
      <c r="Z14" s="289"/>
      <c r="AA14" s="289"/>
      <c r="AB14" s="289"/>
      <c r="AC14" s="289"/>
      <c r="AD14" s="1310"/>
      <c r="AE14" s="289"/>
      <c r="AF14" s="1283"/>
      <c r="AG14" s="1283"/>
      <c r="AH14" s="1283"/>
      <c r="AI14" s="1283"/>
      <c r="AJ14" s="1283">
        <f>I14*$AE$10/12*$AF$10</f>
        <v>0.59538541666666667</v>
      </c>
      <c r="AK14" s="290" t="s">
        <v>569</v>
      </c>
      <c r="AL14" s="290"/>
      <c r="AM14" s="407" t="s">
        <v>371</v>
      </c>
      <c r="AN14" s="1271"/>
      <c r="AO14" s="289"/>
      <c r="AP14" s="289"/>
      <c r="AQ14" s="289"/>
      <c r="AR14" s="289"/>
      <c r="AS14" s="1310"/>
      <c r="AT14" s="289"/>
      <c r="AU14" s="1283"/>
      <c r="AV14" s="1283"/>
      <c r="AW14" s="1283"/>
      <c r="AX14" s="1283"/>
      <c r="AY14" s="1283"/>
      <c r="AZ14" s="290" t="s">
        <v>569</v>
      </c>
      <c r="BA14" s="290"/>
      <c r="BB14" s="407" t="s">
        <v>371</v>
      </c>
      <c r="BC14" s="402"/>
      <c r="BD14" s="289"/>
      <c r="BE14" s="289"/>
      <c r="BF14" s="289"/>
      <c r="BG14" s="289"/>
      <c r="BH14" s="1310"/>
      <c r="BI14" s="289"/>
      <c r="BJ14" s="1283"/>
      <c r="BK14" s="1283"/>
      <c r="BL14" s="1283"/>
      <c r="BM14" s="1283"/>
      <c r="BN14" s="1283"/>
      <c r="BO14" s="290" t="s">
        <v>569</v>
      </c>
      <c r="BP14" s="290"/>
      <c r="BQ14" s="407" t="s">
        <v>371</v>
      </c>
      <c r="BR14" s="1271"/>
      <c r="BS14" s="289"/>
      <c r="BT14" s="289"/>
      <c r="BU14" s="289"/>
      <c r="BV14" s="289"/>
      <c r="BW14" s="1310"/>
      <c r="BX14" s="289"/>
      <c r="BY14" s="1283"/>
      <c r="BZ14" s="1283"/>
      <c r="CA14" s="1283"/>
      <c r="CB14" s="1283"/>
      <c r="CC14" s="1283"/>
      <c r="CD14" s="290"/>
      <c r="CE14" s="290"/>
      <c r="CF14" s="407" t="s">
        <v>371</v>
      </c>
    </row>
    <row r="15" spans="1:84" ht="13.8" thickBot="1" x14ac:dyDescent="0.3">
      <c r="A15" s="290"/>
      <c r="B15" s="290"/>
      <c r="C15" s="290"/>
      <c r="D15" s="290" t="s">
        <v>1850</v>
      </c>
      <c r="E15" s="1521">
        <v>580020148</v>
      </c>
      <c r="F15" s="1521"/>
      <c r="G15" s="894"/>
      <c r="H15" s="894"/>
      <c r="I15" s="1440">
        <v>0</v>
      </c>
      <c r="J15" s="1290"/>
      <c r="K15" s="894"/>
      <c r="L15" s="894"/>
      <c r="M15" s="894"/>
      <c r="N15" s="894"/>
      <c r="O15" s="1315"/>
      <c r="P15" s="894"/>
      <c r="Q15" s="1296"/>
      <c r="R15" s="1296"/>
      <c r="S15" s="1296"/>
      <c r="T15" s="1296"/>
      <c r="U15" s="1657">
        <f t="shared" si="0"/>
        <v>0</v>
      </c>
      <c r="V15" s="1098" t="s">
        <v>1850</v>
      </c>
      <c r="W15" s="1098"/>
      <c r="X15" s="1297" t="s">
        <v>371</v>
      </c>
      <c r="Y15" s="1290"/>
      <c r="Z15" s="894"/>
      <c r="AA15" s="894"/>
      <c r="AB15" s="894"/>
      <c r="AC15" s="894"/>
      <c r="AD15" s="1315"/>
      <c r="AE15" s="894"/>
      <c r="AF15" s="1296"/>
      <c r="AG15" s="1296"/>
      <c r="AH15" s="1296"/>
      <c r="AI15" s="1296"/>
      <c r="AJ15" s="1296">
        <v>0</v>
      </c>
      <c r="AK15" s="1098" t="s">
        <v>1850</v>
      </c>
      <c r="AL15" s="1098"/>
      <c r="AM15" s="1297" t="s">
        <v>371</v>
      </c>
      <c r="AN15" s="1290"/>
      <c r="AO15" s="894"/>
      <c r="AP15" s="894"/>
      <c r="AQ15" s="894"/>
      <c r="AR15" s="894"/>
      <c r="AS15" s="1315"/>
      <c r="AT15" s="894"/>
      <c r="AU15" s="1296"/>
      <c r="AV15" s="1296"/>
      <c r="AW15" s="1296"/>
      <c r="AX15" s="1296"/>
      <c r="AY15" s="1296"/>
      <c r="AZ15" s="1098" t="s">
        <v>1850</v>
      </c>
      <c r="BA15" s="1098"/>
      <c r="BB15" s="1297" t="s">
        <v>371</v>
      </c>
      <c r="BC15" s="1314"/>
      <c r="BD15" s="894"/>
      <c r="BE15" s="894"/>
      <c r="BF15" s="894"/>
      <c r="BG15" s="894"/>
      <c r="BH15" s="1315"/>
      <c r="BI15" s="894"/>
      <c r="BJ15" s="1296"/>
      <c r="BK15" s="1296"/>
      <c r="BL15" s="1296"/>
      <c r="BM15" s="1296"/>
      <c r="BN15" s="1296"/>
      <c r="BO15" s="1098" t="s">
        <v>1850</v>
      </c>
      <c r="BP15" s="1098"/>
      <c r="BQ15" s="1297" t="s">
        <v>371</v>
      </c>
      <c r="BR15" s="1290"/>
      <c r="BS15" s="894"/>
      <c r="BT15" s="894"/>
      <c r="BU15" s="894"/>
      <c r="BV15" s="894"/>
      <c r="BW15" s="1315"/>
      <c r="BX15" s="894"/>
      <c r="BY15" s="1296"/>
      <c r="BZ15" s="1296"/>
      <c r="CA15" s="1296"/>
      <c r="CB15" s="1296"/>
      <c r="CC15" s="1296"/>
      <c r="CD15" s="1098"/>
      <c r="CE15" s="1098"/>
      <c r="CF15" s="1297" t="s">
        <v>371</v>
      </c>
    </row>
    <row r="16" spans="1:84" x14ac:dyDescent="0.25">
      <c r="A16" s="290"/>
      <c r="B16" s="378" t="s">
        <v>1506</v>
      </c>
      <c r="C16" s="1301"/>
      <c r="D16" s="1301"/>
      <c r="E16" s="1520"/>
      <c r="F16" s="289"/>
      <c r="G16" s="289">
        <v>45</v>
      </c>
      <c r="H16" s="289" t="s">
        <v>367</v>
      </c>
      <c r="I16" s="1281"/>
      <c r="J16" s="1271"/>
      <c r="K16" s="289" t="s">
        <v>365</v>
      </c>
      <c r="L16" s="289" t="s">
        <v>346</v>
      </c>
      <c r="M16" s="289">
        <v>2</v>
      </c>
      <c r="N16" s="289" t="s">
        <v>348</v>
      </c>
      <c r="O16" s="1284">
        <f>O8+'Single Hung'!SHCORnd-2</f>
        <v>-3.5</v>
      </c>
      <c r="P16" s="322"/>
      <c r="Q16" s="1313"/>
      <c r="R16" s="1313"/>
      <c r="S16" s="1313"/>
      <c r="T16" s="1313"/>
      <c r="U16" s="1283"/>
      <c r="V16" s="290"/>
      <c r="W16" s="290"/>
      <c r="X16" s="407" t="s">
        <v>81</v>
      </c>
      <c r="Y16" s="1271"/>
      <c r="Z16" s="289" t="s">
        <v>365</v>
      </c>
      <c r="AA16" s="289"/>
      <c r="AB16" s="289"/>
      <c r="AC16" s="289" t="s">
        <v>348</v>
      </c>
      <c r="AD16" s="1310">
        <v>-6.5</v>
      </c>
      <c r="AE16" s="322">
        <f>AA3+AD16</f>
        <v>41</v>
      </c>
      <c r="AF16" s="1313">
        <v>2</v>
      </c>
      <c r="AG16" s="1313"/>
      <c r="AH16" s="1313"/>
      <c r="AI16" s="1313"/>
      <c r="AJ16" s="290"/>
      <c r="AK16" s="290"/>
      <c r="AL16" s="290"/>
      <c r="AM16" s="407" t="s">
        <v>81</v>
      </c>
      <c r="AN16" s="1271"/>
      <c r="AO16" s="289" t="s">
        <v>163</v>
      </c>
      <c r="AP16" s="289"/>
      <c r="AQ16" s="289"/>
      <c r="AR16" s="289" t="s">
        <v>348</v>
      </c>
      <c r="AS16" s="1310">
        <v>-4.5</v>
      </c>
      <c r="AT16" s="322">
        <f>(AP3+AS16-2)</f>
        <v>41</v>
      </c>
      <c r="AU16" s="1285">
        <f>4*AT16</f>
        <v>164</v>
      </c>
      <c r="AV16" s="1313"/>
      <c r="AW16" s="1313"/>
      <c r="AX16" s="1313"/>
      <c r="AY16" s="1313"/>
      <c r="AZ16" s="290"/>
      <c r="BA16" s="290"/>
      <c r="BB16" s="407" t="s">
        <v>81</v>
      </c>
      <c r="BC16" s="402"/>
      <c r="BD16" s="289" t="s">
        <v>163</v>
      </c>
      <c r="BE16" s="289"/>
      <c r="BF16" s="289"/>
      <c r="BG16" s="289" t="s">
        <v>348</v>
      </c>
      <c r="BH16" s="1310">
        <v>-4.5</v>
      </c>
      <c r="BI16" s="322">
        <f>(BE3+BH16-2)</f>
        <v>41</v>
      </c>
      <c r="BJ16" s="1285">
        <f>4*BI16</f>
        <v>164</v>
      </c>
      <c r="BK16" s="1313"/>
      <c r="BL16" s="1313"/>
      <c r="BM16" s="1313"/>
      <c r="BN16" s="1313"/>
      <c r="BO16" s="290"/>
      <c r="BP16" s="290"/>
      <c r="BQ16" s="407" t="s">
        <v>81</v>
      </c>
      <c r="BR16" s="1271"/>
      <c r="BS16" s="289" t="s">
        <v>365</v>
      </c>
      <c r="BT16" s="289" t="s">
        <v>346</v>
      </c>
      <c r="BU16" s="289">
        <v>2</v>
      </c>
      <c r="BV16" s="289" t="s">
        <v>348</v>
      </c>
      <c r="BW16" s="1282">
        <f>BW8+'Single Hung'!SHCORnd-2</f>
        <v>-2.625</v>
      </c>
      <c r="BX16" s="322"/>
      <c r="BY16" s="1313"/>
      <c r="BZ16" s="1313"/>
      <c r="CA16" s="1313"/>
      <c r="CB16" s="1313"/>
      <c r="CC16" s="1283"/>
      <c r="CD16" s="290"/>
      <c r="CE16" s="290"/>
      <c r="CF16" s="407" t="s">
        <v>81</v>
      </c>
    </row>
    <row r="17" spans="1:84" x14ac:dyDescent="0.25">
      <c r="A17" s="290"/>
      <c r="B17" s="290"/>
      <c r="C17" s="290"/>
      <c r="D17" s="290" t="s">
        <v>1507</v>
      </c>
      <c r="E17" s="1520">
        <v>580020003</v>
      </c>
      <c r="F17" s="289">
        <v>151239</v>
      </c>
      <c r="G17" s="289"/>
      <c r="H17" s="289"/>
      <c r="I17" s="1281">
        <f>I10</f>
        <v>0.18740000000000001</v>
      </c>
      <c r="J17" s="1271"/>
      <c r="K17" s="289"/>
      <c r="L17" s="289"/>
      <c r="M17" s="289"/>
      <c r="N17" s="289" t="s">
        <v>348</v>
      </c>
      <c r="O17" s="1311" t="s">
        <v>462</v>
      </c>
      <c r="P17" s="289">
        <f>L3/M16+O16+'Single Hung'!SHCORnd</f>
        <v>33.5</v>
      </c>
      <c r="Q17" s="1313">
        <v>2</v>
      </c>
      <c r="R17" s="1313"/>
      <c r="S17" s="1313"/>
      <c r="T17" s="1313"/>
      <c r="U17" s="1283">
        <f>I17*P$17/12*Q$17+SUM(R$17:T$17)</f>
        <v>1.0463166666666668</v>
      </c>
      <c r="V17" s="290" t="s">
        <v>1499</v>
      </c>
      <c r="W17" s="290"/>
      <c r="X17" s="407" t="s">
        <v>81</v>
      </c>
      <c r="Y17" s="1271"/>
      <c r="Z17" s="289"/>
      <c r="AA17" s="289"/>
      <c r="AB17" s="289"/>
      <c r="AC17" s="289"/>
      <c r="AD17" s="1310"/>
      <c r="AE17" s="289"/>
      <c r="AF17" s="1283"/>
      <c r="AG17" s="1313"/>
      <c r="AH17" s="1313"/>
      <c r="AI17" s="1313"/>
      <c r="AJ17" s="1283">
        <f>I17*AE16/12*AF16</f>
        <v>1.2805666666666669</v>
      </c>
      <c r="AK17" s="290" t="s">
        <v>824</v>
      </c>
      <c r="AL17" s="290"/>
      <c r="AM17" s="407" t="s">
        <v>81</v>
      </c>
      <c r="AN17" s="1271"/>
      <c r="AO17" s="289"/>
      <c r="AP17" s="289"/>
      <c r="AQ17" s="289"/>
      <c r="AR17" s="289"/>
      <c r="AS17" s="1310"/>
      <c r="AT17" s="289"/>
      <c r="AU17" s="1283"/>
      <c r="AV17" s="1313"/>
      <c r="AW17" s="1313"/>
      <c r="AX17" s="1313"/>
      <c r="AY17" s="1283">
        <f>AU16*$I$17/12</f>
        <v>2.5611333333333337</v>
      </c>
      <c r="AZ17" s="290" t="s">
        <v>824</v>
      </c>
      <c r="BA17" s="290"/>
      <c r="BB17" s="407" t="s">
        <v>81</v>
      </c>
      <c r="BC17" s="402"/>
      <c r="BD17" s="289"/>
      <c r="BE17" s="289"/>
      <c r="BF17" s="289"/>
      <c r="BG17" s="289"/>
      <c r="BH17" s="1310"/>
      <c r="BI17" s="289"/>
      <c r="BJ17" s="1283"/>
      <c r="BK17" s="1313"/>
      <c r="BL17" s="1313"/>
      <c r="BM17" s="1313"/>
      <c r="BN17" s="1283">
        <f>$I$17*BJ16/12</f>
        <v>2.5611333333333337</v>
      </c>
      <c r="BO17" s="290" t="s">
        <v>824</v>
      </c>
      <c r="BP17" s="290"/>
      <c r="BQ17" s="407" t="s">
        <v>81</v>
      </c>
      <c r="BR17" s="1271"/>
      <c r="BS17" s="289"/>
      <c r="BT17" s="289"/>
      <c r="BU17" s="289"/>
      <c r="BV17" s="289" t="s">
        <v>348</v>
      </c>
      <c r="BW17" s="1311" t="s">
        <v>462</v>
      </c>
      <c r="BX17" s="289">
        <f>BT3/BU16+BW16+'Single Hung'!SHCORnd</f>
        <v>34.375</v>
      </c>
      <c r="BY17" s="1313">
        <v>2</v>
      </c>
      <c r="BZ17" s="1313"/>
      <c r="CA17" s="1313"/>
      <c r="CB17" s="1313"/>
      <c r="CC17" s="1283">
        <f>$I17*BX17/12*BY17</f>
        <v>1.0736458333333334</v>
      </c>
      <c r="CD17" s="290"/>
      <c r="CE17" s="290"/>
      <c r="CF17" s="407" t="s">
        <v>81</v>
      </c>
    </row>
    <row r="18" spans="1:84" x14ac:dyDescent="0.25">
      <c r="B18" s="290"/>
      <c r="C18" s="290"/>
      <c r="D18" s="290" t="s">
        <v>1500</v>
      </c>
      <c r="E18" s="1520">
        <v>580020021</v>
      </c>
      <c r="F18" s="289">
        <v>151238</v>
      </c>
      <c r="G18" s="289"/>
      <c r="H18" s="289"/>
      <c r="I18" s="1281">
        <f>I11</f>
        <v>0.18740000000000001</v>
      </c>
      <c r="J18" s="1271"/>
      <c r="K18" s="289"/>
      <c r="L18" s="289"/>
      <c r="M18" s="289"/>
      <c r="N18" s="289"/>
      <c r="O18" s="1310"/>
      <c r="P18" s="289"/>
      <c r="Q18" s="1283"/>
      <c r="R18" s="1283"/>
      <c r="S18" s="1283"/>
      <c r="T18" s="1283"/>
      <c r="U18" s="1283">
        <f>I18*P$17/12*Q$17+SUM(R$17:T$17)</f>
        <v>1.0463166666666668</v>
      </c>
      <c r="V18" s="290" t="s">
        <v>1500</v>
      </c>
      <c r="W18" s="290"/>
      <c r="X18" s="407" t="s">
        <v>371</v>
      </c>
      <c r="Y18" s="1271"/>
      <c r="Z18" s="289"/>
      <c r="AA18" s="289"/>
      <c r="AB18" s="289"/>
      <c r="AC18" s="289"/>
      <c r="AD18" s="1310"/>
      <c r="AE18" s="289"/>
      <c r="AF18" s="1283"/>
      <c r="AG18" s="1283"/>
      <c r="AH18" s="1283"/>
      <c r="AI18" s="1283"/>
      <c r="AJ18" s="1283">
        <f>I18*AE16/12*AF16</f>
        <v>1.2805666666666669</v>
      </c>
      <c r="AK18" s="290" t="s">
        <v>1501</v>
      </c>
      <c r="AL18" s="290"/>
      <c r="AM18" s="407" t="s">
        <v>371</v>
      </c>
      <c r="AN18" s="1271"/>
      <c r="AO18" s="289"/>
      <c r="AP18" s="289"/>
      <c r="AQ18" s="289"/>
      <c r="AR18" s="289"/>
      <c r="AS18" s="1310"/>
      <c r="AT18" s="289"/>
      <c r="AU18" s="1283"/>
      <c r="AV18" s="1283"/>
      <c r="AW18" s="1283"/>
      <c r="AX18" s="1283"/>
      <c r="AY18" s="1283"/>
      <c r="AZ18" s="290" t="s">
        <v>1501</v>
      </c>
      <c r="BA18" s="290"/>
      <c r="BB18" s="407" t="s">
        <v>371</v>
      </c>
      <c r="BC18" s="402"/>
      <c r="BD18" s="289"/>
      <c r="BE18" s="289"/>
      <c r="BF18" s="289"/>
      <c r="BG18" s="289"/>
      <c r="BH18" s="1310"/>
      <c r="BI18" s="289"/>
      <c r="BJ18" s="1283"/>
      <c r="BK18" s="1283"/>
      <c r="BL18" s="1283"/>
      <c r="BM18" s="1283"/>
      <c r="BN18" s="1283"/>
      <c r="BO18" s="290" t="s">
        <v>1501</v>
      </c>
      <c r="BP18" s="290"/>
      <c r="BQ18" s="407" t="s">
        <v>371</v>
      </c>
      <c r="BR18" s="1271"/>
      <c r="BS18" s="289"/>
      <c r="BT18" s="289"/>
      <c r="BU18" s="289"/>
      <c r="BV18" s="289"/>
      <c r="BW18" s="1310"/>
      <c r="BX18" s="289"/>
      <c r="BY18" s="1283"/>
      <c r="BZ18" s="1283"/>
      <c r="CA18" s="1283"/>
      <c r="CB18" s="1283"/>
      <c r="CC18" s="1283"/>
      <c r="CD18" s="290"/>
      <c r="CE18" s="290"/>
      <c r="CF18" s="407" t="s">
        <v>371</v>
      </c>
    </row>
    <row r="19" spans="1:84" x14ac:dyDescent="0.25">
      <c r="B19" s="290"/>
      <c r="C19" s="290"/>
      <c r="D19" s="290" t="s">
        <v>1502</v>
      </c>
      <c r="E19" s="1520">
        <v>580020033</v>
      </c>
      <c r="F19" s="1520" t="s">
        <v>2320</v>
      </c>
      <c r="G19" s="289"/>
      <c r="H19" s="289"/>
      <c r="I19" s="1281">
        <f>I12</f>
        <v>0.18740000000000001</v>
      </c>
      <c r="J19" s="1271"/>
      <c r="K19" s="289"/>
      <c r="L19" s="289"/>
      <c r="M19" s="289"/>
      <c r="N19" s="289"/>
      <c r="O19" s="1310"/>
      <c r="P19" s="289"/>
      <c r="Q19" s="1283"/>
      <c r="R19" s="1283"/>
      <c r="S19" s="1283"/>
      <c r="T19" s="1283"/>
      <c r="U19" s="1283">
        <f>I19*P$17/12*Q$17+SUM(R$17:T$17)</f>
        <v>1.0463166666666668</v>
      </c>
      <c r="V19" s="290" t="s">
        <v>1502</v>
      </c>
      <c r="W19" s="290"/>
      <c r="X19" s="407" t="s">
        <v>371</v>
      </c>
      <c r="Y19" s="1271"/>
      <c r="Z19" s="289"/>
      <c r="AA19" s="289"/>
      <c r="AB19" s="289"/>
      <c r="AC19" s="289"/>
      <c r="AD19" s="1310"/>
      <c r="AE19" s="289"/>
      <c r="AF19" s="1283"/>
      <c r="AG19" s="1283"/>
      <c r="AH19" s="1283"/>
      <c r="AI19" s="1283"/>
      <c r="AJ19" s="1283">
        <f>I19*$AE$16/12*$AF$16</f>
        <v>1.2805666666666669</v>
      </c>
      <c r="AK19" s="290" t="s">
        <v>1503</v>
      </c>
      <c r="AL19" s="290"/>
      <c r="AM19" s="407" t="s">
        <v>371</v>
      </c>
      <c r="AN19" s="1271"/>
      <c r="AO19" s="289"/>
      <c r="AP19" s="289"/>
      <c r="AQ19" s="289"/>
      <c r="AR19" s="289"/>
      <c r="AS19" s="1310"/>
      <c r="AT19" s="289"/>
      <c r="AU19" s="1283"/>
      <c r="AV19" s="1283"/>
      <c r="AW19" s="1283"/>
      <c r="AX19" s="1283"/>
      <c r="AY19" s="1283"/>
      <c r="AZ19" s="290" t="s">
        <v>1503</v>
      </c>
      <c r="BA19" s="290"/>
      <c r="BB19" s="407" t="s">
        <v>371</v>
      </c>
      <c r="BC19" s="402"/>
      <c r="BD19" s="289"/>
      <c r="BE19" s="289"/>
      <c r="BF19" s="289"/>
      <c r="BG19" s="289"/>
      <c r="BH19" s="1310"/>
      <c r="BI19" s="289"/>
      <c r="BJ19" s="1283"/>
      <c r="BK19" s="1283"/>
      <c r="BL19" s="1283"/>
      <c r="BM19" s="1283"/>
      <c r="BN19" s="1283"/>
      <c r="BO19" s="290" t="s">
        <v>1503</v>
      </c>
      <c r="BP19" s="290"/>
      <c r="BQ19" s="407" t="s">
        <v>371</v>
      </c>
      <c r="BR19" s="1271"/>
      <c r="BS19" s="289"/>
      <c r="BT19" s="289"/>
      <c r="BU19" s="289"/>
      <c r="BV19" s="289"/>
      <c r="BW19" s="1310"/>
      <c r="BX19" s="289"/>
      <c r="BY19" s="1283"/>
      <c r="BZ19" s="1283"/>
      <c r="CA19" s="1283"/>
      <c r="CB19" s="1283"/>
      <c r="CC19" s="1283"/>
      <c r="CD19" s="290"/>
      <c r="CE19" s="290"/>
      <c r="CF19" s="407" t="s">
        <v>371</v>
      </c>
    </row>
    <row r="20" spans="1:84" x14ac:dyDescent="0.25">
      <c r="B20" s="290"/>
      <c r="C20" s="290"/>
      <c r="D20" s="290" t="s">
        <v>1504</v>
      </c>
      <c r="E20" s="1520">
        <v>580020090</v>
      </c>
      <c r="F20" s="1520" t="s">
        <v>2321</v>
      </c>
      <c r="G20" s="289"/>
      <c r="H20" s="289"/>
      <c r="I20" s="1281">
        <f>I13</f>
        <v>0.2283</v>
      </c>
      <c r="J20" s="1271"/>
      <c r="K20" s="289"/>
      <c r="L20" s="289"/>
      <c r="M20" s="289"/>
      <c r="N20" s="289"/>
      <c r="O20" s="1310"/>
      <c r="P20" s="289"/>
      <c r="Q20" s="1283"/>
      <c r="R20" s="1283"/>
      <c r="S20" s="1283"/>
      <c r="T20" s="1283"/>
      <c r="U20" s="1283">
        <f>I20*P$17/12*Q$17+SUM(R$17:T$17)</f>
        <v>1.274675</v>
      </c>
      <c r="V20" s="290" t="s">
        <v>1504</v>
      </c>
      <c r="W20" s="290"/>
      <c r="X20" s="407" t="s">
        <v>371</v>
      </c>
      <c r="Y20" s="1271"/>
      <c r="Z20" s="289"/>
      <c r="AA20" s="289"/>
      <c r="AB20" s="289"/>
      <c r="AC20" s="289"/>
      <c r="AD20" s="1310"/>
      <c r="AE20" s="289"/>
      <c r="AF20" s="1283"/>
      <c r="AG20" s="1283"/>
      <c r="AH20" s="1283"/>
      <c r="AI20" s="1283"/>
      <c r="AJ20" s="1283">
        <f>I20*AE16/12*AF16</f>
        <v>1.5600500000000002</v>
      </c>
      <c r="AK20" s="290" t="s">
        <v>1505</v>
      </c>
      <c r="AL20" s="290"/>
      <c r="AM20" s="407" t="s">
        <v>371</v>
      </c>
      <c r="AN20" s="1271"/>
      <c r="AO20" s="289"/>
      <c r="AP20" s="289"/>
      <c r="AQ20" s="289"/>
      <c r="AR20" s="289"/>
      <c r="AS20" s="1310"/>
      <c r="AT20" s="289"/>
      <c r="AU20" s="1283"/>
      <c r="AV20" s="1283"/>
      <c r="AW20" s="1283"/>
      <c r="AX20" s="1283"/>
      <c r="AY20" s="1283"/>
      <c r="AZ20" s="290" t="s">
        <v>1505</v>
      </c>
      <c r="BA20" s="290"/>
      <c r="BB20" s="407" t="s">
        <v>371</v>
      </c>
      <c r="BC20" s="402"/>
      <c r="BD20" s="289"/>
      <c r="BE20" s="289"/>
      <c r="BF20" s="289"/>
      <c r="BG20" s="289"/>
      <c r="BH20" s="1310"/>
      <c r="BI20" s="289"/>
      <c r="BJ20" s="1283"/>
      <c r="BK20" s="1283"/>
      <c r="BL20" s="1283"/>
      <c r="BM20" s="1283"/>
      <c r="BN20" s="1283"/>
      <c r="BO20" s="290" t="s">
        <v>1505</v>
      </c>
      <c r="BP20" s="290"/>
      <c r="BQ20" s="407"/>
      <c r="BR20" s="1271"/>
      <c r="BS20" s="289"/>
      <c r="BT20" s="289"/>
      <c r="BU20" s="289"/>
      <c r="BV20" s="289"/>
      <c r="BW20" s="1310"/>
      <c r="BX20" s="289"/>
      <c r="BY20" s="1283"/>
      <c r="BZ20" s="1283"/>
      <c r="CA20" s="1283"/>
      <c r="CB20" s="1283"/>
      <c r="CC20" s="1283"/>
      <c r="CD20" s="290"/>
      <c r="CE20" s="290"/>
      <c r="CF20" s="407" t="s">
        <v>371</v>
      </c>
    </row>
    <row r="21" spans="1:84" x14ac:dyDescent="0.25">
      <c r="B21" s="290"/>
      <c r="C21" s="290"/>
      <c r="D21" s="290" t="s">
        <v>569</v>
      </c>
      <c r="E21" s="1520">
        <v>580020133</v>
      </c>
      <c r="F21" s="1520"/>
      <c r="G21" s="289"/>
      <c r="H21" s="289"/>
      <c r="I21" s="1281">
        <f>I14</f>
        <v>0.18740000000000001</v>
      </c>
      <c r="J21" s="1271"/>
      <c r="K21" s="289"/>
      <c r="L21" s="289"/>
      <c r="M21" s="289"/>
      <c r="N21" s="289"/>
      <c r="O21" s="1310"/>
      <c r="P21" s="289"/>
      <c r="Q21" s="1283"/>
      <c r="R21" s="1283"/>
      <c r="S21" s="1283"/>
      <c r="T21" s="1283"/>
      <c r="U21" s="1283">
        <f>I21*P$17/12*Q$17+SUM(R$17:T$17)</f>
        <v>1.0463166666666668</v>
      </c>
      <c r="V21" s="290" t="s">
        <v>569</v>
      </c>
      <c r="W21" s="290"/>
      <c r="X21" s="407" t="s">
        <v>371</v>
      </c>
      <c r="Y21" s="1271"/>
      <c r="Z21" s="289"/>
      <c r="AA21" s="289"/>
      <c r="AB21" s="289"/>
      <c r="AC21" s="289"/>
      <c r="AD21" s="1310"/>
      <c r="AE21" s="289"/>
      <c r="AF21" s="1283"/>
      <c r="AG21" s="1283"/>
      <c r="AH21" s="1283"/>
      <c r="AI21" s="1283"/>
      <c r="AJ21" s="1283">
        <f>I21*$AE$16/12*$AF$16</f>
        <v>1.2805666666666669</v>
      </c>
      <c r="AK21" s="290" t="s">
        <v>569</v>
      </c>
      <c r="AL21" s="290"/>
      <c r="AM21" s="407" t="s">
        <v>371</v>
      </c>
      <c r="AN21" s="1271"/>
      <c r="AO21" s="289"/>
      <c r="AP21" s="289"/>
      <c r="AQ21" s="289"/>
      <c r="AR21" s="289"/>
      <c r="AS21" s="1310"/>
      <c r="AT21" s="289"/>
      <c r="AU21" s="1283"/>
      <c r="AV21" s="1283"/>
      <c r="AW21" s="1283"/>
      <c r="AX21" s="1283"/>
      <c r="AY21" s="1283"/>
      <c r="AZ21" s="290" t="s">
        <v>569</v>
      </c>
      <c r="BA21" s="290"/>
      <c r="BB21" s="407" t="s">
        <v>371</v>
      </c>
      <c r="BC21" s="402"/>
      <c r="BD21" s="289"/>
      <c r="BE21" s="289"/>
      <c r="BF21" s="289"/>
      <c r="BG21" s="289"/>
      <c r="BH21" s="1310"/>
      <c r="BI21" s="289"/>
      <c r="BJ21" s="1283"/>
      <c r="BK21" s="1283"/>
      <c r="BL21" s="1283"/>
      <c r="BM21" s="1283"/>
      <c r="BN21" s="1283"/>
      <c r="BO21" s="290" t="s">
        <v>569</v>
      </c>
      <c r="BP21" s="290"/>
      <c r="BQ21" s="407" t="s">
        <v>371</v>
      </c>
      <c r="BR21" s="1271"/>
      <c r="BS21" s="289"/>
      <c r="BT21" s="289"/>
      <c r="BU21" s="289"/>
      <c r="BV21" s="289"/>
      <c r="BW21" s="1310"/>
      <c r="BX21" s="289"/>
      <c r="BY21" s="1283"/>
      <c r="BZ21" s="1283"/>
      <c r="CA21" s="1283"/>
      <c r="CB21" s="1283"/>
      <c r="CC21" s="1283"/>
      <c r="CD21" s="290"/>
      <c r="CE21" s="290"/>
      <c r="CF21" s="407" t="s">
        <v>371</v>
      </c>
    </row>
    <row r="22" spans="1:84" ht="13.8" thickBot="1" x14ac:dyDescent="0.3">
      <c r="B22" s="290"/>
      <c r="C22" s="290"/>
      <c r="D22" s="290" t="s">
        <v>1850</v>
      </c>
      <c r="E22" s="1521">
        <v>580020148</v>
      </c>
      <c r="F22" s="1521"/>
      <c r="G22" s="894"/>
      <c r="H22" s="894"/>
      <c r="I22" s="1289">
        <v>0</v>
      </c>
      <c r="J22" s="1290"/>
      <c r="K22" s="894"/>
      <c r="L22" s="894"/>
      <c r="M22" s="894"/>
      <c r="N22" s="894"/>
      <c r="O22" s="1315"/>
      <c r="P22" s="894"/>
      <c r="Q22" s="1296"/>
      <c r="R22" s="1296"/>
      <c r="S22" s="1296"/>
      <c r="T22" s="1296"/>
      <c r="U22" s="1657">
        <v>0</v>
      </c>
      <c r="V22" s="1098" t="s">
        <v>1850</v>
      </c>
      <c r="W22" s="1098"/>
      <c r="X22" s="1297" t="s">
        <v>371</v>
      </c>
      <c r="Y22" s="1290"/>
      <c r="Z22" s="894"/>
      <c r="AA22" s="894"/>
      <c r="AB22" s="894"/>
      <c r="AC22" s="894"/>
      <c r="AD22" s="1315"/>
      <c r="AE22" s="894"/>
      <c r="AF22" s="1296"/>
      <c r="AG22" s="1296"/>
      <c r="AH22" s="1296"/>
      <c r="AI22" s="1296"/>
      <c r="AJ22" s="1296">
        <v>0</v>
      </c>
      <c r="AK22" s="1098" t="s">
        <v>1850</v>
      </c>
      <c r="AL22" s="1098"/>
      <c r="AM22" s="1297" t="s">
        <v>371</v>
      </c>
      <c r="AN22" s="1290"/>
      <c r="AO22" s="894"/>
      <c r="AP22" s="894"/>
      <c r="AQ22" s="894"/>
      <c r="AR22" s="894"/>
      <c r="AS22" s="1315"/>
      <c r="AT22" s="894"/>
      <c r="AU22" s="1296"/>
      <c r="AV22" s="1296"/>
      <c r="AW22" s="1296"/>
      <c r="AX22" s="1296"/>
      <c r="AY22" s="1296"/>
      <c r="AZ22" s="1098" t="s">
        <v>1850</v>
      </c>
      <c r="BA22" s="1098"/>
      <c r="BB22" s="1297" t="s">
        <v>371</v>
      </c>
      <c r="BC22" s="1314"/>
      <c r="BD22" s="894"/>
      <c r="BE22" s="894"/>
      <c r="BF22" s="894"/>
      <c r="BG22" s="894"/>
      <c r="BH22" s="1315"/>
      <c r="BI22" s="894"/>
      <c r="BJ22" s="1296"/>
      <c r="BK22" s="1296"/>
      <c r="BL22" s="1296"/>
      <c r="BM22" s="1296"/>
      <c r="BN22" s="1296"/>
      <c r="BO22" s="1098" t="s">
        <v>1850</v>
      </c>
      <c r="BP22" s="1098"/>
      <c r="BQ22" s="1297" t="s">
        <v>371</v>
      </c>
      <c r="BR22" s="1290"/>
      <c r="BS22" s="894"/>
      <c r="BT22" s="894"/>
      <c r="BU22" s="894"/>
      <c r="BV22" s="894"/>
      <c r="BW22" s="1315"/>
      <c r="BX22" s="894"/>
      <c r="BY22" s="1296"/>
      <c r="BZ22" s="1296"/>
      <c r="CA22" s="1296"/>
      <c r="CB22" s="1296"/>
      <c r="CC22" s="1296"/>
      <c r="CD22" s="1098"/>
      <c r="CE22" s="1098"/>
      <c r="CF22" s="1297" t="s">
        <v>371</v>
      </c>
    </row>
    <row r="23" spans="1:84" x14ac:dyDescent="0.25">
      <c r="B23" s="378" t="s">
        <v>1508</v>
      </c>
      <c r="C23" s="1301"/>
      <c r="D23" s="1301"/>
      <c r="E23" s="1651"/>
      <c r="F23" s="290"/>
      <c r="G23" s="289">
        <v>45</v>
      </c>
      <c r="H23" s="289" t="s">
        <v>385</v>
      </c>
      <c r="I23" s="1281"/>
      <c r="J23" s="1271"/>
      <c r="K23" s="289"/>
      <c r="L23" s="289"/>
      <c r="M23" s="289"/>
      <c r="N23" s="289"/>
      <c r="O23" s="289"/>
      <c r="P23" s="289">
        <v>1</v>
      </c>
      <c r="Q23" s="289">
        <v>4</v>
      </c>
      <c r="R23" s="289"/>
      <c r="S23" s="289"/>
      <c r="T23" s="289"/>
      <c r="U23" s="1283"/>
      <c r="V23" s="290"/>
      <c r="W23" s="290"/>
      <c r="X23" s="407" t="s">
        <v>81</v>
      </c>
      <c r="Y23" s="1271"/>
      <c r="Z23" s="289"/>
      <c r="AA23" s="289"/>
      <c r="AB23" s="289"/>
      <c r="AC23" s="289"/>
      <c r="AD23" s="289"/>
      <c r="AE23" s="289">
        <v>1</v>
      </c>
      <c r="AF23" s="289">
        <f>AE23*4</f>
        <v>4</v>
      </c>
      <c r="AG23" s="289"/>
      <c r="AH23" s="289"/>
      <c r="AI23" s="289"/>
      <c r="AJ23" s="1283"/>
      <c r="AK23" s="290"/>
      <c r="AL23" s="290"/>
      <c r="AM23" s="407" t="s">
        <v>81</v>
      </c>
      <c r="AN23" s="1271"/>
      <c r="AO23" s="289"/>
      <c r="AP23" s="289"/>
      <c r="AQ23" s="289"/>
      <c r="AR23" s="289"/>
      <c r="AS23" s="289"/>
      <c r="AT23" s="289">
        <v>2</v>
      </c>
      <c r="AU23" s="289">
        <f>AT23*4</f>
        <v>8</v>
      </c>
      <c r="AV23" s="289"/>
      <c r="AW23" s="289"/>
      <c r="AX23" s="289"/>
      <c r="AY23" s="1283">
        <f>AU23*$I$23</f>
        <v>0</v>
      </c>
      <c r="AZ23" s="290"/>
      <c r="BA23" s="290"/>
      <c r="BB23" s="407" t="s">
        <v>81</v>
      </c>
      <c r="BC23" s="402"/>
      <c r="BD23" s="289"/>
      <c r="BE23" s="289"/>
      <c r="BF23" s="289"/>
      <c r="BG23" s="289"/>
      <c r="BH23" s="289"/>
      <c r="BI23" s="289">
        <v>2</v>
      </c>
      <c r="BJ23" s="289">
        <f>BI23*4</f>
        <v>8</v>
      </c>
      <c r="BK23" s="289"/>
      <c r="BL23" s="289"/>
      <c r="BM23" s="289"/>
      <c r="BN23" s="1283">
        <f>BJ23*$I$23</f>
        <v>0</v>
      </c>
      <c r="BO23" s="290"/>
      <c r="BP23" s="290"/>
      <c r="BQ23" s="407" t="s">
        <v>81</v>
      </c>
      <c r="BR23" s="1271"/>
      <c r="BS23" s="289"/>
      <c r="BT23" s="289"/>
      <c r="BU23" s="289"/>
      <c r="BV23" s="289"/>
      <c r="BW23" s="289"/>
      <c r="BX23" s="289">
        <v>1</v>
      </c>
      <c r="BY23" s="289">
        <v>4</v>
      </c>
      <c r="BZ23" s="289"/>
      <c r="CA23" s="289"/>
      <c r="CB23" s="289"/>
      <c r="CC23" s="1283">
        <f>$I23*BX23*BY23</f>
        <v>0</v>
      </c>
      <c r="CD23" s="290"/>
      <c r="CE23" s="290"/>
      <c r="CF23" s="407" t="s">
        <v>81</v>
      </c>
    </row>
    <row r="24" spans="1:84" x14ac:dyDescent="0.25">
      <c r="B24" s="290"/>
      <c r="C24" s="290"/>
      <c r="D24" s="290" t="s">
        <v>1507</v>
      </c>
      <c r="E24" s="1520">
        <v>430026003</v>
      </c>
      <c r="F24" s="1520"/>
      <c r="G24" s="289"/>
      <c r="H24" s="289"/>
      <c r="I24" s="1434">
        <v>4.8300000000000003E-2</v>
      </c>
      <c r="J24" s="1271"/>
      <c r="K24" s="289"/>
      <c r="L24" s="289"/>
      <c r="M24" s="289"/>
      <c r="N24" s="289"/>
      <c r="O24" s="1310"/>
      <c r="P24" s="289"/>
      <c r="Q24" s="1283"/>
      <c r="R24" s="1283"/>
      <c r="S24" s="1283"/>
      <c r="T24" s="1283"/>
      <c r="U24" s="1283">
        <f>I24*P$23*Q$23+SUM(R$23:T$23)</f>
        <v>0.19320000000000001</v>
      </c>
      <c r="V24" s="290" t="s">
        <v>1499</v>
      </c>
      <c r="W24" s="290"/>
      <c r="X24" s="407" t="s">
        <v>81</v>
      </c>
      <c r="Y24" s="1271"/>
      <c r="Z24" s="289"/>
      <c r="AA24" s="289"/>
      <c r="AB24" s="289"/>
      <c r="AC24" s="289"/>
      <c r="AD24" s="1310"/>
      <c r="AE24" s="289"/>
      <c r="AF24" s="1283"/>
      <c r="AG24" s="1283"/>
      <c r="AH24" s="1283"/>
      <c r="AI24" s="1283"/>
      <c r="AJ24" s="1283">
        <f>I24*AE$23*AF$23+SUM(AG$23:AI$23)</f>
        <v>0.19320000000000001</v>
      </c>
      <c r="AK24" s="290" t="s">
        <v>824</v>
      </c>
      <c r="AL24" s="290"/>
      <c r="AM24" s="407" t="s">
        <v>81</v>
      </c>
      <c r="AN24" s="1271"/>
      <c r="AO24" s="289"/>
      <c r="AP24" s="289"/>
      <c r="AQ24" s="289"/>
      <c r="AR24" s="289"/>
      <c r="AS24" s="1310"/>
      <c r="AT24" s="289"/>
      <c r="AU24" s="1283"/>
      <c r="AV24" s="1283"/>
      <c r="AW24" s="1283"/>
      <c r="AX24" s="1283"/>
      <c r="AY24" s="1283"/>
      <c r="AZ24" s="290" t="s">
        <v>824</v>
      </c>
      <c r="BA24" s="290"/>
      <c r="BB24" s="407" t="s">
        <v>81</v>
      </c>
      <c r="BC24" s="402"/>
      <c r="BD24" s="289"/>
      <c r="BE24" s="289"/>
      <c r="BF24" s="289"/>
      <c r="BG24" s="289"/>
      <c r="BH24" s="1310"/>
      <c r="BI24" s="289"/>
      <c r="BJ24" s="1283"/>
      <c r="BK24" s="1283"/>
      <c r="BL24" s="1283"/>
      <c r="BM24" s="1283"/>
      <c r="BN24" s="1283"/>
      <c r="BO24" s="290" t="s">
        <v>824</v>
      </c>
      <c r="BP24" s="290"/>
      <c r="BQ24" s="407" t="s">
        <v>81</v>
      </c>
      <c r="BR24" s="1271"/>
      <c r="BS24" s="289"/>
      <c r="BT24" s="289"/>
      <c r="BU24" s="289"/>
      <c r="BV24" s="289"/>
      <c r="BW24" s="1310"/>
      <c r="BX24" s="289"/>
      <c r="BY24" s="1283"/>
      <c r="BZ24" s="1283"/>
      <c r="CA24" s="1283"/>
      <c r="CB24" s="1283"/>
      <c r="CC24" s="1283"/>
      <c r="CD24" s="290"/>
      <c r="CE24" s="290"/>
      <c r="CF24" s="407" t="s">
        <v>81</v>
      </c>
    </row>
    <row r="25" spans="1:84" x14ac:dyDescent="0.25">
      <c r="B25" s="290"/>
      <c r="C25" s="290"/>
      <c r="D25" s="290" t="s">
        <v>1500</v>
      </c>
      <c r="E25" s="1520">
        <v>430026021</v>
      </c>
      <c r="F25" s="1520"/>
      <c r="G25" s="289"/>
      <c r="H25" s="289"/>
      <c r="I25" s="1434">
        <v>3.9199999999999999E-2</v>
      </c>
      <c r="J25" s="1271"/>
      <c r="K25" s="289"/>
      <c r="L25" s="289"/>
      <c r="M25" s="289"/>
      <c r="N25" s="289"/>
      <c r="O25" s="1310"/>
      <c r="P25" s="289"/>
      <c r="Q25" s="1283"/>
      <c r="R25" s="1283"/>
      <c r="S25" s="1283"/>
      <c r="T25" s="1283"/>
      <c r="U25" s="1283">
        <f t="shared" ref="U25:U26" si="1">I25*P$23*Q$23+SUM(R$23:T$23)</f>
        <v>0.15679999999999999</v>
      </c>
      <c r="V25" s="290" t="s">
        <v>1500</v>
      </c>
      <c r="W25" s="290"/>
      <c r="X25" s="407" t="s">
        <v>371</v>
      </c>
      <c r="Y25" s="1271"/>
      <c r="Z25" s="289"/>
      <c r="AA25" s="289"/>
      <c r="AB25" s="289"/>
      <c r="AC25" s="289"/>
      <c r="AD25" s="1310"/>
      <c r="AE25" s="289"/>
      <c r="AF25" s="1283"/>
      <c r="AG25" s="1283"/>
      <c r="AH25" s="1283"/>
      <c r="AI25" s="1283"/>
      <c r="AJ25" s="1283">
        <f>I25*AE$23*AF$23+SUM(AG$23:AI$23)</f>
        <v>0.15679999999999999</v>
      </c>
      <c r="AK25" s="290" t="s">
        <v>1501</v>
      </c>
      <c r="AL25" s="290"/>
      <c r="AM25" s="407" t="s">
        <v>371</v>
      </c>
      <c r="AN25" s="1271"/>
      <c r="AO25" s="289"/>
      <c r="AP25" s="289"/>
      <c r="AQ25" s="289"/>
      <c r="AR25" s="289"/>
      <c r="AS25" s="1310"/>
      <c r="AT25" s="289"/>
      <c r="AU25" s="1283"/>
      <c r="AV25" s="1283"/>
      <c r="AW25" s="1283"/>
      <c r="AX25" s="1283"/>
      <c r="AY25" s="1283"/>
      <c r="AZ25" s="290" t="s">
        <v>1501</v>
      </c>
      <c r="BA25" s="290"/>
      <c r="BB25" s="407" t="s">
        <v>371</v>
      </c>
      <c r="BC25" s="402"/>
      <c r="BD25" s="289"/>
      <c r="BE25" s="289"/>
      <c r="BF25" s="289"/>
      <c r="BG25" s="289"/>
      <c r="BH25" s="1310"/>
      <c r="BI25" s="289"/>
      <c r="BJ25" s="1283"/>
      <c r="BK25" s="1283"/>
      <c r="BL25" s="1283"/>
      <c r="BM25" s="1283"/>
      <c r="BN25" s="1283"/>
      <c r="BO25" s="290" t="s">
        <v>1501</v>
      </c>
      <c r="BP25" s="290"/>
      <c r="BQ25" s="407" t="s">
        <v>371</v>
      </c>
      <c r="BR25" s="1271"/>
      <c r="BS25" s="289"/>
      <c r="BT25" s="289"/>
      <c r="BU25" s="289"/>
      <c r="BV25" s="289"/>
      <c r="BW25" s="1310"/>
      <c r="BX25" s="289"/>
      <c r="BY25" s="1283"/>
      <c r="BZ25" s="1283"/>
      <c r="CA25" s="1283"/>
      <c r="CB25" s="1283"/>
      <c r="CC25" s="1283"/>
      <c r="CD25" s="290"/>
      <c r="CE25" s="290"/>
      <c r="CF25" s="407" t="s">
        <v>371</v>
      </c>
    </row>
    <row r="26" spans="1:84" x14ac:dyDescent="0.25">
      <c r="B26" s="290"/>
      <c r="C26" s="290"/>
      <c r="D26" s="290" t="s">
        <v>1502</v>
      </c>
      <c r="E26" s="1520">
        <v>430026033</v>
      </c>
      <c r="F26" s="1520"/>
      <c r="G26" s="289"/>
      <c r="H26" s="289"/>
      <c r="I26" s="1434">
        <v>4.53E-2</v>
      </c>
      <c r="J26" s="1271"/>
      <c r="K26" s="289"/>
      <c r="L26" s="289"/>
      <c r="M26" s="289"/>
      <c r="N26" s="289"/>
      <c r="O26" s="1310"/>
      <c r="P26" s="289"/>
      <c r="Q26" s="1283"/>
      <c r="R26" s="1283"/>
      <c r="S26" s="1283"/>
      <c r="T26" s="1283"/>
      <c r="U26" s="1283">
        <f t="shared" si="1"/>
        <v>0.1812</v>
      </c>
      <c r="V26" s="290" t="s">
        <v>1502</v>
      </c>
      <c r="W26" s="290"/>
      <c r="X26" s="407" t="s">
        <v>371</v>
      </c>
      <c r="Y26" s="1271"/>
      <c r="Z26" s="289"/>
      <c r="AA26" s="289"/>
      <c r="AB26" s="289"/>
      <c r="AC26" s="289"/>
      <c r="AD26" s="1310"/>
      <c r="AE26" s="289"/>
      <c r="AF26" s="1283"/>
      <c r="AG26" s="1283"/>
      <c r="AH26" s="1283"/>
      <c r="AI26" s="1283"/>
      <c r="AJ26" s="1283">
        <f>I26*AE$23*AF$23+SUM(AG$23:AI$23)</f>
        <v>0.1812</v>
      </c>
      <c r="AK26" s="290" t="s">
        <v>1503</v>
      </c>
      <c r="AL26" s="290"/>
      <c r="AM26" s="407" t="s">
        <v>371</v>
      </c>
      <c r="AN26" s="1271"/>
      <c r="AO26" s="289"/>
      <c r="AP26" s="289"/>
      <c r="AQ26" s="289"/>
      <c r="AR26" s="289"/>
      <c r="AS26" s="1310"/>
      <c r="AT26" s="289"/>
      <c r="AU26" s="1283"/>
      <c r="AV26" s="1283"/>
      <c r="AW26" s="1283"/>
      <c r="AX26" s="1283"/>
      <c r="AY26" s="1283"/>
      <c r="AZ26" s="290" t="s">
        <v>1503</v>
      </c>
      <c r="BA26" s="290"/>
      <c r="BB26" s="407" t="s">
        <v>371</v>
      </c>
      <c r="BC26" s="402"/>
      <c r="BD26" s="289"/>
      <c r="BE26" s="289"/>
      <c r="BF26" s="289"/>
      <c r="BG26" s="289"/>
      <c r="BH26" s="1310"/>
      <c r="BI26" s="289"/>
      <c r="BJ26" s="1283"/>
      <c r="BK26" s="1283"/>
      <c r="BL26" s="1283"/>
      <c r="BM26" s="1283"/>
      <c r="BN26" s="1283"/>
      <c r="BO26" s="290" t="s">
        <v>1503</v>
      </c>
      <c r="BP26" s="290"/>
      <c r="BQ26" s="407" t="s">
        <v>371</v>
      </c>
      <c r="BR26" s="1271"/>
      <c r="BS26" s="289"/>
      <c r="BT26" s="289"/>
      <c r="BU26" s="289"/>
      <c r="BV26" s="289"/>
      <c r="BW26" s="1310"/>
      <c r="BX26" s="289"/>
      <c r="BY26" s="1283"/>
      <c r="BZ26" s="1283"/>
      <c r="CA26" s="1283"/>
      <c r="CB26" s="1283"/>
      <c r="CC26" s="1283"/>
      <c r="CD26" s="290"/>
      <c r="CE26" s="290"/>
      <c r="CF26" s="407" t="s">
        <v>371</v>
      </c>
    </row>
    <row r="27" spans="1:84" x14ac:dyDescent="0.25">
      <c r="B27" s="290"/>
      <c r="C27" s="290"/>
      <c r="D27" s="290" t="s">
        <v>1504</v>
      </c>
      <c r="E27" s="1520">
        <v>430026090</v>
      </c>
      <c r="F27" s="1520"/>
      <c r="G27" s="289"/>
      <c r="H27" s="289"/>
      <c r="I27" s="1434">
        <v>3.6999999999999998E-2</v>
      </c>
      <c r="J27" s="1271"/>
      <c r="K27" s="289"/>
      <c r="L27" s="289"/>
      <c r="M27" s="289"/>
      <c r="N27" s="289"/>
      <c r="O27" s="1310"/>
      <c r="P27" s="289"/>
      <c r="Q27" s="1283"/>
      <c r="R27" s="1283"/>
      <c r="S27" s="1283"/>
      <c r="T27" s="1283"/>
      <c r="U27" s="1283">
        <f>I27*P$23*Q$23+SUM(R$23:T$23)</f>
        <v>0.14799999999999999</v>
      </c>
      <c r="V27" s="290" t="s">
        <v>1504</v>
      </c>
      <c r="W27" s="290"/>
      <c r="X27" s="407" t="s">
        <v>371</v>
      </c>
      <c r="Y27" s="1271"/>
      <c r="Z27" s="289"/>
      <c r="AA27" s="289"/>
      <c r="AB27" s="289"/>
      <c r="AC27" s="289"/>
      <c r="AD27" s="1310"/>
      <c r="AE27" s="289"/>
      <c r="AF27" s="1283"/>
      <c r="AG27" s="1283"/>
      <c r="AH27" s="1283"/>
      <c r="AI27" s="1283"/>
      <c r="AJ27" s="1283">
        <f>I27*AE$23*AF$23+SUM(AG$23:AI$23)</f>
        <v>0.14799999999999999</v>
      </c>
      <c r="AK27" s="290" t="s">
        <v>1505</v>
      </c>
      <c r="AL27" s="290"/>
      <c r="AM27" s="407" t="s">
        <v>371</v>
      </c>
      <c r="AN27" s="1271"/>
      <c r="AO27" s="289"/>
      <c r="AP27" s="289"/>
      <c r="AQ27" s="289"/>
      <c r="AR27" s="289"/>
      <c r="AS27" s="1310"/>
      <c r="AT27" s="289"/>
      <c r="AU27" s="1283"/>
      <c r="AV27" s="1283"/>
      <c r="AW27" s="1283"/>
      <c r="AX27" s="1283"/>
      <c r="AY27" s="1283"/>
      <c r="AZ27" s="290" t="s">
        <v>1505</v>
      </c>
      <c r="BA27" s="290"/>
      <c r="BB27" s="407" t="s">
        <v>371</v>
      </c>
      <c r="BC27" s="402"/>
      <c r="BD27" s="289"/>
      <c r="BE27" s="289"/>
      <c r="BF27" s="289"/>
      <c r="BG27" s="289"/>
      <c r="BH27" s="1310"/>
      <c r="BI27" s="289"/>
      <c r="BJ27" s="1283"/>
      <c r="BK27" s="1283"/>
      <c r="BL27" s="1283"/>
      <c r="BM27" s="1283"/>
      <c r="BN27" s="1283"/>
      <c r="BO27" s="290" t="s">
        <v>1505</v>
      </c>
      <c r="BP27" s="290"/>
      <c r="BQ27" s="407" t="s">
        <v>371</v>
      </c>
      <c r="BR27" s="1271"/>
      <c r="BS27" s="289"/>
      <c r="BT27" s="289"/>
      <c r="BU27" s="289"/>
      <c r="BV27" s="289"/>
      <c r="BW27" s="1310"/>
      <c r="BX27" s="289"/>
      <c r="BY27" s="1283"/>
      <c r="BZ27" s="1283"/>
      <c r="CA27" s="1283"/>
      <c r="CB27" s="1283"/>
      <c r="CC27" s="1283"/>
      <c r="CD27" s="290"/>
      <c r="CE27" s="290"/>
      <c r="CF27" s="407" t="s">
        <v>371</v>
      </c>
    </row>
    <row r="28" spans="1:84" x14ac:dyDescent="0.25">
      <c r="B28" s="290"/>
      <c r="C28" s="290"/>
      <c r="D28" s="290" t="s">
        <v>569</v>
      </c>
      <c r="E28" s="1520">
        <v>430026133</v>
      </c>
      <c r="F28" s="1520"/>
      <c r="G28" s="289"/>
      <c r="H28" s="289"/>
      <c r="I28" s="1434">
        <v>3.6999999999999998E-2</v>
      </c>
      <c r="J28" s="1271"/>
      <c r="K28" s="289"/>
      <c r="L28" s="289"/>
      <c r="M28" s="289"/>
      <c r="N28" s="289"/>
      <c r="O28" s="1310"/>
      <c r="P28" s="289"/>
      <c r="Q28" s="1283"/>
      <c r="R28" s="1283"/>
      <c r="S28" s="1283"/>
      <c r="T28" s="1283"/>
      <c r="U28" s="1283">
        <f t="shared" ref="U28" si="2">I28*P$23*Q$23+SUM(R$23:T$23)</f>
        <v>0.14799999999999999</v>
      </c>
      <c r="V28" s="290" t="s">
        <v>569</v>
      </c>
      <c r="W28" s="290"/>
      <c r="X28" s="407" t="s">
        <v>371</v>
      </c>
      <c r="Y28" s="1271"/>
      <c r="Z28" s="289"/>
      <c r="AA28" s="289"/>
      <c r="AB28" s="289"/>
      <c r="AC28" s="289"/>
      <c r="AD28" s="1310"/>
      <c r="AE28" s="289"/>
      <c r="AF28" s="1283"/>
      <c r="AG28" s="1283"/>
      <c r="AH28" s="1283"/>
      <c r="AI28" s="1283"/>
      <c r="AJ28" s="1283">
        <f>I28*AE$23*AF$23+SUM(AG$23:AI$23)</f>
        <v>0.14799999999999999</v>
      </c>
      <c r="AK28" s="290" t="s">
        <v>569</v>
      </c>
      <c r="AL28" s="290"/>
      <c r="AM28" s="407" t="s">
        <v>371</v>
      </c>
      <c r="AN28" s="1271"/>
      <c r="AO28" s="289"/>
      <c r="AP28" s="289"/>
      <c r="AQ28" s="289"/>
      <c r="AR28" s="289"/>
      <c r="AS28" s="1310"/>
      <c r="AT28" s="289"/>
      <c r="AU28" s="1283"/>
      <c r="AV28" s="1283"/>
      <c r="AW28" s="1283"/>
      <c r="AX28" s="1283"/>
      <c r="AY28" s="1283"/>
      <c r="AZ28" s="290" t="s">
        <v>569</v>
      </c>
      <c r="BA28" s="290"/>
      <c r="BB28" s="407" t="s">
        <v>371</v>
      </c>
      <c r="BC28" s="402"/>
      <c r="BD28" s="289"/>
      <c r="BE28" s="289"/>
      <c r="BF28" s="289"/>
      <c r="BG28" s="289"/>
      <c r="BH28" s="1310"/>
      <c r="BI28" s="289"/>
      <c r="BJ28" s="1283"/>
      <c r="BK28" s="1283"/>
      <c r="BL28" s="1283"/>
      <c r="BM28" s="1283"/>
      <c r="BN28" s="1283"/>
      <c r="BO28" s="290" t="s">
        <v>569</v>
      </c>
      <c r="BP28" s="290"/>
      <c r="BQ28" s="407" t="s">
        <v>371</v>
      </c>
      <c r="BR28" s="1271"/>
      <c r="BS28" s="289"/>
      <c r="BT28" s="289"/>
      <c r="BU28" s="289"/>
      <c r="BV28" s="289"/>
      <c r="BW28" s="1310"/>
      <c r="BX28" s="289"/>
      <c r="BY28" s="1283"/>
      <c r="BZ28" s="1283"/>
      <c r="CA28" s="1283"/>
      <c r="CB28" s="1283"/>
      <c r="CC28" s="1283"/>
      <c r="CD28" s="290"/>
      <c r="CE28" s="290"/>
      <c r="CF28" s="407" t="s">
        <v>371</v>
      </c>
    </row>
    <row r="29" spans="1:84" ht="13.8" thickBot="1" x14ac:dyDescent="0.3">
      <c r="B29" s="290"/>
      <c r="C29" s="290"/>
      <c r="D29" s="290" t="s">
        <v>1850</v>
      </c>
      <c r="E29" s="1521">
        <v>430026148</v>
      </c>
      <c r="F29" s="1521"/>
      <c r="G29" s="894"/>
      <c r="H29" s="894"/>
      <c r="I29" s="1439">
        <v>3.1E-2</v>
      </c>
      <c r="J29" s="1290"/>
      <c r="K29" s="894"/>
      <c r="L29" s="894"/>
      <c r="M29" s="894"/>
      <c r="N29" s="894"/>
      <c r="O29" s="1315"/>
      <c r="P29" s="894"/>
      <c r="Q29" s="1296"/>
      <c r="R29" s="1296"/>
      <c r="S29" s="1296"/>
      <c r="T29" s="1296"/>
      <c r="U29" s="1296">
        <f>I29*P$23*Q$23+SUM(R$23:T$23)</f>
        <v>0.124</v>
      </c>
      <c r="V29" s="1098" t="s">
        <v>1850</v>
      </c>
      <c r="W29" s="1098"/>
      <c r="X29" s="1297" t="s">
        <v>371</v>
      </c>
      <c r="Y29" s="1290"/>
      <c r="Z29" s="894"/>
      <c r="AA29" s="894"/>
      <c r="AB29" s="894"/>
      <c r="AC29" s="894"/>
      <c r="AD29" s="1315"/>
      <c r="AE29" s="894"/>
      <c r="AF29" s="1296"/>
      <c r="AG29" s="1296"/>
      <c r="AH29" s="1296"/>
      <c r="AI29" s="1296"/>
      <c r="AJ29" s="1296" t="e">
        <f>X29*AE$23*AF$23+SUM(AG$23:AI$23)</f>
        <v>#VALUE!</v>
      </c>
      <c r="AK29" s="1098" t="s">
        <v>1850</v>
      </c>
      <c r="AL29" s="1098"/>
      <c r="AM29" s="1297" t="s">
        <v>371</v>
      </c>
      <c r="AN29" s="1290"/>
      <c r="AO29" s="894"/>
      <c r="AP29" s="894"/>
      <c r="AQ29" s="894"/>
      <c r="AR29" s="894"/>
      <c r="AS29" s="1315"/>
      <c r="AT29" s="894"/>
      <c r="AU29" s="1296"/>
      <c r="AV29" s="1296"/>
      <c r="AW29" s="1296"/>
      <c r="AX29" s="1296"/>
      <c r="AY29" s="1296"/>
      <c r="AZ29" s="1098" t="s">
        <v>1850</v>
      </c>
      <c r="BA29" s="1098"/>
      <c r="BB29" s="1297" t="s">
        <v>371</v>
      </c>
      <c r="BC29" s="1314"/>
      <c r="BD29" s="894"/>
      <c r="BE29" s="894"/>
      <c r="BF29" s="894"/>
      <c r="BG29" s="894"/>
      <c r="BH29" s="1315"/>
      <c r="BI29" s="894"/>
      <c r="BJ29" s="1296"/>
      <c r="BK29" s="1296"/>
      <c r="BL29" s="1296"/>
      <c r="BM29" s="1296"/>
      <c r="BN29" s="1296"/>
      <c r="BO29" s="1098" t="s">
        <v>1850</v>
      </c>
      <c r="BP29" s="1098"/>
      <c r="BQ29" s="1297" t="s">
        <v>371</v>
      </c>
      <c r="BR29" s="1290"/>
      <c r="BS29" s="894"/>
      <c r="BT29" s="894"/>
      <c r="BU29" s="894"/>
      <c r="BV29" s="894"/>
      <c r="BW29" s="1315"/>
      <c r="BX29" s="894"/>
      <c r="BY29" s="1296"/>
      <c r="BZ29" s="1296"/>
      <c r="CA29" s="1296"/>
      <c r="CB29" s="1296"/>
      <c r="CC29" s="1296"/>
      <c r="CD29" s="1098"/>
      <c r="CE29" s="1098"/>
      <c r="CF29" s="1297" t="s">
        <v>371</v>
      </c>
    </row>
    <row r="30" spans="1:84" x14ac:dyDescent="0.25">
      <c r="B30" s="378" t="s">
        <v>1509</v>
      </c>
      <c r="C30" s="1301"/>
      <c r="D30" s="1301"/>
      <c r="E30" s="1831">
        <v>580049000</v>
      </c>
      <c r="F30" s="289">
        <v>249969</v>
      </c>
      <c r="G30" s="289">
        <v>45</v>
      </c>
      <c r="H30" s="289" t="s">
        <v>385</v>
      </c>
      <c r="I30" s="1434">
        <v>6.9099999999999995E-2</v>
      </c>
      <c r="J30" s="1271"/>
      <c r="K30" s="289"/>
      <c r="L30" s="289"/>
      <c r="M30" s="289"/>
      <c r="N30" s="289"/>
      <c r="O30" s="1310"/>
      <c r="P30" s="289">
        <v>1</v>
      </c>
      <c r="Q30" s="289">
        <v>2</v>
      </c>
      <c r="R30" s="1283"/>
      <c r="S30" s="1283"/>
      <c r="T30" s="1283"/>
      <c r="U30" s="1283"/>
      <c r="V30" s="290"/>
      <c r="W30" s="290"/>
      <c r="X30" s="407" t="s">
        <v>153</v>
      </c>
      <c r="Y30" s="1271"/>
      <c r="Z30" s="289"/>
      <c r="AA30" s="289"/>
      <c r="AB30" s="289"/>
      <c r="AC30" s="289"/>
      <c r="AD30" s="1310"/>
      <c r="AE30" s="289"/>
      <c r="AF30" s="1283"/>
      <c r="AG30" s="1283"/>
      <c r="AH30" s="1283"/>
      <c r="AI30" s="1283"/>
      <c r="AJ30" s="1283"/>
      <c r="AK30" s="290"/>
      <c r="AL30" s="290"/>
      <c r="AM30" s="407" t="s">
        <v>153</v>
      </c>
      <c r="AN30" s="1271"/>
      <c r="AO30" s="289"/>
      <c r="AP30" s="289"/>
      <c r="AQ30" s="289"/>
      <c r="AR30" s="289"/>
      <c r="AS30" s="1310"/>
      <c r="AT30" s="289"/>
      <c r="AU30" s="1283"/>
      <c r="AV30" s="1283"/>
      <c r="AW30" s="1283"/>
      <c r="AX30" s="1283"/>
      <c r="AY30" s="1283"/>
      <c r="AZ30" s="290"/>
      <c r="BA30" s="290"/>
      <c r="BB30" s="407" t="s">
        <v>153</v>
      </c>
      <c r="BC30" s="402"/>
      <c r="BD30" s="289"/>
      <c r="BE30" s="289"/>
      <c r="BF30" s="289"/>
      <c r="BG30" s="289"/>
      <c r="BH30" s="1310"/>
      <c r="BI30" s="289"/>
      <c r="BJ30" s="1283"/>
      <c r="BK30" s="1283"/>
      <c r="BL30" s="1283"/>
      <c r="BM30" s="1283"/>
      <c r="BN30" s="1283"/>
      <c r="BO30" s="290"/>
      <c r="BP30" s="290"/>
      <c r="BQ30" s="407" t="s">
        <v>153</v>
      </c>
      <c r="BR30" s="1271"/>
      <c r="BS30" s="289"/>
      <c r="BT30" s="289"/>
      <c r="BU30" s="289"/>
      <c r="BV30" s="289"/>
      <c r="BW30" s="1310"/>
      <c r="BX30" s="289">
        <v>1</v>
      </c>
      <c r="BY30" s="289">
        <v>2</v>
      </c>
      <c r="BZ30" s="1283"/>
      <c r="CA30" s="1283"/>
      <c r="CB30" s="1283"/>
      <c r="CC30" s="1283">
        <f>$I33*BX30*BY30</f>
        <v>0</v>
      </c>
      <c r="CD30" s="290"/>
      <c r="CE30" s="290"/>
      <c r="CF30" s="407" t="s">
        <v>81</v>
      </c>
    </row>
    <row r="31" spans="1:84" x14ac:dyDescent="0.25">
      <c r="B31" s="87"/>
      <c r="C31" s="87" t="s">
        <v>1510</v>
      </c>
      <c r="D31" s="290"/>
      <c r="E31" s="1651"/>
      <c r="F31" s="290"/>
      <c r="G31" s="290"/>
      <c r="H31" s="290"/>
      <c r="I31" s="1173"/>
      <c r="J31" s="1271"/>
      <c r="K31" s="289"/>
      <c r="L31" s="289"/>
      <c r="M31" s="289"/>
      <c r="N31" s="289"/>
      <c r="O31" s="1310"/>
      <c r="P31" s="289"/>
      <c r="Q31" s="289"/>
      <c r="R31" s="1283"/>
      <c r="S31" s="1283"/>
      <c r="T31" s="1283"/>
      <c r="U31" s="1283"/>
      <c r="V31" s="290"/>
      <c r="W31" s="290"/>
      <c r="Y31" s="1271"/>
      <c r="Z31" s="289"/>
      <c r="AA31" s="289"/>
      <c r="AB31" s="289"/>
      <c r="AC31" s="289"/>
      <c r="AD31" s="1310"/>
      <c r="AE31" s="289"/>
      <c r="AF31" s="1283"/>
      <c r="AG31" s="1283"/>
      <c r="AH31" s="1283"/>
      <c r="AI31" s="1283"/>
      <c r="AJ31" s="1283"/>
      <c r="AK31" s="290"/>
      <c r="AL31" s="290"/>
      <c r="AM31" s="407"/>
      <c r="AN31" s="1271"/>
      <c r="AO31" s="289"/>
      <c r="AP31" s="289"/>
      <c r="AQ31" s="289"/>
      <c r="AR31" s="289"/>
      <c r="AS31" s="1310"/>
      <c r="AT31" s="289"/>
      <c r="AU31" s="1283"/>
      <c r="AV31" s="1283"/>
      <c r="AW31" s="1283"/>
      <c r="AX31" s="1283"/>
      <c r="AY31" s="1283"/>
      <c r="AZ31" s="290"/>
      <c r="BA31" s="290"/>
      <c r="BB31" s="407"/>
      <c r="BC31" s="402"/>
      <c r="BD31" s="289"/>
      <c r="BE31" s="289"/>
      <c r="BF31" s="289"/>
      <c r="BG31" s="289"/>
      <c r="BH31" s="1310"/>
      <c r="BI31" s="289"/>
      <c r="BJ31" s="1283"/>
      <c r="BK31" s="1283"/>
      <c r="BL31" s="1283"/>
      <c r="BM31" s="1283"/>
      <c r="BN31" s="1283"/>
      <c r="BO31" s="290"/>
      <c r="BP31" s="290"/>
      <c r="BQ31" s="407"/>
      <c r="BR31" s="1271"/>
      <c r="BS31" s="289"/>
      <c r="BT31" s="289"/>
      <c r="BU31" s="289"/>
      <c r="BV31" s="289"/>
      <c r="BW31" s="1310"/>
      <c r="BX31" s="289"/>
      <c r="BY31" s="289"/>
      <c r="BZ31" s="1283"/>
      <c r="CA31" s="1283"/>
      <c r="CB31" s="1283"/>
      <c r="CC31" s="1283"/>
      <c r="CD31" s="290"/>
      <c r="CE31" s="290"/>
      <c r="CF31" s="407"/>
    </row>
    <row r="32" spans="1:84" x14ac:dyDescent="0.25">
      <c r="B32" s="87"/>
      <c r="C32" s="290"/>
      <c r="D32" s="290"/>
      <c r="E32" s="1651"/>
      <c r="F32" s="290"/>
      <c r="G32" s="290"/>
      <c r="H32" s="290"/>
      <c r="I32" s="1173"/>
      <c r="J32" s="1271"/>
      <c r="K32" s="289"/>
      <c r="L32" s="289"/>
      <c r="M32" s="289"/>
      <c r="N32" s="289"/>
      <c r="O32" s="1310"/>
      <c r="P32" s="289"/>
      <c r="Q32" s="289"/>
      <c r="R32" s="1283"/>
      <c r="S32" s="1283"/>
      <c r="T32" s="1283"/>
      <c r="U32" s="1283"/>
      <c r="V32" s="290"/>
      <c r="W32" s="290"/>
      <c r="Y32" s="1271"/>
      <c r="Z32" s="289"/>
      <c r="AA32" s="289"/>
      <c r="AB32" s="289"/>
      <c r="AC32" s="289"/>
      <c r="AD32" s="1310"/>
      <c r="AE32" s="289"/>
      <c r="AF32" s="1283"/>
      <c r="AG32" s="1283"/>
      <c r="AH32" s="1283"/>
      <c r="AI32" s="1283"/>
      <c r="AJ32" s="1283"/>
      <c r="AK32" s="290"/>
      <c r="AL32" s="290"/>
      <c r="AM32" s="407"/>
      <c r="AN32" s="1271"/>
      <c r="AO32" s="289"/>
      <c r="AP32" s="289"/>
      <c r="AQ32" s="289"/>
      <c r="AR32" s="289"/>
      <c r="AS32" s="1310"/>
      <c r="AT32" s="289"/>
      <c r="AU32" s="1283"/>
      <c r="AV32" s="1283"/>
      <c r="AW32" s="1283"/>
      <c r="AX32" s="1283"/>
      <c r="AY32" s="1283"/>
      <c r="AZ32" s="290"/>
      <c r="BA32" s="290"/>
      <c r="BB32" s="407"/>
      <c r="BC32" s="402"/>
      <c r="BD32" s="289"/>
      <c r="BE32" s="289"/>
      <c r="BF32" s="289"/>
      <c r="BG32" s="289"/>
      <c r="BH32" s="1310"/>
      <c r="BI32" s="289"/>
      <c r="BJ32" s="1283"/>
      <c r="BK32" s="1283"/>
      <c r="BL32" s="1283"/>
      <c r="BM32" s="1283"/>
      <c r="BN32" s="1283"/>
      <c r="BO32" s="290"/>
      <c r="BP32" s="290"/>
      <c r="BQ32" s="407"/>
      <c r="BR32" s="1271"/>
      <c r="BS32" s="289"/>
      <c r="BT32" s="289"/>
      <c r="BU32" s="289"/>
      <c r="BV32" s="289"/>
      <c r="BW32" s="1310"/>
      <c r="BX32" s="289"/>
      <c r="BY32" s="289"/>
      <c r="BZ32" s="1283"/>
      <c r="CA32" s="1283"/>
      <c r="CB32" s="1283"/>
      <c r="CC32" s="1283"/>
      <c r="CD32" s="290"/>
      <c r="CE32" s="290"/>
      <c r="CF32" s="407"/>
    </row>
    <row r="33" spans="1:84" ht="13.8" thickBot="1" x14ac:dyDescent="0.3">
      <c r="B33" s="1288"/>
      <c r="C33" s="1098"/>
      <c r="D33" s="1098"/>
      <c r="E33" s="1521"/>
      <c r="F33" s="894"/>
      <c r="G33" s="894"/>
      <c r="H33" s="894"/>
      <c r="I33" s="1289"/>
      <c r="J33" s="1290"/>
      <c r="K33" s="894"/>
      <c r="L33" s="894"/>
      <c r="M33" s="894"/>
      <c r="N33" s="894"/>
      <c r="O33" s="1315"/>
      <c r="P33" s="894"/>
      <c r="Q33" s="894"/>
      <c r="R33" s="1296"/>
      <c r="S33" s="1296"/>
      <c r="T33" s="1296"/>
      <c r="U33" s="1296"/>
      <c r="V33" s="1098"/>
      <c r="W33" s="1098"/>
      <c r="X33" s="1297"/>
      <c r="Y33" s="1290"/>
      <c r="Z33" s="894"/>
      <c r="AA33" s="894"/>
      <c r="AB33" s="894"/>
      <c r="AC33" s="894"/>
      <c r="AD33" s="1315"/>
      <c r="AE33" s="894"/>
      <c r="AF33" s="1296"/>
      <c r="AG33" s="1296"/>
      <c r="AH33" s="1296"/>
      <c r="AI33" s="1296"/>
      <c r="AJ33" s="1296"/>
      <c r="AK33" s="1098"/>
      <c r="AL33" s="1098"/>
      <c r="AM33" s="1297"/>
      <c r="AN33" s="1290"/>
      <c r="AO33" s="894"/>
      <c r="AP33" s="894"/>
      <c r="AQ33" s="894"/>
      <c r="AR33" s="894"/>
      <c r="AS33" s="1315"/>
      <c r="AT33" s="894"/>
      <c r="AU33" s="1296"/>
      <c r="AV33" s="1296"/>
      <c r="AW33" s="1296"/>
      <c r="AX33" s="1296"/>
      <c r="AY33" s="1296"/>
      <c r="AZ33" s="1098"/>
      <c r="BA33" s="1098"/>
      <c r="BB33" s="1297"/>
      <c r="BC33" s="1314"/>
      <c r="BD33" s="894"/>
      <c r="BE33" s="894"/>
      <c r="BF33" s="894"/>
      <c r="BG33" s="894"/>
      <c r="BH33" s="1315"/>
      <c r="BI33" s="894"/>
      <c r="BJ33" s="1296"/>
      <c r="BK33" s="1296"/>
      <c r="BL33" s="1296"/>
      <c r="BM33" s="1296"/>
      <c r="BN33" s="1296"/>
      <c r="BO33" s="1098"/>
      <c r="BP33" s="1098"/>
      <c r="BQ33" s="1297"/>
      <c r="BR33" s="1290"/>
      <c r="BS33" s="894"/>
      <c r="BT33" s="894"/>
      <c r="BU33" s="894"/>
      <c r="BV33" s="894"/>
      <c r="BW33" s="1315"/>
      <c r="BX33" s="894"/>
      <c r="BY33" s="894"/>
      <c r="BZ33" s="1296"/>
      <c r="CA33" s="1296"/>
      <c r="CB33" s="1296"/>
      <c r="CC33" s="1296"/>
      <c r="CD33" s="1098"/>
      <c r="CE33" s="1098"/>
      <c r="CF33" s="1297"/>
    </row>
    <row r="34" spans="1:84" x14ac:dyDescent="0.25">
      <c r="B34" s="87" t="s">
        <v>2324</v>
      </c>
      <c r="C34" s="290"/>
      <c r="D34" s="203"/>
      <c r="E34" s="1651"/>
      <c r="F34" s="290"/>
      <c r="G34" s="396" t="s">
        <v>1133</v>
      </c>
      <c r="H34" s="289" t="s">
        <v>367</v>
      </c>
      <c r="I34" s="399"/>
      <c r="J34" s="1271"/>
      <c r="K34" s="203"/>
      <c r="L34" s="289"/>
      <c r="M34" s="898"/>
      <c r="N34" s="203" t="s">
        <v>1511</v>
      </c>
      <c r="O34" s="1656">
        <f>VLOOKUP(INDEX($D$35:$D$41,MATCH(R2,$D$35:$D$41,-1)),$D$35:$I$41,2,FALSE)</f>
        <v>580011051368</v>
      </c>
      <c r="P34" s="1316">
        <f>ROUNDUP(R3/12,0)</f>
        <v>3</v>
      </c>
      <c r="Q34" s="289">
        <v>1</v>
      </c>
      <c r="R34" s="289"/>
      <c r="S34" s="289"/>
      <c r="T34" s="289"/>
      <c r="U34" s="1283"/>
      <c r="V34" s="290"/>
      <c r="W34" s="290"/>
      <c r="X34" s="407" t="s">
        <v>81</v>
      </c>
      <c r="Y34" s="1271"/>
      <c r="Z34" s="290"/>
      <c r="AA34" s="289"/>
      <c r="AB34" s="289"/>
      <c r="AC34" s="203" t="s">
        <v>1512</v>
      </c>
      <c r="AD34" s="412">
        <f>VLOOKUP(INDEX($D$35:$D$41,MATCH(AG2,$D$35:$D$41,-1)),$D$35:$I$41,2,FALSE)</f>
        <v>580011051248</v>
      </c>
      <c r="AE34" s="1316">
        <f>ROUNDUP(AG3/12,0)</f>
        <v>4</v>
      </c>
      <c r="AF34" s="289">
        <v>1</v>
      </c>
      <c r="AG34" s="289"/>
      <c r="AH34" s="289"/>
      <c r="AI34" s="289"/>
      <c r="AJ34" s="1283"/>
      <c r="AK34" s="290"/>
      <c r="AL34" s="290"/>
      <c r="AM34" s="407" t="s">
        <v>81</v>
      </c>
      <c r="AN34" s="1271"/>
      <c r="AO34" s="290"/>
      <c r="AP34" s="289"/>
      <c r="AQ34" s="289"/>
      <c r="AR34" s="203" t="s">
        <v>1512</v>
      </c>
      <c r="AS34" s="412">
        <f>VLOOKUP(INDEX($D$35:$D$41,MATCH(AV2,$D$35:$D$41,-1)),$D$35:$I$41,2,FALSE)</f>
        <v>580011051248</v>
      </c>
      <c r="AT34" s="879">
        <f>ROUNDUP(AV3/12,0)</f>
        <v>4</v>
      </c>
      <c r="AU34" s="289">
        <v>2</v>
      </c>
      <c r="AV34" s="289"/>
      <c r="AW34" s="289"/>
      <c r="AX34" s="289"/>
      <c r="AY34" s="1283"/>
      <c r="AZ34" s="290"/>
      <c r="BA34" s="290"/>
      <c r="BB34" s="407" t="s">
        <v>81</v>
      </c>
      <c r="BC34" s="402"/>
      <c r="BD34" s="290"/>
      <c r="BE34" s="289"/>
      <c r="BF34" s="289"/>
      <c r="BG34" s="203" t="s">
        <v>1512</v>
      </c>
      <c r="BH34" s="412" t="e">
        <f>VLOOKUP(INDEX($D$35:$D$41,MATCH($BK$2,$D$35:$D$41,-1)),$D$35:$I$41,2,FALSE)</f>
        <v>#NAME?</v>
      </c>
      <c r="BI34" s="879">
        <f>ROUNDUP(BK3/12,0)</f>
        <v>4</v>
      </c>
      <c r="BJ34" s="289">
        <v>2</v>
      </c>
      <c r="BK34" s="289"/>
      <c r="BL34" s="289"/>
      <c r="BM34" s="289"/>
      <c r="BN34" s="1283"/>
      <c r="BO34" s="290"/>
      <c r="BP34" s="290"/>
      <c r="BQ34" s="407" t="s">
        <v>81</v>
      </c>
      <c r="BR34" s="1271"/>
      <c r="BS34" s="203"/>
      <c r="BT34" s="289"/>
      <c r="BU34" s="898"/>
      <c r="BV34" s="203" t="s">
        <v>1511</v>
      </c>
      <c r="BW34" s="412">
        <f>VLOOKUP(INDEX($D$35:$D$41,MATCH($U$2,$D$35:$D$41,-1)),$D$35:$P$41,2,FALSE)</f>
        <v>580011051208</v>
      </c>
      <c r="BX34" s="879">
        <f>ROUNDUP(BZ3/12,0)</f>
        <v>4</v>
      </c>
      <c r="BY34" s="289">
        <v>1</v>
      </c>
      <c r="BZ34" s="289"/>
      <c r="CA34" s="289"/>
      <c r="CB34" s="289"/>
      <c r="CC34" s="1283"/>
      <c r="CD34" s="290"/>
      <c r="CE34" s="290"/>
      <c r="CF34" s="407" t="s">
        <v>81</v>
      </c>
    </row>
    <row r="35" spans="1:84" x14ac:dyDescent="0.25">
      <c r="B35" s="290" t="s">
        <v>2322</v>
      </c>
      <c r="C35" s="290"/>
      <c r="D35" s="1317">
        <v>44</v>
      </c>
      <c r="E35" s="1832">
        <v>580011051446</v>
      </c>
      <c r="F35" s="289">
        <v>60897</v>
      </c>
      <c r="G35" s="289">
        <v>45</v>
      </c>
      <c r="H35" s="289" t="s">
        <v>367</v>
      </c>
      <c r="I35" s="1435">
        <v>0.27100000000000002</v>
      </c>
      <c r="J35" s="1271"/>
      <c r="K35" s="289"/>
      <c r="L35" s="290"/>
      <c r="M35" s="2083">
        <f>D35</f>
        <v>44</v>
      </c>
      <c r="N35" s="2085"/>
      <c r="O35" s="413" t="str">
        <f>IF($E35=O$34,"X","")</f>
        <v/>
      </c>
      <c r="P35" s="289"/>
      <c r="Q35" s="1318"/>
      <c r="R35" s="1318"/>
      <c r="S35" s="1318"/>
      <c r="T35" s="1318"/>
      <c r="U35" s="1283">
        <f>IF(O35&lt;&gt;"",$I35*P$34,0)*Q$34</f>
        <v>0</v>
      </c>
      <c r="V35" s="290"/>
      <c r="W35" s="290"/>
      <c r="X35" s="407" t="s">
        <v>81</v>
      </c>
      <c r="Y35" s="1271"/>
      <c r="Z35" s="289"/>
      <c r="AA35" s="289"/>
      <c r="AB35" s="2083">
        <f>D35</f>
        <v>44</v>
      </c>
      <c r="AC35" s="2084"/>
      <c r="AD35" s="413" t="str">
        <f>IF($E35=AD$34,"X","")</f>
        <v/>
      </c>
      <c r="AE35" s="289"/>
      <c r="AF35" s="1283"/>
      <c r="AG35" s="1318"/>
      <c r="AH35" s="1318"/>
      <c r="AI35" s="1318"/>
      <c r="AJ35" s="1283">
        <f>IF(AD35&lt;&gt;"",AE$34*$I35,0)*AF$34</f>
        <v>0</v>
      </c>
      <c r="AK35" s="290"/>
      <c r="AL35" s="290"/>
      <c r="AM35" s="407" t="s">
        <v>81</v>
      </c>
      <c r="AN35" s="1271"/>
      <c r="AO35" s="289"/>
      <c r="AP35" s="289"/>
      <c r="AQ35" s="289"/>
      <c r="AR35" s="289"/>
      <c r="AS35" s="396" t="str">
        <f>IF($E35=AS$34,"X","")</f>
        <v/>
      </c>
      <c r="AT35" s="289"/>
      <c r="AU35" s="1283">
        <v>0</v>
      </c>
      <c r="AV35" s="1318"/>
      <c r="AW35" s="1318"/>
      <c r="AX35" s="1318"/>
      <c r="AY35" s="1283">
        <f>IF(AS35&lt;&gt;"",AT$34*$I35,0)*AU$34</f>
        <v>0</v>
      </c>
      <c r="AZ35" s="290"/>
      <c r="BA35" s="290"/>
      <c r="BB35" s="407" t="s">
        <v>81</v>
      </c>
      <c r="BC35" s="402"/>
      <c r="BD35" s="289"/>
      <c r="BE35" s="289"/>
      <c r="BF35" s="289"/>
      <c r="BG35" s="289"/>
      <c r="BH35" s="396" t="e">
        <f>IF($E35=BH$34,"X","")</f>
        <v>#NAME?</v>
      </c>
      <c r="BI35" s="289"/>
      <c r="BJ35" s="1283"/>
      <c r="BK35" s="1318"/>
      <c r="BL35" s="1318"/>
      <c r="BM35" s="1318"/>
      <c r="BN35" s="1283" t="e">
        <f>IF(BH35&lt;&gt;"",BI$34*$I35,0)*BJ$34</f>
        <v>#NAME?</v>
      </c>
      <c r="BO35" s="290"/>
      <c r="BP35" s="290"/>
      <c r="BQ35" s="407" t="s">
        <v>81</v>
      </c>
      <c r="BR35" s="1271"/>
      <c r="BS35" s="289"/>
      <c r="BT35" s="289"/>
      <c r="BU35" s="289"/>
      <c r="BV35" s="289"/>
      <c r="BW35" s="396" t="str">
        <f>IF($E35=BW$34,"X","")</f>
        <v/>
      </c>
      <c r="BX35" s="289"/>
      <c r="BY35" s="1318"/>
      <c r="BZ35" s="1318"/>
      <c r="CA35" s="1318"/>
      <c r="CB35" s="1318"/>
      <c r="CC35" s="1283">
        <f>IF(BW35&lt;&gt;"",BX$34*$I35,0)*BY$34</f>
        <v>0</v>
      </c>
      <c r="CD35" s="290"/>
      <c r="CE35" s="290"/>
      <c r="CF35" s="407" t="s">
        <v>81</v>
      </c>
    </row>
    <row r="36" spans="1:84" x14ac:dyDescent="0.25">
      <c r="A36" s="290"/>
      <c r="B36" s="290" t="s">
        <v>2322</v>
      </c>
      <c r="C36" s="290"/>
      <c r="D36" s="1317">
        <v>40</v>
      </c>
      <c r="E36" s="1832">
        <v>580011051406</v>
      </c>
      <c r="F36" s="289">
        <v>60889</v>
      </c>
      <c r="G36" s="289">
        <v>45</v>
      </c>
      <c r="H36" s="289" t="s">
        <v>367</v>
      </c>
      <c r="I36" s="1435">
        <v>0.24629999999999999</v>
      </c>
      <c r="J36" s="1271"/>
      <c r="K36" s="289"/>
      <c r="L36" s="290"/>
      <c r="M36" s="2083">
        <f t="shared" ref="M36:M41" si="3">D36</f>
        <v>40</v>
      </c>
      <c r="N36" s="2085"/>
      <c r="O36" s="413" t="str">
        <f t="shared" ref="O36:O41" si="4">IF($E36=O$34,"X","")</f>
        <v/>
      </c>
      <c r="P36" s="289"/>
      <c r="Q36" s="1318"/>
      <c r="R36" s="1318"/>
      <c r="S36" s="1318"/>
      <c r="T36" s="1318"/>
      <c r="U36" s="1283">
        <f>IF(O36&lt;&gt;"",$I36*P$34,0)*Q$34</f>
        <v>0</v>
      </c>
      <c r="V36" s="290"/>
      <c r="W36" s="290"/>
      <c r="X36" s="407" t="s">
        <v>81</v>
      </c>
      <c r="Y36" s="1271"/>
      <c r="Z36" s="289"/>
      <c r="AA36" s="289"/>
      <c r="AB36" s="2083">
        <f t="shared" ref="AB36:AB41" si="5">D36</f>
        <v>40</v>
      </c>
      <c r="AC36" s="2084"/>
      <c r="AD36" s="413" t="str">
        <f t="shared" ref="AD36:AD41" si="6">IF($E36=AD$34,"X","")</f>
        <v/>
      </c>
      <c r="AE36" s="289"/>
      <c r="AF36" s="1283"/>
      <c r="AG36" s="1318"/>
      <c r="AH36" s="1318"/>
      <c r="AI36" s="1318"/>
      <c r="AJ36" s="1283">
        <f t="shared" ref="AJ36:AJ41" si="7">IF(AD36&lt;&gt;"",AE$34*$I36,0)*AF$34</f>
        <v>0</v>
      </c>
      <c r="AK36" s="290"/>
      <c r="AL36" s="290"/>
      <c r="AM36" s="407" t="s">
        <v>81</v>
      </c>
      <c r="AN36" s="1271"/>
      <c r="AO36" s="289"/>
      <c r="AP36" s="289"/>
      <c r="AQ36" s="289"/>
      <c r="AR36" s="289"/>
      <c r="AS36" s="396" t="str">
        <f t="shared" ref="AS36:AS41" si="8">IF($E36=AS$34,"X","")</f>
        <v/>
      </c>
      <c r="AT36" s="289"/>
      <c r="AU36" s="1283">
        <v>0</v>
      </c>
      <c r="AV36" s="1318"/>
      <c r="AW36" s="1318"/>
      <c r="AX36" s="1318"/>
      <c r="AY36" s="1283">
        <f t="shared" ref="AY36:AY41" si="9">IF(AS36&lt;&gt;"",AT$34*$I36,0)*AU$34</f>
        <v>0</v>
      </c>
      <c r="AZ36" s="290"/>
      <c r="BA36" s="290"/>
      <c r="BB36" s="407" t="s">
        <v>81</v>
      </c>
      <c r="BC36" s="402"/>
      <c r="BD36" s="289"/>
      <c r="BE36" s="289"/>
      <c r="BF36" s="289"/>
      <c r="BG36" s="289"/>
      <c r="BH36" s="396" t="e">
        <f t="shared" ref="BH36:BH41" si="10">IF($E36=BH$34,"X","")</f>
        <v>#NAME?</v>
      </c>
      <c r="BI36" s="289"/>
      <c r="BJ36" s="1283"/>
      <c r="BK36" s="1318"/>
      <c r="BL36" s="1318"/>
      <c r="BM36" s="1318"/>
      <c r="BN36" s="1283" t="e">
        <f t="shared" ref="BN36:BN41" si="11">IF(BH36&lt;&gt;"",BI$34*$I36,0)*BJ$34</f>
        <v>#NAME?</v>
      </c>
      <c r="BO36" s="290"/>
      <c r="BP36" s="290"/>
      <c r="BQ36" s="407" t="s">
        <v>81</v>
      </c>
      <c r="BR36" s="1271"/>
      <c r="BS36" s="289"/>
      <c r="BT36" s="289"/>
      <c r="BU36" s="289"/>
      <c r="BV36" s="289"/>
      <c r="BW36" s="396" t="str">
        <f t="shared" ref="BW36:BW41" si="12">IF($E36=BW$34,"X","")</f>
        <v/>
      </c>
      <c r="BX36" s="289"/>
      <c r="BY36" s="1318"/>
      <c r="BZ36" s="1318"/>
      <c r="CA36" s="1318"/>
      <c r="CB36" s="1318"/>
      <c r="CC36" s="1283">
        <f t="shared" ref="CC36:CC41" si="13">IF(BW36&lt;&gt;"",BX$34*$I36,0)*BY$34</f>
        <v>0</v>
      </c>
      <c r="CD36" s="290"/>
      <c r="CE36" s="290"/>
      <c r="CF36" s="407" t="s">
        <v>81</v>
      </c>
    </row>
    <row r="37" spans="1:84" x14ac:dyDescent="0.25">
      <c r="A37" s="290"/>
      <c r="B37" s="290" t="s">
        <v>2323</v>
      </c>
      <c r="C37" s="290"/>
      <c r="D37" s="1317">
        <v>36</v>
      </c>
      <c r="E37" s="1832">
        <v>580011051368</v>
      </c>
      <c r="F37" s="289">
        <v>60871</v>
      </c>
      <c r="G37" s="289">
        <v>45</v>
      </c>
      <c r="H37" s="289" t="s">
        <v>367</v>
      </c>
      <c r="I37" s="1435">
        <v>0.22170000000000001</v>
      </c>
      <c r="J37" s="1271"/>
      <c r="K37" s="289"/>
      <c r="L37" s="290"/>
      <c r="M37" s="2083">
        <f t="shared" si="3"/>
        <v>36</v>
      </c>
      <c r="N37" s="2085"/>
      <c r="O37" s="413" t="str">
        <f t="shared" si="4"/>
        <v>X</v>
      </c>
      <c r="P37" s="289"/>
      <c r="Q37" s="1318"/>
      <c r="R37" s="1318"/>
      <c r="S37" s="1318"/>
      <c r="T37" s="1318"/>
      <c r="U37" s="1283">
        <f>IF(O37&lt;&gt;"",$I37*P$34,0)*Q$34</f>
        <v>0.66510000000000002</v>
      </c>
      <c r="V37" s="290"/>
      <c r="W37" s="290"/>
      <c r="X37" s="407" t="s">
        <v>81</v>
      </c>
      <c r="Y37" s="1271"/>
      <c r="Z37" s="289"/>
      <c r="AA37" s="289"/>
      <c r="AB37" s="2083">
        <f t="shared" si="5"/>
        <v>36</v>
      </c>
      <c r="AC37" s="2084"/>
      <c r="AD37" s="413" t="str">
        <f t="shared" si="6"/>
        <v/>
      </c>
      <c r="AE37" s="289"/>
      <c r="AF37" s="1283"/>
      <c r="AG37" s="1318"/>
      <c r="AH37" s="1318"/>
      <c r="AI37" s="1318"/>
      <c r="AJ37" s="1283">
        <f t="shared" si="7"/>
        <v>0</v>
      </c>
      <c r="AK37" s="290"/>
      <c r="AL37" s="290"/>
      <c r="AM37" s="407" t="s">
        <v>81</v>
      </c>
      <c r="AN37" s="1271"/>
      <c r="AO37" s="289"/>
      <c r="AP37" s="289"/>
      <c r="AQ37" s="289"/>
      <c r="AR37" s="289"/>
      <c r="AS37" s="396" t="str">
        <f t="shared" si="8"/>
        <v/>
      </c>
      <c r="AT37" s="289"/>
      <c r="AU37" s="1283">
        <v>0</v>
      </c>
      <c r="AV37" s="1318"/>
      <c r="AW37" s="1318"/>
      <c r="AX37" s="1318"/>
      <c r="AY37" s="1283">
        <f t="shared" si="9"/>
        <v>0</v>
      </c>
      <c r="AZ37" s="290"/>
      <c r="BA37" s="290"/>
      <c r="BB37" s="407" t="s">
        <v>81</v>
      </c>
      <c r="BC37" s="402"/>
      <c r="BD37" s="289"/>
      <c r="BE37" s="289"/>
      <c r="BF37" s="289"/>
      <c r="BG37" s="289"/>
      <c r="BH37" s="396" t="e">
        <f t="shared" si="10"/>
        <v>#NAME?</v>
      </c>
      <c r="BI37" s="289"/>
      <c r="BJ37" s="1283"/>
      <c r="BK37" s="1318"/>
      <c r="BL37" s="1318"/>
      <c r="BM37" s="1318"/>
      <c r="BN37" s="1283" t="e">
        <f t="shared" si="11"/>
        <v>#NAME?</v>
      </c>
      <c r="BO37" s="290"/>
      <c r="BP37" s="290"/>
      <c r="BQ37" s="407" t="s">
        <v>81</v>
      </c>
      <c r="BR37" s="1271"/>
      <c r="BS37" s="289"/>
      <c r="BT37" s="289"/>
      <c r="BU37" s="289"/>
      <c r="BV37" s="289"/>
      <c r="BW37" s="396" t="str">
        <f t="shared" si="12"/>
        <v/>
      </c>
      <c r="BX37" s="289"/>
      <c r="BY37" s="1318"/>
      <c r="BZ37" s="1318"/>
      <c r="CA37" s="1318"/>
      <c r="CB37" s="1318"/>
      <c r="CC37" s="1283">
        <f t="shared" si="13"/>
        <v>0</v>
      </c>
      <c r="CD37" s="290"/>
      <c r="CE37" s="290"/>
      <c r="CF37" s="407" t="s">
        <v>81</v>
      </c>
    </row>
    <row r="38" spans="1:84" x14ac:dyDescent="0.25">
      <c r="A38" s="290"/>
      <c r="B38" s="290" t="s">
        <v>2323</v>
      </c>
      <c r="C38" s="290"/>
      <c r="D38" s="1317">
        <v>32</v>
      </c>
      <c r="E38" s="1832">
        <v>580011051328</v>
      </c>
      <c r="F38" s="289">
        <v>60863</v>
      </c>
      <c r="G38" s="289">
        <v>45</v>
      </c>
      <c r="H38" s="289" t="s">
        <v>367</v>
      </c>
      <c r="I38" s="1435">
        <v>0.1971</v>
      </c>
      <c r="J38" s="1271"/>
      <c r="K38" s="289"/>
      <c r="L38" s="290"/>
      <c r="M38" s="2083">
        <f t="shared" si="3"/>
        <v>32</v>
      </c>
      <c r="N38" s="2085"/>
      <c r="O38" s="413" t="str">
        <f t="shared" si="4"/>
        <v/>
      </c>
      <c r="P38" s="289"/>
      <c r="Q38" s="1318"/>
      <c r="R38" s="1318"/>
      <c r="S38" s="1318"/>
      <c r="T38" s="1318"/>
      <c r="U38" s="1283">
        <f>IF(O38&lt;&gt;"",$I38*P$34,0)*Q$34</f>
        <v>0</v>
      </c>
      <c r="V38" s="290"/>
      <c r="W38" s="290"/>
      <c r="X38" s="407" t="s">
        <v>81</v>
      </c>
      <c r="Y38" s="1271"/>
      <c r="Z38" s="289"/>
      <c r="AA38" s="289"/>
      <c r="AB38" s="2083">
        <f t="shared" si="5"/>
        <v>32</v>
      </c>
      <c r="AC38" s="2084"/>
      <c r="AD38" s="413" t="str">
        <f t="shared" si="6"/>
        <v/>
      </c>
      <c r="AE38" s="289"/>
      <c r="AF38" s="1283"/>
      <c r="AG38" s="1318"/>
      <c r="AH38" s="1318"/>
      <c r="AI38" s="1318"/>
      <c r="AJ38" s="1283">
        <f t="shared" si="7"/>
        <v>0</v>
      </c>
      <c r="AK38" s="290"/>
      <c r="AL38" s="290"/>
      <c r="AM38" s="407" t="s">
        <v>81</v>
      </c>
      <c r="AN38" s="1271"/>
      <c r="AO38" s="289"/>
      <c r="AP38" s="289"/>
      <c r="AQ38" s="289"/>
      <c r="AR38" s="289"/>
      <c r="AS38" s="396" t="str">
        <f t="shared" si="8"/>
        <v/>
      </c>
      <c r="AT38" s="289"/>
      <c r="AU38" s="1283">
        <v>0</v>
      </c>
      <c r="AV38" s="1318"/>
      <c r="AW38" s="1318"/>
      <c r="AX38" s="1318"/>
      <c r="AY38" s="1283">
        <f t="shared" si="9"/>
        <v>0</v>
      </c>
      <c r="AZ38" s="290"/>
      <c r="BA38" s="290"/>
      <c r="BB38" s="407" t="s">
        <v>81</v>
      </c>
      <c r="BC38" s="402"/>
      <c r="BD38" s="289"/>
      <c r="BE38" s="289"/>
      <c r="BF38" s="289"/>
      <c r="BG38" s="289"/>
      <c r="BH38" s="396" t="e">
        <f t="shared" si="10"/>
        <v>#NAME?</v>
      </c>
      <c r="BI38" s="289"/>
      <c r="BJ38" s="1283"/>
      <c r="BK38" s="1318"/>
      <c r="BL38" s="1318"/>
      <c r="BM38" s="1318"/>
      <c r="BN38" s="1283" t="e">
        <f t="shared" si="11"/>
        <v>#NAME?</v>
      </c>
      <c r="BO38" s="290"/>
      <c r="BP38" s="290"/>
      <c r="BQ38" s="407" t="s">
        <v>81</v>
      </c>
      <c r="BR38" s="1271"/>
      <c r="BS38" s="289"/>
      <c r="BT38" s="289"/>
      <c r="BU38" s="289"/>
      <c r="BV38" s="289"/>
      <c r="BW38" s="396" t="str">
        <f t="shared" si="12"/>
        <v/>
      </c>
      <c r="BX38" s="289"/>
      <c r="BY38" s="1318"/>
      <c r="BZ38" s="1318"/>
      <c r="CA38" s="1318"/>
      <c r="CB38" s="1318"/>
      <c r="CC38" s="1283">
        <f t="shared" si="13"/>
        <v>0</v>
      </c>
      <c r="CD38" s="290"/>
      <c r="CE38" s="290"/>
      <c r="CF38" s="407" t="s">
        <v>81</v>
      </c>
    </row>
    <row r="39" spans="1:84" x14ac:dyDescent="0.25">
      <c r="A39" s="290"/>
      <c r="B39" s="290" t="s">
        <v>2323</v>
      </c>
      <c r="C39" s="290"/>
      <c r="D39" s="1317">
        <v>28</v>
      </c>
      <c r="E39" s="1832">
        <v>580011051288</v>
      </c>
      <c r="F39" s="289">
        <v>60855</v>
      </c>
      <c r="G39" s="289">
        <v>45</v>
      </c>
      <c r="H39" s="289" t="s">
        <v>367</v>
      </c>
      <c r="I39" s="1435">
        <v>0.1724</v>
      </c>
      <c r="J39" s="1271"/>
      <c r="K39" s="289"/>
      <c r="L39" s="290"/>
      <c r="M39" s="2083">
        <f t="shared" si="3"/>
        <v>28</v>
      </c>
      <c r="N39" s="2085"/>
      <c r="O39" s="413" t="str">
        <f t="shared" si="4"/>
        <v/>
      </c>
      <c r="P39" s="289"/>
      <c r="Q39" s="1318"/>
      <c r="R39" s="1318"/>
      <c r="S39" s="1318"/>
      <c r="T39" s="1318"/>
      <c r="U39" s="1283">
        <f t="shared" ref="U39:U41" si="14">IF(O39&lt;&gt;"",$I39*P$34,0)*Q$34</f>
        <v>0</v>
      </c>
      <c r="V39" s="290"/>
      <c r="W39" s="290"/>
      <c r="X39" s="407" t="s">
        <v>81</v>
      </c>
      <c r="Y39" s="1271"/>
      <c r="Z39" s="289"/>
      <c r="AA39" s="289"/>
      <c r="AB39" s="2083">
        <f t="shared" si="5"/>
        <v>28</v>
      </c>
      <c r="AC39" s="2084"/>
      <c r="AD39" s="413" t="str">
        <f t="shared" si="6"/>
        <v/>
      </c>
      <c r="AE39" s="289"/>
      <c r="AF39" s="1283"/>
      <c r="AG39" s="1318"/>
      <c r="AH39" s="1318"/>
      <c r="AI39" s="1318"/>
      <c r="AJ39" s="1283">
        <f t="shared" si="7"/>
        <v>0</v>
      </c>
      <c r="AK39" s="290"/>
      <c r="AL39" s="290"/>
      <c r="AM39" s="407" t="s">
        <v>81</v>
      </c>
      <c r="AN39" s="1271"/>
      <c r="AO39" s="289"/>
      <c r="AP39" s="289"/>
      <c r="AQ39" s="289"/>
      <c r="AR39" s="289"/>
      <c r="AS39" s="396" t="str">
        <f t="shared" si="8"/>
        <v/>
      </c>
      <c r="AT39" s="289"/>
      <c r="AU39" s="1283">
        <v>0</v>
      </c>
      <c r="AV39" s="1318"/>
      <c r="AW39" s="1318"/>
      <c r="AX39" s="1318"/>
      <c r="AY39" s="1283">
        <f t="shared" si="9"/>
        <v>0</v>
      </c>
      <c r="AZ39" s="290"/>
      <c r="BA39" s="290"/>
      <c r="BB39" s="407" t="s">
        <v>81</v>
      </c>
      <c r="BC39" s="402"/>
      <c r="BD39" s="289"/>
      <c r="BE39" s="289"/>
      <c r="BF39" s="289"/>
      <c r="BG39" s="289"/>
      <c r="BH39" s="396" t="e">
        <f t="shared" si="10"/>
        <v>#NAME?</v>
      </c>
      <c r="BI39" s="289"/>
      <c r="BJ39" s="1283"/>
      <c r="BK39" s="1318"/>
      <c r="BL39" s="1318"/>
      <c r="BM39" s="1318"/>
      <c r="BN39" s="1283" t="e">
        <f t="shared" si="11"/>
        <v>#NAME?</v>
      </c>
      <c r="BO39" s="290"/>
      <c r="BP39" s="290"/>
      <c r="BQ39" s="407" t="s">
        <v>81</v>
      </c>
      <c r="BR39" s="1271"/>
      <c r="BS39" s="289"/>
      <c r="BT39" s="289"/>
      <c r="BU39" s="289"/>
      <c r="BV39" s="289"/>
      <c r="BW39" s="396" t="str">
        <f t="shared" si="12"/>
        <v/>
      </c>
      <c r="BX39" s="289"/>
      <c r="BY39" s="1318"/>
      <c r="BZ39" s="1318"/>
      <c r="CA39" s="1318"/>
      <c r="CB39" s="1318"/>
      <c r="CC39" s="1283">
        <f t="shared" si="13"/>
        <v>0</v>
      </c>
      <c r="CD39" s="290"/>
      <c r="CE39" s="290"/>
      <c r="CF39" s="407" t="s">
        <v>81</v>
      </c>
    </row>
    <row r="40" spans="1:84" x14ac:dyDescent="0.25">
      <c r="A40" s="290"/>
      <c r="B40" s="290" t="s">
        <v>2323</v>
      </c>
      <c r="C40" s="290"/>
      <c r="D40" s="1317">
        <v>24</v>
      </c>
      <c r="E40" s="1832">
        <v>580011051248</v>
      </c>
      <c r="F40" s="289">
        <v>60848</v>
      </c>
      <c r="G40" s="289">
        <v>45</v>
      </c>
      <c r="H40" s="289" t="s">
        <v>367</v>
      </c>
      <c r="I40" s="1435">
        <v>0.14779999999999999</v>
      </c>
      <c r="J40" s="1271"/>
      <c r="K40" s="289"/>
      <c r="L40" s="290"/>
      <c r="M40" s="2083">
        <f t="shared" si="3"/>
        <v>24</v>
      </c>
      <c r="N40" s="2085"/>
      <c r="O40" s="413" t="str">
        <f t="shared" si="4"/>
        <v/>
      </c>
      <c r="P40" s="289"/>
      <c r="Q40" s="1318"/>
      <c r="R40" s="1318"/>
      <c r="S40" s="1318"/>
      <c r="T40" s="1318"/>
      <c r="U40" s="1283">
        <f t="shared" si="14"/>
        <v>0</v>
      </c>
      <c r="V40" s="290"/>
      <c r="W40" s="290"/>
      <c r="X40" s="407" t="s">
        <v>81</v>
      </c>
      <c r="Y40" s="1271"/>
      <c r="Z40" s="289"/>
      <c r="AA40" s="289"/>
      <c r="AB40" s="2083">
        <f t="shared" si="5"/>
        <v>24</v>
      </c>
      <c r="AC40" s="2084"/>
      <c r="AD40" s="413" t="str">
        <f t="shared" si="6"/>
        <v>X</v>
      </c>
      <c r="AE40" s="289"/>
      <c r="AF40" s="1283"/>
      <c r="AG40" s="1318"/>
      <c r="AH40" s="1318"/>
      <c r="AI40" s="1318"/>
      <c r="AJ40" s="1283">
        <f t="shared" si="7"/>
        <v>0.59119999999999995</v>
      </c>
      <c r="AK40" s="290"/>
      <c r="AL40" s="290"/>
      <c r="AM40" s="407" t="s">
        <v>81</v>
      </c>
      <c r="AN40" s="1271"/>
      <c r="AO40" s="289"/>
      <c r="AP40" s="289"/>
      <c r="AQ40" s="289"/>
      <c r="AR40" s="289"/>
      <c r="AS40" s="396" t="str">
        <f t="shared" si="8"/>
        <v>X</v>
      </c>
      <c r="AT40" s="289"/>
      <c r="AU40" s="1283">
        <v>0</v>
      </c>
      <c r="AV40" s="1318"/>
      <c r="AW40" s="1318"/>
      <c r="AX40" s="1318"/>
      <c r="AY40" s="1283">
        <f>IF(AS40&lt;&gt;"",AT$34*$I40,0)*AU$34</f>
        <v>1.1823999999999999</v>
      </c>
      <c r="AZ40" s="290"/>
      <c r="BA40" s="290"/>
      <c r="BB40" s="407" t="s">
        <v>81</v>
      </c>
      <c r="BC40" s="402"/>
      <c r="BD40" s="289"/>
      <c r="BE40" s="289"/>
      <c r="BF40" s="289"/>
      <c r="BG40" s="289"/>
      <c r="BH40" s="396" t="e">
        <f t="shared" si="10"/>
        <v>#NAME?</v>
      </c>
      <c r="BI40" s="289"/>
      <c r="BJ40" s="1283"/>
      <c r="BK40" s="1318"/>
      <c r="BL40" s="1318"/>
      <c r="BM40" s="1318"/>
      <c r="BN40" s="1283" t="e">
        <f t="shared" si="11"/>
        <v>#NAME?</v>
      </c>
      <c r="BO40" s="290"/>
      <c r="BP40" s="290"/>
      <c r="BQ40" s="407" t="s">
        <v>81</v>
      </c>
      <c r="BR40" s="1271"/>
      <c r="BS40" s="289"/>
      <c r="BT40" s="289"/>
      <c r="BU40" s="289"/>
      <c r="BV40" s="289"/>
      <c r="BW40" s="396" t="str">
        <f t="shared" si="12"/>
        <v/>
      </c>
      <c r="BX40" s="289"/>
      <c r="BY40" s="1318"/>
      <c r="BZ40" s="1318"/>
      <c r="CA40" s="1318"/>
      <c r="CB40" s="1318"/>
      <c r="CC40" s="1283">
        <f t="shared" si="13"/>
        <v>0</v>
      </c>
      <c r="CD40" s="290"/>
      <c r="CE40" s="290"/>
      <c r="CF40" s="407" t="s">
        <v>81</v>
      </c>
    </row>
    <row r="41" spans="1:84" ht="13.8" thickBot="1" x14ac:dyDescent="0.3">
      <c r="A41" s="290"/>
      <c r="B41" s="290" t="s">
        <v>2323</v>
      </c>
      <c r="C41" s="290"/>
      <c r="D41" s="1317">
        <v>20</v>
      </c>
      <c r="E41" s="1833">
        <v>580011051208</v>
      </c>
      <c r="F41" s="289">
        <v>60830</v>
      </c>
      <c r="G41" s="289">
        <v>45</v>
      </c>
      <c r="H41" s="289" t="s">
        <v>367</v>
      </c>
      <c r="I41" s="1435">
        <v>0.1232</v>
      </c>
      <c r="J41" s="1271"/>
      <c r="K41" s="289"/>
      <c r="L41" s="290"/>
      <c r="M41" s="2083">
        <f t="shared" si="3"/>
        <v>20</v>
      </c>
      <c r="N41" s="2085"/>
      <c r="O41" s="414" t="str">
        <f t="shared" si="4"/>
        <v/>
      </c>
      <c r="P41" s="289"/>
      <c r="Q41" s="1318"/>
      <c r="R41" s="1318"/>
      <c r="S41" s="1318"/>
      <c r="T41" s="1318"/>
      <c r="U41" s="1283">
        <f t="shared" si="14"/>
        <v>0</v>
      </c>
      <c r="V41" s="1098"/>
      <c r="W41" s="1098"/>
      <c r="X41" s="1297" t="s">
        <v>81</v>
      </c>
      <c r="Y41" s="1271"/>
      <c r="Z41" s="894"/>
      <c r="AA41" s="894"/>
      <c r="AB41" s="2083">
        <f t="shared" si="5"/>
        <v>20</v>
      </c>
      <c r="AC41" s="2084"/>
      <c r="AD41" s="414" t="str">
        <f t="shared" si="6"/>
        <v/>
      </c>
      <c r="AE41" s="894"/>
      <c r="AF41" s="1296"/>
      <c r="AG41" s="1318"/>
      <c r="AH41" s="1318"/>
      <c r="AI41" s="1318"/>
      <c r="AJ41" s="1283">
        <f t="shared" si="7"/>
        <v>0</v>
      </c>
      <c r="AK41" s="1098"/>
      <c r="AL41" s="1098"/>
      <c r="AM41" s="1297" t="s">
        <v>81</v>
      </c>
      <c r="AN41" s="1290"/>
      <c r="AO41" s="894"/>
      <c r="AP41" s="894"/>
      <c r="AQ41" s="894"/>
      <c r="AR41" s="894"/>
      <c r="AS41" s="396" t="str">
        <f t="shared" si="8"/>
        <v/>
      </c>
      <c r="AT41" s="894"/>
      <c r="AU41" s="1296">
        <v>0</v>
      </c>
      <c r="AV41" s="1318"/>
      <c r="AW41" s="1318"/>
      <c r="AX41" s="1318"/>
      <c r="AY41" s="1283">
        <f t="shared" si="9"/>
        <v>0</v>
      </c>
      <c r="AZ41" s="1098"/>
      <c r="BA41" s="1098"/>
      <c r="BB41" s="1297" t="s">
        <v>81</v>
      </c>
      <c r="BC41" s="1314"/>
      <c r="BD41" s="894"/>
      <c r="BE41" s="894"/>
      <c r="BF41" s="894"/>
      <c r="BG41" s="894"/>
      <c r="BH41" s="396" t="e">
        <f t="shared" si="10"/>
        <v>#NAME?</v>
      </c>
      <c r="BI41" s="894"/>
      <c r="BJ41" s="1296"/>
      <c r="BK41" s="1318"/>
      <c r="BL41" s="1318"/>
      <c r="BM41" s="1318"/>
      <c r="BN41" s="1283" t="e">
        <f t="shared" si="11"/>
        <v>#NAME?</v>
      </c>
      <c r="BO41" s="1098"/>
      <c r="BP41" s="1098"/>
      <c r="BQ41" s="1297" t="s">
        <v>81</v>
      </c>
      <c r="BR41" s="1290"/>
      <c r="BS41" s="289"/>
      <c r="BT41" s="289"/>
      <c r="BU41" s="289"/>
      <c r="BV41" s="289"/>
      <c r="BW41" s="396" t="str">
        <f t="shared" si="12"/>
        <v>X</v>
      </c>
      <c r="BX41" s="289"/>
      <c r="BY41" s="1318"/>
      <c r="BZ41" s="1318"/>
      <c r="CA41" s="1318"/>
      <c r="CB41" s="1318"/>
      <c r="CC41" s="1283">
        <f t="shared" si="13"/>
        <v>0.49280000000000002</v>
      </c>
      <c r="CD41" s="1098"/>
      <c r="CE41" s="1098"/>
      <c r="CF41" s="1297" t="s">
        <v>81</v>
      </c>
    </row>
    <row r="42" spans="1:84" x14ac:dyDescent="0.25">
      <c r="A42" s="290"/>
      <c r="B42" s="378" t="s">
        <v>1513</v>
      </c>
      <c r="C42" s="1301"/>
      <c r="D42" s="1301"/>
      <c r="E42" s="1520">
        <v>580028012</v>
      </c>
      <c r="F42" s="895">
        <v>151235</v>
      </c>
      <c r="G42" s="895">
        <v>45</v>
      </c>
      <c r="H42" s="895" t="s">
        <v>367</v>
      </c>
      <c r="I42" s="1436">
        <v>1.1299999999999999E-2</v>
      </c>
      <c r="J42" s="1303"/>
      <c r="K42" s="895"/>
      <c r="L42" s="895"/>
      <c r="M42" s="895"/>
      <c r="N42" s="895" t="s">
        <v>348</v>
      </c>
      <c r="O42" s="1310">
        <v>-0.5</v>
      </c>
      <c r="P42" s="1319">
        <f>((R2+O42*2)*2+(R3+O42*2)*2)/12</f>
        <v>11.34375</v>
      </c>
      <c r="Q42" s="895">
        <v>1</v>
      </c>
      <c r="R42" s="895"/>
      <c r="S42" s="895"/>
      <c r="T42" s="895"/>
      <c r="U42" s="1308">
        <f>I42*P42*Q42+SUM(R42:T42)</f>
        <v>0.12818437499999999</v>
      </c>
      <c r="V42" s="290"/>
      <c r="W42" s="290"/>
      <c r="X42" s="407" t="s">
        <v>81</v>
      </c>
      <c r="Y42" s="1271"/>
      <c r="Z42" s="895"/>
      <c r="AA42" s="895"/>
      <c r="AB42" s="895"/>
      <c r="AC42" s="895" t="s">
        <v>348</v>
      </c>
      <c r="AD42" s="1310">
        <v>-0.5</v>
      </c>
      <c r="AE42" s="1319">
        <f>((AG2+AD42*2)*2+(AG3+AD42*2)*2)/12</f>
        <v>10.34375</v>
      </c>
      <c r="AF42" s="895">
        <v>1</v>
      </c>
      <c r="AG42" s="895"/>
      <c r="AH42" s="895"/>
      <c r="AI42" s="895"/>
      <c r="AJ42" s="1308">
        <f>I42*AE42*AF42+SUM(AG42:AI42)</f>
        <v>0.116884375</v>
      </c>
      <c r="AK42" s="290"/>
      <c r="AL42" s="290"/>
      <c r="AM42" s="407" t="s">
        <v>81</v>
      </c>
      <c r="AN42" s="1271"/>
      <c r="AO42" s="895"/>
      <c r="AP42" s="895"/>
      <c r="AQ42" s="895"/>
      <c r="AR42" s="895" t="s">
        <v>348</v>
      </c>
      <c r="AS42" s="1309">
        <v>-0.5</v>
      </c>
      <c r="AT42" s="1319">
        <f>(AV2+AS42*2)*2+(AV3+AS42*2)*2</f>
        <v>124.12666666666667</v>
      </c>
      <c r="AU42" s="895">
        <v>1</v>
      </c>
      <c r="AV42" s="895"/>
      <c r="AW42" s="895"/>
      <c r="AX42" s="895"/>
      <c r="AY42" s="1308">
        <f>I42*AT42*AU42+SUM(AV42:AX42)</f>
        <v>1.4026313333333331</v>
      </c>
      <c r="AZ42" s="290"/>
      <c r="BA42" s="290"/>
      <c r="BB42" s="407" t="s">
        <v>81</v>
      </c>
      <c r="BC42" s="402"/>
      <c r="BD42" s="895"/>
      <c r="BE42" s="895"/>
      <c r="BF42" s="895"/>
      <c r="BG42" s="895" t="s">
        <v>348</v>
      </c>
      <c r="BH42" s="1309">
        <v>-0.5</v>
      </c>
      <c r="BI42" s="1319" t="e">
        <f>(BK2+BH42*2)*2+(BK3+BH42*2)*2</f>
        <v>#NAME?</v>
      </c>
      <c r="BJ42" s="895">
        <v>1</v>
      </c>
      <c r="BK42" s="895"/>
      <c r="BL42" s="895"/>
      <c r="BM42" s="895"/>
      <c r="BN42" s="1308" t="e">
        <f>I42*BI42*BJ42+SUM(BK42:BM42)</f>
        <v>#NAME?</v>
      </c>
      <c r="BO42" s="290"/>
      <c r="BP42" s="290"/>
      <c r="BQ42" s="407" t="s">
        <v>81</v>
      </c>
      <c r="BR42" s="1271"/>
      <c r="BS42" s="895"/>
      <c r="BT42" s="895"/>
      <c r="BU42" s="895"/>
      <c r="BV42" s="895" t="s">
        <v>348</v>
      </c>
      <c r="BW42" s="1309">
        <v>-0.5</v>
      </c>
      <c r="BX42" s="1319">
        <f>(BZ2+BW42*2)*2+(BZ3+BW42*2)*2</f>
        <v>137.249</v>
      </c>
      <c r="BY42" s="895">
        <v>1</v>
      </c>
      <c r="BZ42" s="895"/>
      <c r="CA42" s="895"/>
      <c r="CB42" s="895"/>
      <c r="CC42" s="1308">
        <f>$I42*BX42*BY42</f>
        <v>1.5509137</v>
      </c>
      <c r="CD42" s="290"/>
      <c r="CE42" s="290"/>
      <c r="CF42" s="407" t="s">
        <v>81</v>
      </c>
    </row>
    <row r="43" spans="1:84" x14ac:dyDescent="0.25">
      <c r="A43" s="290"/>
      <c r="B43" s="87"/>
      <c r="C43" s="290"/>
      <c r="D43" s="290"/>
      <c r="E43" s="1520"/>
      <c r="F43" s="289"/>
      <c r="G43" s="289"/>
      <c r="H43" s="289"/>
      <c r="I43" s="1281"/>
      <c r="J43" s="1271"/>
      <c r="K43" s="289"/>
      <c r="L43" s="289"/>
      <c r="M43" s="289"/>
      <c r="N43" s="289"/>
      <c r="O43" s="1310"/>
      <c r="P43" s="879"/>
      <c r="Q43" s="289"/>
      <c r="R43" s="289"/>
      <c r="S43" s="289"/>
      <c r="T43" s="289"/>
      <c r="U43" s="1283"/>
      <c r="V43" s="290"/>
      <c r="W43" s="290"/>
      <c r="Y43" s="1271"/>
      <c r="Z43" s="289"/>
      <c r="AA43" s="289"/>
      <c r="AB43" s="289"/>
      <c r="AC43" s="289"/>
      <c r="AD43" s="1310"/>
      <c r="AE43" s="879"/>
      <c r="AF43" s="289"/>
      <c r="AG43" s="289"/>
      <c r="AH43" s="289"/>
      <c r="AI43" s="289"/>
      <c r="AJ43" s="1283"/>
      <c r="AK43" s="290"/>
      <c r="AL43" s="290"/>
      <c r="AM43" s="407"/>
      <c r="AN43" s="1271"/>
      <c r="AO43" s="289"/>
      <c r="AP43" s="289"/>
      <c r="AQ43" s="289"/>
      <c r="AR43" s="289"/>
      <c r="AS43" s="1310"/>
      <c r="AT43" s="879"/>
      <c r="AU43" s="289"/>
      <c r="AV43" s="289"/>
      <c r="AW43" s="289"/>
      <c r="AX43" s="289"/>
      <c r="AY43" s="1283"/>
      <c r="AZ43" s="290"/>
      <c r="BA43" s="290"/>
      <c r="BB43" s="407"/>
      <c r="BC43" s="402"/>
      <c r="BD43" s="289"/>
      <c r="BE43" s="289"/>
      <c r="BF43" s="289"/>
      <c r="BG43" s="289"/>
      <c r="BH43" s="1310"/>
      <c r="BI43" s="879"/>
      <c r="BJ43" s="289"/>
      <c r="BK43" s="289"/>
      <c r="BL43" s="289"/>
      <c r="BM43" s="289"/>
      <c r="BN43" s="1283"/>
      <c r="BO43" s="290"/>
      <c r="BP43" s="290"/>
      <c r="BQ43" s="407"/>
      <c r="BR43" s="1271"/>
      <c r="BS43" s="289"/>
      <c r="BT43" s="289"/>
      <c r="BU43" s="289"/>
      <c r="BV43" s="289"/>
      <c r="BW43" s="1310"/>
      <c r="BX43" s="879"/>
      <c r="BY43" s="289"/>
      <c r="BZ43" s="289"/>
      <c r="CA43" s="289"/>
      <c r="CB43" s="289"/>
      <c r="CC43" s="1283"/>
      <c r="CD43" s="290"/>
      <c r="CE43" s="290"/>
      <c r="CF43" s="407"/>
    </row>
    <row r="44" spans="1:84" ht="13.8" thickBot="1" x14ac:dyDescent="0.3">
      <c r="A44" s="290"/>
      <c r="B44" s="87"/>
      <c r="C44" s="290"/>
      <c r="D44" s="290"/>
      <c r="E44" s="1520"/>
      <c r="F44" s="289"/>
      <c r="G44" s="289"/>
      <c r="H44" s="289"/>
      <c r="I44" s="1281"/>
      <c r="J44" s="1271"/>
      <c r="K44" s="289"/>
      <c r="L44" s="289"/>
      <c r="M44" s="289"/>
      <c r="N44" s="289"/>
      <c r="O44" s="1310"/>
      <c r="P44" s="879"/>
      <c r="Q44" s="289"/>
      <c r="R44" s="289"/>
      <c r="S44" s="289"/>
      <c r="T44" s="289"/>
      <c r="U44" s="1283"/>
      <c r="V44" s="1098"/>
      <c r="W44" s="1098"/>
      <c r="X44" s="1297"/>
      <c r="Y44" s="1271"/>
      <c r="Z44" s="894"/>
      <c r="AA44" s="894"/>
      <c r="AB44" s="894"/>
      <c r="AC44" s="894"/>
      <c r="AD44" s="1315"/>
      <c r="AE44" s="1320"/>
      <c r="AF44" s="894"/>
      <c r="AG44" s="289"/>
      <c r="AH44" s="289"/>
      <c r="AI44" s="289"/>
      <c r="AJ44" s="1296"/>
      <c r="AK44" s="1098"/>
      <c r="AL44" s="1098"/>
      <c r="AM44" s="1297"/>
      <c r="AN44" s="1290"/>
      <c r="AO44" s="894"/>
      <c r="AP44" s="894"/>
      <c r="AQ44" s="894"/>
      <c r="AR44" s="894"/>
      <c r="AS44" s="1315"/>
      <c r="AT44" s="1320"/>
      <c r="AU44" s="894"/>
      <c r="AV44" s="289"/>
      <c r="AW44" s="289"/>
      <c r="AX44" s="289"/>
      <c r="AY44" s="1296"/>
      <c r="AZ44" s="1098"/>
      <c r="BA44" s="1098"/>
      <c r="BB44" s="1297"/>
      <c r="BC44" s="1314"/>
      <c r="BD44" s="894"/>
      <c r="BE44" s="894"/>
      <c r="BF44" s="894"/>
      <c r="BG44" s="894"/>
      <c r="BH44" s="1315"/>
      <c r="BI44" s="1320"/>
      <c r="BJ44" s="894"/>
      <c r="BK44" s="289"/>
      <c r="BL44" s="289"/>
      <c r="BM44" s="289"/>
      <c r="BN44" s="1296"/>
      <c r="BO44" s="1098"/>
      <c r="BP44" s="1098"/>
      <c r="BQ44" s="1297"/>
      <c r="BR44" s="1290"/>
      <c r="BS44" s="289"/>
      <c r="BT44" s="289"/>
      <c r="BU44" s="289"/>
      <c r="BV44" s="289"/>
      <c r="BW44" s="1310"/>
      <c r="BX44" s="879"/>
      <c r="BY44" s="289"/>
      <c r="BZ44" s="289"/>
      <c r="CA44" s="289"/>
      <c r="CB44" s="289"/>
      <c r="CC44" s="1283"/>
      <c r="CD44" s="1098"/>
      <c r="CE44" s="1098"/>
      <c r="CF44" s="1297"/>
    </row>
    <row r="45" spans="1:84" ht="13.8" thickBot="1" x14ac:dyDescent="0.3">
      <c r="A45" s="290"/>
      <c r="B45" s="378" t="s">
        <v>1514</v>
      </c>
      <c r="C45" s="378"/>
      <c r="D45" s="378"/>
      <c r="E45" s="1522">
        <v>170032000</v>
      </c>
      <c r="F45" s="1522"/>
      <c r="G45" s="895">
        <v>45</v>
      </c>
      <c r="H45" s="895" t="s">
        <v>385</v>
      </c>
      <c r="I45" s="1436">
        <v>1.26E-2</v>
      </c>
      <c r="J45" s="1303"/>
      <c r="K45" s="895"/>
      <c r="L45" s="895"/>
      <c r="M45" s="895"/>
      <c r="N45" s="895"/>
      <c r="O45" s="895"/>
      <c r="P45" s="895">
        <v>1</v>
      </c>
      <c r="Q45" s="895">
        <v>1</v>
      </c>
      <c r="R45" s="895"/>
      <c r="S45" s="895"/>
      <c r="T45" s="895"/>
      <c r="U45" s="1308">
        <f>I45*P45*Q45+SUM(R45:T45)</f>
        <v>1.26E-2</v>
      </c>
      <c r="V45" s="1098"/>
      <c r="W45" s="1098"/>
      <c r="X45" s="1297" t="s">
        <v>81</v>
      </c>
      <c r="Y45" s="1271"/>
      <c r="Z45" s="1321"/>
      <c r="AA45" s="1321"/>
      <c r="AB45" s="1321"/>
      <c r="AC45" s="1321"/>
      <c r="AD45" s="1321"/>
      <c r="AE45" s="1321">
        <v>1</v>
      </c>
      <c r="AF45" s="1321">
        <v>1</v>
      </c>
      <c r="AG45" s="895"/>
      <c r="AH45" s="895"/>
      <c r="AI45" s="895"/>
      <c r="AJ45" s="1322">
        <f>I45*AE45*AF45+SUM(AG45:AI45)</f>
        <v>1.26E-2</v>
      </c>
      <c r="AK45" s="1098"/>
      <c r="AL45" s="1098"/>
      <c r="AM45" s="1297" t="s">
        <v>81</v>
      </c>
      <c r="AN45" s="1290"/>
      <c r="AO45" s="1321"/>
      <c r="AP45" s="1321"/>
      <c r="AQ45" s="1321"/>
      <c r="AR45" s="1321"/>
      <c r="AS45" s="1321"/>
      <c r="AT45" s="1321">
        <v>1</v>
      </c>
      <c r="AU45" s="1321">
        <v>2</v>
      </c>
      <c r="AV45" s="895"/>
      <c r="AW45" s="895"/>
      <c r="AX45" s="895"/>
      <c r="AY45" s="1322">
        <f>I45*AT45*AU45+SUM(AV45:AX45)</f>
        <v>2.52E-2</v>
      </c>
      <c r="AZ45" s="1098"/>
      <c r="BA45" s="1098"/>
      <c r="BB45" s="1297" t="s">
        <v>81</v>
      </c>
      <c r="BC45" s="1314"/>
      <c r="BD45" s="1321"/>
      <c r="BE45" s="1321"/>
      <c r="BF45" s="1321"/>
      <c r="BG45" s="1321"/>
      <c r="BH45" s="1321"/>
      <c r="BI45" s="1321">
        <v>1</v>
      </c>
      <c r="BJ45" s="1321">
        <v>2</v>
      </c>
      <c r="BK45" s="895"/>
      <c r="BL45" s="895"/>
      <c r="BM45" s="895"/>
      <c r="BN45" s="1322">
        <f>I45*BI45*BJ45+SUM(BK45:BM45)</f>
        <v>2.52E-2</v>
      </c>
      <c r="BO45" s="1323"/>
      <c r="BP45" s="1323"/>
      <c r="BQ45" s="415" t="s">
        <v>81</v>
      </c>
      <c r="BR45" s="1324"/>
      <c r="BS45" s="895"/>
      <c r="BT45" s="895"/>
      <c r="BU45" s="895"/>
      <c r="BV45" s="895"/>
      <c r="BW45" s="895"/>
      <c r="BX45" s="895">
        <v>1</v>
      </c>
      <c r="BY45" s="895">
        <v>1</v>
      </c>
      <c r="BZ45" s="895"/>
      <c r="CA45" s="895"/>
      <c r="CB45" s="895"/>
      <c r="CC45" s="1308">
        <f>$I45*BX45*BY45</f>
        <v>1.26E-2</v>
      </c>
      <c r="CD45" s="1098"/>
      <c r="CE45" s="1098"/>
      <c r="CF45" s="1297" t="s">
        <v>81</v>
      </c>
    </row>
    <row r="46" spans="1:84" x14ac:dyDescent="0.25">
      <c r="A46" s="290"/>
      <c r="B46" s="378" t="s">
        <v>1515</v>
      </c>
      <c r="C46" s="378"/>
      <c r="D46" s="378"/>
      <c r="E46" s="1522">
        <v>170197061</v>
      </c>
      <c r="F46" s="895">
        <v>33106</v>
      </c>
      <c r="G46" s="895">
        <v>45</v>
      </c>
      <c r="H46" s="895" t="s">
        <v>385</v>
      </c>
      <c r="I46" s="1436">
        <v>0.02</v>
      </c>
      <c r="J46" s="1303"/>
      <c r="K46" s="895"/>
      <c r="L46" s="895"/>
      <c r="M46" s="895"/>
      <c r="N46" s="895"/>
      <c r="O46" s="895"/>
      <c r="P46" s="895">
        <v>1</v>
      </c>
      <c r="Q46" s="895">
        <v>1</v>
      </c>
      <c r="R46" s="895"/>
      <c r="S46" s="895"/>
      <c r="T46" s="895"/>
      <c r="U46" s="1308">
        <f>I46*P46*Q46+SUM(R46:T46)</f>
        <v>0.02</v>
      </c>
      <c r="V46" s="290"/>
      <c r="W46" s="290"/>
      <c r="X46" s="407" t="s">
        <v>81</v>
      </c>
      <c r="Y46" s="1271"/>
      <c r="Z46" s="289"/>
      <c r="AA46" s="289"/>
      <c r="AB46" s="289"/>
      <c r="AC46" s="289"/>
      <c r="AD46" s="289"/>
      <c r="AE46" s="289">
        <v>1</v>
      </c>
      <c r="AF46" s="289">
        <v>1</v>
      </c>
      <c r="AG46" s="895"/>
      <c r="AH46" s="895"/>
      <c r="AI46" s="895"/>
      <c r="AJ46" s="1308">
        <f>I46*AE46*AF46+SUM(AG46:AI46)</f>
        <v>0.02</v>
      </c>
      <c r="AK46" s="290"/>
      <c r="AL46" s="290"/>
      <c r="AM46" s="407" t="s">
        <v>81</v>
      </c>
      <c r="AN46" s="1271"/>
      <c r="AO46" s="289"/>
      <c r="AP46" s="289"/>
      <c r="AQ46" s="289"/>
      <c r="AR46" s="289"/>
      <c r="AS46" s="289"/>
      <c r="AT46" s="289">
        <v>1</v>
      </c>
      <c r="AU46" s="289">
        <v>2</v>
      </c>
      <c r="AV46" s="895"/>
      <c r="AW46" s="895"/>
      <c r="AX46" s="895"/>
      <c r="AY46" s="1308">
        <f>I46*AT46*AU46+SUM(AV46:AX46)</f>
        <v>0.04</v>
      </c>
      <c r="AZ46" s="290"/>
      <c r="BA46" s="290"/>
      <c r="BB46" s="407" t="s">
        <v>81</v>
      </c>
      <c r="BC46" s="402"/>
      <c r="BD46" s="289"/>
      <c r="BE46" s="289"/>
      <c r="BF46" s="289"/>
      <c r="BG46" s="289"/>
      <c r="BH46" s="289"/>
      <c r="BI46" s="289">
        <v>1</v>
      </c>
      <c r="BJ46" s="289">
        <v>2</v>
      </c>
      <c r="BK46" s="895"/>
      <c r="BL46" s="895"/>
      <c r="BM46" s="895"/>
      <c r="BN46" s="1308">
        <f>I46*BI46*BJ46+SUM(BK46:BM46)</f>
        <v>0.04</v>
      </c>
      <c r="BO46" s="290"/>
      <c r="BP46" s="290"/>
      <c r="BQ46" s="407" t="s">
        <v>81</v>
      </c>
      <c r="BR46" s="1271"/>
      <c r="BS46" s="895"/>
      <c r="BT46" s="895"/>
      <c r="BU46" s="895"/>
      <c r="BV46" s="895"/>
      <c r="BW46" s="895"/>
      <c r="BX46" s="895">
        <v>1</v>
      </c>
      <c r="BY46" s="895">
        <v>1</v>
      </c>
      <c r="BZ46" s="895"/>
      <c r="CA46" s="895"/>
      <c r="CB46" s="895"/>
      <c r="CC46" s="1308">
        <f>$I46*BX46*BY46</f>
        <v>0.02</v>
      </c>
      <c r="CD46" s="290"/>
      <c r="CE46" s="290"/>
      <c r="CF46" s="407" t="s">
        <v>81</v>
      </c>
    </row>
    <row r="47" spans="1:84" ht="13.8" thickBot="1" x14ac:dyDescent="0.3">
      <c r="A47" s="290"/>
      <c r="B47" s="290"/>
      <c r="C47" s="290"/>
      <c r="D47" s="290"/>
      <c r="E47" s="1520"/>
      <c r="F47" s="289"/>
      <c r="G47" s="289"/>
      <c r="H47" s="289"/>
      <c r="I47" s="1281"/>
      <c r="J47" s="1271"/>
      <c r="K47" s="289"/>
      <c r="L47" s="289"/>
      <c r="M47" s="289"/>
      <c r="N47" s="289"/>
      <c r="O47" s="289"/>
      <c r="P47" s="289"/>
      <c r="Q47" s="289"/>
      <c r="R47" s="289"/>
      <c r="S47" s="289"/>
      <c r="T47" s="289"/>
      <c r="U47" s="289"/>
      <c r="V47" s="290"/>
      <c r="W47" s="290"/>
      <c r="Y47" s="1271"/>
      <c r="Z47" s="289"/>
      <c r="AA47" s="289"/>
      <c r="AB47" s="289"/>
      <c r="AC47" s="289"/>
      <c r="AD47" s="289"/>
      <c r="AE47" s="289"/>
      <c r="AF47" s="289"/>
      <c r="AG47" s="289"/>
      <c r="AH47" s="289"/>
      <c r="AI47" s="289"/>
      <c r="AJ47" s="289"/>
      <c r="AK47" s="290"/>
      <c r="AL47" s="290"/>
      <c r="AM47" s="1286"/>
      <c r="AN47" s="1271"/>
      <c r="AO47" s="289"/>
      <c r="AP47" s="289"/>
      <c r="AQ47" s="289"/>
      <c r="AR47" s="289"/>
      <c r="AS47" s="289"/>
      <c r="AT47" s="289"/>
      <c r="AU47" s="289"/>
      <c r="AV47" s="289"/>
      <c r="AW47" s="289"/>
      <c r="AX47" s="289"/>
      <c r="AY47" s="894"/>
      <c r="AZ47" s="290"/>
      <c r="BA47" s="290"/>
      <c r="BB47" s="1286"/>
      <c r="BC47" s="1271"/>
      <c r="BD47" s="289"/>
      <c r="BE47" s="289"/>
      <c r="BF47" s="289"/>
      <c r="BG47" s="289"/>
      <c r="BH47" s="289"/>
      <c r="BI47" s="289"/>
      <c r="BJ47" s="289"/>
      <c r="BK47" s="289"/>
      <c r="BL47" s="289"/>
      <c r="BM47" s="289"/>
      <c r="BN47" s="289"/>
      <c r="BO47" s="290"/>
      <c r="BP47" s="290"/>
      <c r="BQ47" s="1286"/>
      <c r="BR47" s="1271"/>
      <c r="BS47" s="289"/>
      <c r="BT47" s="289"/>
      <c r="BU47" s="289"/>
      <c r="BV47" s="289"/>
      <c r="BW47" s="289"/>
      <c r="BX47" s="289"/>
      <c r="BY47" s="289"/>
      <c r="BZ47" s="289"/>
      <c r="CA47" s="289"/>
      <c r="CB47" s="289"/>
      <c r="CC47" s="289"/>
      <c r="CD47" s="290"/>
      <c r="CE47" s="290"/>
      <c r="CF47" s="407"/>
    </row>
    <row r="48" spans="1:84" ht="15.75" customHeight="1" thickBot="1" x14ac:dyDescent="0.3">
      <c r="A48" s="87" t="s">
        <v>1995</v>
      </c>
      <c r="B48" s="87"/>
      <c r="C48" s="87"/>
      <c r="D48" s="87"/>
      <c r="E48" s="1652"/>
      <c r="F48" s="87"/>
      <c r="G48" s="290"/>
      <c r="H48" s="290"/>
      <c r="I48" s="1173"/>
      <c r="J48" s="1271"/>
      <c r="K48" s="290"/>
      <c r="L48" s="290"/>
      <c r="M48" s="290"/>
      <c r="N48" s="290"/>
      <c r="O48" s="290"/>
      <c r="P48" s="290"/>
      <c r="Q48" s="290"/>
      <c r="R48" s="290"/>
      <c r="S48" s="290"/>
      <c r="T48" s="290"/>
      <c r="U48" s="416">
        <f t="shared" ref="U48:U53" si="15">SUM(U10,U17,U24,U$34:U$46)</f>
        <v>3.082436458333333</v>
      </c>
      <c r="V48" s="290" t="s">
        <v>1499</v>
      </c>
      <c r="W48" s="290"/>
      <c r="Y48" s="1271"/>
      <c r="Z48" s="290"/>
      <c r="AA48" s="290"/>
      <c r="AB48" s="290"/>
      <c r="AC48" s="290"/>
      <c r="AD48" s="290"/>
      <c r="AE48" s="290"/>
      <c r="AF48" s="290"/>
      <c r="AG48" s="290"/>
      <c r="AH48" s="290"/>
      <c r="AI48" s="290"/>
      <c r="AJ48" s="417">
        <f>SUM(AJ10,AJ17,AJ24,AJ35:AJ46)</f>
        <v>2.8098364583333337</v>
      </c>
      <c r="AK48" s="290" t="s">
        <v>824</v>
      </c>
      <c r="AL48" s="290"/>
      <c r="AM48" s="1286"/>
      <c r="AN48" s="1271"/>
      <c r="AO48" s="290"/>
      <c r="AP48" s="290"/>
      <c r="AQ48" s="290"/>
      <c r="AR48" s="290"/>
      <c r="AS48" s="290"/>
      <c r="AT48" s="290"/>
      <c r="AU48" s="290"/>
      <c r="AV48" s="290"/>
      <c r="AW48" s="290"/>
      <c r="AX48" s="290"/>
      <c r="AY48" s="954">
        <f>SUM(AY9:AY46)</f>
        <v>6.402187555555555</v>
      </c>
      <c r="AZ48" s="290" t="s">
        <v>824</v>
      </c>
      <c r="BA48" s="290"/>
      <c r="BB48" s="1286"/>
      <c r="BC48" s="1271"/>
      <c r="BD48" s="290"/>
      <c r="BE48" s="290"/>
      <c r="BF48" s="290"/>
      <c r="BG48" s="290"/>
      <c r="BH48" s="290"/>
      <c r="BI48" s="290"/>
      <c r="BJ48" s="290"/>
      <c r="BK48" s="290"/>
      <c r="BL48" s="290"/>
      <c r="BM48" s="290"/>
      <c r="BN48" s="418" t="e">
        <f>SUM(BN9:BN46)</f>
        <v>#NAME?</v>
      </c>
      <c r="BO48" s="290" t="s">
        <v>824</v>
      </c>
      <c r="BP48" s="290"/>
      <c r="BQ48" s="1286"/>
      <c r="BR48" s="1271"/>
      <c r="BS48" s="290"/>
      <c r="BT48" s="290"/>
      <c r="BU48" s="290"/>
      <c r="BV48" s="290"/>
      <c r="BW48" s="290"/>
      <c r="BX48" s="290"/>
      <c r="BY48" s="290"/>
      <c r="BZ48" s="290"/>
      <c r="CA48" s="290"/>
      <c r="CB48" s="290"/>
      <c r="CC48" s="416">
        <f>SUM(CC10:CC46)</f>
        <v>4.1572189166666655</v>
      </c>
      <c r="CD48" s="290" t="s">
        <v>824</v>
      </c>
      <c r="CE48" s="290"/>
      <c r="CF48" s="407"/>
    </row>
    <row r="49" spans="1:84" ht="13.8" thickBot="1" x14ac:dyDescent="0.3">
      <c r="A49" s="87" t="s">
        <v>1996</v>
      </c>
      <c r="B49" s="290"/>
      <c r="C49" s="290"/>
      <c r="D49" s="290"/>
      <c r="E49" s="1651"/>
      <c r="F49" s="290"/>
      <c r="G49" s="290"/>
      <c r="H49" s="290"/>
      <c r="I49" s="1173"/>
      <c r="J49" s="1271"/>
      <c r="K49" s="290"/>
      <c r="L49" s="290"/>
      <c r="M49" s="290"/>
      <c r="N49" s="290"/>
      <c r="O49" s="290"/>
      <c r="P49" s="290"/>
      <c r="Q49" s="290"/>
      <c r="R49" s="290"/>
      <c r="S49" s="290"/>
      <c r="T49" s="289"/>
      <c r="U49" s="416">
        <f t="shared" si="15"/>
        <v>3.0460364583333335</v>
      </c>
      <c r="V49" s="290" t="s">
        <v>1500</v>
      </c>
      <c r="W49" s="290"/>
      <c r="Y49" s="1271"/>
      <c r="Z49" s="290"/>
      <c r="AA49" s="290"/>
      <c r="AB49" s="290"/>
      <c r="AC49" s="290"/>
      <c r="AD49" s="290"/>
      <c r="AE49" s="290"/>
      <c r="AF49" s="290"/>
      <c r="AG49" s="290"/>
      <c r="AH49" s="290"/>
      <c r="AI49" s="290"/>
      <c r="AJ49" s="417">
        <f>SUM(AJ11,AJ18,AJ25,AJ35:AJ46)</f>
        <v>2.7734364583333333</v>
      </c>
      <c r="AK49" s="290" t="s">
        <v>1501</v>
      </c>
      <c r="AL49" s="290"/>
      <c r="AM49" s="1286"/>
      <c r="AN49" s="1271"/>
      <c r="AO49" s="290"/>
      <c r="AP49" s="290"/>
      <c r="AQ49" s="290"/>
      <c r="AR49" s="290"/>
      <c r="AS49" s="290"/>
      <c r="AT49" s="290"/>
      <c r="AU49" s="290"/>
      <c r="AV49" s="290"/>
      <c r="AW49" s="290"/>
      <c r="AX49" s="290"/>
      <c r="AY49" s="290"/>
      <c r="AZ49" s="290" t="s">
        <v>1501</v>
      </c>
      <c r="BA49" s="290"/>
      <c r="BB49" s="1286"/>
      <c r="BC49" s="1271"/>
      <c r="BD49" s="290"/>
      <c r="BE49" s="290"/>
      <c r="BF49" s="290"/>
      <c r="BG49" s="290"/>
      <c r="BH49" s="290"/>
      <c r="BI49" s="290"/>
      <c r="BJ49" s="290"/>
      <c r="BK49" s="290"/>
      <c r="BL49" s="290"/>
      <c r="BM49" s="290"/>
      <c r="BN49" s="290"/>
      <c r="BO49" s="290" t="s">
        <v>1501</v>
      </c>
      <c r="BP49" s="290"/>
      <c r="BQ49" s="1286"/>
      <c r="BR49" s="1271"/>
      <c r="BS49" s="290"/>
      <c r="BT49" s="290"/>
      <c r="BU49" s="290"/>
      <c r="BV49" s="290"/>
      <c r="BW49" s="290"/>
      <c r="BX49" s="290"/>
      <c r="BY49" s="290"/>
      <c r="BZ49" s="290"/>
      <c r="CA49" s="290"/>
      <c r="CB49" s="290"/>
      <c r="CC49" s="290"/>
      <c r="CD49" s="290" t="s">
        <v>1501</v>
      </c>
      <c r="CE49" s="290"/>
      <c r="CF49" s="290"/>
    </row>
    <row r="50" spans="1:84" ht="13.8" thickBot="1" x14ac:dyDescent="0.3">
      <c r="A50" s="87" t="s">
        <v>1997</v>
      </c>
      <c r="B50" s="290"/>
      <c r="C50" s="290"/>
      <c r="D50" s="290"/>
      <c r="E50" s="1651"/>
      <c r="F50" s="290"/>
      <c r="G50" s="290"/>
      <c r="H50" s="290"/>
      <c r="I50" s="1173"/>
      <c r="J50" s="1271"/>
      <c r="K50" s="290"/>
      <c r="L50" s="290"/>
      <c r="M50" s="290"/>
      <c r="N50" s="290"/>
      <c r="O50" s="290"/>
      <c r="P50" s="290"/>
      <c r="Q50" s="290"/>
      <c r="R50" s="290"/>
      <c r="S50" s="290"/>
      <c r="T50" s="290"/>
      <c r="U50" s="416">
        <f t="shared" si="15"/>
        <v>3.0704364583333335</v>
      </c>
      <c r="V50" s="290" t="s">
        <v>1502</v>
      </c>
      <c r="W50" s="290"/>
      <c r="Y50" s="1271"/>
      <c r="Z50" s="290"/>
      <c r="AA50" s="290"/>
      <c r="AB50" s="290"/>
      <c r="AC50" s="290"/>
      <c r="AD50" s="290"/>
      <c r="AE50" s="290"/>
      <c r="AF50" s="290"/>
      <c r="AG50" s="290"/>
      <c r="AH50" s="290"/>
      <c r="AI50" s="290"/>
      <c r="AJ50" s="417">
        <f>SUM(AJ12,AJ19,AJ26,AJ35:AJ46)</f>
        <v>2.7978364583333333</v>
      </c>
      <c r="AK50" s="290" t="s">
        <v>1503</v>
      </c>
      <c r="AL50" s="290"/>
      <c r="AM50" s="1286"/>
      <c r="AN50" s="1271"/>
      <c r="AO50" s="290"/>
      <c r="AP50" s="290"/>
      <c r="AQ50" s="290"/>
      <c r="AR50" s="290"/>
      <c r="AS50" s="290"/>
      <c r="AT50" s="290"/>
      <c r="AU50" s="290"/>
      <c r="AV50" s="290"/>
      <c r="AW50" s="290"/>
      <c r="AX50" s="290"/>
      <c r="AY50" s="290"/>
      <c r="AZ50" s="290" t="s">
        <v>1503</v>
      </c>
      <c r="BA50" s="290"/>
      <c r="BB50" s="1286"/>
      <c r="BC50" s="1271"/>
      <c r="BD50" s="290"/>
      <c r="BE50" s="290"/>
      <c r="BF50" s="290"/>
      <c r="BG50" s="290"/>
      <c r="BH50" s="290"/>
      <c r="BI50" s="290"/>
      <c r="BJ50" s="290"/>
      <c r="BK50" s="290"/>
      <c r="BL50" s="290"/>
      <c r="BM50" s="290"/>
      <c r="BN50" s="290"/>
      <c r="BO50" s="290" t="s">
        <v>1503</v>
      </c>
      <c r="BP50" s="290"/>
      <c r="BQ50" s="1286"/>
      <c r="BR50" s="1271"/>
      <c r="BS50" s="290"/>
      <c r="BT50" s="290"/>
      <c r="BU50" s="290"/>
      <c r="BV50" s="290"/>
      <c r="BW50" s="290"/>
      <c r="BX50" s="290"/>
      <c r="BY50" s="290"/>
      <c r="BZ50" s="290"/>
      <c r="CA50" s="290"/>
      <c r="CB50" s="290"/>
      <c r="CC50" s="290"/>
      <c r="CD50" s="290" t="s">
        <v>1503</v>
      </c>
      <c r="CE50" s="290"/>
      <c r="CF50" s="290"/>
    </row>
    <row r="51" spans="1:84" ht="13.8" thickBot="1" x14ac:dyDescent="0.3">
      <c r="A51" s="87" t="s">
        <v>1516</v>
      </c>
      <c r="B51" s="290"/>
      <c r="C51" s="290"/>
      <c r="D51" s="290"/>
      <c r="E51" s="1651"/>
      <c r="F51" s="290"/>
      <c r="G51" s="290"/>
      <c r="H51" s="290"/>
      <c r="I51" s="1173"/>
      <c r="J51" s="1271"/>
      <c r="K51" s="290"/>
      <c r="L51" s="290"/>
      <c r="M51" s="290"/>
      <c r="N51" s="290"/>
      <c r="O51" s="290"/>
      <c r="P51" s="290"/>
      <c r="Q51" s="290"/>
      <c r="R51" s="290"/>
      <c r="S51" s="290"/>
      <c r="T51" s="290"/>
      <c r="U51" s="416">
        <f t="shared" si="15"/>
        <v>3.4875625000000006</v>
      </c>
      <c r="V51" s="290" t="s">
        <v>1504</v>
      </c>
      <c r="W51" s="290"/>
      <c r="Y51" s="1271"/>
      <c r="Z51" s="290"/>
      <c r="AA51" s="290"/>
      <c r="AB51" s="290"/>
      <c r="AC51" s="290"/>
      <c r="AD51" s="290"/>
      <c r="AE51" s="290"/>
      <c r="AF51" s="290"/>
      <c r="AG51" s="290"/>
      <c r="AH51" s="290"/>
      <c r="AI51" s="290"/>
      <c r="AJ51" s="1047">
        <f>SUM(AJ14,AJ21,AJ28,AJ36:AJ47)</f>
        <v>2.7646364583333334</v>
      </c>
      <c r="AK51" s="290" t="s">
        <v>569</v>
      </c>
      <c r="AL51" s="290"/>
      <c r="AM51" s="1286"/>
      <c r="AN51" s="1271"/>
      <c r="AO51" s="290"/>
      <c r="AP51" s="290"/>
      <c r="AQ51" s="290"/>
      <c r="AR51" s="290"/>
      <c r="AS51" s="290"/>
      <c r="AT51" s="290"/>
      <c r="AU51" s="290"/>
      <c r="AV51" s="290"/>
      <c r="AW51" s="290"/>
      <c r="AX51" s="290"/>
      <c r="AY51" s="290"/>
      <c r="AZ51" s="290" t="s">
        <v>569</v>
      </c>
      <c r="BA51" s="290"/>
      <c r="BB51" s="1286"/>
      <c r="BC51" s="1271"/>
      <c r="BD51" s="290"/>
      <c r="BE51" s="290"/>
      <c r="BF51" s="290"/>
      <c r="BG51" s="290"/>
      <c r="BH51" s="290"/>
      <c r="BI51" s="290"/>
      <c r="BJ51" s="290"/>
      <c r="BK51" s="290"/>
      <c r="BL51" s="290"/>
      <c r="BM51" s="290"/>
      <c r="BN51" s="290"/>
      <c r="BO51" s="290" t="s">
        <v>569</v>
      </c>
      <c r="BP51" s="290"/>
      <c r="BQ51" s="1286"/>
      <c r="BR51" s="1271"/>
      <c r="BS51" s="290"/>
      <c r="BT51" s="290"/>
      <c r="BU51" s="290"/>
      <c r="BV51" s="290"/>
      <c r="BW51" s="290"/>
      <c r="BX51" s="290"/>
      <c r="BY51" s="290"/>
      <c r="BZ51" s="290"/>
      <c r="CA51" s="290"/>
      <c r="CB51" s="290"/>
      <c r="CC51" s="290"/>
      <c r="CD51" s="290" t="s">
        <v>569</v>
      </c>
      <c r="CE51" s="290"/>
      <c r="CF51" s="290"/>
    </row>
    <row r="52" spans="1:84" ht="13.8" thickBot="1" x14ac:dyDescent="0.3">
      <c r="A52" s="87" t="s">
        <v>1998</v>
      </c>
      <c r="B52" s="87"/>
      <c r="C52" s="87"/>
      <c r="D52" s="87"/>
      <c r="E52" s="1651"/>
      <c r="F52" s="290"/>
      <c r="G52" s="290"/>
      <c r="H52" s="290"/>
      <c r="I52" s="1173"/>
      <c r="J52" s="1271"/>
      <c r="K52" s="290"/>
      <c r="L52" s="290"/>
      <c r="M52" s="290"/>
      <c r="N52" s="290"/>
      <c r="O52" s="290"/>
      <c r="P52" s="290"/>
      <c r="Q52" s="290"/>
      <c r="R52" s="290"/>
      <c r="S52" s="290"/>
      <c r="T52" s="289"/>
      <c r="U52" s="416">
        <f t="shared" si="15"/>
        <v>3.0372364583333336</v>
      </c>
      <c r="V52" s="290" t="s">
        <v>569</v>
      </c>
      <c r="W52" s="290"/>
      <c r="Y52" s="1271"/>
      <c r="Z52" s="290"/>
      <c r="AA52" s="290"/>
      <c r="AB52" s="290"/>
      <c r="AC52" s="290"/>
      <c r="AD52" s="290"/>
      <c r="AE52" s="290"/>
      <c r="AF52" s="290"/>
      <c r="AG52" s="290"/>
      <c r="AH52" s="290"/>
      <c r="AI52" s="290"/>
      <c r="AJ52" s="417">
        <f>SUM(AJ13,AJ20,AJ27,AJ35:AJ46)</f>
        <v>3.1740625000000007</v>
      </c>
      <c r="AK52" s="290" t="s">
        <v>1505</v>
      </c>
      <c r="AL52" s="290"/>
      <c r="AM52" s="1286"/>
      <c r="AN52" s="1271"/>
      <c r="AO52" s="290"/>
      <c r="AP52" s="290"/>
      <c r="AQ52" s="290"/>
      <c r="AR52" s="290"/>
      <c r="AS52" s="290"/>
      <c r="AT52" s="290"/>
      <c r="AU52" s="290"/>
      <c r="AV52" s="290"/>
      <c r="AW52" s="290"/>
      <c r="AX52" s="290"/>
      <c r="AY52" s="290"/>
      <c r="AZ52" s="290" t="s">
        <v>1505</v>
      </c>
      <c r="BA52" s="290"/>
      <c r="BB52" s="1286"/>
      <c r="BC52" s="1271"/>
      <c r="BD52" s="290"/>
      <c r="BE52" s="290"/>
      <c r="BF52" s="290"/>
      <c r="BG52" s="290"/>
      <c r="BH52" s="290"/>
      <c r="BI52" s="290"/>
      <c r="BJ52" s="290"/>
      <c r="BK52" s="290"/>
      <c r="BL52" s="290"/>
      <c r="BM52" s="290"/>
      <c r="BN52" s="290"/>
      <c r="BO52" s="290" t="s">
        <v>1505</v>
      </c>
      <c r="BP52" s="290"/>
      <c r="BQ52" s="1286"/>
      <c r="BR52" s="1271"/>
      <c r="BS52" s="290"/>
      <c r="BT52" s="290"/>
      <c r="BU52" s="290"/>
      <c r="BV52" s="290"/>
      <c r="BW52" s="290"/>
      <c r="BX52" s="290"/>
      <c r="BY52" s="290"/>
      <c r="BZ52" s="290"/>
      <c r="CA52" s="290"/>
      <c r="CB52" s="290"/>
      <c r="CC52" s="290"/>
      <c r="CD52" s="290" t="s">
        <v>1505</v>
      </c>
    </row>
    <row r="53" spans="1:84" ht="13.8" thickBot="1" x14ac:dyDescent="0.3">
      <c r="A53" s="87" t="s">
        <v>1999</v>
      </c>
      <c r="B53" s="290"/>
      <c r="C53" s="290"/>
      <c r="D53" s="290"/>
      <c r="E53" s="1651"/>
      <c r="F53" s="290"/>
      <c r="G53" s="290"/>
      <c r="H53" s="290"/>
      <c r="I53" s="1173"/>
      <c r="J53" s="1271"/>
      <c r="K53" s="290"/>
      <c r="L53" s="290"/>
      <c r="M53" s="290"/>
      <c r="N53" s="290"/>
      <c r="O53" s="290"/>
      <c r="P53" s="290"/>
      <c r="Q53" s="290"/>
      <c r="R53" s="290"/>
      <c r="S53" s="290"/>
      <c r="T53" s="290"/>
      <c r="U53" s="416">
        <f t="shared" si="15"/>
        <v>0.94988437500000011</v>
      </c>
      <c r="V53" s="290" t="s">
        <v>2325</v>
      </c>
      <c r="W53" s="290"/>
      <c r="Y53" s="1271"/>
      <c r="Z53" s="290"/>
      <c r="AA53" s="290"/>
      <c r="AB53" s="290"/>
      <c r="AC53" s="290"/>
      <c r="AD53" s="290"/>
      <c r="AE53" s="290"/>
      <c r="AF53" s="290"/>
      <c r="AG53" s="290"/>
      <c r="AH53" s="290"/>
      <c r="AI53" s="290"/>
      <c r="AJ53" s="290"/>
      <c r="AK53" s="290"/>
      <c r="AL53" s="290"/>
      <c r="AM53" s="1286"/>
      <c r="AN53" s="1271"/>
      <c r="AO53" s="290"/>
      <c r="AP53" s="290"/>
      <c r="AQ53" s="290"/>
      <c r="AR53" s="290"/>
      <c r="AS53" s="290"/>
      <c r="AT53" s="290"/>
      <c r="AU53" s="290"/>
      <c r="AV53" s="290"/>
      <c r="AW53" s="290"/>
      <c r="AX53" s="290"/>
      <c r="AY53" s="290"/>
      <c r="AZ53" s="290"/>
      <c r="BA53" s="290"/>
      <c r="BB53" s="1286"/>
      <c r="BC53" s="1271"/>
      <c r="BD53" s="290"/>
      <c r="BE53" s="290"/>
      <c r="BF53" s="290"/>
      <c r="BG53" s="290"/>
      <c r="BH53" s="290"/>
      <c r="BI53" s="290"/>
      <c r="BJ53" s="290"/>
      <c r="BK53" s="290"/>
      <c r="BL53" s="290"/>
      <c r="BM53" s="290"/>
      <c r="BN53" s="290"/>
      <c r="BO53" s="290"/>
      <c r="BP53" s="290"/>
      <c r="BQ53" s="1286"/>
      <c r="BR53" s="1271"/>
      <c r="BS53" s="290"/>
      <c r="BT53" s="290"/>
      <c r="BU53" s="290"/>
      <c r="BV53" s="290"/>
      <c r="BW53" s="290"/>
      <c r="BX53" s="290"/>
      <c r="BY53" s="290"/>
      <c r="BZ53" s="290"/>
      <c r="CA53" s="290"/>
      <c r="CB53" s="290"/>
      <c r="CC53" s="290"/>
      <c r="CD53" s="290"/>
    </row>
    <row r="54" spans="1:84" x14ac:dyDescent="0.25">
      <c r="A54" s="290"/>
      <c r="B54" s="290"/>
      <c r="C54" s="290"/>
      <c r="D54" s="290"/>
      <c r="E54" s="1651"/>
      <c r="F54" s="290"/>
      <c r="G54" s="290"/>
      <c r="H54" s="290"/>
      <c r="I54" s="1173"/>
      <c r="J54" s="1271"/>
      <c r="K54" s="290"/>
      <c r="L54" s="290"/>
      <c r="M54" s="290"/>
      <c r="N54" s="290"/>
      <c r="O54" s="290"/>
      <c r="P54" s="290"/>
      <c r="Q54" s="290"/>
      <c r="R54" s="290"/>
      <c r="S54" s="290"/>
      <c r="T54" s="290"/>
      <c r="U54" s="290"/>
      <c r="V54" s="290"/>
      <c r="W54" s="290"/>
      <c r="Y54" s="1271"/>
      <c r="Z54" s="290"/>
      <c r="AA54" s="290"/>
      <c r="AB54" s="290"/>
      <c r="AC54" s="290"/>
      <c r="AD54" s="290"/>
      <c r="AE54" s="290"/>
      <c r="AF54" s="290"/>
      <c r="AG54" s="290"/>
      <c r="AH54" s="290"/>
      <c r="AI54" s="290"/>
      <c r="AJ54" s="290"/>
      <c r="AK54" s="290"/>
      <c r="AL54" s="290"/>
      <c r="AM54" s="1286"/>
      <c r="AN54" s="1271"/>
      <c r="AO54" s="290"/>
      <c r="AP54" s="290"/>
      <c r="AQ54" s="290"/>
      <c r="AR54" s="290"/>
      <c r="AS54" s="290"/>
      <c r="AT54" s="290"/>
      <c r="AU54" s="290"/>
      <c r="AV54" s="290"/>
      <c r="AW54" s="290"/>
      <c r="AX54" s="290"/>
      <c r="AY54" s="290"/>
      <c r="AZ54" s="290"/>
      <c r="BA54" s="290"/>
      <c r="BB54" s="1286"/>
      <c r="BC54" s="1271"/>
      <c r="BD54" s="290"/>
      <c r="BE54" s="290"/>
      <c r="BF54" s="290"/>
      <c r="BG54" s="290"/>
      <c r="BH54" s="290"/>
      <c r="BI54" s="290"/>
      <c r="BJ54" s="290"/>
      <c r="BK54" s="290"/>
      <c r="BL54" s="290"/>
      <c r="BM54" s="290"/>
      <c r="BN54" s="290"/>
      <c r="BO54" s="290"/>
      <c r="BP54" s="290"/>
      <c r="BQ54" s="1286"/>
      <c r="BR54" s="1271"/>
      <c r="BS54" s="290"/>
      <c r="BT54" s="290"/>
      <c r="BU54" s="290"/>
      <c r="BV54" s="290"/>
      <c r="BW54" s="290"/>
      <c r="BX54" s="290"/>
      <c r="BY54" s="290"/>
      <c r="BZ54" s="290"/>
      <c r="CA54" s="290"/>
      <c r="CB54" s="290"/>
      <c r="CC54" s="290"/>
      <c r="CD54" s="290"/>
    </row>
    <row r="55" spans="1:84" x14ac:dyDescent="0.25">
      <c r="A55" s="290"/>
      <c r="B55" s="290"/>
      <c r="C55" s="290"/>
      <c r="D55" s="290"/>
      <c r="E55" s="1520"/>
      <c r="F55" s="289"/>
      <c r="G55" s="290"/>
      <c r="H55" s="290"/>
      <c r="I55" s="1173"/>
      <c r="J55" s="1271"/>
      <c r="K55" s="290"/>
      <c r="L55" s="290"/>
      <c r="M55" s="290"/>
      <c r="N55" s="290"/>
      <c r="O55" s="290"/>
      <c r="P55" s="290"/>
      <c r="Q55" s="290"/>
      <c r="R55" s="290"/>
      <c r="S55" s="290"/>
      <c r="T55" s="290"/>
      <c r="U55" s="290"/>
      <c r="V55" s="290"/>
      <c r="W55" s="290"/>
      <c r="Y55" s="1271"/>
      <c r="Z55" s="290"/>
      <c r="AA55" s="290"/>
      <c r="AB55" s="290"/>
      <c r="AC55" s="290"/>
      <c r="AD55" s="290"/>
      <c r="AE55" s="290"/>
      <c r="AF55" s="290"/>
      <c r="AG55" s="290"/>
      <c r="AH55" s="290"/>
      <c r="AI55" s="290"/>
      <c r="AJ55" s="290"/>
      <c r="AK55" s="290"/>
      <c r="AL55" s="290"/>
      <c r="AM55" s="1286"/>
      <c r="AN55" s="1271"/>
      <c r="AO55" s="290"/>
      <c r="AP55" s="290"/>
      <c r="AQ55" s="290"/>
      <c r="AR55" s="290"/>
      <c r="AS55" s="290"/>
      <c r="AT55" s="290"/>
      <c r="AU55" s="290"/>
      <c r="AV55" s="290"/>
      <c r="AW55" s="290"/>
      <c r="AX55" s="290"/>
      <c r="AY55" s="290"/>
      <c r="AZ55" s="290"/>
      <c r="BA55" s="290"/>
      <c r="BB55" s="1286"/>
      <c r="BC55" s="1271"/>
      <c r="BD55" s="290"/>
      <c r="BE55" s="290"/>
      <c r="BF55" s="290"/>
      <c r="BG55" s="290"/>
      <c r="BH55" s="290"/>
      <c r="BI55" s="290"/>
      <c r="BJ55" s="290"/>
      <c r="BK55" s="290"/>
      <c r="BL55" s="290"/>
      <c r="BM55" s="290"/>
      <c r="BN55" s="290"/>
      <c r="BO55" s="290"/>
      <c r="BP55" s="290"/>
      <c r="BQ55" s="1286"/>
      <c r="BR55" s="1271"/>
      <c r="BS55" s="290"/>
      <c r="BT55" s="290"/>
      <c r="BU55" s="290"/>
      <c r="BV55" s="290"/>
      <c r="BW55" s="290"/>
      <c r="BX55" s="290"/>
      <c r="BY55" s="290"/>
      <c r="BZ55" s="290"/>
      <c r="CA55" s="290"/>
      <c r="CB55" s="290"/>
      <c r="CC55" s="290"/>
      <c r="CD55" s="290"/>
    </row>
    <row r="56" spans="1:84" x14ac:dyDescent="0.25">
      <c r="A56" s="290"/>
      <c r="B56" s="290"/>
      <c r="C56" s="290"/>
      <c r="D56" s="290"/>
      <c r="E56" s="1651"/>
      <c r="F56" s="290"/>
      <c r="G56" s="290"/>
      <c r="H56" s="290"/>
      <c r="I56" s="1173"/>
      <c r="J56" s="1271"/>
      <c r="K56" s="290"/>
      <c r="L56" s="290"/>
      <c r="M56" s="290"/>
      <c r="N56" s="290"/>
      <c r="O56" s="290"/>
      <c r="P56" s="290"/>
      <c r="Q56" s="290"/>
      <c r="R56" s="290"/>
      <c r="S56" s="290"/>
      <c r="T56" s="290"/>
      <c r="U56" s="290"/>
      <c r="V56" s="290"/>
      <c r="W56" s="290"/>
      <c r="Y56" s="1271"/>
      <c r="Z56" s="290"/>
      <c r="AA56" s="290"/>
      <c r="AB56" s="290"/>
      <c r="AC56" s="290"/>
      <c r="AD56" s="290"/>
      <c r="AE56" s="290"/>
      <c r="AF56" s="290"/>
      <c r="AG56" s="290"/>
      <c r="AH56" s="290"/>
      <c r="AI56" s="290"/>
      <c r="AJ56" s="290"/>
      <c r="AK56" s="290"/>
      <c r="AL56" s="290"/>
      <c r="AM56" s="1286"/>
      <c r="AN56" s="1271"/>
      <c r="AO56" s="290"/>
      <c r="AP56" s="290"/>
      <c r="AQ56" s="290"/>
      <c r="AR56" s="290"/>
      <c r="AS56" s="290"/>
      <c r="AT56" s="290"/>
      <c r="AU56" s="290"/>
      <c r="AV56" s="290"/>
      <c r="AW56" s="290"/>
      <c r="AX56" s="290"/>
      <c r="AY56" s="290"/>
      <c r="AZ56" s="290"/>
      <c r="BA56" s="290"/>
      <c r="BB56" s="1286"/>
      <c r="BC56" s="1271"/>
      <c r="BD56" s="290"/>
      <c r="BE56" s="290"/>
      <c r="BF56" s="290"/>
      <c r="BG56" s="290"/>
      <c r="BH56" s="290"/>
      <c r="BI56" s="290"/>
      <c r="BJ56" s="290"/>
      <c r="BK56" s="290"/>
      <c r="BL56" s="290"/>
      <c r="BM56" s="290"/>
      <c r="BN56" s="290"/>
      <c r="BO56" s="290"/>
      <c r="BP56" s="290"/>
      <c r="BQ56" s="290"/>
      <c r="BR56" s="1271"/>
      <c r="BS56" s="290"/>
      <c r="BT56" s="290"/>
      <c r="BU56" s="290"/>
      <c r="BV56" s="290"/>
      <c r="BW56" s="290"/>
      <c r="BX56" s="290"/>
      <c r="BY56" s="290"/>
      <c r="BZ56" s="290"/>
      <c r="CA56" s="290"/>
      <c r="CB56" s="290"/>
      <c r="CC56" s="290"/>
      <c r="CD56" s="290"/>
    </row>
    <row r="57" spans="1:84" x14ac:dyDescent="0.25">
      <c r="A57" s="290"/>
      <c r="B57" s="290"/>
      <c r="C57" s="290"/>
      <c r="D57" s="290"/>
      <c r="E57" s="1651"/>
      <c r="F57" s="290"/>
      <c r="G57" s="289"/>
      <c r="H57" s="290"/>
      <c r="I57" s="1173"/>
      <c r="J57" s="1271"/>
      <c r="K57" s="290"/>
      <c r="L57" s="290"/>
      <c r="M57" s="290"/>
      <c r="N57" s="290"/>
      <c r="O57" s="290"/>
      <c r="P57" s="290"/>
      <c r="Q57" s="290"/>
      <c r="R57" s="290"/>
      <c r="S57" s="290"/>
      <c r="T57" s="290"/>
      <c r="U57" s="290"/>
      <c r="V57" s="290"/>
      <c r="W57" s="290"/>
      <c r="Y57" s="1271"/>
      <c r="Z57" s="290"/>
      <c r="AA57" s="290"/>
      <c r="AB57" s="290"/>
      <c r="AC57" s="290"/>
      <c r="AD57" s="290"/>
      <c r="AE57" s="290"/>
      <c r="AF57" s="290"/>
      <c r="AG57" s="290"/>
      <c r="AH57" s="290"/>
      <c r="AI57" s="290"/>
      <c r="AJ57" s="290"/>
      <c r="AK57" s="290"/>
      <c r="AL57" s="290"/>
      <c r="AM57" s="1286"/>
      <c r="AN57" s="1271"/>
      <c r="AO57" s="290"/>
      <c r="AP57" s="290"/>
      <c r="AQ57" s="290"/>
      <c r="AR57" s="290"/>
      <c r="AS57" s="290"/>
      <c r="AT57" s="290"/>
      <c r="AU57" s="290"/>
      <c r="AV57" s="290"/>
      <c r="AW57" s="290"/>
      <c r="AX57" s="290"/>
      <c r="AY57" s="290"/>
      <c r="AZ57" s="290"/>
      <c r="BA57" s="290"/>
      <c r="BB57" s="1286"/>
      <c r="BC57" s="1271"/>
      <c r="BD57" s="290"/>
      <c r="BE57" s="290"/>
      <c r="BF57" s="290"/>
      <c r="BG57" s="290"/>
      <c r="BH57" s="290"/>
      <c r="BI57" s="290"/>
      <c r="BJ57" s="290"/>
      <c r="BK57" s="290"/>
      <c r="BL57" s="290"/>
      <c r="BM57" s="290"/>
      <c r="BN57" s="290"/>
      <c r="BO57" s="290"/>
      <c r="BP57" s="290"/>
      <c r="BQ57" s="290"/>
      <c r="BR57" s="1271"/>
      <c r="BS57" s="290"/>
      <c r="BT57" s="290"/>
      <c r="BU57" s="290"/>
      <c r="BV57" s="290"/>
      <c r="BW57" s="290"/>
      <c r="BX57" s="290"/>
      <c r="BY57" s="290"/>
      <c r="BZ57" s="290"/>
      <c r="CA57" s="290"/>
      <c r="CB57" s="290"/>
      <c r="CC57" s="290"/>
      <c r="CD57" s="290"/>
    </row>
  </sheetData>
  <sheetProtection algorithmName="SHA-512" hashValue="wDchYMIq7D8eYgO/X6GvP8GNChvd1naN23LlOnoDua1Kh2Vb2FBcifEv+HAKEdq6hxVJ2npzcD5ZlSdNELKUGg==" saltValue="8jh6zMS6RV6i0Aq1m/XNKQ==" spinCount="100000" sheet="1" objects="1" scenarios="1"/>
  <mergeCells count="44">
    <mergeCell ref="A6:D6"/>
    <mergeCell ref="K4:O4"/>
    <mergeCell ref="A2:C2"/>
    <mergeCell ref="L2:N2"/>
    <mergeCell ref="L3:N3"/>
    <mergeCell ref="O2:Q2"/>
    <mergeCell ref="O3:Q3"/>
    <mergeCell ref="AT4:AU4"/>
    <mergeCell ref="AA2:AC2"/>
    <mergeCell ref="AA3:AC3"/>
    <mergeCell ref="AP2:AR2"/>
    <mergeCell ref="AP3:AR3"/>
    <mergeCell ref="AD2:AF2"/>
    <mergeCell ref="AD3:AF3"/>
    <mergeCell ref="AS2:AU2"/>
    <mergeCell ref="AS3:AU3"/>
    <mergeCell ref="M40:N40"/>
    <mergeCell ref="M41:N41"/>
    <mergeCell ref="BT2:BV2"/>
    <mergeCell ref="BT3:BV3"/>
    <mergeCell ref="BS4:BW4"/>
    <mergeCell ref="BI4:BJ4"/>
    <mergeCell ref="BH2:BJ2"/>
    <mergeCell ref="BH3:BJ3"/>
    <mergeCell ref="BW2:BY2"/>
    <mergeCell ref="BW3:BY3"/>
    <mergeCell ref="BD4:BH4"/>
    <mergeCell ref="BE2:BG2"/>
    <mergeCell ref="BE3:BG3"/>
    <mergeCell ref="Z4:AD4"/>
    <mergeCell ref="AE4:AF4"/>
    <mergeCell ref="AO4:AS4"/>
    <mergeCell ref="M35:N35"/>
    <mergeCell ref="M36:N36"/>
    <mergeCell ref="M37:N37"/>
    <mergeCell ref="M38:N38"/>
    <mergeCell ref="M39:N39"/>
    <mergeCell ref="AB40:AC40"/>
    <mergeCell ref="AB41:AC41"/>
    <mergeCell ref="AB35:AC35"/>
    <mergeCell ref="AB36:AC36"/>
    <mergeCell ref="AB37:AC37"/>
    <mergeCell ref="AB38:AC38"/>
    <mergeCell ref="AB39:AC39"/>
  </mergeCells>
  <phoneticPr fontId="27" type="noConversion"/>
  <pageMargins left="0.25" right="0.25" top="0.5" bottom="0.5" header="0" footer="0"/>
  <pageSetup scale="70"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71"/>
  <sheetViews>
    <sheetView view="pageBreakPreview" zoomScaleNormal="100" zoomScaleSheetLayoutView="100" workbookViewId="0">
      <pane ySplit="4" topLeftCell="A5" activePane="bottomLeft" state="frozen"/>
      <selection activeCell="P178" sqref="P178"/>
      <selection pane="bottomLeft"/>
    </sheetView>
  </sheetViews>
  <sheetFormatPr defaultColWidth="9" defaultRowHeight="13.8" x14ac:dyDescent="0.4"/>
  <cols>
    <col min="1" max="1" width="20.59765625" style="862" customWidth="1"/>
    <col min="2" max="3" width="8.59765625" style="1405" customWidth="1"/>
    <col min="4" max="9" width="15.59765625" style="1472" customWidth="1"/>
    <col min="10" max="10" width="9" style="861"/>
    <col min="11" max="16" width="7.59765625" style="1477" customWidth="1"/>
    <col min="17" max="16384" width="9" style="861"/>
  </cols>
  <sheetData>
    <row r="1" spans="1:16" ht="44.4" x14ac:dyDescent="0.4">
      <c r="A1" s="863" t="s">
        <v>1517</v>
      </c>
      <c r="B1" s="1404"/>
      <c r="C1" s="1404"/>
      <c r="I1" s="1473" t="s">
        <v>1936</v>
      </c>
    </row>
    <row r="2" spans="1:16" x14ac:dyDescent="0.4">
      <c r="I2" s="1474"/>
      <c r="K2" s="1479" t="s">
        <v>2055</v>
      </c>
    </row>
    <row r="3" spans="1:16" ht="14.4" thickBot="1" x14ac:dyDescent="0.45"/>
    <row r="4" spans="1:16" ht="14.4" thickBot="1" x14ac:dyDescent="0.45">
      <c r="A4" s="1397" t="s">
        <v>1518</v>
      </c>
      <c r="B4" s="1406" t="s">
        <v>1086</v>
      </c>
      <c r="C4" s="1406" t="s">
        <v>1087</v>
      </c>
      <c r="D4" s="1475" t="s">
        <v>1499</v>
      </c>
      <c r="E4" s="1475" t="s">
        <v>1500</v>
      </c>
      <c r="F4" s="1475" t="s">
        <v>1502</v>
      </c>
      <c r="G4" s="1475" t="s">
        <v>1504</v>
      </c>
      <c r="H4" s="1475" t="s">
        <v>569</v>
      </c>
      <c r="I4" s="1475" t="s">
        <v>1910</v>
      </c>
      <c r="K4" s="1478" t="s">
        <v>1499</v>
      </c>
      <c r="L4" s="1478" t="s">
        <v>1500</v>
      </c>
      <c r="M4" s="1478" t="s">
        <v>1502</v>
      </c>
      <c r="N4" s="1478" t="s">
        <v>1504</v>
      </c>
      <c r="O4" s="1478" t="s">
        <v>569</v>
      </c>
      <c r="P4" s="1478" t="s">
        <v>1910</v>
      </c>
    </row>
    <row r="5" spans="1:16" x14ac:dyDescent="0.4">
      <c r="A5" s="1396" t="s">
        <v>1519</v>
      </c>
      <c r="B5" s="1483">
        <v>19.5</v>
      </c>
      <c r="C5" s="1483">
        <v>16.25</v>
      </c>
      <c r="D5" s="1476">
        <v>700015003001</v>
      </c>
      <c r="E5" s="1476">
        <v>700015021001</v>
      </c>
      <c r="F5" s="1476" t="s">
        <v>1520</v>
      </c>
      <c r="G5" s="1476" t="s">
        <v>1520</v>
      </c>
      <c r="H5" s="1476" t="s">
        <v>1520</v>
      </c>
      <c r="I5" s="1476">
        <v>700015148001</v>
      </c>
      <c r="K5" s="1477">
        <v>2.5</v>
      </c>
      <c r="P5" s="1477">
        <v>0</v>
      </c>
    </row>
    <row r="6" spans="1:16" x14ac:dyDescent="0.4">
      <c r="A6" s="1396" t="s">
        <v>1521</v>
      </c>
      <c r="B6" s="1483">
        <v>19.5</v>
      </c>
      <c r="C6" s="1483">
        <v>29.25</v>
      </c>
      <c r="D6" s="1476">
        <v>700015003002</v>
      </c>
      <c r="E6" s="1476">
        <v>700015021002</v>
      </c>
      <c r="F6" s="1476" t="s">
        <v>1520</v>
      </c>
      <c r="G6" s="1476" t="s">
        <v>1520</v>
      </c>
      <c r="H6" s="1476" t="s">
        <v>1520</v>
      </c>
      <c r="I6" s="1476" t="s">
        <v>1520</v>
      </c>
      <c r="K6" s="1477">
        <v>2.6</v>
      </c>
    </row>
    <row r="7" spans="1:16" x14ac:dyDescent="0.4">
      <c r="A7" s="1396" t="s">
        <v>1522</v>
      </c>
      <c r="B7" s="1483">
        <v>19.5</v>
      </c>
      <c r="C7" s="1483">
        <v>34.25</v>
      </c>
      <c r="D7" s="1476">
        <v>700015003003</v>
      </c>
      <c r="E7" s="1476" t="s">
        <v>1520</v>
      </c>
      <c r="F7" s="1476" t="s">
        <v>1520</v>
      </c>
      <c r="G7" s="1834">
        <v>700015090006</v>
      </c>
      <c r="H7" s="1476" t="s">
        <v>1520</v>
      </c>
      <c r="I7" s="1476" t="s">
        <v>1520</v>
      </c>
      <c r="K7" s="1477">
        <v>2.86</v>
      </c>
    </row>
    <row r="8" spans="1:16" x14ac:dyDescent="0.4">
      <c r="A8" s="1396" t="s">
        <v>1523</v>
      </c>
      <c r="B8" s="1483">
        <v>23.5</v>
      </c>
      <c r="C8" s="1483">
        <v>29.25</v>
      </c>
      <c r="D8" s="1476">
        <v>700015003004</v>
      </c>
      <c r="E8" s="1476" t="s">
        <v>1520</v>
      </c>
      <c r="F8" s="1476" t="s">
        <v>1520</v>
      </c>
      <c r="G8" s="1835" t="s">
        <v>1520</v>
      </c>
      <c r="H8" s="1476" t="s">
        <v>1520</v>
      </c>
      <c r="I8" s="1476" t="s">
        <v>1520</v>
      </c>
      <c r="K8" s="1477">
        <v>2.81</v>
      </c>
    </row>
    <row r="9" spans="1:16" x14ac:dyDescent="0.4">
      <c r="A9" s="1482" t="s">
        <v>1524</v>
      </c>
      <c r="B9" s="1483">
        <v>23.5</v>
      </c>
      <c r="C9" s="1483">
        <v>31.25</v>
      </c>
      <c r="D9" s="1476">
        <v>700015003005</v>
      </c>
      <c r="E9" s="1476" t="s">
        <v>1520</v>
      </c>
      <c r="F9" s="1476" t="s">
        <v>1520</v>
      </c>
      <c r="G9" s="1835" t="s">
        <v>1520</v>
      </c>
      <c r="H9" s="1476" t="s">
        <v>1520</v>
      </c>
      <c r="I9" s="1476" t="s">
        <v>1520</v>
      </c>
      <c r="K9" s="1477">
        <v>3.05</v>
      </c>
      <c r="N9" s="1477">
        <v>2.87</v>
      </c>
    </row>
    <row r="10" spans="1:16" x14ac:dyDescent="0.4">
      <c r="A10" s="1482" t="s">
        <v>1525</v>
      </c>
      <c r="B10" s="1483">
        <v>23.5</v>
      </c>
      <c r="C10" s="1483">
        <v>35.25</v>
      </c>
      <c r="D10" s="1476">
        <v>700015003006</v>
      </c>
      <c r="E10" s="1476" t="s">
        <v>1520</v>
      </c>
      <c r="F10" s="1476" t="s">
        <v>1520</v>
      </c>
      <c r="G10" s="1835" t="s">
        <v>1520</v>
      </c>
      <c r="H10" s="1476" t="s">
        <v>1520</v>
      </c>
      <c r="I10" s="1476" t="s">
        <v>1520</v>
      </c>
      <c r="K10" s="1477">
        <v>3.12</v>
      </c>
      <c r="N10" s="1477">
        <v>2.83</v>
      </c>
    </row>
    <row r="11" spans="1:16" x14ac:dyDescent="0.4">
      <c r="A11" s="1482" t="s">
        <v>1526</v>
      </c>
      <c r="B11" s="1483">
        <v>27.5</v>
      </c>
      <c r="C11" s="1483">
        <v>17.25</v>
      </c>
      <c r="D11" s="1476">
        <v>700015003007</v>
      </c>
      <c r="E11" s="1476" t="s">
        <v>1520</v>
      </c>
      <c r="F11" s="1476" t="s">
        <v>1520</v>
      </c>
      <c r="G11" s="1835" t="s">
        <v>1520</v>
      </c>
      <c r="H11" s="1476" t="s">
        <v>1520</v>
      </c>
      <c r="I11" s="1476" t="s">
        <v>1520</v>
      </c>
      <c r="K11" s="1477">
        <v>2.5</v>
      </c>
      <c r="N11" s="1477">
        <v>4.72</v>
      </c>
    </row>
    <row r="12" spans="1:16" x14ac:dyDescent="0.4">
      <c r="A12" s="1396" t="s">
        <v>1527</v>
      </c>
      <c r="B12" s="1483">
        <v>27.5</v>
      </c>
      <c r="C12" s="1483">
        <v>25.25</v>
      </c>
      <c r="D12" s="1476">
        <v>700015003008</v>
      </c>
      <c r="E12" s="1476">
        <v>700015021008</v>
      </c>
      <c r="F12" s="1476" t="s">
        <v>1520</v>
      </c>
      <c r="G12" s="1835" t="s">
        <v>1520</v>
      </c>
      <c r="H12" s="1476" t="s">
        <v>1520</v>
      </c>
      <c r="I12" s="1476" t="s">
        <v>1520</v>
      </c>
      <c r="K12" s="1477">
        <v>2.81</v>
      </c>
      <c r="L12" s="1477">
        <v>2.81</v>
      </c>
    </row>
    <row r="13" spans="1:16" x14ac:dyDescent="0.4">
      <c r="A13" s="1396" t="s">
        <v>1528</v>
      </c>
      <c r="B13" s="1483">
        <v>27.5</v>
      </c>
      <c r="C13" s="1483">
        <v>28.25</v>
      </c>
      <c r="D13" s="1476">
        <v>700015003009</v>
      </c>
      <c r="E13" s="1476">
        <v>700015021009</v>
      </c>
      <c r="F13" s="1476" t="s">
        <v>1520</v>
      </c>
      <c r="G13" s="1834">
        <v>700015090019</v>
      </c>
      <c r="H13" s="1476">
        <v>700015133009</v>
      </c>
      <c r="I13" s="1476">
        <v>700015148009</v>
      </c>
      <c r="K13" s="1477">
        <v>3.1</v>
      </c>
      <c r="L13" s="1477">
        <v>2.93</v>
      </c>
      <c r="P13" s="1477">
        <v>0</v>
      </c>
    </row>
    <row r="14" spans="1:16" x14ac:dyDescent="0.4">
      <c r="A14" s="1396" t="s">
        <v>1529</v>
      </c>
      <c r="B14" s="1483">
        <v>27.5</v>
      </c>
      <c r="C14" s="1483">
        <v>29.25</v>
      </c>
      <c r="D14" s="1476">
        <v>700015003010</v>
      </c>
      <c r="E14" s="1476">
        <v>700015021010</v>
      </c>
      <c r="F14" s="1476">
        <v>700015033010</v>
      </c>
      <c r="G14" s="1835" t="s">
        <v>1520</v>
      </c>
      <c r="H14" s="1476" t="s">
        <v>1520</v>
      </c>
      <c r="I14" s="1476">
        <v>700015148010</v>
      </c>
      <c r="K14" s="1477">
        <v>2.97</v>
      </c>
      <c r="L14" s="1477">
        <v>3.16</v>
      </c>
      <c r="M14" s="1477">
        <v>3.02</v>
      </c>
      <c r="P14" s="1477">
        <v>0</v>
      </c>
    </row>
    <row r="15" spans="1:16" x14ac:dyDescent="0.4">
      <c r="A15" s="1396" t="s">
        <v>1530</v>
      </c>
      <c r="B15" s="1483">
        <v>27.5</v>
      </c>
      <c r="C15" s="1483">
        <v>31.25</v>
      </c>
      <c r="D15" s="1476">
        <v>700015003011</v>
      </c>
      <c r="E15" s="1476" t="s">
        <v>1520</v>
      </c>
      <c r="F15" s="1476" t="s">
        <v>1520</v>
      </c>
      <c r="G15" s="1835" t="s">
        <v>1520</v>
      </c>
      <c r="H15" s="1476">
        <v>700015133011</v>
      </c>
      <c r="I15" s="1476" t="s">
        <v>1520</v>
      </c>
      <c r="K15" s="1477">
        <v>3.05</v>
      </c>
    </row>
    <row r="16" spans="1:16" x14ac:dyDescent="0.4">
      <c r="A16" s="1396" t="s">
        <v>1531</v>
      </c>
      <c r="B16" s="1483">
        <v>27.5</v>
      </c>
      <c r="C16" s="1483">
        <v>34.25</v>
      </c>
      <c r="D16" s="1476">
        <v>700015003012</v>
      </c>
      <c r="E16" s="1476">
        <v>700015021012</v>
      </c>
      <c r="F16" s="1476">
        <v>700015033012</v>
      </c>
      <c r="G16" s="1834">
        <v>700015090007</v>
      </c>
      <c r="H16" s="1476">
        <v>700015133012</v>
      </c>
      <c r="I16" s="1476">
        <v>700015148012</v>
      </c>
      <c r="K16" s="1477">
        <v>3.28</v>
      </c>
      <c r="L16" s="1477">
        <v>3.28</v>
      </c>
      <c r="M16" s="1477">
        <v>3.43</v>
      </c>
      <c r="P16" s="1477">
        <v>0</v>
      </c>
    </row>
    <row r="17" spans="1:16" x14ac:dyDescent="0.4">
      <c r="A17" s="1396" t="s">
        <v>1532</v>
      </c>
      <c r="B17" s="1483">
        <v>27.5</v>
      </c>
      <c r="C17" s="1483">
        <v>35.25</v>
      </c>
      <c r="D17" s="1476">
        <v>700015003013</v>
      </c>
      <c r="E17" s="1476">
        <v>700015021013</v>
      </c>
      <c r="F17" s="1476" t="s">
        <v>1520</v>
      </c>
      <c r="G17" s="1835" t="s">
        <v>1520</v>
      </c>
      <c r="H17" s="1476">
        <v>700015133013</v>
      </c>
      <c r="I17" s="1476">
        <v>700015148013</v>
      </c>
      <c r="K17" s="1477">
        <v>3.33</v>
      </c>
      <c r="L17" s="1477">
        <v>3.48</v>
      </c>
      <c r="P17" s="1477">
        <v>0</v>
      </c>
    </row>
    <row r="18" spans="1:16" x14ac:dyDescent="0.4">
      <c r="A18" s="1396" t="s">
        <v>1533</v>
      </c>
      <c r="B18" s="1483">
        <v>31.5</v>
      </c>
      <c r="C18" s="1483">
        <v>16.25</v>
      </c>
      <c r="D18" s="1476">
        <v>700015003014</v>
      </c>
      <c r="E18" s="1476" t="s">
        <v>1520</v>
      </c>
      <c r="F18" s="1476" t="s">
        <v>1520</v>
      </c>
      <c r="G18" s="1835" t="s">
        <v>1520</v>
      </c>
      <c r="H18" s="1476" t="s">
        <v>1520</v>
      </c>
      <c r="I18" s="1476" t="s">
        <v>1520</v>
      </c>
      <c r="K18" s="1477">
        <v>2.67</v>
      </c>
    </row>
    <row r="19" spans="1:16" x14ac:dyDescent="0.4">
      <c r="A19" s="1396" t="s">
        <v>1534</v>
      </c>
      <c r="B19" s="1483">
        <v>31.5</v>
      </c>
      <c r="C19" s="1483">
        <v>28.25</v>
      </c>
      <c r="D19" s="1476">
        <v>700015003015</v>
      </c>
      <c r="E19" s="1476">
        <v>700015021015</v>
      </c>
      <c r="F19" s="1476">
        <v>700015033015</v>
      </c>
      <c r="G19" s="1835">
        <v>700015090015</v>
      </c>
      <c r="H19" s="1476">
        <v>700015133015</v>
      </c>
      <c r="I19" s="1476">
        <v>700015148015</v>
      </c>
      <c r="K19" s="1481">
        <v>3.99</v>
      </c>
      <c r="L19" s="1477">
        <v>3.17</v>
      </c>
      <c r="M19" s="1477">
        <v>3.32</v>
      </c>
      <c r="N19" s="1477">
        <v>3.09</v>
      </c>
      <c r="O19" s="1477">
        <v>3.63</v>
      </c>
      <c r="P19" s="1477">
        <v>0</v>
      </c>
    </row>
    <row r="20" spans="1:16" x14ac:dyDescent="0.4">
      <c r="A20" s="1396" t="s">
        <v>1535</v>
      </c>
      <c r="B20" s="1483">
        <v>31.5</v>
      </c>
      <c r="C20" s="1483">
        <v>29.25</v>
      </c>
      <c r="D20" s="1476">
        <v>700015003016</v>
      </c>
      <c r="E20" s="1476">
        <v>700015021016</v>
      </c>
      <c r="F20" s="1476">
        <v>700015033016</v>
      </c>
      <c r="G20" s="1835">
        <v>700015090016</v>
      </c>
      <c r="H20" s="1476">
        <v>700015133016</v>
      </c>
      <c r="I20" s="1476">
        <v>700015148016</v>
      </c>
      <c r="K20" s="1481">
        <v>3.47</v>
      </c>
      <c r="L20" s="1477">
        <v>3.37</v>
      </c>
      <c r="M20" s="1477">
        <v>3.3117000000000001</v>
      </c>
      <c r="N20" s="1477">
        <v>3.13</v>
      </c>
      <c r="O20" s="1477">
        <v>3.69</v>
      </c>
      <c r="P20" s="1477">
        <v>0</v>
      </c>
    </row>
    <row r="21" spans="1:16" x14ac:dyDescent="0.4">
      <c r="A21" s="1396" t="s">
        <v>1536</v>
      </c>
      <c r="B21" s="1483">
        <v>31.5</v>
      </c>
      <c r="C21" s="1483">
        <v>31.25</v>
      </c>
      <c r="D21" s="1476">
        <v>700015003017</v>
      </c>
      <c r="E21" s="1476">
        <v>700015021017</v>
      </c>
      <c r="F21" s="1476">
        <v>700015033017</v>
      </c>
      <c r="G21" s="1835">
        <v>700015090017</v>
      </c>
      <c r="H21" s="1476" t="s">
        <v>1520</v>
      </c>
      <c r="I21" s="1476">
        <v>700015148017</v>
      </c>
      <c r="K21" s="1477">
        <v>4.18</v>
      </c>
      <c r="L21" s="1477">
        <v>3.33</v>
      </c>
      <c r="M21" s="1477">
        <v>3.33</v>
      </c>
      <c r="N21" s="1477">
        <v>0</v>
      </c>
      <c r="P21" s="1477">
        <v>0</v>
      </c>
    </row>
    <row r="22" spans="1:16" x14ac:dyDescent="0.4">
      <c r="A22" s="1396" t="s">
        <v>1537</v>
      </c>
      <c r="B22" s="1483">
        <v>31.5</v>
      </c>
      <c r="C22" s="1483">
        <v>34.25</v>
      </c>
      <c r="D22" s="1476">
        <v>700015003018</v>
      </c>
      <c r="E22" s="1476">
        <v>700015021018</v>
      </c>
      <c r="F22" s="1476">
        <v>700015033018</v>
      </c>
      <c r="G22" s="1835">
        <v>700015090018</v>
      </c>
      <c r="H22" s="1476">
        <v>700015133018</v>
      </c>
      <c r="I22" s="1476">
        <v>700015148018</v>
      </c>
      <c r="K22" s="1481">
        <v>3.33</v>
      </c>
      <c r="L22" s="1477">
        <v>3.33</v>
      </c>
      <c r="M22" s="1477">
        <v>3.33</v>
      </c>
      <c r="N22" s="1477">
        <v>3.33</v>
      </c>
      <c r="O22" s="1477">
        <v>2.99</v>
      </c>
      <c r="P22" s="1477">
        <v>0</v>
      </c>
    </row>
    <row r="23" spans="1:16" x14ac:dyDescent="0.4">
      <c r="A23" s="1396" t="s">
        <v>1538</v>
      </c>
      <c r="B23" s="1483">
        <v>31.5</v>
      </c>
      <c r="C23" s="1483">
        <v>35.25</v>
      </c>
      <c r="D23" s="1476">
        <v>700015003019</v>
      </c>
      <c r="E23" s="1476">
        <v>700015021019</v>
      </c>
      <c r="F23" s="1476">
        <v>700015033019</v>
      </c>
      <c r="G23" s="1834">
        <v>700015090009</v>
      </c>
      <c r="H23" s="1476" t="s">
        <v>1520</v>
      </c>
      <c r="I23" s="1476">
        <v>700015148019</v>
      </c>
      <c r="K23" s="1477">
        <v>3.37</v>
      </c>
      <c r="L23" s="1477">
        <v>3.54</v>
      </c>
      <c r="M23" s="1477">
        <v>3.54</v>
      </c>
      <c r="P23" s="1477">
        <v>0</v>
      </c>
    </row>
    <row r="24" spans="1:16" x14ac:dyDescent="0.4">
      <c r="A24" s="1396" t="s">
        <v>1539</v>
      </c>
      <c r="B24" s="1483">
        <v>32.5</v>
      </c>
      <c r="C24" s="1483">
        <v>28.25</v>
      </c>
      <c r="D24" s="1476">
        <v>700015003020</v>
      </c>
      <c r="E24" s="1476" t="s">
        <v>1520</v>
      </c>
      <c r="F24" s="1476" t="s">
        <v>1520</v>
      </c>
      <c r="G24" s="1835" t="s">
        <v>1520</v>
      </c>
      <c r="H24" s="1476" t="s">
        <v>1520</v>
      </c>
      <c r="I24" s="1476" t="s">
        <v>1520</v>
      </c>
      <c r="K24" s="1477">
        <v>3.22</v>
      </c>
    </row>
    <row r="25" spans="1:16" x14ac:dyDescent="0.4">
      <c r="A25" s="1396" t="s">
        <v>1540</v>
      </c>
      <c r="B25" s="1483">
        <v>32.5</v>
      </c>
      <c r="C25" s="1483">
        <v>34.25</v>
      </c>
      <c r="D25" s="1476">
        <v>700015003021</v>
      </c>
      <c r="E25" s="1476" t="s">
        <v>1520</v>
      </c>
      <c r="F25" s="1476" t="s">
        <v>1520</v>
      </c>
      <c r="G25" s="1835" t="s">
        <v>1520</v>
      </c>
      <c r="H25" s="1476" t="s">
        <v>1520</v>
      </c>
      <c r="I25" s="1476" t="s">
        <v>1520</v>
      </c>
      <c r="K25" s="1477">
        <v>3.37</v>
      </c>
    </row>
    <row r="26" spans="1:16" x14ac:dyDescent="0.4">
      <c r="A26" s="1396" t="s">
        <v>1541</v>
      </c>
      <c r="B26" s="1483">
        <v>29.875</v>
      </c>
      <c r="C26" s="1483">
        <v>31.062999999999999</v>
      </c>
      <c r="D26" s="1476">
        <v>700015003022</v>
      </c>
      <c r="E26" s="1476">
        <v>700015021022</v>
      </c>
      <c r="F26" s="1476" t="s">
        <v>1520</v>
      </c>
      <c r="G26" s="1835" t="s">
        <v>1520</v>
      </c>
      <c r="H26" s="1476" t="s">
        <v>1520</v>
      </c>
      <c r="I26" s="1476">
        <v>700015148022</v>
      </c>
      <c r="K26" s="1477">
        <v>3.37</v>
      </c>
      <c r="L26" s="1477">
        <v>3.37</v>
      </c>
      <c r="P26" s="1477">
        <v>0</v>
      </c>
    </row>
    <row r="27" spans="1:16" x14ac:dyDescent="0.4">
      <c r="A27" s="1396" t="s">
        <v>1911</v>
      </c>
      <c r="B27" s="1483">
        <v>33.875</v>
      </c>
      <c r="C27" s="1483">
        <v>27.062999999999999</v>
      </c>
      <c r="D27" s="1476">
        <v>700015003023</v>
      </c>
      <c r="E27" s="1476" t="s">
        <v>1520</v>
      </c>
      <c r="F27" s="1476" t="s">
        <v>1520</v>
      </c>
      <c r="G27" s="1835" t="s">
        <v>1520</v>
      </c>
      <c r="H27" s="1476" t="s">
        <v>1520</v>
      </c>
      <c r="I27" s="1476" t="s">
        <v>1520</v>
      </c>
      <c r="K27" s="1477">
        <v>3.22</v>
      </c>
    </row>
    <row r="28" spans="1:16" x14ac:dyDescent="0.4">
      <c r="A28" s="1396" t="s">
        <v>1542</v>
      </c>
      <c r="B28" s="1483">
        <v>27.5</v>
      </c>
      <c r="C28" s="1483">
        <v>32.25</v>
      </c>
      <c r="D28" s="1476">
        <v>700015003024</v>
      </c>
      <c r="E28" s="1476">
        <v>700015021024</v>
      </c>
      <c r="F28" s="1476" t="s">
        <v>1520</v>
      </c>
      <c r="G28" s="1835" t="s">
        <v>1520</v>
      </c>
      <c r="H28" s="1476" t="s">
        <v>1520</v>
      </c>
      <c r="I28" s="1476" t="s">
        <v>1520</v>
      </c>
      <c r="K28" s="1477">
        <v>3.32</v>
      </c>
      <c r="L28" s="1477">
        <v>3.18</v>
      </c>
    </row>
    <row r="29" spans="1:16" x14ac:dyDescent="0.4">
      <c r="A29" s="1396" t="s">
        <v>1912</v>
      </c>
      <c r="B29" s="1483">
        <v>35.5</v>
      </c>
      <c r="C29" s="1483">
        <v>29.25</v>
      </c>
      <c r="D29" s="1476">
        <v>700015003025</v>
      </c>
      <c r="E29" s="1476">
        <v>700015021025</v>
      </c>
      <c r="F29" s="1476" t="s">
        <v>1520</v>
      </c>
      <c r="G29" s="1835" t="s">
        <v>1520</v>
      </c>
      <c r="H29" s="1476" t="s">
        <v>1520</v>
      </c>
      <c r="I29" s="1476" t="s">
        <v>1520</v>
      </c>
      <c r="K29" s="1477">
        <v>3.59</v>
      </c>
      <c r="L29" s="1477">
        <v>3.59</v>
      </c>
    </row>
    <row r="30" spans="1:16" x14ac:dyDescent="0.4">
      <c r="A30" s="1396" t="s">
        <v>1913</v>
      </c>
      <c r="B30" s="1483">
        <v>19.5</v>
      </c>
      <c r="C30" s="1483">
        <v>22.25</v>
      </c>
      <c r="D30" s="1476">
        <v>700015003026</v>
      </c>
      <c r="E30" s="1476">
        <v>700015021026</v>
      </c>
      <c r="F30" s="1476" t="s">
        <v>1520</v>
      </c>
      <c r="G30" s="1835" t="s">
        <v>1520</v>
      </c>
      <c r="H30" s="1476" t="s">
        <v>1520</v>
      </c>
      <c r="I30" s="1476">
        <v>700015148026</v>
      </c>
      <c r="K30" s="1477">
        <v>2.5</v>
      </c>
      <c r="L30" s="1477">
        <v>2.5</v>
      </c>
      <c r="P30" s="1477">
        <v>0</v>
      </c>
    </row>
    <row r="31" spans="1:16" x14ac:dyDescent="0.4">
      <c r="A31" s="1396" t="s">
        <v>1914</v>
      </c>
      <c r="B31" s="1483">
        <v>31.5</v>
      </c>
      <c r="C31" s="1483">
        <v>22.25</v>
      </c>
      <c r="D31" s="1476">
        <v>700015003027</v>
      </c>
      <c r="E31" s="1476" t="s">
        <v>1520</v>
      </c>
      <c r="F31" s="1476" t="s">
        <v>1520</v>
      </c>
      <c r="G31" s="1835" t="s">
        <v>1520</v>
      </c>
      <c r="H31" s="1476" t="s">
        <v>1520</v>
      </c>
      <c r="I31" s="1476" t="s">
        <v>1520</v>
      </c>
      <c r="K31" s="1477">
        <v>2.9076</v>
      </c>
    </row>
    <row r="32" spans="1:16" x14ac:dyDescent="0.4">
      <c r="A32" s="1396" t="s">
        <v>1915</v>
      </c>
      <c r="B32" s="1483">
        <v>19.5</v>
      </c>
      <c r="C32" s="1483">
        <v>28.25</v>
      </c>
      <c r="D32" s="1476">
        <v>700015003028</v>
      </c>
      <c r="E32" s="1476">
        <v>700015021028</v>
      </c>
      <c r="F32" s="1476" t="s">
        <v>1520</v>
      </c>
      <c r="G32" s="1835" t="s">
        <v>1520</v>
      </c>
      <c r="H32" s="1476" t="s">
        <v>1520</v>
      </c>
      <c r="I32" s="1476">
        <v>700015148028</v>
      </c>
      <c r="K32" s="1477">
        <v>2.74</v>
      </c>
      <c r="L32" s="1477">
        <v>2.5499999999999998</v>
      </c>
      <c r="P32" s="1477">
        <v>0</v>
      </c>
    </row>
    <row r="33" spans="1:14" x14ac:dyDescent="0.4">
      <c r="A33" s="1396" t="s">
        <v>1916</v>
      </c>
      <c r="B33" s="1483">
        <v>31.5</v>
      </c>
      <c r="C33" s="1483">
        <v>25.25</v>
      </c>
      <c r="D33" s="1476">
        <v>700015003029</v>
      </c>
      <c r="E33" s="1476">
        <v>700015021029</v>
      </c>
      <c r="F33" s="1476">
        <v>700015033029</v>
      </c>
      <c r="G33" s="1835" t="s">
        <v>1520</v>
      </c>
      <c r="H33" s="1476" t="s">
        <v>1520</v>
      </c>
      <c r="I33" s="1476" t="s">
        <v>1520</v>
      </c>
      <c r="K33" s="1477">
        <v>3.16</v>
      </c>
      <c r="L33" s="1477">
        <v>3.02</v>
      </c>
      <c r="M33" s="1477">
        <v>3.06</v>
      </c>
    </row>
    <row r="34" spans="1:14" x14ac:dyDescent="0.4">
      <c r="A34" s="1396" t="s">
        <v>1917</v>
      </c>
      <c r="B34" s="1483">
        <v>23.5</v>
      </c>
      <c r="C34" s="1483">
        <v>25.25</v>
      </c>
      <c r="D34" s="1476">
        <v>700015003030</v>
      </c>
      <c r="E34" s="1476" t="s">
        <v>1520</v>
      </c>
      <c r="F34" s="1476" t="s">
        <v>1520</v>
      </c>
      <c r="G34" s="1835" t="s">
        <v>1520</v>
      </c>
      <c r="H34" s="1476" t="s">
        <v>1520</v>
      </c>
      <c r="I34" s="1476" t="s">
        <v>1520</v>
      </c>
      <c r="K34" s="1477">
        <v>2.41</v>
      </c>
    </row>
    <row r="35" spans="1:14" x14ac:dyDescent="0.4">
      <c r="A35" s="1396" t="s">
        <v>1918</v>
      </c>
      <c r="B35" s="1483">
        <v>23.5</v>
      </c>
      <c r="C35" s="1483">
        <v>28.25</v>
      </c>
      <c r="D35" s="1476">
        <v>700015003031</v>
      </c>
      <c r="E35" s="1476" t="s">
        <v>1520</v>
      </c>
      <c r="F35" s="1476" t="s">
        <v>1520</v>
      </c>
      <c r="G35" s="1835" t="s">
        <v>1520</v>
      </c>
      <c r="H35" s="1476" t="s">
        <v>1520</v>
      </c>
      <c r="I35" s="1476" t="s">
        <v>1520</v>
      </c>
      <c r="K35" s="1477">
        <v>2.79</v>
      </c>
    </row>
    <row r="36" spans="1:14" x14ac:dyDescent="0.4">
      <c r="A36" s="1396" t="s">
        <v>1919</v>
      </c>
      <c r="B36" s="1483">
        <v>25.5</v>
      </c>
      <c r="C36" s="1483">
        <v>34.25</v>
      </c>
      <c r="D36" s="1476">
        <v>700015003032</v>
      </c>
      <c r="E36" s="1476" t="s">
        <v>1520</v>
      </c>
      <c r="F36" s="1476" t="s">
        <v>1520</v>
      </c>
      <c r="G36" s="1835" t="s">
        <v>1520</v>
      </c>
      <c r="H36" s="1476" t="s">
        <v>1520</v>
      </c>
      <c r="I36" s="1476" t="s">
        <v>1520</v>
      </c>
      <c r="K36" s="1477">
        <v>3.32</v>
      </c>
    </row>
    <row r="37" spans="1:14" x14ac:dyDescent="0.4">
      <c r="A37" s="1396" t="s">
        <v>1920</v>
      </c>
      <c r="B37" s="1483">
        <v>27.5</v>
      </c>
      <c r="C37" s="1483">
        <v>16.25</v>
      </c>
      <c r="D37" s="1476">
        <v>700015003033</v>
      </c>
      <c r="E37" s="1476" t="s">
        <v>1520</v>
      </c>
      <c r="F37" s="1476" t="s">
        <v>1520</v>
      </c>
      <c r="G37" s="1835" t="s">
        <v>1520</v>
      </c>
      <c r="H37" s="1476" t="s">
        <v>1520</v>
      </c>
      <c r="I37" s="1476" t="s">
        <v>1520</v>
      </c>
      <c r="K37" s="1477">
        <v>2.5</v>
      </c>
    </row>
    <row r="38" spans="1:14" x14ac:dyDescent="0.4">
      <c r="A38" s="1396" t="s">
        <v>1921</v>
      </c>
      <c r="B38" s="1483">
        <v>31.5</v>
      </c>
      <c r="C38" s="1483">
        <v>19.25</v>
      </c>
      <c r="D38" s="1476">
        <v>700015003034</v>
      </c>
      <c r="E38" s="1476" t="s">
        <v>1520</v>
      </c>
      <c r="F38" s="1476" t="s">
        <v>1520</v>
      </c>
      <c r="G38" s="1835" t="s">
        <v>1520</v>
      </c>
      <c r="H38" s="1476" t="s">
        <v>1520</v>
      </c>
      <c r="I38" s="1476" t="s">
        <v>1520</v>
      </c>
      <c r="K38" s="1477">
        <v>2.41</v>
      </c>
    </row>
    <row r="39" spans="1:14" x14ac:dyDescent="0.4">
      <c r="A39" s="1396" t="s">
        <v>1922</v>
      </c>
      <c r="B39" s="1483">
        <v>23.5</v>
      </c>
      <c r="C39" s="1483">
        <v>34.25</v>
      </c>
      <c r="D39" s="1476">
        <v>700015003035</v>
      </c>
      <c r="E39" s="1476" t="s">
        <v>1520</v>
      </c>
      <c r="F39" s="1476" t="s">
        <v>1520</v>
      </c>
      <c r="G39" s="1835">
        <v>700015090035</v>
      </c>
      <c r="H39" s="1476" t="s">
        <v>1520</v>
      </c>
      <c r="I39" s="1476" t="s">
        <v>1520</v>
      </c>
      <c r="K39" s="1477">
        <v>3.48</v>
      </c>
    </row>
    <row r="40" spans="1:14" x14ac:dyDescent="0.4">
      <c r="A40" s="1396" t="s">
        <v>1923</v>
      </c>
      <c r="B40" s="1483">
        <v>37.5</v>
      </c>
      <c r="C40" s="1483">
        <v>26.25</v>
      </c>
      <c r="D40" s="1476">
        <v>700015003036</v>
      </c>
      <c r="E40" s="1476" t="s">
        <v>1520</v>
      </c>
      <c r="F40" s="1476" t="s">
        <v>1520</v>
      </c>
      <c r="G40" s="1835" t="s">
        <v>1520</v>
      </c>
      <c r="H40" s="1476" t="s">
        <v>1520</v>
      </c>
      <c r="I40" s="1476" t="s">
        <v>1520</v>
      </c>
      <c r="K40" s="1477">
        <v>3.38</v>
      </c>
    </row>
    <row r="41" spans="1:14" x14ac:dyDescent="0.4">
      <c r="A41" s="1396" t="s">
        <v>1924</v>
      </c>
      <c r="B41" s="1483">
        <v>23.5</v>
      </c>
      <c r="C41" s="1483">
        <v>22.25</v>
      </c>
      <c r="D41" s="1476">
        <v>700015003037</v>
      </c>
      <c r="E41" s="1476" t="s">
        <v>1520</v>
      </c>
      <c r="F41" s="1476" t="s">
        <v>1520</v>
      </c>
      <c r="G41" s="1835" t="s">
        <v>1520</v>
      </c>
      <c r="H41" s="1476" t="s">
        <v>1520</v>
      </c>
      <c r="I41" s="1476" t="s">
        <v>1520</v>
      </c>
      <c r="K41" s="1477">
        <v>2.5</v>
      </c>
    </row>
    <row r="42" spans="1:14" x14ac:dyDescent="0.4">
      <c r="A42" s="1396" t="s">
        <v>1925</v>
      </c>
      <c r="B42" s="1483">
        <v>19.5</v>
      </c>
      <c r="C42" s="1483">
        <v>25.25</v>
      </c>
      <c r="D42" s="1476">
        <v>700015003038</v>
      </c>
      <c r="E42" s="1476" t="s">
        <v>1520</v>
      </c>
      <c r="F42" s="1476" t="s">
        <v>1520</v>
      </c>
      <c r="G42" s="1835" t="s">
        <v>1520</v>
      </c>
      <c r="H42" s="1476" t="s">
        <v>1520</v>
      </c>
      <c r="I42" s="1476" t="s">
        <v>1520</v>
      </c>
      <c r="K42" s="1477">
        <v>2.5</v>
      </c>
    </row>
    <row r="43" spans="1:14" x14ac:dyDescent="0.4">
      <c r="A43" s="1396" t="s">
        <v>1926</v>
      </c>
      <c r="B43" s="1483">
        <v>25.5</v>
      </c>
      <c r="C43" s="1483">
        <v>28.25</v>
      </c>
      <c r="D43" s="1476">
        <v>700015003039</v>
      </c>
      <c r="E43" s="1476" t="s">
        <v>1520</v>
      </c>
      <c r="F43" s="1476" t="s">
        <v>1520</v>
      </c>
      <c r="G43" s="1834">
        <v>700015090005</v>
      </c>
      <c r="H43" s="1476" t="s">
        <v>1520</v>
      </c>
      <c r="I43" s="1476" t="s">
        <v>1520</v>
      </c>
      <c r="K43" s="1477">
        <v>2.86</v>
      </c>
      <c r="N43" s="1477">
        <v>2.87</v>
      </c>
    </row>
    <row r="44" spans="1:14" x14ac:dyDescent="0.4">
      <c r="A44" s="1396" t="s">
        <v>1927</v>
      </c>
      <c r="B44" s="1483">
        <v>27.5</v>
      </c>
      <c r="C44" s="1483">
        <v>22.25</v>
      </c>
      <c r="D44" s="1476">
        <v>700015003040</v>
      </c>
      <c r="E44" s="1476" t="s">
        <v>1520</v>
      </c>
      <c r="F44" s="1476" t="s">
        <v>1520</v>
      </c>
      <c r="G44" s="1835" t="s">
        <v>1520</v>
      </c>
      <c r="H44" s="1476" t="s">
        <v>1520</v>
      </c>
      <c r="I44" s="1476" t="s">
        <v>1520</v>
      </c>
      <c r="K44" s="1477">
        <v>2.96</v>
      </c>
    </row>
    <row r="45" spans="1:14" x14ac:dyDescent="0.4">
      <c r="A45" s="1396" t="s">
        <v>1928</v>
      </c>
      <c r="B45" s="1483">
        <v>35.5</v>
      </c>
      <c r="C45" s="1483">
        <v>19.25</v>
      </c>
      <c r="D45" s="1476">
        <v>700015003041</v>
      </c>
      <c r="E45" s="1476" t="s">
        <v>1520</v>
      </c>
      <c r="F45" s="1476" t="s">
        <v>1520</v>
      </c>
      <c r="G45" s="1835" t="s">
        <v>1520</v>
      </c>
      <c r="H45" s="1476" t="s">
        <v>1520</v>
      </c>
      <c r="I45" s="1476" t="s">
        <v>1520</v>
      </c>
      <c r="K45" s="1477">
        <v>3.05</v>
      </c>
    </row>
    <row r="46" spans="1:14" x14ac:dyDescent="0.4">
      <c r="A46" s="1396" t="s">
        <v>1929</v>
      </c>
      <c r="B46" s="1483">
        <v>19.5</v>
      </c>
      <c r="C46" s="1483">
        <v>17.25</v>
      </c>
      <c r="D46" s="1476">
        <v>700015003042</v>
      </c>
      <c r="E46" s="1476" t="s">
        <v>1520</v>
      </c>
      <c r="F46" s="1476" t="s">
        <v>1520</v>
      </c>
      <c r="G46" s="1835" t="s">
        <v>1520</v>
      </c>
      <c r="H46" s="1476" t="s">
        <v>1520</v>
      </c>
      <c r="I46" s="1476" t="s">
        <v>1520</v>
      </c>
      <c r="K46" s="1477">
        <v>2.5</v>
      </c>
    </row>
    <row r="47" spans="1:14" x14ac:dyDescent="0.4">
      <c r="A47" s="1396" t="s">
        <v>1930</v>
      </c>
      <c r="B47" s="1483">
        <v>23.5</v>
      </c>
      <c r="C47" s="1483">
        <v>20.25</v>
      </c>
      <c r="D47" s="1476">
        <v>700015003043</v>
      </c>
      <c r="E47" s="1476" t="s">
        <v>1520</v>
      </c>
      <c r="F47" s="1476" t="s">
        <v>1520</v>
      </c>
      <c r="G47" s="1835" t="s">
        <v>1520</v>
      </c>
      <c r="H47" s="1476" t="s">
        <v>1520</v>
      </c>
      <c r="I47" s="1476" t="s">
        <v>1520</v>
      </c>
      <c r="K47" s="1477">
        <v>2.5</v>
      </c>
    </row>
    <row r="48" spans="1:14" x14ac:dyDescent="0.4">
      <c r="A48" s="1396" t="s">
        <v>1931</v>
      </c>
      <c r="B48" s="1483">
        <v>19.5</v>
      </c>
      <c r="C48" s="1483">
        <v>20.25</v>
      </c>
      <c r="D48" s="1476">
        <v>700015003044</v>
      </c>
      <c r="E48" s="1476" t="s">
        <v>1520</v>
      </c>
      <c r="F48" s="1476" t="s">
        <v>1520</v>
      </c>
      <c r="G48" s="1835" t="s">
        <v>1520</v>
      </c>
      <c r="H48" s="1476" t="s">
        <v>1520</v>
      </c>
      <c r="I48" s="1476" t="s">
        <v>1520</v>
      </c>
      <c r="K48" s="1477">
        <v>2.5</v>
      </c>
    </row>
    <row r="49" spans="1:14" x14ac:dyDescent="0.4">
      <c r="A49" s="1396" t="s">
        <v>1932</v>
      </c>
      <c r="B49" s="1483">
        <v>29.5</v>
      </c>
      <c r="C49" s="1483">
        <v>31.25</v>
      </c>
      <c r="D49" s="1476">
        <v>700015003045</v>
      </c>
      <c r="E49" s="1476" t="s">
        <v>1520</v>
      </c>
      <c r="F49" s="1476" t="s">
        <v>1520</v>
      </c>
      <c r="G49" s="1835" t="s">
        <v>1520</v>
      </c>
      <c r="H49" s="1476" t="s">
        <v>1520</v>
      </c>
      <c r="I49" s="1476" t="s">
        <v>1520</v>
      </c>
      <c r="K49" s="1477">
        <v>3.37</v>
      </c>
    </row>
    <row r="50" spans="1:14" x14ac:dyDescent="0.4">
      <c r="A50" s="1396" t="s">
        <v>1933</v>
      </c>
      <c r="B50" s="1483">
        <v>29.875</v>
      </c>
      <c r="C50" s="1483">
        <v>37.063000000000002</v>
      </c>
      <c r="D50" s="1476">
        <v>700015003046</v>
      </c>
      <c r="E50" s="1476">
        <v>700015021046</v>
      </c>
      <c r="F50" s="1476" t="s">
        <v>1520</v>
      </c>
      <c r="G50" s="1835" t="s">
        <v>1520</v>
      </c>
      <c r="H50" s="1476" t="s">
        <v>1520</v>
      </c>
      <c r="I50" s="1476" t="s">
        <v>1520</v>
      </c>
      <c r="L50" s="1477">
        <v>3.2</v>
      </c>
    </row>
    <row r="51" spans="1:14" x14ac:dyDescent="0.4">
      <c r="A51" s="1396" t="s">
        <v>1934</v>
      </c>
      <c r="B51" s="1483">
        <v>35.5</v>
      </c>
      <c r="C51" s="1483">
        <v>34.25</v>
      </c>
      <c r="D51" s="1476">
        <v>700015003047</v>
      </c>
      <c r="E51" s="1476" t="s">
        <v>1520</v>
      </c>
      <c r="F51" s="1476" t="s">
        <v>1520</v>
      </c>
      <c r="G51" s="1835" t="s">
        <v>1520</v>
      </c>
      <c r="H51" s="1476" t="s">
        <v>1520</v>
      </c>
      <c r="I51" s="1476" t="s">
        <v>1520</v>
      </c>
      <c r="K51" s="1477">
        <v>0</v>
      </c>
    </row>
    <row r="52" spans="1:14" x14ac:dyDescent="0.4">
      <c r="A52" s="1396" t="s">
        <v>2053</v>
      </c>
      <c r="B52" s="1483">
        <v>35.5</v>
      </c>
      <c r="C52" s="1483">
        <v>34.25</v>
      </c>
      <c r="D52" s="1476" t="s">
        <v>1520</v>
      </c>
      <c r="E52" s="1476" t="s">
        <v>1520</v>
      </c>
      <c r="F52" s="1476" t="s">
        <v>1520</v>
      </c>
      <c r="G52" s="1834" t="s">
        <v>1940</v>
      </c>
      <c r="H52" s="1476" t="s">
        <v>1520</v>
      </c>
      <c r="I52" s="1476" t="s">
        <v>1520</v>
      </c>
      <c r="N52" s="1477">
        <v>3.42</v>
      </c>
    </row>
    <row r="53" spans="1:14" x14ac:dyDescent="0.4">
      <c r="A53" s="1396" t="s">
        <v>1935</v>
      </c>
      <c r="B53" s="1483">
        <v>35.5</v>
      </c>
      <c r="C53" s="1483">
        <v>28.25</v>
      </c>
      <c r="D53" s="1476">
        <v>700015003048</v>
      </c>
      <c r="E53" s="1476" t="s">
        <v>1520</v>
      </c>
      <c r="F53" s="1476" t="s">
        <v>1520</v>
      </c>
      <c r="G53" s="1835" t="s">
        <v>1520</v>
      </c>
      <c r="H53" s="1476" t="s">
        <v>1520</v>
      </c>
      <c r="I53" s="1476" t="s">
        <v>1520</v>
      </c>
      <c r="K53" s="1477">
        <v>3.87</v>
      </c>
    </row>
    <row r="54" spans="1:14" x14ac:dyDescent="0.4">
      <c r="A54" s="1396" t="s">
        <v>2052</v>
      </c>
      <c r="B54" s="1483">
        <v>13.5</v>
      </c>
      <c r="C54" s="1483">
        <v>28.25</v>
      </c>
      <c r="D54" s="1476" t="s">
        <v>1520</v>
      </c>
      <c r="E54" s="1476" t="s">
        <v>1520</v>
      </c>
      <c r="F54" s="1476" t="s">
        <v>1520</v>
      </c>
      <c r="G54" s="1835" t="s">
        <v>1520</v>
      </c>
      <c r="H54" s="1476" t="s">
        <v>1520</v>
      </c>
      <c r="I54" s="1476" t="s">
        <v>1520</v>
      </c>
      <c r="M54" s="1477">
        <v>2.85</v>
      </c>
    </row>
    <row r="55" spans="1:14" x14ac:dyDescent="0.4">
      <c r="A55" s="1396" t="s">
        <v>2054</v>
      </c>
      <c r="B55" s="1483">
        <v>19.5</v>
      </c>
      <c r="C55" s="1483">
        <v>25.25</v>
      </c>
      <c r="D55" s="1476" t="s">
        <v>1520</v>
      </c>
      <c r="E55" s="1476" t="s">
        <v>1520</v>
      </c>
      <c r="F55" s="1476" t="s">
        <v>1520</v>
      </c>
      <c r="G55" s="1835" t="s">
        <v>1520</v>
      </c>
      <c r="H55" s="1476" t="s">
        <v>1520</v>
      </c>
      <c r="I55" s="1476" t="s">
        <v>1520</v>
      </c>
      <c r="M55" s="1477">
        <v>3</v>
      </c>
    </row>
    <row r="56" spans="1:14" x14ac:dyDescent="0.4">
      <c r="A56" s="1396" t="s">
        <v>2343</v>
      </c>
      <c r="B56" s="1483">
        <v>31.5</v>
      </c>
      <c r="C56" s="1483">
        <v>40.25</v>
      </c>
      <c r="D56" s="1476">
        <v>700015003049</v>
      </c>
      <c r="E56" s="1476" t="s">
        <v>1520</v>
      </c>
      <c r="F56" s="1476" t="s">
        <v>1520</v>
      </c>
      <c r="G56" s="1835" t="s">
        <v>1520</v>
      </c>
      <c r="H56" s="1476" t="s">
        <v>1520</v>
      </c>
      <c r="I56" s="1476" t="s">
        <v>1520</v>
      </c>
    </row>
    <row r="57" spans="1:14" x14ac:dyDescent="0.4">
      <c r="A57" s="1396" t="s">
        <v>2344</v>
      </c>
      <c r="B57" s="1483">
        <v>27.5</v>
      </c>
      <c r="C57" s="1483">
        <v>20.25</v>
      </c>
      <c r="D57" s="1476">
        <v>700015003050</v>
      </c>
      <c r="E57" s="1476" t="s">
        <v>1520</v>
      </c>
      <c r="F57" s="1476" t="s">
        <v>1520</v>
      </c>
      <c r="G57" s="1835" t="s">
        <v>1520</v>
      </c>
      <c r="H57" s="1476" t="s">
        <v>1520</v>
      </c>
      <c r="I57" s="1476" t="s">
        <v>1520</v>
      </c>
    </row>
    <row r="58" spans="1:14" x14ac:dyDescent="0.4">
      <c r="A58" s="1396"/>
      <c r="B58" s="1483"/>
      <c r="C58" s="1483"/>
      <c r="D58" s="1476"/>
      <c r="E58" s="1476"/>
      <c r="F58" s="1476"/>
      <c r="G58" s="1476"/>
      <c r="H58" s="1476"/>
      <c r="I58" s="1476"/>
    </row>
    <row r="59" spans="1:14" x14ac:dyDescent="0.4">
      <c r="A59" s="1396"/>
      <c r="B59" s="1483"/>
      <c r="C59" s="1483"/>
      <c r="D59" s="1476"/>
      <c r="E59" s="1476"/>
      <c r="F59" s="1476"/>
      <c r="G59" s="1476"/>
      <c r="H59" s="1476"/>
      <c r="I59" s="1476"/>
    </row>
    <row r="60" spans="1:14" x14ac:dyDescent="0.4">
      <c r="A60" s="1396"/>
      <c r="B60" s="1483"/>
      <c r="C60" s="1483"/>
      <c r="D60" s="1476"/>
      <c r="E60" s="1476"/>
      <c r="F60" s="1476"/>
      <c r="G60" s="1476"/>
      <c r="H60" s="1476"/>
      <c r="I60" s="1476"/>
    </row>
    <row r="63" spans="1:14" x14ac:dyDescent="0.4">
      <c r="A63" s="1658" t="s">
        <v>2347</v>
      </c>
      <c r="B63" s="1839"/>
      <c r="C63" s="1839"/>
      <c r="D63" s="1659"/>
      <c r="E63" s="1659"/>
    </row>
    <row r="64" spans="1:14" x14ac:dyDescent="0.4">
      <c r="A64" s="861"/>
      <c r="D64" s="1837" t="s">
        <v>2346</v>
      </c>
      <c r="G64" s="1838" t="s">
        <v>2345</v>
      </c>
    </row>
    <row r="65" spans="1:7" x14ac:dyDescent="0.4">
      <c r="A65" s="1396" t="s">
        <v>1522</v>
      </c>
      <c r="C65" s="861"/>
      <c r="D65" s="1476">
        <v>700015003003</v>
      </c>
      <c r="G65" s="1834">
        <v>700015090006</v>
      </c>
    </row>
    <row r="66" spans="1:7" x14ac:dyDescent="0.4">
      <c r="A66" s="1396" t="s">
        <v>1528</v>
      </c>
      <c r="C66" s="861"/>
      <c r="D66" s="1476">
        <v>700015003009</v>
      </c>
      <c r="G66" s="1834">
        <v>700015090019</v>
      </c>
    </row>
    <row r="67" spans="1:7" x14ac:dyDescent="0.4">
      <c r="A67" s="1396" t="s">
        <v>1531</v>
      </c>
      <c r="C67" s="861"/>
      <c r="D67" s="1476">
        <v>700015003012</v>
      </c>
      <c r="G67" s="1834">
        <v>700015090007</v>
      </c>
    </row>
    <row r="68" spans="1:7" x14ac:dyDescent="0.4">
      <c r="A68" s="1396" t="s">
        <v>1538</v>
      </c>
      <c r="D68" s="1476">
        <v>700015003019</v>
      </c>
      <c r="G68" s="1834">
        <v>700015090009</v>
      </c>
    </row>
    <row r="69" spans="1:7" x14ac:dyDescent="0.4">
      <c r="A69" s="1396" t="s">
        <v>1926</v>
      </c>
      <c r="D69" s="1476">
        <v>700015003039</v>
      </c>
      <c r="G69" s="1834">
        <v>700015090005</v>
      </c>
    </row>
    <row r="70" spans="1:7" x14ac:dyDescent="0.4">
      <c r="A70" s="1396" t="s">
        <v>1934</v>
      </c>
      <c r="D70" s="1476">
        <v>700015003047</v>
      </c>
    </row>
    <row r="71" spans="1:7" x14ac:dyDescent="0.4">
      <c r="A71" s="1836" t="s">
        <v>2053</v>
      </c>
      <c r="G71" s="1834" t="s">
        <v>1940</v>
      </c>
    </row>
  </sheetData>
  <sheetProtection algorithmName="SHA-512" hashValue="5vOroqZKxYGnEYUpFjt/2lM0EE6uqjpbGvPxu8PETcJVrsejJiRv+jmLPIFNTIkuW9j57oByoTuQXr972aT3Fg==" saltValue="gv3V3ZnSvoQET1gQGtuVCw==" spinCount="100000" sheet="1" objects="1" scenarios="1"/>
  <pageMargins left="0.25" right="0.25" top="0.25" bottom="0.25" header="0" footer="0"/>
  <pageSetup scale="90" orientation="landscape" r:id="rId1"/>
  <headerFooter>
    <oddFooter>&amp;L&amp;Z&amp;F&amp;RPrinted: &amp;D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pageSetUpPr fitToPage="1"/>
  </sheetPr>
  <dimension ref="A1:AE269"/>
  <sheetViews>
    <sheetView view="pageBreakPreview" zoomScaleSheetLayoutView="100" workbookViewId="0">
      <pane ySplit="10" topLeftCell="A118" activePane="bottomLeft" state="frozen"/>
      <selection activeCell="P178" sqref="P178"/>
      <selection pane="bottomLeft" activeCell="AE134" sqref="AE134"/>
    </sheetView>
  </sheetViews>
  <sheetFormatPr defaultColWidth="9" defaultRowHeight="11.4" x14ac:dyDescent="0.2"/>
  <cols>
    <col min="1" max="1" width="13.3984375" style="354" bestFit="1" customWidth="1"/>
    <col min="2" max="4" width="3.59765625" style="354" customWidth="1"/>
    <col min="5" max="5" width="9" style="354"/>
    <col min="6" max="7" width="7.8984375" style="354" customWidth="1"/>
    <col min="8" max="8" width="1.59765625" style="354" customWidth="1"/>
    <col min="9" max="9" width="5.3984375" style="354" bestFit="1" customWidth="1"/>
    <col min="10" max="10" width="1.8984375" style="354" bestFit="1" customWidth="1"/>
    <col min="11" max="11" width="2.59765625" style="354" customWidth="1"/>
    <col min="12" max="12" width="1.59765625" style="354" bestFit="1" customWidth="1"/>
    <col min="13" max="13" width="4.69921875" style="354" bestFit="1" customWidth="1"/>
    <col min="14" max="14" width="1.59765625" style="354" bestFit="1" customWidth="1"/>
    <col min="15" max="15" width="6.19921875" style="354" bestFit="1" customWidth="1"/>
    <col min="16" max="16" width="5.8984375" style="354" bestFit="1" customWidth="1"/>
    <col min="17" max="17" width="1.59765625" style="354" customWidth="1"/>
    <col min="18" max="18" width="3.59765625" style="354" bestFit="1" customWidth="1"/>
    <col min="19" max="19" width="5.59765625" style="354" bestFit="1" customWidth="1"/>
    <col min="20" max="20" width="4" style="354" bestFit="1" customWidth="1"/>
    <col min="21" max="21" width="14.19921875" style="1667" bestFit="1" customWidth="1"/>
    <col min="22" max="22" width="13.19921875" style="1667" bestFit="1" customWidth="1"/>
    <col min="23" max="23" width="1.59765625" style="354" customWidth="1"/>
    <col min="24" max="24" width="5.19921875" style="354" bestFit="1" customWidth="1"/>
    <col min="25" max="25" width="4.5" style="354" bestFit="1" customWidth="1"/>
    <col min="26" max="26" width="6.19921875" style="354" bestFit="1" customWidth="1"/>
    <col min="27" max="27" width="4.69921875" style="354" bestFit="1" customWidth="1"/>
    <col min="28" max="28" width="5.3984375" style="354" bestFit="1" customWidth="1"/>
    <col min="29" max="29" width="7" style="354" customWidth="1"/>
    <col min="30" max="30" width="7.5" style="1681" bestFit="1" customWidth="1"/>
    <col min="31" max="31" width="6.19921875" style="1682" bestFit="1" customWidth="1"/>
    <col min="32" max="16384" width="9" style="354"/>
  </cols>
  <sheetData>
    <row r="1" spans="1:31" ht="35.4" x14ac:dyDescent="0.2">
      <c r="A1" s="365" t="s">
        <v>1543</v>
      </c>
    </row>
    <row r="3" spans="1:31" ht="19.5" customHeight="1" thickBot="1" x14ac:dyDescent="0.35">
      <c r="B3" s="366" t="s">
        <v>6</v>
      </c>
      <c r="C3" s="845"/>
      <c r="D3" s="845"/>
      <c r="F3" s="845"/>
      <c r="G3" s="845"/>
      <c r="H3" s="845"/>
      <c r="I3" s="845"/>
      <c r="J3" s="845"/>
      <c r="K3" s="845"/>
      <c r="L3" s="845"/>
      <c r="M3" s="845"/>
    </row>
    <row r="4" spans="1:31" ht="12.6" thickTop="1" x14ac:dyDescent="0.25">
      <c r="D4" s="1683"/>
      <c r="E4" s="1684" t="s">
        <v>1544</v>
      </c>
      <c r="F4" s="1685">
        <v>35.5</v>
      </c>
      <c r="G4" s="1686"/>
      <c r="AD4" s="1681" t="s">
        <v>1545</v>
      </c>
    </row>
    <row r="5" spans="1:31" ht="12.6" thickBot="1" x14ac:dyDescent="0.3">
      <c r="D5" s="1687"/>
      <c r="E5" s="1688" t="s">
        <v>1546</v>
      </c>
      <c r="F5" s="1689">
        <v>59.5</v>
      </c>
      <c r="G5" s="1686"/>
      <c r="AC5" s="1690">
        <v>0.63249999999999995</v>
      </c>
      <c r="AD5" s="1691">
        <v>1.3</v>
      </c>
    </row>
    <row r="6" spans="1:31" ht="12" thickTop="1" x14ac:dyDescent="0.2">
      <c r="AD6" s="1692" t="s">
        <v>1547</v>
      </c>
    </row>
    <row r="7" spans="1:31" s="1693" customFormat="1" ht="5.0999999999999996" customHeight="1" x14ac:dyDescent="0.25">
      <c r="A7" s="367"/>
      <c r="B7" s="367"/>
      <c r="C7" s="367"/>
      <c r="D7" s="367"/>
      <c r="E7" s="367"/>
      <c r="F7" s="367"/>
      <c r="G7" s="368"/>
      <c r="H7" s="367"/>
      <c r="I7" s="367"/>
      <c r="J7" s="369"/>
      <c r="K7" s="367"/>
      <c r="L7" s="370"/>
      <c r="M7" s="371"/>
      <c r="N7" s="372"/>
      <c r="O7" s="371"/>
      <c r="P7" s="367"/>
      <c r="Q7" s="367"/>
      <c r="R7" s="373"/>
      <c r="S7" s="373"/>
      <c r="T7" s="373"/>
      <c r="U7" s="1576"/>
      <c r="V7" s="1576"/>
      <c r="W7" s="367"/>
      <c r="X7" s="367"/>
      <c r="Y7" s="367"/>
      <c r="Z7" s="371"/>
      <c r="AA7" s="371"/>
      <c r="AB7" s="371"/>
      <c r="AC7" s="371"/>
      <c r="AD7" s="374"/>
      <c r="AE7" s="375"/>
    </row>
    <row r="8" spans="1:31" ht="24" x14ac:dyDescent="0.25">
      <c r="A8" s="23"/>
      <c r="B8" s="1969" t="s">
        <v>328</v>
      </c>
      <c r="C8" s="1969"/>
      <c r="D8" s="1969"/>
      <c r="E8" s="1969"/>
      <c r="F8" s="1969"/>
      <c r="G8" s="1969"/>
      <c r="H8" s="20"/>
      <c r="I8" s="1969" t="s">
        <v>329</v>
      </c>
      <c r="J8" s="1969"/>
      <c r="K8" s="1969"/>
      <c r="L8" s="1969"/>
      <c r="M8" s="1969"/>
      <c r="N8" s="500"/>
      <c r="O8" s="21" t="s">
        <v>1548</v>
      </c>
      <c r="P8" s="22" t="s">
        <v>1126</v>
      </c>
      <c r="Q8" s="82"/>
      <c r="R8" s="1969" t="s">
        <v>332</v>
      </c>
      <c r="S8" s="1969"/>
      <c r="T8" s="1969"/>
      <c r="U8" s="1694" t="s">
        <v>2144</v>
      </c>
      <c r="V8" s="1558" t="s">
        <v>2145</v>
      </c>
      <c r="W8" s="20"/>
      <c r="X8" s="500" t="s">
        <v>1127</v>
      </c>
      <c r="Y8" s="145" t="s">
        <v>1549</v>
      </c>
      <c r="Z8" s="21" t="s">
        <v>1550</v>
      </c>
      <c r="AA8" s="24" t="s">
        <v>1128</v>
      </c>
      <c r="AB8" s="21" t="s">
        <v>1129</v>
      </c>
      <c r="AC8" s="77"/>
      <c r="AD8" s="49" t="s">
        <v>338</v>
      </c>
      <c r="AE8" s="9" t="s">
        <v>1130</v>
      </c>
    </row>
    <row r="9" spans="1:31" ht="12" x14ac:dyDescent="0.25">
      <c r="A9" s="23" t="s">
        <v>344</v>
      </c>
      <c r="B9" s="23">
        <v>1</v>
      </c>
      <c r="C9" s="23">
        <v>2</v>
      </c>
      <c r="D9" s="23">
        <v>3</v>
      </c>
      <c r="E9" s="23"/>
      <c r="F9" s="23"/>
      <c r="G9" s="26">
        <v>4</v>
      </c>
      <c r="H9" s="27"/>
      <c r="I9" s="23" t="s">
        <v>345</v>
      </c>
      <c r="J9" s="28" t="s">
        <v>346</v>
      </c>
      <c r="K9" s="23" t="s">
        <v>347</v>
      </c>
      <c r="L9" s="3" t="s">
        <v>348</v>
      </c>
      <c r="M9" s="29" t="s">
        <v>347</v>
      </c>
      <c r="N9" s="30" t="s">
        <v>352</v>
      </c>
      <c r="O9" s="29" t="s">
        <v>1551</v>
      </c>
      <c r="P9" s="23" t="s">
        <v>1132</v>
      </c>
      <c r="Q9" s="27"/>
      <c r="R9" s="31" t="s">
        <v>353</v>
      </c>
      <c r="S9" s="31" t="s">
        <v>354</v>
      </c>
      <c r="T9" s="31" t="s">
        <v>355</v>
      </c>
      <c r="U9" s="1575" t="s">
        <v>356</v>
      </c>
      <c r="V9" s="1559" t="s">
        <v>356</v>
      </c>
      <c r="W9" s="27"/>
      <c r="X9" s="23" t="s">
        <v>1133</v>
      </c>
      <c r="Y9" s="23" t="s">
        <v>1552</v>
      </c>
      <c r="Z9" s="29" t="s">
        <v>1552</v>
      </c>
      <c r="AA9" s="29" t="s">
        <v>1132</v>
      </c>
      <c r="AB9" s="29" t="s">
        <v>1134</v>
      </c>
      <c r="AC9" s="29" t="s">
        <v>357</v>
      </c>
      <c r="AD9" s="50"/>
      <c r="AE9" s="32" t="s">
        <v>1135</v>
      </c>
    </row>
    <row r="10" spans="1:31" s="1693" customFormat="1" ht="5.0999999999999996" customHeight="1" x14ac:dyDescent="0.25">
      <c r="A10" s="367"/>
      <c r="B10" s="367"/>
      <c r="C10" s="367"/>
      <c r="D10" s="367"/>
      <c r="E10" s="367"/>
      <c r="F10" s="367"/>
      <c r="G10" s="368"/>
      <c r="H10" s="367"/>
      <c r="I10" s="367"/>
      <c r="J10" s="369"/>
      <c r="K10" s="367"/>
      <c r="L10" s="370"/>
      <c r="M10" s="371"/>
      <c r="N10" s="372"/>
      <c r="O10" s="371"/>
      <c r="P10" s="367"/>
      <c r="Q10" s="367"/>
      <c r="R10" s="373"/>
      <c r="S10" s="373"/>
      <c r="T10" s="373"/>
      <c r="U10" s="1576"/>
      <c r="V10" s="1576"/>
      <c r="W10" s="367"/>
      <c r="X10" s="367"/>
      <c r="Y10" s="367"/>
      <c r="Z10" s="371"/>
      <c r="AA10" s="371"/>
      <c r="AB10" s="371"/>
      <c r="AC10" s="371"/>
      <c r="AD10" s="374"/>
      <c r="AE10" s="375"/>
    </row>
    <row r="11" spans="1:31" ht="12.6" thickBot="1" x14ac:dyDescent="0.3">
      <c r="A11" s="23"/>
      <c r="B11" s="885"/>
      <c r="C11" s="885"/>
      <c r="D11" s="885"/>
      <c r="E11" s="885"/>
      <c r="F11" s="885"/>
      <c r="G11" s="886"/>
      <c r="H11" s="885"/>
      <c r="I11" s="885"/>
      <c r="J11" s="1325"/>
      <c r="K11" s="885"/>
      <c r="L11" s="889"/>
      <c r="M11" s="890"/>
      <c r="N11" s="969"/>
      <c r="O11" s="890"/>
      <c r="P11" s="885"/>
      <c r="Q11" s="885"/>
      <c r="R11" s="893"/>
      <c r="S11" s="893"/>
      <c r="T11" s="893"/>
      <c r="U11" s="1660"/>
      <c r="V11" s="1660"/>
      <c r="W11" s="885"/>
      <c r="X11" s="885"/>
      <c r="Y11" s="885"/>
      <c r="Z11" s="890"/>
      <c r="AA11" s="890"/>
      <c r="AB11" s="890"/>
      <c r="AC11" s="890"/>
      <c r="AD11" s="891"/>
      <c r="AE11" s="892"/>
    </row>
    <row r="12" spans="1:31" ht="18.75" customHeight="1" thickBot="1" x14ac:dyDescent="0.35">
      <c r="B12" s="1326" t="s">
        <v>1553</v>
      </c>
      <c r="C12" s="1668"/>
      <c r="D12" s="1668"/>
      <c r="E12" s="1668"/>
      <c r="F12" s="1668"/>
      <c r="G12" s="1668"/>
      <c r="H12" s="1259"/>
      <c r="I12" s="1327"/>
      <c r="J12" s="1262"/>
      <c r="K12" s="1262"/>
      <c r="L12" s="1262"/>
      <c r="M12" s="1328"/>
      <c r="N12" s="1262"/>
      <c r="O12" s="1328"/>
      <c r="P12" s="1262"/>
      <c r="Q12" s="1259"/>
      <c r="R12" s="1668"/>
      <c r="S12" s="1668"/>
      <c r="T12" s="1668"/>
      <c r="U12" s="1669"/>
      <c r="V12" s="1669"/>
      <c r="W12" s="1259"/>
      <c r="X12" s="1695"/>
      <c r="Y12" s="1696"/>
      <c r="Z12" s="1696"/>
      <c r="AA12" s="1696"/>
      <c r="AB12" s="1668"/>
      <c r="AC12" s="1668"/>
      <c r="AD12" s="1680"/>
      <c r="AE12" s="1329"/>
    </row>
    <row r="13" spans="1:31" ht="12" x14ac:dyDescent="0.25">
      <c r="A13" s="23"/>
      <c r="B13" s="23"/>
      <c r="C13" s="845" t="s">
        <v>1554</v>
      </c>
      <c r="H13" s="20"/>
      <c r="N13" s="31" t="s">
        <v>352</v>
      </c>
      <c r="O13" s="31">
        <v>1</v>
      </c>
      <c r="P13" s="31" t="s">
        <v>385</v>
      </c>
      <c r="Q13" s="20"/>
      <c r="W13" s="20"/>
      <c r="X13" s="3">
        <v>45</v>
      </c>
      <c r="Y13" s="31">
        <v>1</v>
      </c>
      <c r="Z13" s="376">
        <f>Y13*O13</f>
        <v>1</v>
      </c>
      <c r="AA13" s="31" t="s">
        <v>385</v>
      </c>
      <c r="AB13" s="1697" t="s">
        <v>8</v>
      </c>
      <c r="AC13" s="1697" t="s">
        <v>8</v>
      </c>
      <c r="AD13" s="50"/>
      <c r="AE13" s="32"/>
    </row>
    <row r="14" spans="1:31" ht="12" x14ac:dyDescent="0.25">
      <c r="A14" s="23"/>
      <c r="B14" s="23"/>
      <c r="D14" s="354" t="s">
        <v>1555</v>
      </c>
      <c r="H14" s="20"/>
      <c r="Q14" s="20"/>
      <c r="R14" s="38" t="s">
        <v>369</v>
      </c>
      <c r="S14" s="3" t="s">
        <v>370</v>
      </c>
      <c r="T14" s="38" t="s">
        <v>369</v>
      </c>
      <c r="U14" s="1574">
        <v>460038003</v>
      </c>
      <c r="V14" s="1574"/>
      <c r="W14" s="20"/>
      <c r="AD14" s="50"/>
      <c r="AE14" s="32"/>
    </row>
    <row r="15" spans="1:31" ht="12" x14ac:dyDescent="0.25">
      <c r="A15" s="23"/>
      <c r="B15" s="23"/>
      <c r="H15" s="20"/>
      <c r="Q15" s="20"/>
      <c r="R15" s="38" t="s">
        <v>369</v>
      </c>
      <c r="S15" s="3" t="s">
        <v>372</v>
      </c>
      <c r="T15" s="38" t="s">
        <v>369</v>
      </c>
      <c r="U15" s="1574">
        <v>460038021</v>
      </c>
      <c r="V15" s="1574"/>
      <c r="W15" s="20"/>
      <c r="AD15" s="50"/>
      <c r="AE15" s="32"/>
    </row>
    <row r="16" spans="1:31" ht="12" x14ac:dyDescent="0.25">
      <c r="A16" s="23"/>
      <c r="B16" s="23"/>
      <c r="D16" s="354" t="s">
        <v>1556</v>
      </c>
      <c r="H16" s="20"/>
      <c r="Q16" s="20"/>
      <c r="R16" s="38" t="s">
        <v>369</v>
      </c>
      <c r="S16" s="3" t="s">
        <v>373</v>
      </c>
      <c r="T16" s="38" t="s">
        <v>369</v>
      </c>
      <c r="U16" s="1574">
        <v>460038033</v>
      </c>
      <c r="V16" s="1574"/>
      <c r="W16" s="20"/>
      <c r="AD16" s="50"/>
      <c r="AE16" s="32"/>
    </row>
    <row r="17" spans="1:31" ht="12" x14ac:dyDescent="0.25">
      <c r="A17" s="23"/>
      <c r="B17" s="23"/>
      <c r="H17" s="20"/>
      <c r="Q17" s="20"/>
      <c r="R17" s="3" t="s">
        <v>374</v>
      </c>
      <c r="S17" s="3" t="s">
        <v>370</v>
      </c>
      <c r="T17" s="38" t="s">
        <v>369</v>
      </c>
      <c r="U17" s="1574">
        <v>460038127</v>
      </c>
      <c r="V17" s="1574"/>
      <c r="W17" s="20"/>
      <c r="AD17" s="50"/>
      <c r="AE17" s="32"/>
    </row>
    <row r="18" spans="1:31" ht="12" x14ac:dyDescent="0.25">
      <c r="A18" s="23"/>
      <c r="B18" s="23"/>
      <c r="C18" s="23"/>
      <c r="D18" s="23"/>
      <c r="E18" s="23"/>
      <c r="F18" s="23"/>
      <c r="G18" s="26"/>
      <c r="H18" s="20"/>
      <c r="Q18" s="20"/>
      <c r="R18" s="112" t="s">
        <v>372</v>
      </c>
      <c r="S18" s="112" t="s">
        <v>370</v>
      </c>
      <c r="T18" s="279" t="s">
        <v>369</v>
      </c>
      <c r="U18" s="1924">
        <v>460038128</v>
      </c>
      <c r="V18" s="1698"/>
      <c r="W18" s="20"/>
      <c r="X18" s="23"/>
      <c r="Y18" s="23"/>
      <c r="Z18" s="29"/>
      <c r="AA18" s="29"/>
      <c r="AB18" s="29"/>
      <c r="AC18" s="29"/>
      <c r="AD18" s="50"/>
      <c r="AE18" s="32"/>
    </row>
    <row r="19" spans="1:31" ht="12" x14ac:dyDescent="0.25">
      <c r="A19" s="23"/>
      <c r="B19" s="23"/>
      <c r="C19" s="23"/>
      <c r="D19" s="23"/>
      <c r="E19" s="23"/>
      <c r="F19" s="23"/>
      <c r="G19" s="26"/>
      <c r="H19" s="20"/>
      <c r="Q19" s="20"/>
      <c r="R19" s="3" t="s">
        <v>373</v>
      </c>
      <c r="S19" s="3" t="s">
        <v>370</v>
      </c>
      <c r="T19" s="38" t="s">
        <v>369</v>
      </c>
      <c r="U19" s="1574">
        <v>460038129</v>
      </c>
      <c r="V19" s="1574"/>
      <c r="W19" s="20"/>
      <c r="X19" s="23"/>
      <c r="Y19" s="23"/>
      <c r="Z19" s="29"/>
      <c r="AA19" s="29"/>
      <c r="AB19" s="29"/>
      <c r="AC19" s="29"/>
      <c r="AD19" s="50"/>
      <c r="AE19" s="32"/>
    </row>
    <row r="20" spans="1:31" ht="12" x14ac:dyDescent="0.25">
      <c r="A20" s="23"/>
      <c r="B20" s="23"/>
      <c r="C20" s="23"/>
      <c r="D20" s="23"/>
      <c r="E20" s="23"/>
      <c r="F20" s="23"/>
      <c r="G20" s="26"/>
      <c r="H20" s="20"/>
      <c r="Q20" s="20"/>
      <c r="R20" s="3" t="s">
        <v>375</v>
      </c>
      <c r="S20" s="3" t="s">
        <v>370</v>
      </c>
      <c r="T20" s="38" t="s">
        <v>369</v>
      </c>
      <c r="U20" s="1574">
        <v>460038180</v>
      </c>
      <c r="V20" s="1574"/>
      <c r="W20" s="20"/>
      <c r="X20" s="23"/>
      <c r="Y20" s="23"/>
      <c r="Z20" s="29"/>
      <c r="AA20" s="29"/>
      <c r="AB20" s="29"/>
      <c r="AC20" s="29"/>
      <c r="AD20" s="50"/>
      <c r="AE20" s="32"/>
    </row>
    <row r="21" spans="1:31" ht="12" x14ac:dyDescent="0.25">
      <c r="A21" s="23"/>
      <c r="B21" s="23"/>
      <c r="C21" s="23"/>
      <c r="D21" s="23"/>
      <c r="E21" s="23"/>
      <c r="F21" s="23"/>
      <c r="G21" s="26"/>
      <c r="H21" s="20"/>
      <c r="Q21" s="20"/>
      <c r="R21" s="112" t="s">
        <v>1849</v>
      </c>
      <c r="S21" s="112" t="s">
        <v>370</v>
      </c>
      <c r="T21" s="279" t="s">
        <v>369</v>
      </c>
      <c r="U21" s="1924">
        <v>460038148</v>
      </c>
      <c r="V21" s="1574"/>
      <c r="W21" s="20"/>
      <c r="X21" s="23"/>
      <c r="Y21" s="23"/>
      <c r="Z21" s="29"/>
      <c r="AA21" s="29"/>
      <c r="AB21" s="29"/>
      <c r="AC21" s="29"/>
      <c r="AD21" s="50"/>
      <c r="AE21" s="32"/>
    </row>
    <row r="22" spans="1:31" ht="12" x14ac:dyDescent="0.25">
      <c r="A22" s="23"/>
      <c r="B22" s="23"/>
      <c r="C22" s="23"/>
      <c r="D22" s="23"/>
      <c r="E22" s="23"/>
      <c r="F22" s="23"/>
      <c r="G22" s="26"/>
      <c r="H22" s="20"/>
      <c r="Q22" s="20"/>
      <c r="R22" s="3" t="s">
        <v>375</v>
      </c>
      <c r="S22" s="3" t="s">
        <v>370</v>
      </c>
      <c r="T22" s="38" t="s">
        <v>369</v>
      </c>
      <c r="U22" s="1574">
        <v>460038181</v>
      </c>
      <c r="V22" s="1574"/>
      <c r="W22" s="20"/>
      <c r="X22" s="23"/>
      <c r="Y22" s="23"/>
      <c r="Z22" s="29"/>
      <c r="AA22" s="29"/>
      <c r="AB22" s="29"/>
      <c r="AC22" s="29"/>
      <c r="AD22" s="50"/>
      <c r="AE22" s="32"/>
    </row>
    <row r="23" spans="1:31" ht="12.6" thickBot="1" x14ac:dyDescent="0.3">
      <c r="A23" s="23"/>
      <c r="B23" s="885"/>
      <c r="C23" s="885"/>
      <c r="D23" s="885"/>
      <c r="E23" s="885"/>
      <c r="F23" s="885"/>
      <c r="G23" s="886"/>
      <c r="H23" s="887"/>
      <c r="I23" s="1102"/>
      <c r="J23" s="1102"/>
      <c r="K23" s="1102"/>
      <c r="L23" s="1102"/>
      <c r="M23" s="1102"/>
      <c r="N23" s="1102"/>
      <c r="O23" s="1102"/>
      <c r="P23" s="1102"/>
      <c r="Q23" s="887"/>
      <c r="R23" s="889"/>
      <c r="S23" s="889"/>
      <c r="T23" s="888"/>
      <c r="U23" s="1661"/>
      <c r="V23" s="1661"/>
      <c r="W23" s="887"/>
      <c r="X23" s="885"/>
      <c r="Y23" s="885"/>
      <c r="Z23" s="890"/>
      <c r="AA23" s="890"/>
      <c r="AB23" s="890"/>
      <c r="AC23" s="890"/>
      <c r="AD23" s="891"/>
      <c r="AE23" s="892"/>
    </row>
    <row r="24" spans="1:31" ht="18" thickBot="1" x14ac:dyDescent="0.35">
      <c r="A24" s="23"/>
      <c r="B24" s="1326" t="s">
        <v>1557</v>
      </c>
      <c r="C24" s="1668"/>
      <c r="D24" s="1668"/>
      <c r="E24" s="1668"/>
      <c r="F24" s="1668"/>
      <c r="G24" s="1668"/>
      <c r="H24" s="1259"/>
      <c r="I24" s="1327"/>
      <c r="J24" s="1262"/>
      <c r="K24" s="1262"/>
      <c r="L24" s="1262"/>
      <c r="M24" s="1328"/>
      <c r="N24" s="1262"/>
      <c r="O24" s="1328"/>
      <c r="P24" s="1262"/>
      <c r="Q24" s="1259"/>
      <c r="R24" s="1668"/>
      <c r="S24" s="1668"/>
      <c r="T24" s="1668"/>
      <c r="U24" s="1669"/>
      <c r="V24" s="1669"/>
      <c r="W24" s="1259"/>
      <c r="X24" s="1695"/>
      <c r="Y24" s="1696"/>
      <c r="Z24" s="1696"/>
      <c r="AA24" s="1696"/>
      <c r="AB24" s="1668"/>
      <c r="AC24" s="1668"/>
      <c r="AD24" s="1680"/>
      <c r="AE24" s="1329"/>
    </row>
    <row r="25" spans="1:31" ht="12" x14ac:dyDescent="0.25">
      <c r="A25" s="23"/>
      <c r="B25" s="23"/>
      <c r="C25" s="845" t="s">
        <v>1554</v>
      </c>
      <c r="H25" s="20"/>
      <c r="N25" s="31" t="s">
        <v>352</v>
      </c>
      <c r="O25" s="31">
        <v>1</v>
      </c>
      <c r="P25" s="31" t="s">
        <v>385</v>
      </c>
      <c r="Q25" s="20"/>
      <c r="W25" s="20"/>
      <c r="X25" s="3">
        <v>45</v>
      </c>
      <c r="Y25" s="31">
        <v>1</v>
      </c>
      <c r="Z25" s="376">
        <f>Y25*O25</f>
        <v>1</v>
      </c>
      <c r="AA25" s="31" t="s">
        <v>385</v>
      </c>
      <c r="AB25" s="1697" t="s">
        <v>8</v>
      </c>
      <c r="AC25" s="1697" t="s">
        <v>8</v>
      </c>
      <c r="AD25" s="50"/>
      <c r="AE25" s="32"/>
    </row>
    <row r="26" spans="1:31" ht="12" x14ac:dyDescent="0.25">
      <c r="A26" s="23"/>
      <c r="B26" s="23"/>
      <c r="D26" s="354" t="s">
        <v>1555</v>
      </c>
      <c r="H26" s="20"/>
      <c r="Q26" s="20"/>
      <c r="R26" s="38" t="s">
        <v>369</v>
      </c>
      <c r="S26" s="3" t="s">
        <v>370</v>
      </c>
      <c r="T26" s="38" t="s">
        <v>369</v>
      </c>
      <c r="U26" s="1574">
        <v>460039003</v>
      </c>
      <c r="V26" s="1574"/>
      <c r="W26" s="20"/>
      <c r="AD26" s="50"/>
      <c r="AE26" s="32"/>
    </row>
    <row r="27" spans="1:31" ht="12" x14ac:dyDescent="0.25">
      <c r="A27" s="23"/>
      <c r="B27" s="23"/>
      <c r="H27" s="20"/>
      <c r="Q27" s="20"/>
      <c r="R27" s="38" t="s">
        <v>369</v>
      </c>
      <c r="S27" s="3" t="s">
        <v>372</v>
      </c>
      <c r="T27" s="38" t="s">
        <v>369</v>
      </c>
      <c r="U27" s="1574">
        <v>460039021</v>
      </c>
      <c r="V27" s="1574"/>
      <c r="W27" s="20"/>
      <c r="AD27" s="50"/>
      <c r="AE27" s="32"/>
    </row>
    <row r="28" spans="1:31" ht="12" x14ac:dyDescent="0.25">
      <c r="A28" s="23"/>
      <c r="B28" s="23"/>
      <c r="D28" s="354" t="s">
        <v>1556</v>
      </c>
      <c r="H28" s="20"/>
      <c r="Q28" s="20"/>
      <c r="R28" s="38" t="s">
        <v>369</v>
      </c>
      <c r="S28" s="3" t="s">
        <v>373</v>
      </c>
      <c r="T28" s="38" t="s">
        <v>369</v>
      </c>
      <c r="U28" s="1574">
        <v>460039033</v>
      </c>
      <c r="V28" s="1574"/>
      <c r="W28" s="20"/>
      <c r="AD28" s="50"/>
      <c r="AE28" s="32"/>
    </row>
    <row r="29" spans="1:31" ht="12" x14ac:dyDescent="0.25">
      <c r="A29" s="23"/>
      <c r="B29" s="23"/>
      <c r="H29" s="20"/>
      <c r="Q29" s="20"/>
      <c r="R29" s="112" t="s">
        <v>374</v>
      </c>
      <c r="S29" s="112" t="s">
        <v>370</v>
      </c>
      <c r="T29" s="279" t="s">
        <v>369</v>
      </c>
      <c r="U29" s="1924">
        <v>460039127</v>
      </c>
      <c r="V29" s="1698"/>
      <c r="W29" s="20"/>
      <c r="AD29" s="50"/>
      <c r="AE29" s="32"/>
    </row>
    <row r="30" spans="1:31" ht="12" x14ac:dyDescent="0.25">
      <c r="A30" s="23"/>
      <c r="B30" s="23"/>
      <c r="C30" s="23"/>
      <c r="D30" s="23"/>
      <c r="E30" s="23"/>
      <c r="F30" s="23"/>
      <c r="G30" s="26"/>
      <c r="H30" s="20"/>
      <c r="Q30" s="20"/>
      <c r="R30" s="112" t="s">
        <v>375</v>
      </c>
      <c r="S30" s="112" t="s">
        <v>370</v>
      </c>
      <c r="T30" s="279" t="s">
        <v>369</v>
      </c>
      <c r="U30" s="1924">
        <v>460039134</v>
      </c>
      <c r="V30" s="1698"/>
      <c r="W30" s="20"/>
      <c r="X30" s="23"/>
      <c r="Y30" s="23"/>
      <c r="Z30" s="29"/>
      <c r="AA30" s="29"/>
      <c r="AB30" s="29"/>
      <c r="AC30" s="29"/>
      <c r="AD30" s="50"/>
      <c r="AE30" s="32"/>
    </row>
    <row r="31" spans="1:31" ht="12.6" thickBot="1" x14ac:dyDescent="0.3">
      <c r="A31" s="23"/>
      <c r="B31" s="885"/>
      <c r="C31" s="885"/>
      <c r="D31" s="885"/>
      <c r="E31" s="885"/>
      <c r="F31" s="885"/>
      <c r="G31" s="886"/>
      <c r="H31" s="887"/>
      <c r="I31" s="1102"/>
      <c r="J31" s="1102"/>
      <c r="K31" s="1102"/>
      <c r="L31" s="1102"/>
      <c r="M31" s="1102"/>
      <c r="N31" s="1102"/>
      <c r="O31" s="1102"/>
      <c r="P31" s="1102"/>
      <c r="Q31" s="887"/>
      <c r="R31" s="893"/>
      <c r="S31" s="893"/>
      <c r="T31" s="893"/>
      <c r="U31" s="1660"/>
      <c r="V31" s="1660"/>
      <c r="W31" s="887"/>
      <c r="X31" s="885"/>
      <c r="Y31" s="885"/>
      <c r="Z31" s="890"/>
      <c r="AA31" s="890"/>
      <c r="AB31" s="890"/>
      <c r="AC31" s="890"/>
      <c r="AD31" s="891"/>
      <c r="AE31" s="892"/>
    </row>
    <row r="32" spans="1:31" ht="18.75" customHeight="1" thickBot="1" x14ac:dyDescent="0.35">
      <c r="B32" s="1326" t="s">
        <v>1559</v>
      </c>
      <c r="C32" s="1668"/>
      <c r="D32" s="1668"/>
      <c r="E32" s="1668"/>
      <c r="F32" s="1668"/>
      <c r="G32" s="1668"/>
      <c r="H32" s="1259"/>
      <c r="I32" s="1327"/>
      <c r="J32" s="1262"/>
      <c r="K32" s="1262"/>
      <c r="L32" s="1262"/>
      <c r="M32" s="1328"/>
      <c r="N32" s="1262"/>
      <c r="O32" s="1328"/>
      <c r="P32" s="1262"/>
      <c r="Q32" s="1259"/>
      <c r="R32" s="1668"/>
      <c r="S32" s="1668"/>
      <c r="T32" s="1668"/>
      <c r="U32" s="1669"/>
      <c r="V32" s="1669"/>
      <c r="W32" s="1259"/>
      <c r="X32" s="1695"/>
      <c r="Y32" s="1696"/>
      <c r="Z32" s="1696"/>
      <c r="AA32" s="1696"/>
      <c r="AB32" s="1668"/>
      <c r="AC32" s="1668"/>
      <c r="AD32" s="1680"/>
      <c r="AE32" s="1329"/>
    </row>
    <row r="33" spans="1:31" ht="12" x14ac:dyDescent="0.25">
      <c r="A33" s="23"/>
      <c r="B33" s="23"/>
      <c r="C33" s="845" t="s">
        <v>1554</v>
      </c>
      <c r="H33" s="20"/>
      <c r="N33" s="31" t="s">
        <v>352</v>
      </c>
      <c r="O33" s="31">
        <v>1</v>
      </c>
      <c r="P33" s="31" t="s">
        <v>385</v>
      </c>
      <c r="Q33" s="20"/>
      <c r="W33" s="20"/>
      <c r="X33" s="3">
        <v>45</v>
      </c>
      <c r="Y33" s="31">
        <v>1</v>
      </c>
      <c r="Z33" s="376">
        <f>Y33*O33</f>
        <v>1</v>
      </c>
      <c r="AA33" s="31" t="s">
        <v>385</v>
      </c>
      <c r="AB33" s="1697" t="s">
        <v>8</v>
      </c>
      <c r="AC33" s="1697" t="s">
        <v>8</v>
      </c>
      <c r="AD33" s="50"/>
      <c r="AE33" s="32"/>
    </row>
    <row r="34" spans="1:31" ht="12" x14ac:dyDescent="0.25">
      <c r="A34" s="23"/>
      <c r="B34" s="23"/>
      <c r="H34" s="20"/>
      <c r="Q34" s="20"/>
      <c r="R34" s="38" t="s">
        <v>369</v>
      </c>
      <c r="S34" s="3" t="s">
        <v>370</v>
      </c>
      <c r="T34" s="38" t="s">
        <v>369</v>
      </c>
      <c r="U34" s="1574">
        <v>460048003</v>
      </c>
      <c r="V34" s="1574"/>
      <c r="W34" s="20"/>
      <c r="AD34" s="50"/>
      <c r="AE34" s="32"/>
    </row>
    <row r="35" spans="1:31" ht="12" x14ac:dyDescent="0.25">
      <c r="A35" s="23"/>
      <c r="B35" s="23"/>
      <c r="C35" s="354" t="s">
        <v>1560</v>
      </c>
      <c r="H35" s="20"/>
      <c r="Q35" s="20"/>
      <c r="R35" s="38" t="s">
        <v>369</v>
      </c>
      <c r="S35" s="3" t="s">
        <v>372</v>
      </c>
      <c r="T35" s="38" t="s">
        <v>369</v>
      </c>
      <c r="U35" s="1574">
        <v>460048021</v>
      </c>
      <c r="V35" s="1574"/>
      <c r="W35" s="20"/>
      <c r="AD35" s="50"/>
      <c r="AE35" s="32"/>
    </row>
    <row r="36" spans="1:31" ht="12" x14ac:dyDescent="0.25">
      <c r="A36" s="23"/>
      <c r="B36" s="23"/>
      <c r="H36" s="20"/>
      <c r="Q36" s="20"/>
      <c r="R36" s="38" t="s">
        <v>369</v>
      </c>
      <c r="S36" s="3" t="s">
        <v>373</v>
      </c>
      <c r="T36" s="38" t="s">
        <v>369</v>
      </c>
      <c r="U36" s="1574">
        <v>460048033</v>
      </c>
      <c r="V36" s="1574"/>
      <c r="W36" s="20"/>
      <c r="AD36" s="50"/>
      <c r="AE36" s="32"/>
    </row>
    <row r="37" spans="1:31" ht="12" x14ac:dyDescent="0.25">
      <c r="A37" s="845"/>
      <c r="B37" s="845"/>
      <c r="C37" s="354" t="s">
        <v>1556</v>
      </c>
      <c r="H37" s="516"/>
      <c r="Q37" s="516"/>
      <c r="R37" s="3" t="s">
        <v>374</v>
      </c>
      <c r="S37" s="3" t="s">
        <v>370</v>
      </c>
      <c r="T37" s="38" t="s">
        <v>369</v>
      </c>
      <c r="U37" s="1574">
        <v>460048127</v>
      </c>
      <c r="V37" s="1574"/>
      <c r="W37" s="516"/>
      <c r="AD37" s="846"/>
      <c r="AE37" s="847"/>
    </row>
    <row r="38" spans="1:31" ht="12" x14ac:dyDescent="0.25">
      <c r="A38" s="23"/>
      <c r="B38" s="23"/>
      <c r="C38" s="23"/>
      <c r="D38" s="23"/>
      <c r="E38" s="23"/>
      <c r="F38" s="23"/>
      <c r="G38" s="26"/>
      <c r="H38" s="20"/>
      <c r="Q38" s="20"/>
      <c r="R38" s="112" t="s">
        <v>372</v>
      </c>
      <c r="S38" s="112" t="s">
        <v>370</v>
      </c>
      <c r="T38" s="279" t="s">
        <v>369</v>
      </c>
      <c r="U38" s="1924">
        <v>460048128</v>
      </c>
      <c r="V38" s="1698"/>
      <c r="W38" s="20"/>
      <c r="X38" s="23"/>
      <c r="Y38" s="23"/>
      <c r="Z38" s="29"/>
      <c r="AA38" s="29"/>
      <c r="AB38" s="29"/>
      <c r="AC38" s="29"/>
      <c r="AD38" s="50"/>
      <c r="AE38" s="32"/>
    </row>
    <row r="39" spans="1:31" ht="12" x14ac:dyDescent="0.25">
      <c r="A39" s="23"/>
      <c r="B39" s="23"/>
      <c r="C39" s="23"/>
      <c r="D39" s="23"/>
      <c r="E39" s="23"/>
      <c r="F39" s="23"/>
      <c r="G39" s="26"/>
      <c r="H39" s="20"/>
      <c r="Q39" s="20"/>
      <c r="R39" s="3" t="s">
        <v>373</v>
      </c>
      <c r="S39" s="3" t="s">
        <v>370</v>
      </c>
      <c r="T39" s="38" t="s">
        <v>369</v>
      </c>
      <c r="U39" s="1574">
        <v>460048129</v>
      </c>
      <c r="V39" s="1574"/>
      <c r="W39" s="20"/>
      <c r="X39" s="23"/>
      <c r="Y39" s="23"/>
      <c r="Z39" s="29"/>
      <c r="AA39" s="29"/>
      <c r="AB39" s="29"/>
      <c r="AC39" s="29"/>
      <c r="AD39" s="50"/>
      <c r="AE39" s="32"/>
    </row>
    <row r="40" spans="1:31" ht="12" x14ac:dyDescent="0.25">
      <c r="A40" s="23"/>
      <c r="B40" s="23"/>
      <c r="C40" s="23"/>
      <c r="D40" s="23"/>
      <c r="E40" s="23"/>
      <c r="F40" s="23"/>
      <c r="G40" s="26"/>
      <c r="H40" s="20"/>
      <c r="Q40" s="20"/>
      <c r="R40" s="112" t="s">
        <v>375</v>
      </c>
      <c r="S40" s="112" t="s">
        <v>370</v>
      </c>
      <c r="T40" s="279" t="s">
        <v>369</v>
      </c>
      <c r="U40" s="1924">
        <v>460048133</v>
      </c>
      <c r="V40" s="1698"/>
      <c r="W40" s="20"/>
      <c r="X40" s="23"/>
      <c r="Y40" s="23"/>
      <c r="Z40" s="29"/>
      <c r="AA40" s="29"/>
      <c r="AB40" s="29"/>
      <c r="AC40" s="29"/>
      <c r="AD40" s="50"/>
      <c r="AE40" s="32"/>
    </row>
    <row r="41" spans="1:31" ht="12" x14ac:dyDescent="0.25">
      <c r="A41" s="23"/>
      <c r="B41" s="23"/>
      <c r="C41" s="23"/>
      <c r="D41" s="23"/>
      <c r="E41" s="23"/>
      <c r="F41" s="23"/>
      <c r="G41" s="26"/>
      <c r="H41" s="20"/>
      <c r="Q41" s="20"/>
      <c r="R41" s="3" t="s">
        <v>375</v>
      </c>
      <c r="S41" s="3" t="s">
        <v>375</v>
      </c>
      <c r="T41" s="38" t="s">
        <v>369</v>
      </c>
      <c r="U41" s="1574">
        <v>460048181</v>
      </c>
      <c r="V41" s="1698"/>
      <c r="W41" s="20"/>
      <c r="X41" s="23"/>
      <c r="Y41" s="23"/>
      <c r="Z41" s="29"/>
      <c r="AA41" s="29"/>
      <c r="AB41" s="29"/>
      <c r="AC41" s="29"/>
      <c r="AD41" s="50"/>
      <c r="AE41" s="32"/>
    </row>
    <row r="42" spans="1:31" ht="12.6" thickBot="1" x14ac:dyDescent="0.3">
      <c r="A42" s="23"/>
      <c r="B42" s="885"/>
      <c r="C42" s="885"/>
      <c r="D42" s="885"/>
      <c r="E42" s="885"/>
      <c r="F42" s="885"/>
      <c r="G42" s="886"/>
      <c r="H42" s="887"/>
      <c r="I42" s="1102"/>
      <c r="J42" s="1102"/>
      <c r="K42" s="1102"/>
      <c r="L42" s="1102"/>
      <c r="M42" s="1102"/>
      <c r="N42" s="1102"/>
      <c r="O42" s="1102"/>
      <c r="P42" s="1102"/>
      <c r="Q42" s="887"/>
      <c r="R42" s="889"/>
      <c r="S42" s="889"/>
      <c r="T42" s="888"/>
      <c r="U42" s="1661"/>
      <c r="V42" s="1661"/>
      <c r="W42" s="887"/>
      <c r="X42" s="885"/>
      <c r="Y42" s="885"/>
      <c r="Z42" s="890"/>
      <c r="AA42" s="890"/>
      <c r="AB42" s="890"/>
      <c r="AC42" s="890"/>
      <c r="AD42" s="891"/>
      <c r="AE42" s="892"/>
    </row>
    <row r="43" spans="1:31" ht="18.75" customHeight="1" thickBot="1" x14ac:dyDescent="0.35">
      <c r="B43" s="1326" t="s">
        <v>1561</v>
      </c>
      <c r="C43" s="1668"/>
      <c r="D43" s="1668"/>
      <c r="E43" s="1668"/>
      <c r="F43" s="1668"/>
      <c r="G43" s="1668"/>
      <c r="H43" s="1259"/>
      <c r="I43" s="1327"/>
      <c r="J43" s="1262"/>
      <c r="K43" s="1262"/>
      <c r="L43" s="1262"/>
      <c r="M43" s="1328"/>
      <c r="N43" s="1262"/>
      <c r="O43" s="1328"/>
      <c r="P43" s="1262"/>
      <c r="Q43" s="1259"/>
      <c r="R43" s="1668"/>
      <c r="S43" s="1668"/>
      <c r="T43" s="1668"/>
      <c r="U43" s="1669"/>
      <c r="V43" s="1669"/>
      <c r="W43" s="1259"/>
      <c r="X43" s="1695"/>
      <c r="Y43" s="1696"/>
      <c r="Z43" s="1696"/>
      <c r="AA43" s="1696"/>
      <c r="AB43" s="1668"/>
      <c r="AC43" s="1668"/>
      <c r="AD43" s="1680"/>
      <c r="AE43" s="1329"/>
    </row>
    <row r="44" spans="1:31" ht="12" x14ac:dyDescent="0.25">
      <c r="A44" s="23"/>
      <c r="B44" s="23"/>
      <c r="C44" s="845" t="s">
        <v>1554</v>
      </c>
      <c r="H44" s="20"/>
      <c r="N44" s="31" t="s">
        <v>352</v>
      </c>
      <c r="O44" s="31">
        <v>1</v>
      </c>
      <c r="P44" s="31" t="s">
        <v>385</v>
      </c>
      <c r="Q44" s="20"/>
      <c r="W44" s="20"/>
      <c r="X44" s="3">
        <v>45</v>
      </c>
      <c r="Y44" s="31">
        <v>1</v>
      </c>
      <c r="Z44" s="376">
        <f>Y44*O44</f>
        <v>1</v>
      </c>
      <c r="AA44" s="31" t="s">
        <v>385</v>
      </c>
      <c r="AB44" s="1697" t="s">
        <v>8</v>
      </c>
      <c r="AC44" s="1697" t="s">
        <v>8</v>
      </c>
      <c r="AD44" s="50"/>
      <c r="AE44" s="32"/>
    </row>
    <row r="45" spans="1:31" ht="12" x14ac:dyDescent="0.25">
      <c r="A45" s="23"/>
      <c r="B45" s="23"/>
      <c r="H45" s="20"/>
      <c r="Q45" s="20"/>
      <c r="R45" s="38" t="s">
        <v>369</v>
      </c>
      <c r="S45" s="3" t="s">
        <v>370</v>
      </c>
      <c r="T45" s="38" t="s">
        <v>369</v>
      </c>
      <c r="U45" s="1574">
        <v>460046003</v>
      </c>
      <c r="V45" s="1574"/>
      <c r="W45" s="20"/>
      <c r="AD45" s="50"/>
      <c r="AE45" s="32"/>
    </row>
    <row r="46" spans="1:31" ht="12" x14ac:dyDescent="0.25">
      <c r="A46" s="23"/>
      <c r="B46" s="23"/>
      <c r="C46" s="354" t="s">
        <v>1560</v>
      </c>
      <c r="H46" s="20"/>
      <c r="Q46" s="20"/>
      <c r="R46" s="38" t="s">
        <v>369</v>
      </c>
      <c r="S46" s="3" t="s">
        <v>372</v>
      </c>
      <c r="T46" s="38" t="s">
        <v>369</v>
      </c>
      <c r="U46" s="1574">
        <v>460046021</v>
      </c>
      <c r="V46" s="1574"/>
      <c r="W46" s="20"/>
      <c r="AD46" s="50"/>
      <c r="AE46" s="32"/>
    </row>
    <row r="47" spans="1:31" ht="12" x14ac:dyDescent="0.25">
      <c r="A47" s="23"/>
      <c r="B47" s="23"/>
      <c r="H47" s="20"/>
      <c r="Q47" s="20"/>
      <c r="R47" s="38" t="s">
        <v>369</v>
      </c>
      <c r="S47" s="3" t="s">
        <v>373</v>
      </c>
      <c r="T47" s="38" t="s">
        <v>369</v>
      </c>
      <c r="U47" s="1574">
        <v>460046033</v>
      </c>
      <c r="V47" s="1574"/>
      <c r="W47" s="20"/>
      <c r="AD47" s="50"/>
      <c r="AE47" s="32"/>
    </row>
    <row r="48" spans="1:31" ht="12" x14ac:dyDescent="0.25">
      <c r="A48" s="23"/>
      <c r="B48" s="23"/>
      <c r="C48" s="354" t="s">
        <v>1556</v>
      </c>
      <c r="D48" s="23"/>
      <c r="E48" s="23"/>
      <c r="F48" s="23"/>
      <c r="G48" s="26"/>
      <c r="H48" s="20"/>
      <c r="Q48" s="20"/>
      <c r="R48" s="112" t="s">
        <v>374</v>
      </c>
      <c r="S48" s="112" t="s">
        <v>370</v>
      </c>
      <c r="T48" s="279" t="s">
        <v>369</v>
      </c>
      <c r="U48" s="1924">
        <v>460046127</v>
      </c>
      <c r="V48" s="1698"/>
      <c r="W48" s="20"/>
      <c r="X48" s="23"/>
      <c r="Y48" s="23"/>
      <c r="Z48" s="29"/>
      <c r="AA48" s="29"/>
      <c r="AB48" s="29"/>
      <c r="AC48" s="29"/>
      <c r="AD48" s="50"/>
      <c r="AE48" s="32"/>
    </row>
    <row r="49" spans="1:31" ht="12" x14ac:dyDescent="0.25">
      <c r="A49" s="23"/>
      <c r="B49" s="23"/>
      <c r="C49" s="23"/>
      <c r="D49" s="23"/>
      <c r="E49" s="23"/>
      <c r="F49" s="23"/>
      <c r="G49" s="26"/>
      <c r="H49" s="20"/>
      <c r="Q49" s="20"/>
      <c r="R49" s="112" t="s">
        <v>375</v>
      </c>
      <c r="S49" s="112" t="s">
        <v>370</v>
      </c>
      <c r="T49" s="279" t="s">
        <v>369</v>
      </c>
      <c r="U49" s="1924">
        <v>460046134</v>
      </c>
      <c r="V49" s="1698"/>
      <c r="W49" s="20"/>
      <c r="X49" s="23"/>
      <c r="Y49" s="23"/>
      <c r="Z49" s="29"/>
      <c r="AA49" s="29"/>
      <c r="AB49" s="29"/>
      <c r="AC49" s="29"/>
      <c r="AD49" s="50"/>
      <c r="AE49" s="32"/>
    </row>
    <row r="50" spans="1:31" ht="12" x14ac:dyDescent="0.25">
      <c r="A50" s="23"/>
      <c r="B50" s="23"/>
      <c r="C50" s="23"/>
      <c r="D50" s="23"/>
      <c r="E50" s="23"/>
      <c r="F50" s="23"/>
      <c r="G50" s="26"/>
      <c r="H50" s="20"/>
      <c r="Q50" s="20"/>
      <c r="R50" s="3" t="s">
        <v>373</v>
      </c>
      <c r="S50" s="3" t="s">
        <v>370</v>
      </c>
      <c r="T50" s="38" t="s">
        <v>369</v>
      </c>
      <c r="U50" s="1574" t="s">
        <v>1558</v>
      </c>
      <c r="V50" s="1574"/>
      <c r="W50" s="20"/>
      <c r="X50" s="23"/>
      <c r="Y50" s="23"/>
      <c r="Z50" s="29"/>
      <c r="AA50" s="29"/>
      <c r="AB50" s="29"/>
      <c r="AC50" s="29"/>
      <c r="AD50" s="50"/>
      <c r="AE50" s="32"/>
    </row>
    <row r="51" spans="1:31" ht="12" x14ac:dyDescent="0.25">
      <c r="A51" s="23"/>
      <c r="B51" s="23"/>
      <c r="C51" s="23"/>
      <c r="D51" s="23"/>
      <c r="E51" s="23"/>
      <c r="F51" s="23"/>
      <c r="G51" s="26"/>
      <c r="H51" s="20"/>
      <c r="Q51" s="20"/>
      <c r="R51" s="3"/>
      <c r="S51" s="3"/>
      <c r="T51" s="38"/>
      <c r="U51" s="1574"/>
      <c r="V51" s="1574"/>
      <c r="W51" s="20"/>
      <c r="X51" s="23"/>
      <c r="Y51" s="23"/>
      <c r="Z51" s="29"/>
      <c r="AA51" s="29"/>
      <c r="AB51" s="29"/>
      <c r="AC51" s="29"/>
      <c r="AD51" s="50"/>
      <c r="AE51" s="32"/>
    </row>
    <row r="52" spans="1:31" ht="18.75" customHeight="1" thickBot="1" x14ac:dyDescent="0.35">
      <c r="B52" s="1326" t="s">
        <v>1562</v>
      </c>
      <c r="C52" s="1668"/>
      <c r="D52" s="1668"/>
      <c r="E52" s="1668"/>
      <c r="F52" s="1668"/>
      <c r="G52" s="1668"/>
      <c r="H52" s="1259"/>
      <c r="I52" s="1327"/>
      <c r="J52" s="1262"/>
      <c r="K52" s="1262"/>
      <c r="L52" s="1262"/>
      <c r="M52" s="1328"/>
      <c r="N52" s="1262"/>
      <c r="O52" s="1328"/>
      <c r="P52" s="1262"/>
      <c r="Q52" s="1259"/>
      <c r="R52" s="1668"/>
      <c r="S52" s="1668"/>
      <c r="T52" s="1668"/>
      <c r="U52" s="1669"/>
      <c r="V52" s="1669"/>
      <c r="W52" s="1259"/>
      <c r="X52" s="1695"/>
      <c r="Y52" s="1696"/>
      <c r="Z52" s="1696"/>
      <c r="AA52" s="1696"/>
      <c r="AB52" s="1668"/>
      <c r="AC52" s="1668"/>
      <c r="AD52" s="1680"/>
      <c r="AE52" s="1329"/>
    </row>
    <row r="53" spans="1:31" ht="12" x14ac:dyDescent="0.25">
      <c r="A53" s="23"/>
      <c r="B53" s="23"/>
      <c r="C53" s="845" t="s">
        <v>1554</v>
      </c>
      <c r="H53" s="20"/>
      <c r="N53" s="31" t="s">
        <v>352</v>
      </c>
      <c r="O53" s="31">
        <v>1</v>
      </c>
      <c r="P53" s="31" t="s">
        <v>385</v>
      </c>
      <c r="Q53" s="20"/>
      <c r="W53" s="20"/>
      <c r="X53" s="3">
        <v>45</v>
      </c>
      <c r="Y53" s="31">
        <v>1</v>
      </c>
      <c r="Z53" s="376">
        <f>Y53*O53</f>
        <v>1</v>
      </c>
      <c r="AA53" s="31" t="s">
        <v>385</v>
      </c>
      <c r="AB53" s="1697" t="s">
        <v>8</v>
      </c>
      <c r="AC53" s="1697" t="s">
        <v>8</v>
      </c>
      <c r="AD53" s="50"/>
      <c r="AE53" s="32"/>
    </row>
    <row r="54" spans="1:31" ht="12" x14ac:dyDescent="0.25">
      <c r="A54" s="23"/>
      <c r="B54" s="23"/>
      <c r="H54" s="20"/>
      <c r="Q54" s="20"/>
      <c r="R54" s="38" t="s">
        <v>369</v>
      </c>
      <c r="S54" s="38" t="s">
        <v>369</v>
      </c>
      <c r="T54" s="38" t="s">
        <v>369</v>
      </c>
      <c r="U54" s="1574">
        <v>460051000</v>
      </c>
      <c r="V54" s="1574"/>
      <c r="W54" s="20"/>
      <c r="AD54" s="50"/>
      <c r="AE54" s="32"/>
    </row>
    <row r="55" spans="1:31" ht="12" x14ac:dyDescent="0.25">
      <c r="A55" s="23"/>
      <c r="B55" s="23"/>
      <c r="C55" s="354" t="s">
        <v>1560</v>
      </c>
      <c r="H55" s="20"/>
      <c r="Q55" s="20"/>
      <c r="R55" s="38"/>
      <c r="S55" s="3"/>
      <c r="T55" s="38"/>
      <c r="U55" s="1574"/>
      <c r="V55" s="1574"/>
      <c r="W55" s="20"/>
      <c r="AD55" s="50"/>
      <c r="AE55" s="32"/>
    </row>
    <row r="56" spans="1:31" ht="12.6" thickBot="1" x14ac:dyDescent="0.3">
      <c r="A56" s="885"/>
      <c r="B56" s="885"/>
      <c r="C56" s="1102"/>
      <c r="D56" s="1102"/>
      <c r="E56" s="1102"/>
      <c r="F56" s="1102"/>
      <c r="G56" s="1102"/>
      <c r="H56" s="887"/>
      <c r="I56" s="1102"/>
      <c r="J56" s="1102"/>
      <c r="K56" s="1102"/>
      <c r="L56" s="1102"/>
      <c r="M56" s="1102"/>
      <c r="N56" s="1102"/>
      <c r="O56" s="1102"/>
      <c r="P56" s="1102"/>
      <c r="Q56" s="887"/>
      <c r="R56" s="888"/>
      <c r="S56" s="889"/>
      <c r="T56" s="888"/>
      <c r="U56" s="1661"/>
      <c r="V56" s="1661"/>
      <c r="W56" s="887"/>
      <c r="X56" s="1102"/>
      <c r="Y56" s="1102"/>
      <c r="Z56" s="1102"/>
      <c r="AA56" s="1102"/>
      <c r="AB56" s="1102"/>
      <c r="AC56" s="1102"/>
      <c r="AD56" s="891"/>
      <c r="AE56" s="892"/>
    </row>
    <row r="57" spans="1:31" ht="18.75" customHeight="1" thickBot="1" x14ac:dyDescent="0.35">
      <c r="B57" s="1326" t="s">
        <v>1563</v>
      </c>
      <c r="C57" s="1668"/>
      <c r="D57" s="1668"/>
      <c r="E57" s="1668"/>
      <c r="F57" s="1668"/>
      <c r="G57" s="1668"/>
      <c r="H57" s="1259"/>
      <c r="I57" s="1327"/>
      <c r="J57" s="1262"/>
      <c r="K57" s="1262"/>
      <c r="L57" s="1262"/>
      <c r="M57" s="1328"/>
      <c r="N57" s="1262"/>
      <c r="O57" s="1328"/>
      <c r="P57" s="1262"/>
      <c r="Q57" s="1259"/>
      <c r="R57" s="1668"/>
      <c r="S57" s="1668"/>
      <c r="T57" s="1668"/>
      <c r="U57" s="1669"/>
      <c r="V57" s="1669"/>
      <c r="W57" s="1259"/>
      <c r="X57" s="1695"/>
      <c r="Y57" s="1696"/>
      <c r="Z57" s="1696"/>
      <c r="AA57" s="1696"/>
      <c r="AB57" s="1668"/>
      <c r="AC57" s="1668"/>
      <c r="AD57" s="1680"/>
      <c r="AE57" s="1329"/>
    </row>
    <row r="58" spans="1:31" ht="12" x14ac:dyDescent="0.25">
      <c r="C58" s="845" t="s">
        <v>2328</v>
      </c>
      <c r="H58" s="20"/>
      <c r="N58" s="31" t="s">
        <v>352</v>
      </c>
      <c r="O58" s="31">
        <v>1</v>
      </c>
      <c r="P58" s="31" t="s">
        <v>385</v>
      </c>
      <c r="Q58" s="20"/>
      <c r="W58" s="20"/>
      <c r="X58" s="3">
        <v>45</v>
      </c>
      <c r="Y58" s="31">
        <v>1</v>
      </c>
      <c r="Z58" s="376">
        <f>Y58*O58</f>
        <v>1</v>
      </c>
      <c r="AA58" s="31" t="s">
        <v>385</v>
      </c>
      <c r="AB58" s="1697" t="s">
        <v>8</v>
      </c>
      <c r="AC58" s="1697" t="s">
        <v>8</v>
      </c>
      <c r="AD58" s="51"/>
      <c r="AE58" s="39"/>
    </row>
    <row r="59" spans="1:31" ht="12" x14ac:dyDescent="0.2">
      <c r="H59" s="20"/>
      <c r="Q59" s="20"/>
      <c r="R59" s="38" t="s">
        <v>369</v>
      </c>
      <c r="S59" s="3" t="s">
        <v>370</v>
      </c>
      <c r="T59" s="38" t="s">
        <v>369</v>
      </c>
      <c r="U59" s="1574">
        <v>460041003</v>
      </c>
      <c r="V59" s="1574"/>
      <c r="W59" s="20"/>
      <c r="AD59" s="51"/>
      <c r="AE59" s="39">
        <f>AE65+AE72+SUM(AE$79:AE$96)</f>
        <v>2.2309190346875001</v>
      </c>
    </row>
    <row r="60" spans="1:31" ht="12" x14ac:dyDescent="0.2">
      <c r="H60" s="20"/>
      <c r="Q60" s="20"/>
      <c r="R60" s="38" t="s">
        <v>369</v>
      </c>
      <c r="S60" s="3" t="s">
        <v>372</v>
      </c>
      <c r="T60" s="38" t="s">
        <v>369</v>
      </c>
      <c r="U60" s="1574">
        <v>460041021</v>
      </c>
      <c r="V60" s="1574"/>
      <c r="W60" s="20"/>
      <c r="AD60" s="51"/>
      <c r="AE60" s="39"/>
    </row>
    <row r="61" spans="1:31" ht="12" x14ac:dyDescent="0.2">
      <c r="H61" s="20"/>
      <c r="Q61" s="20"/>
      <c r="R61" s="38" t="s">
        <v>369</v>
      </c>
      <c r="S61" s="3" t="s">
        <v>373</v>
      </c>
      <c r="T61" s="38" t="s">
        <v>369</v>
      </c>
      <c r="U61" s="1574">
        <v>460041033</v>
      </c>
      <c r="V61" s="1574"/>
      <c r="W61" s="20"/>
      <c r="AD61" s="51"/>
      <c r="AE61" s="39"/>
    </row>
    <row r="62" spans="1:31" ht="12" x14ac:dyDescent="0.2">
      <c r="H62" s="20"/>
      <c r="Q62" s="20"/>
      <c r="R62" s="38" t="s">
        <v>369</v>
      </c>
      <c r="S62" s="3" t="s">
        <v>374</v>
      </c>
      <c r="T62" s="38" t="s">
        <v>369</v>
      </c>
      <c r="U62" s="1574">
        <v>460041090</v>
      </c>
      <c r="V62" s="1574"/>
      <c r="W62" s="20"/>
      <c r="AD62" s="51"/>
      <c r="AE62" s="39"/>
    </row>
    <row r="63" spans="1:31" ht="12" x14ac:dyDescent="0.2">
      <c r="H63" s="20"/>
      <c r="Q63" s="20"/>
      <c r="R63" s="38" t="s">
        <v>369</v>
      </c>
      <c r="S63" s="3" t="s">
        <v>375</v>
      </c>
      <c r="T63" s="38" t="s">
        <v>369</v>
      </c>
      <c r="U63" s="1574">
        <v>460041133</v>
      </c>
      <c r="V63" s="1574"/>
      <c r="W63" s="20"/>
      <c r="AD63" s="51"/>
      <c r="AE63" s="39"/>
    </row>
    <row r="64" spans="1:31" ht="12.6" thickBot="1" x14ac:dyDescent="0.25">
      <c r="H64" s="20"/>
      <c r="Q64" s="20"/>
      <c r="R64" s="1876" t="s">
        <v>369</v>
      </c>
      <c r="S64" s="1877" t="s">
        <v>1849</v>
      </c>
      <c r="T64" s="1876" t="s">
        <v>369</v>
      </c>
      <c r="U64" s="1926">
        <v>460041148</v>
      </c>
      <c r="V64" s="1574"/>
      <c r="W64" s="20"/>
      <c r="AD64" s="51"/>
      <c r="AE64" s="39"/>
    </row>
    <row r="65" spans="3:31" ht="12" x14ac:dyDescent="0.25">
      <c r="C65" s="1699"/>
      <c r="D65" s="1700" t="s">
        <v>1564</v>
      </c>
      <c r="E65" s="1699"/>
      <c r="F65" s="1699"/>
      <c r="G65" s="1699"/>
      <c r="H65" s="175"/>
      <c r="I65" s="1699" t="s">
        <v>365</v>
      </c>
      <c r="J65" s="1699"/>
      <c r="K65" s="1699"/>
      <c r="L65" s="1701" t="s">
        <v>348</v>
      </c>
      <c r="M65" s="177">
        <v>-6.3129999999999997</v>
      </c>
      <c r="N65" s="1699" t="s">
        <v>352</v>
      </c>
      <c r="O65" s="177">
        <f>KitSHwidth+M65</f>
        <v>29.187000000000001</v>
      </c>
      <c r="P65" s="1699" t="s">
        <v>366</v>
      </c>
      <c r="Q65" s="175"/>
      <c r="R65" s="179"/>
      <c r="S65" s="116"/>
      <c r="T65" s="179"/>
      <c r="U65" s="1670"/>
      <c r="V65" s="1670"/>
      <c r="W65" s="175"/>
      <c r="X65" s="116">
        <v>45</v>
      </c>
      <c r="Y65" s="1699">
        <v>2</v>
      </c>
      <c r="Z65" s="177">
        <f>Y65*O65</f>
        <v>58.374000000000002</v>
      </c>
      <c r="AA65" s="1699" t="s">
        <v>366</v>
      </c>
      <c r="AB65" s="1699">
        <v>0.109</v>
      </c>
      <c r="AC65" s="177">
        <f>AB65*AtolbperftKit</f>
        <v>6.894249999999999E-2</v>
      </c>
      <c r="AD65" s="185">
        <f>AC65*AD$5</f>
        <v>8.962524999999999E-2</v>
      </c>
      <c r="AE65" s="180">
        <f>Z65/12*AD65</f>
        <v>0.43598202862500002</v>
      </c>
    </row>
    <row r="66" spans="3:31" ht="12" x14ac:dyDescent="0.2">
      <c r="C66" s="31"/>
      <c r="D66" s="31"/>
      <c r="E66" s="31"/>
      <c r="F66" s="31"/>
      <c r="G66" s="31"/>
      <c r="H66" s="20"/>
      <c r="I66" s="31"/>
      <c r="J66" s="31"/>
      <c r="K66" s="31"/>
      <c r="L66" s="31"/>
      <c r="M66" s="31"/>
      <c r="Q66" s="20"/>
      <c r="R66" s="38" t="s">
        <v>369</v>
      </c>
      <c r="S66" s="3" t="s">
        <v>370</v>
      </c>
      <c r="T66" s="38" t="s">
        <v>369</v>
      </c>
      <c r="U66" s="1574">
        <v>200062003</v>
      </c>
      <c r="V66" s="1574"/>
      <c r="W66" s="20"/>
      <c r="X66" s="31"/>
      <c r="Y66" s="31"/>
      <c r="Z66" s="31"/>
      <c r="AA66" s="31"/>
      <c r="AB66" s="31"/>
      <c r="AC66" s="31"/>
      <c r="AD66" s="51"/>
      <c r="AE66" s="39"/>
    </row>
    <row r="67" spans="3:31" ht="12" x14ac:dyDescent="0.2">
      <c r="C67" s="31"/>
      <c r="D67" s="31"/>
      <c r="E67" s="31"/>
      <c r="F67" s="31"/>
      <c r="G67" s="31"/>
      <c r="H67" s="20"/>
      <c r="I67" s="31"/>
      <c r="J67" s="31"/>
      <c r="K67" s="31"/>
      <c r="L67" s="31"/>
      <c r="M67" s="31"/>
      <c r="N67" s="31"/>
      <c r="O67" s="31"/>
      <c r="P67" s="31"/>
      <c r="Q67" s="20"/>
      <c r="R67" s="38" t="s">
        <v>369</v>
      </c>
      <c r="S67" s="3" t="s">
        <v>372</v>
      </c>
      <c r="T67" s="38" t="s">
        <v>369</v>
      </c>
      <c r="U67" s="1574">
        <v>200062021</v>
      </c>
      <c r="V67" s="1574"/>
      <c r="W67" s="20"/>
      <c r="X67" s="31"/>
      <c r="Y67" s="31"/>
      <c r="Z67" s="31"/>
      <c r="AA67" s="31"/>
      <c r="AB67" s="31"/>
      <c r="AC67" s="31"/>
      <c r="AD67" s="51"/>
      <c r="AE67" s="39"/>
    </row>
    <row r="68" spans="3:31" ht="12" x14ac:dyDescent="0.2">
      <c r="C68" s="31"/>
      <c r="D68" s="31"/>
      <c r="E68" s="31"/>
      <c r="F68" s="31"/>
      <c r="G68" s="31"/>
      <c r="H68" s="20"/>
      <c r="I68" s="31"/>
      <c r="J68" s="31"/>
      <c r="K68" s="31"/>
      <c r="L68" s="31"/>
      <c r="M68" s="31"/>
      <c r="N68" s="31"/>
      <c r="O68" s="31"/>
      <c r="P68" s="31"/>
      <c r="Q68" s="20"/>
      <c r="R68" s="38" t="s">
        <v>369</v>
      </c>
      <c r="S68" s="3" t="s">
        <v>373</v>
      </c>
      <c r="T68" s="38" t="s">
        <v>369</v>
      </c>
      <c r="U68" s="1574">
        <v>200062033</v>
      </c>
      <c r="V68" s="1574"/>
      <c r="W68" s="20"/>
      <c r="X68" s="31"/>
      <c r="Y68" s="31"/>
      <c r="Z68" s="31"/>
      <c r="AA68" s="31"/>
      <c r="AB68" s="31"/>
      <c r="AC68" s="31"/>
      <c r="AD68" s="51"/>
      <c r="AE68" s="39"/>
    </row>
    <row r="69" spans="3:31" ht="12" x14ac:dyDescent="0.2">
      <c r="C69" s="31"/>
      <c r="D69" s="31"/>
      <c r="E69" s="31"/>
      <c r="F69" s="31"/>
      <c r="G69" s="31"/>
      <c r="H69" s="20"/>
      <c r="I69" s="31"/>
      <c r="J69" s="31"/>
      <c r="K69" s="31"/>
      <c r="L69" s="31"/>
      <c r="M69" s="31"/>
      <c r="N69" s="31"/>
      <c r="O69" s="31"/>
      <c r="P69" s="31"/>
      <c r="Q69" s="20"/>
      <c r="R69" s="38" t="s">
        <v>369</v>
      </c>
      <c r="S69" s="3" t="s">
        <v>374</v>
      </c>
      <c r="T69" s="38" t="s">
        <v>369</v>
      </c>
      <c r="U69" s="1574">
        <v>200062090</v>
      </c>
      <c r="V69" s="1574"/>
      <c r="W69" s="20"/>
      <c r="X69" s="31"/>
      <c r="Y69" s="31"/>
      <c r="Z69" s="31"/>
      <c r="AA69" s="31"/>
      <c r="AB69" s="31"/>
      <c r="AC69" s="31"/>
      <c r="AD69" s="51"/>
      <c r="AE69" s="39"/>
    </row>
    <row r="70" spans="3:31" ht="12" x14ac:dyDescent="0.2">
      <c r="C70" s="31"/>
      <c r="D70" s="31"/>
      <c r="E70" s="31"/>
      <c r="F70" s="31"/>
      <c r="G70" s="31"/>
      <c r="H70" s="20"/>
      <c r="I70" s="31"/>
      <c r="J70" s="31"/>
      <c r="K70" s="31"/>
      <c r="L70" s="31"/>
      <c r="M70" s="31"/>
      <c r="N70" s="31"/>
      <c r="O70" s="31"/>
      <c r="P70" s="31"/>
      <c r="Q70" s="20"/>
      <c r="R70" s="38" t="s">
        <v>369</v>
      </c>
      <c r="S70" s="3" t="s">
        <v>375</v>
      </c>
      <c r="T70" s="38" t="s">
        <v>369</v>
      </c>
      <c r="U70" s="1574">
        <v>200062133</v>
      </c>
      <c r="V70" s="1574"/>
      <c r="W70" s="20"/>
      <c r="X70" s="31"/>
      <c r="Y70" s="31"/>
      <c r="Z70" s="31"/>
      <c r="AA70" s="31"/>
      <c r="AB70" s="31"/>
      <c r="AC70" s="31"/>
      <c r="AD70" s="51"/>
      <c r="AE70" s="39"/>
    </row>
    <row r="71" spans="3:31" ht="12.6" thickBot="1" x14ac:dyDescent="0.25">
      <c r="C71" s="31"/>
      <c r="D71" s="31"/>
      <c r="E71" s="31"/>
      <c r="F71" s="31"/>
      <c r="G71" s="31"/>
      <c r="H71" s="20"/>
      <c r="I71" s="31"/>
      <c r="J71" s="31"/>
      <c r="K71" s="31"/>
      <c r="L71" s="31"/>
      <c r="M71" s="31"/>
      <c r="N71" s="31"/>
      <c r="O71" s="31"/>
      <c r="P71" s="31"/>
      <c r="Q71" s="20"/>
      <c r="R71" s="1876" t="s">
        <v>369</v>
      </c>
      <c r="S71" s="1877" t="s">
        <v>1849</v>
      </c>
      <c r="T71" s="1876" t="s">
        <v>369</v>
      </c>
      <c r="U71" s="1926">
        <v>200062148</v>
      </c>
      <c r="V71" s="1574"/>
      <c r="W71" s="20"/>
      <c r="X71" s="31"/>
      <c r="Y71" s="31"/>
      <c r="Z71" s="31"/>
      <c r="AA71" s="31"/>
      <c r="AB71" s="31"/>
      <c r="AC71" s="31"/>
      <c r="AD71" s="51"/>
      <c r="AE71" s="39"/>
    </row>
    <row r="72" spans="3:31" ht="12" x14ac:dyDescent="0.25">
      <c r="C72" s="1699"/>
      <c r="D72" s="1700" t="s">
        <v>1565</v>
      </c>
      <c r="E72" s="1699"/>
      <c r="F72" s="1699"/>
      <c r="G72" s="1699"/>
      <c r="H72" s="175"/>
      <c r="I72" s="1699" t="s">
        <v>392</v>
      </c>
      <c r="J72" s="1699" t="s">
        <v>346</v>
      </c>
      <c r="K72" s="1699">
        <v>2</v>
      </c>
      <c r="L72" s="1701" t="s">
        <v>348</v>
      </c>
      <c r="M72" s="177">
        <v>-2.625</v>
      </c>
      <c r="N72" s="1699" t="s">
        <v>352</v>
      </c>
      <c r="O72" s="177">
        <f>KitSHheight/K72+M72</f>
        <v>27.125</v>
      </c>
      <c r="P72" s="1699" t="s">
        <v>366</v>
      </c>
      <c r="Q72" s="175"/>
      <c r="R72" s="179"/>
      <c r="S72" s="116"/>
      <c r="T72" s="179"/>
      <c r="U72" s="1670"/>
      <c r="V72" s="1670"/>
      <c r="W72" s="175"/>
      <c r="X72" s="116">
        <v>45</v>
      </c>
      <c r="Y72" s="1699">
        <v>1</v>
      </c>
      <c r="Z72" s="177">
        <f>Y72*O72</f>
        <v>27.125</v>
      </c>
      <c r="AA72" s="1699" t="s">
        <v>366</v>
      </c>
      <c r="AB72" s="1699">
        <v>0.109</v>
      </c>
      <c r="AC72" s="177">
        <f>AB72*AtolbperftKit</f>
        <v>6.894249999999999E-2</v>
      </c>
      <c r="AD72" s="185">
        <f>AC72*AD$5</f>
        <v>8.962524999999999E-2</v>
      </c>
      <c r="AE72" s="180">
        <f>Z72/12*AD72</f>
        <v>0.20259040885416663</v>
      </c>
    </row>
    <row r="73" spans="3:31" ht="12" x14ac:dyDescent="0.2">
      <c r="C73" s="31"/>
      <c r="D73" s="31"/>
      <c r="E73" s="31"/>
      <c r="F73" s="31"/>
      <c r="G73" s="31"/>
      <c r="H73" s="20"/>
      <c r="I73" s="31"/>
      <c r="J73" s="31"/>
      <c r="K73" s="31"/>
      <c r="L73" s="31"/>
      <c r="M73" s="31"/>
      <c r="Q73" s="20"/>
      <c r="R73" s="38" t="s">
        <v>369</v>
      </c>
      <c r="S73" s="3" t="s">
        <v>370</v>
      </c>
      <c r="T73" s="38" t="s">
        <v>369</v>
      </c>
      <c r="U73" s="1574">
        <v>200062003</v>
      </c>
      <c r="V73" s="1574"/>
      <c r="W73" s="20"/>
      <c r="X73" s="31"/>
      <c r="Y73" s="31"/>
      <c r="Z73" s="31"/>
      <c r="AA73" s="31"/>
      <c r="AB73" s="31"/>
      <c r="AC73" s="31"/>
      <c r="AD73" s="51"/>
      <c r="AE73" s="39"/>
    </row>
    <row r="74" spans="3:31" ht="12" x14ac:dyDescent="0.2">
      <c r="C74" s="31"/>
      <c r="D74" s="31"/>
      <c r="E74" s="31"/>
      <c r="F74" s="31"/>
      <c r="G74" s="31"/>
      <c r="H74" s="20"/>
      <c r="I74" s="31"/>
      <c r="J74" s="31"/>
      <c r="K74" s="31"/>
      <c r="L74" s="31"/>
      <c r="M74" s="31"/>
      <c r="N74" s="31"/>
      <c r="O74" s="31"/>
      <c r="P74" s="31"/>
      <c r="Q74" s="20"/>
      <c r="R74" s="38" t="s">
        <v>369</v>
      </c>
      <c r="S74" s="3" t="s">
        <v>372</v>
      </c>
      <c r="T74" s="38" t="s">
        <v>369</v>
      </c>
      <c r="U74" s="1574">
        <v>200062021</v>
      </c>
      <c r="V74" s="1574"/>
      <c r="W74" s="20"/>
      <c r="X74" s="31"/>
      <c r="Y74" s="31"/>
      <c r="Z74" s="31"/>
      <c r="AA74" s="31"/>
      <c r="AB74" s="31"/>
      <c r="AC74" s="31"/>
      <c r="AD74" s="51"/>
      <c r="AE74" s="39"/>
    </row>
    <row r="75" spans="3:31" ht="12" x14ac:dyDescent="0.2">
      <c r="C75" s="31"/>
      <c r="D75" s="31"/>
      <c r="E75" s="31"/>
      <c r="F75" s="31"/>
      <c r="G75" s="31"/>
      <c r="H75" s="20"/>
      <c r="I75" s="31"/>
      <c r="J75" s="31"/>
      <c r="K75" s="31"/>
      <c r="L75" s="31"/>
      <c r="M75" s="31"/>
      <c r="N75" s="31"/>
      <c r="O75" s="31"/>
      <c r="P75" s="31"/>
      <c r="Q75" s="20"/>
      <c r="R75" s="38" t="s">
        <v>369</v>
      </c>
      <c r="S75" s="3" t="s">
        <v>373</v>
      </c>
      <c r="T75" s="38" t="s">
        <v>369</v>
      </c>
      <c r="U75" s="1574">
        <v>200062033</v>
      </c>
      <c r="V75" s="1574"/>
      <c r="W75" s="20"/>
      <c r="X75" s="31"/>
      <c r="Y75" s="31"/>
      <c r="Z75" s="31"/>
      <c r="AA75" s="31"/>
      <c r="AB75" s="31"/>
      <c r="AC75" s="31"/>
      <c r="AD75" s="51"/>
      <c r="AE75" s="39"/>
    </row>
    <row r="76" spans="3:31" ht="12" x14ac:dyDescent="0.2">
      <c r="C76" s="31"/>
      <c r="D76" s="31"/>
      <c r="E76" s="31"/>
      <c r="F76" s="31"/>
      <c r="G76" s="31"/>
      <c r="H76" s="20"/>
      <c r="I76" s="31"/>
      <c r="J76" s="31"/>
      <c r="K76" s="31"/>
      <c r="L76" s="31"/>
      <c r="M76" s="31"/>
      <c r="N76" s="31"/>
      <c r="O76" s="31"/>
      <c r="P76" s="31"/>
      <c r="Q76" s="20"/>
      <c r="R76" s="38" t="s">
        <v>369</v>
      </c>
      <c r="S76" s="3" t="s">
        <v>374</v>
      </c>
      <c r="T76" s="38" t="s">
        <v>369</v>
      </c>
      <c r="U76" s="1574">
        <v>200062090</v>
      </c>
      <c r="V76" s="1574"/>
      <c r="W76" s="20"/>
      <c r="X76" s="31"/>
      <c r="Y76" s="31"/>
      <c r="Z76" s="31"/>
      <c r="AA76" s="31"/>
      <c r="AB76" s="31"/>
      <c r="AC76" s="31"/>
      <c r="AD76" s="51"/>
      <c r="AE76" s="39"/>
    </row>
    <row r="77" spans="3:31" ht="12" x14ac:dyDescent="0.2">
      <c r="C77" s="31"/>
      <c r="D77" s="31"/>
      <c r="E77" s="31"/>
      <c r="F77" s="31"/>
      <c r="G77" s="31"/>
      <c r="H77" s="20"/>
      <c r="I77" s="31"/>
      <c r="J77" s="31"/>
      <c r="K77" s="31"/>
      <c r="L77" s="31"/>
      <c r="M77" s="31"/>
      <c r="N77" s="31"/>
      <c r="O77" s="31"/>
      <c r="P77" s="31"/>
      <c r="Q77" s="20"/>
      <c r="R77" s="38" t="s">
        <v>369</v>
      </c>
      <c r="S77" s="3" t="s">
        <v>375</v>
      </c>
      <c r="T77" s="38" t="s">
        <v>369</v>
      </c>
      <c r="U77" s="1574">
        <v>200062133</v>
      </c>
      <c r="V77" s="1574"/>
      <c r="W77" s="20"/>
      <c r="X77" s="31"/>
      <c r="Y77" s="31"/>
      <c r="Z77" s="31"/>
      <c r="AA77" s="31"/>
      <c r="AB77" s="31"/>
      <c r="AC77" s="31"/>
      <c r="AD77" s="51"/>
      <c r="AE77" s="39"/>
    </row>
    <row r="78" spans="3:31" ht="12.6" thickBot="1" x14ac:dyDescent="0.25">
      <c r="C78" s="31"/>
      <c r="D78" s="31"/>
      <c r="E78" s="31"/>
      <c r="F78" s="31"/>
      <c r="G78" s="31"/>
      <c r="H78" s="20"/>
      <c r="I78" s="31"/>
      <c r="J78" s="31"/>
      <c r="K78" s="31"/>
      <c r="L78" s="31"/>
      <c r="M78" s="31"/>
      <c r="N78" s="31"/>
      <c r="O78" s="31"/>
      <c r="P78" s="31"/>
      <c r="Q78" s="20"/>
      <c r="R78" s="1876" t="s">
        <v>369</v>
      </c>
      <c r="S78" s="1877" t="s">
        <v>1849</v>
      </c>
      <c r="T78" s="1876" t="s">
        <v>369</v>
      </c>
      <c r="U78" s="1926">
        <v>200062148</v>
      </c>
      <c r="V78" s="1574"/>
      <c r="W78" s="20"/>
      <c r="X78" s="31"/>
      <c r="Y78" s="31"/>
      <c r="Z78" s="31"/>
      <c r="AA78" s="31"/>
      <c r="AB78" s="31"/>
      <c r="AC78" s="31"/>
      <c r="AD78" s="51"/>
      <c r="AE78" s="39"/>
    </row>
    <row r="79" spans="3:31" ht="12" x14ac:dyDescent="0.25">
      <c r="C79" s="1699"/>
      <c r="D79" s="1700" t="s">
        <v>1566</v>
      </c>
      <c r="E79" s="1699"/>
      <c r="F79" s="1699"/>
      <c r="G79" s="1699"/>
      <c r="H79" s="175"/>
      <c r="I79" s="1699" t="s">
        <v>365</v>
      </c>
      <c r="J79" s="1699"/>
      <c r="K79" s="1699"/>
      <c r="L79" s="1701" t="s">
        <v>348</v>
      </c>
      <c r="M79" s="177">
        <v>-7.3129999999999997</v>
      </c>
      <c r="N79" s="1699" t="s">
        <v>352</v>
      </c>
      <c r="O79" s="177">
        <f>KitSHwidth+M79</f>
        <v>28.187000000000001</v>
      </c>
      <c r="P79" s="1699" t="s">
        <v>366</v>
      </c>
      <c r="Q79" s="175"/>
      <c r="R79" s="179" t="s">
        <v>369</v>
      </c>
      <c r="S79" s="116" t="s">
        <v>386</v>
      </c>
      <c r="T79" s="179" t="s">
        <v>369</v>
      </c>
      <c r="U79" s="1670">
        <v>200211008</v>
      </c>
      <c r="V79" s="1670"/>
      <c r="W79" s="175"/>
      <c r="X79" s="116">
        <v>45</v>
      </c>
      <c r="Y79" s="1699">
        <v>2</v>
      </c>
      <c r="Z79" s="177">
        <f>Y79*O79</f>
        <v>56.374000000000002</v>
      </c>
      <c r="AA79" s="1699" t="s">
        <v>366</v>
      </c>
      <c r="AB79" s="1699">
        <v>3.1E-2</v>
      </c>
      <c r="AC79" s="177">
        <f>AB79*AtolbperftKit</f>
        <v>1.96075E-2</v>
      </c>
      <c r="AD79" s="185">
        <f>AC79*AD$5</f>
        <v>2.5489750000000002E-2</v>
      </c>
      <c r="AE79" s="180">
        <f>Z79/12*AD79</f>
        <v>0.11974659720833335</v>
      </c>
    </row>
    <row r="80" spans="3:31" ht="12" x14ac:dyDescent="0.25">
      <c r="C80" s="31"/>
      <c r="D80" s="26"/>
      <c r="E80" s="31"/>
      <c r="F80" s="31"/>
      <c r="G80" s="31"/>
      <c r="H80" s="20"/>
      <c r="I80" s="31"/>
      <c r="J80" s="31"/>
      <c r="K80" s="31"/>
      <c r="L80" s="1697"/>
      <c r="M80" s="5"/>
      <c r="N80" s="31"/>
      <c r="O80" s="5"/>
      <c r="P80" s="31"/>
      <c r="Q80" s="20"/>
      <c r="R80" s="38"/>
      <c r="S80" s="3"/>
      <c r="T80" s="38"/>
      <c r="U80" s="1574"/>
      <c r="V80" s="1574"/>
      <c r="W80" s="20"/>
      <c r="X80" s="3"/>
      <c r="Y80" s="31"/>
      <c r="Z80" s="5"/>
      <c r="AA80" s="31"/>
      <c r="AB80" s="31"/>
      <c r="AC80" s="5"/>
      <c r="AD80" s="51"/>
      <c r="AE80" s="39"/>
    </row>
    <row r="81" spans="1:31" ht="12" x14ac:dyDescent="0.25">
      <c r="C81" s="31"/>
      <c r="D81" s="26"/>
      <c r="E81" s="31"/>
      <c r="F81" s="31"/>
      <c r="G81" s="31"/>
      <c r="H81" s="20"/>
      <c r="I81" s="31"/>
      <c r="J81" s="31"/>
      <c r="K81" s="31"/>
      <c r="L81" s="1697"/>
      <c r="M81" s="5"/>
      <c r="N81" s="31"/>
      <c r="O81" s="5"/>
      <c r="P81" s="31"/>
      <c r="Q81" s="20"/>
      <c r="R81" s="38"/>
      <c r="S81" s="3"/>
      <c r="T81" s="38"/>
      <c r="U81" s="1574"/>
      <c r="V81" s="1574"/>
      <c r="W81" s="20"/>
      <c r="X81" s="3"/>
      <c r="Y81" s="31"/>
      <c r="Z81" s="5"/>
      <c r="AA81" s="31"/>
      <c r="AB81" s="31"/>
      <c r="AC81" s="5"/>
      <c r="AD81" s="51"/>
      <c r="AE81" s="39"/>
    </row>
    <row r="82" spans="1:31" ht="12.6" thickBot="1" x14ac:dyDescent="0.3">
      <c r="C82" s="31"/>
      <c r="D82" s="26"/>
      <c r="E82" s="31"/>
      <c r="F82" s="31"/>
      <c r="G82" s="31"/>
      <c r="H82" s="20"/>
      <c r="I82" s="31"/>
      <c r="J82" s="31"/>
      <c r="K82" s="31"/>
      <c r="L82" s="1697"/>
      <c r="M82" s="5"/>
      <c r="N82" s="31"/>
      <c r="O82" s="5"/>
      <c r="P82" s="31"/>
      <c r="Q82" s="20"/>
      <c r="R82" s="38"/>
      <c r="S82" s="3"/>
      <c r="T82" s="38"/>
      <c r="U82" s="1574"/>
      <c r="V82" s="1574"/>
      <c r="W82" s="20"/>
      <c r="X82" s="3"/>
      <c r="Y82" s="31"/>
      <c r="Z82" s="5"/>
      <c r="AA82" s="31"/>
      <c r="AB82" s="31"/>
      <c r="AC82" s="5"/>
      <c r="AD82" s="937"/>
      <c r="AE82" s="947"/>
    </row>
    <row r="83" spans="1:31" ht="12" x14ac:dyDescent="0.25">
      <c r="C83" s="1702"/>
      <c r="D83" s="1703" t="s">
        <v>1567</v>
      </c>
      <c r="E83" s="1702"/>
      <c r="F83" s="1702"/>
      <c r="G83" s="1702"/>
      <c r="H83" s="175"/>
      <c r="I83" s="1702"/>
      <c r="J83" s="1702"/>
      <c r="K83" s="1702"/>
      <c r="L83" s="1702"/>
      <c r="M83" s="1702"/>
      <c r="N83" s="1704" t="s">
        <v>352</v>
      </c>
      <c r="O83" s="1705">
        <v>1</v>
      </c>
      <c r="P83" s="1699" t="s">
        <v>385</v>
      </c>
      <c r="Q83" s="175"/>
      <c r="R83" s="179"/>
      <c r="S83" s="116"/>
      <c r="T83" s="179"/>
      <c r="U83" s="1670"/>
      <c r="V83" s="1670"/>
      <c r="W83" s="175"/>
      <c r="X83" s="116">
        <v>45</v>
      </c>
      <c r="Y83" s="1699">
        <v>2</v>
      </c>
      <c r="Z83" s="177">
        <f>Y83*O83</f>
        <v>2</v>
      </c>
      <c r="AA83" s="1699" t="s">
        <v>385</v>
      </c>
      <c r="AB83" s="1701" t="s">
        <v>8</v>
      </c>
      <c r="AC83" s="1701" t="s">
        <v>8</v>
      </c>
      <c r="AD83" s="51">
        <v>0.65749999999999997</v>
      </c>
      <c r="AE83" s="39">
        <f>AD83*Z83</f>
        <v>1.3149999999999999</v>
      </c>
    </row>
    <row r="84" spans="1:31" ht="12" x14ac:dyDescent="0.2">
      <c r="H84" s="20"/>
      <c r="Q84" s="20"/>
      <c r="R84" s="38" t="s">
        <v>369</v>
      </c>
      <c r="S84" s="3" t="s">
        <v>370</v>
      </c>
      <c r="T84" s="38" t="s">
        <v>369</v>
      </c>
      <c r="U84" s="1574">
        <v>430010003</v>
      </c>
      <c r="V84" s="1574"/>
      <c r="W84" s="20"/>
    </row>
    <row r="85" spans="1:31" ht="12" x14ac:dyDescent="0.2">
      <c r="H85" s="20"/>
      <c r="Q85" s="20"/>
      <c r="R85" s="38" t="s">
        <v>369</v>
      </c>
      <c r="S85" s="3" t="s">
        <v>372</v>
      </c>
      <c r="T85" s="38" t="s">
        <v>369</v>
      </c>
      <c r="U85" s="1574">
        <v>430010021</v>
      </c>
      <c r="V85" s="1574"/>
      <c r="W85" s="20"/>
      <c r="AD85" s="51"/>
      <c r="AE85" s="39"/>
    </row>
    <row r="86" spans="1:31" ht="12" x14ac:dyDescent="0.2">
      <c r="H86" s="20"/>
      <c r="Q86" s="20"/>
      <c r="R86" s="38" t="s">
        <v>369</v>
      </c>
      <c r="S86" s="3" t="s">
        <v>373</v>
      </c>
      <c r="T86" s="38" t="s">
        <v>369</v>
      </c>
      <c r="U86" s="1574">
        <v>430010033</v>
      </c>
      <c r="V86" s="1574"/>
      <c r="W86" s="20"/>
      <c r="AD86" s="51"/>
      <c r="AE86" s="39"/>
    </row>
    <row r="87" spans="1:31" ht="12" x14ac:dyDescent="0.2">
      <c r="H87" s="20"/>
      <c r="Q87" s="20"/>
      <c r="R87" s="38" t="s">
        <v>369</v>
      </c>
      <c r="S87" s="3" t="s">
        <v>374</v>
      </c>
      <c r="T87" s="38" t="s">
        <v>369</v>
      </c>
      <c r="U87" s="1574">
        <v>430010090</v>
      </c>
      <c r="V87" s="1574"/>
      <c r="W87" s="20"/>
      <c r="AD87" s="51"/>
      <c r="AE87" s="39"/>
    </row>
    <row r="88" spans="1:31" ht="12" x14ac:dyDescent="0.2">
      <c r="H88" s="20"/>
      <c r="Q88" s="20"/>
      <c r="R88" s="38" t="s">
        <v>369</v>
      </c>
      <c r="S88" s="3" t="s">
        <v>375</v>
      </c>
      <c r="T88" s="38" t="s">
        <v>369</v>
      </c>
      <c r="U88" s="1574">
        <v>430010133</v>
      </c>
      <c r="V88" s="1574"/>
      <c r="W88" s="20"/>
      <c r="AD88" s="51"/>
      <c r="AE88" s="39"/>
    </row>
    <row r="89" spans="1:31" ht="12.6" thickBot="1" x14ac:dyDescent="0.25">
      <c r="H89" s="20"/>
      <c r="Q89" s="20"/>
      <c r="R89" s="1876" t="s">
        <v>369</v>
      </c>
      <c r="S89" s="1877" t="s">
        <v>1849</v>
      </c>
      <c r="T89" s="1876" t="s">
        <v>369</v>
      </c>
      <c r="U89" s="1926">
        <v>430010148</v>
      </c>
      <c r="V89" s="1574"/>
      <c r="W89" s="20"/>
      <c r="AD89" s="51"/>
      <c r="AE89" s="39"/>
    </row>
    <row r="90" spans="1:31" ht="12" x14ac:dyDescent="0.25">
      <c r="C90" s="1702"/>
      <c r="D90" s="1703" t="s">
        <v>1568</v>
      </c>
      <c r="E90" s="1702"/>
      <c r="F90" s="1702"/>
      <c r="G90" s="1702"/>
      <c r="H90" s="175"/>
      <c r="I90" s="1702"/>
      <c r="J90" s="1702"/>
      <c r="K90" s="1702"/>
      <c r="L90" s="1702"/>
      <c r="M90" s="1702"/>
      <c r="N90" s="1704" t="s">
        <v>352</v>
      </c>
      <c r="O90" s="1705">
        <v>1</v>
      </c>
      <c r="P90" s="1699" t="s">
        <v>385</v>
      </c>
      <c r="Q90" s="175"/>
      <c r="R90" s="179" t="s">
        <v>369</v>
      </c>
      <c r="S90" s="179" t="s">
        <v>369</v>
      </c>
      <c r="T90" s="179" t="s">
        <v>369</v>
      </c>
      <c r="U90" s="1670">
        <v>440046000</v>
      </c>
      <c r="V90" s="1670"/>
      <c r="W90" s="175"/>
      <c r="X90" s="116">
        <v>45</v>
      </c>
      <c r="Y90" s="1699">
        <v>24</v>
      </c>
      <c r="Z90" s="381">
        <f>Y90*O90</f>
        <v>24</v>
      </c>
      <c r="AA90" s="1699" t="s">
        <v>385</v>
      </c>
      <c r="AB90" s="1701" t="s">
        <v>8</v>
      </c>
      <c r="AC90" s="1701" t="s">
        <v>8</v>
      </c>
      <c r="AD90" s="185">
        <v>2.3999999999999998E-3</v>
      </c>
      <c r="AE90" s="180">
        <f>AD90*Z90</f>
        <v>5.7599999999999998E-2</v>
      </c>
    </row>
    <row r="91" spans="1:31" ht="12" x14ac:dyDescent="0.25">
      <c r="D91" s="845"/>
      <c r="E91" s="354" t="s">
        <v>1569</v>
      </c>
      <c r="H91" s="20"/>
      <c r="N91" s="1706"/>
      <c r="O91" s="1707"/>
      <c r="P91" s="31"/>
      <c r="Q91" s="20"/>
      <c r="R91" s="38"/>
      <c r="S91" s="38"/>
      <c r="T91" s="38"/>
      <c r="U91" s="1574"/>
      <c r="V91" s="1574"/>
      <c r="W91" s="20"/>
      <c r="X91" s="3"/>
      <c r="Y91" s="31"/>
      <c r="Z91" s="376"/>
      <c r="AA91" s="31"/>
      <c r="AB91" s="31"/>
      <c r="AC91" s="31"/>
      <c r="AD91" s="51"/>
      <c r="AE91" s="39"/>
    </row>
    <row r="92" spans="1:31" ht="12" x14ac:dyDescent="0.25">
      <c r="D92" s="845"/>
      <c r="H92" s="20"/>
      <c r="N92" s="1706"/>
      <c r="O92" s="1707"/>
      <c r="P92" s="31"/>
      <c r="Q92" s="20"/>
      <c r="R92" s="38"/>
      <c r="S92" s="38"/>
      <c r="T92" s="38"/>
      <c r="U92" s="1574"/>
      <c r="V92" s="1574"/>
      <c r="W92" s="20"/>
      <c r="X92" s="3"/>
      <c r="Y92" s="31"/>
      <c r="Z92" s="376"/>
      <c r="AA92" s="31"/>
      <c r="AB92" s="31"/>
      <c r="AC92" s="31"/>
      <c r="AD92" s="51"/>
      <c r="AE92" s="39"/>
    </row>
    <row r="93" spans="1:31" ht="12.6" thickBot="1" x14ac:dyDescent="0.3">
      <c r="D93" s="845"/>
      <c r="H93" s="20"/>
      <c r="N93" s="1706"/>
      <c r="O93" s="1707"/>
      <c r="P93" s="31"/>
      <c r="Q93" s="20"/>
      <c r="R93" s="38"/>
      <c r="S93" s="38"/>
      <c r="T93" s="38"/>
      <c r="U93" s="1574"/>
      <c r="V93" s="1574"/>
      <c r="W93" s="20"/>
      <c r="X93" s="3"/>
      <c r="Y93" s="31"/>
      <c r="Z93" s="376"/>
      <c r="AA93" s="31"/>
      <c r="AB93" s="31"/>
      <c r="AC93" s="31"/>
      <c r="AD93" s="937"/>
      <c r="AE93" s="947"/>
    </row>
    <row r="94" spans="1:31" ht="12" x14ac:dyDescent="0.25">
      <c r="C94" s="1702"/>
      <c r="D94" s="1703" t="s">
        <v>1570</v>
      </c>
      <c r="E94" s="1702"/>
      <c r="F94" s="1702"/>
      <c r="G94" s="1702"/>
      <c r="H94" s="175"/>
      <c r="I94" s="1699"/>
      <c r="J94" s="1702"/>
      <c r="K94" s="1702"/>
      <c r="L94" s="1702"/>
      <c r="M94" s="1702"/>
      <c r="N94" s="1704" t="s">
        <v>352</v>
      </c>
      <c r="O94" s="1705">
        <v>1</v>
      </c>
      <c r="P94" s="1699" t="s">
        <v>385</v>
      </c>
      <c r="Q94" s="175"/>
      <c r="R94" s="179" t="s">
        <v>369</v>
      </c>
      <c r="S94" s="179" t="s">
        <v>369</v>
      </c>
      <c r="T94" s="179" t="s">
        <v>369</v>
      </c>
      <c r="U94" s="1670">
        <v>170163000</v>
      </c>
      <c r="V94" s="1670"/>
      <c r="W94" s="175"/>
      <c r="X94" s="116">
        <v>45</v>
      </c>
      <c r="Y94" s="1699">
        <v>1</v>
      </c>
      <c r="Z94" s="381">
        <f>Y94*O94</f>
        <v>1</v>
      </c>
      <c r="AA94" s="1699" t="s">
        <v>385</v>
      </c>
      <c r="AB94" s="1701" t="s">
        <v>8</v>
      </c>
      <c r="AC94" s="1701" t="s">
        <v>8</v>
      </c>
      <c r="AD94" s="51">
        <v>0.1</v>
      </c>
      <c r="AE94" s="39">
        <f>AD94*Z94</f>
        <v>0.1</v>
      </c>
    </row>
    <row r="95" spans="1:31" ht="12" x14ac:dyDescent="0.25">
      <c r="A95" s="23"/>
      <c r="B95" s="23"/>
      <c r="C95" s="23"/>
      <c r="D95" s="23"/>
      <c r="E95" s="23"/>
      <c r="F95" s="23"/>
      <c r="G95" s="26"/>
      <c r="H95" s="27"/>
      <c r="I95" s="23"/>
      <c r="J95" s="28"/>
      <c r="K95" s="23"/>
      <c r="L95" s="3"/>
      <c r="M95" s="29"/>
      <c r="N95" s="30"/>
      <c r="O95" s="29"/>
      <c r="P95" s="23"/>
      <c r="Q95" s="27"/>
      <c r="R95" s="31"/>
      <c r="S95" s="31"/>
      <c r="T95" s="31"/>
      <c r="U95" s="1575"/>
      <c r="V95" s="1575"/>
      <c r="W95" s="27"/>
      <c r="X95" s="23"/>
      <c r="Y95" s="23"/>
      <c r="Z95" s="29"/>
      <c r="AA95" s="29"/>
      <c r="AB95" s="29"/>
      <c r="AC95" s="29"/>
      <c r="AD95" s="50"/>
      <c r="AE95" s="32"/>
    </row>
    <row r="96" spans="1:31" ht="12" x14ac:dyDescent="0.25">
      <c r="A96" s="23"/>
      <c r="B96" s="23"/>
      <c r="C96" s="23"/>
      <c r="D96" s="23"/>
      <c r="E96" s="23"/>
      <c r="F96" s="23"/>
      <c r="G96" s="26"/>
      <c r="H96" s="27"/>
      <c r="I96" s="23"/>
      <c r="J96" s="28"/>
      <c r="K96" s="23"/>
      <c r="L96" s="3"/>
      <c r="M96" s="29"/>
      <c r="N96" s="30"/>
      <c r="O96" s="29"/>
      <c r="P96" s="23"/>
      <c r="Q96" s="27"/>
      <c r="R96" s="31"/>
      <c r="S96" s="31"/>
      <c r="T96" s="31"/>
      <c r="U96" s="1575"/>
      <c r="V96" s="1575"/>
      <c r="W96" s="27"/>
      <c r="X96" s="23"/>
      <c r="Y96" s="23"/>
      <c r="Z96" s="29"/>
      <c r="AA96" s="29"/>
      <c r="AB96" s="29"/>
      <c r="AC96" s="29"/>
      <c r="AD96" s="50"/>
      <c r="AE96" s="32"/>
    </row>
    <row r="97" spans="1:31" ht="18" thickBot="1" x14ac:dyDescent="0.35">
      <c r="A97" s="23"/>
      <c r="B97" s="1326" t="s">
        <v>1571</v>
      </c>
      <c r="C97" s="1668"/>
      <c r="D97" s="1668"/>
      <c r="E97" s="1668"/>
      <c r="F97" s="1668"/>
      <c r="G97" s="1668"/>
      <c r="H97" s="1259"/>
      <c r="I97" s="1327"/>
      <c r="J97" s="1262"/>
      <c r="K97" s="1262"/>
      <c r="L97" s="1262"/>
      <c r="M97" s="1328"/>
      <c r="N97" s="1262"/>
      <c r="O97" s="1328"/>
      <c r="P97" s="1262"/>
      <c r="Q97" s="1259"/>
      <c r="R97" s="1668"/>
      <c r="S97" s="1668"/>
      <c r="T97" s="1668"/>
      <c r="U97" s="1669"/>
      <c r="V97" s="1669"/>
      <c r="W97" s="1259"/>
      <c r="X97" s="1695"/>
      <c r="Y97" s="1696"/>
      <c r="Z97" s="1696"/>
      <c r="AA97" s="1696"/>
      <c r="AB97" s="1668"/>
      <c r="AC97" s="1668"/>
      <c r="AD97" s="1680"/>
      <c r="AE97" s="1329"/>
    </row>
    <row r="98" spans="1:31" ht="12" x14ac:dyDescent="0.25">
      <c r="A98" s="23"/>
      <c r="B98" s="23"/>
      <c r="C98" s="845" t="s">
        <v>1572</v>
      </c>
      <c r="H98" s="20"/>
      <c r="N98" s="31" t="s">
        <v>352</v>
      </c>
      <c r="O98" s="31">
        <v>1</v>
      </c>
      <c r="P98" s="31" t="s">
        <v>385</v>
      </c>
      <c r="Q98" s="20"/>
      <c r="W98" s="20"/>
      <c r="X98" s="3">
        <v>45</v>
      </c>
      <c r="Y98" s="31">
        <v>1</v>
      </c>
      <c r="Z98" s="376">
        <f>Y98*O98</f>
        <v>1</v>
      </c>
      <c r="AA98" s="31" t="s">
        <v>385</v>
      </c>
      <c r="AB98" s="1697" t="s">
        <v>8</v>
      </c>
      <c r="AC98" s="1697" t="s">
        <v>8</v>
      </c>
      <c r="AD98" s="50"/>
      <c r="AE98" s="32"/>
    </row>
    <row r="99" spans="1:31" ht="12" x14ac:dyDescent="0.25">
      <c r="A99" s="23"/>
      <c r="B99" s="23"/>
      <c r="C99" s="2124" t="s">
        <v>1573</v>
      </c>
      <c r="D99" s="2124"/>
      <c r="E99" s="2124"/>
      <c r="F99" s="2124"/>
      <c r="G99" s="2124"/>
      <c r="H99" s="20"/>
      <c r="Q99" s="20"/>
      <c r="R99" s="38" t="s">
        <v>369</v>
      </c>
      <c r="S99" s="3" t="s">
        <v>370</v>
      </c>
      <c r="T99" s="38" t="s">
        <v>369</v>
      </c>
      <c r="U99" s="1574">
        <v>460050003</v>
      </c>
      <c r="V99" s="1574"/>
      <c r="W99" s="20"/>
      <c r="AD99" s="50"/>
      <c r="AE99" s="32"/>
    </row>
    <row r="100" spans="1:31" ht="12" x14ac:dyDescent="0.25">
      <c r="A100" s="23"/>
      <c r="B100" s="23"/>
      <c r="C100" s="2124"/>
      <c r="D100" s="2124"/>
      <c r="E100" s="2124"/>
      <c r="F100" s="2124"/>
      <c r="G100" s="2124"/>
      <c r="H100" s="20"/>
      <c r="Q100" s="20"/>
      <c r="R100" s="38" t="s">
        <v>369</v>
      </c>
      <c r="S100" s="3" t="s">
        <v>372</v>
      </c>
      <c r="T100" s="38" t="s">
        <v>369</v>
      </c>
      <c r="U100" s="1574">
        <v>460050021</v>
      </c>
      <c r="V100" s="1574"/>
      <c r="W100" s="20"/>
      <c r="AD100" s="50"/>
      <c r="AE100" s="32"/>
    </row>
    <row r="101" spans="1:31" ht="12" x14ac:dyDescent="0.25">
      <c r="A101" s="23"/>
      <c r="B101" s="23"/>
      <c r="C101" s="2124"/>
      <c r="D101" s="2124"/>
      <c r="E101" s="2124"/>
      <c r="F101" s="2124"/>
      <c r="G101" s="2124"/>
      <c r="H101" s="20"/>
      <c r="Q101" s="20"/>
      <c r="R101" s="38" t="s">
        <v>369</v>
      </c>
      <c r="S101" s="3" t="s">
        <v>373</v>
      </c>
      <c r="T101" s="38" t="s">
        <v>369</v>
      </c>
      <c r="U101" s="1574">
        <v>460050033</v>
      </c>
      <c r="V101" s="1574"/>
      <c r="W101" s="20"/>
      <c r="AD101" s="50"/>
      <c r="AE101" s="32"/>
    </row>
    <row r="102" spans="1:31" ht="18" thickBot="1" x14ac:dyDescent="0.35">
      <c r="A102" s="23"/>
      <c r="B102" s="1326" t="s">
        <v>1574</v>
      </c>
      <c r="C102" s="1668"/>
      <c r="D102" s="1668"/>
      <c r="E102" s="1668"/>
      <c r="F102" s="1668"/>
      <c r="G102" s="1668"/>
      <c r="H102" s="1259"/>
      <c r="I102" s="1083"/>
      <c r="J102" s="1262"/>
      <c r="K102" s="1262"/>
      <c r="L102" s="1262"/>
      <c r="M102" s="1330"/>
      <c r="N102" s="1262"/>
      <c r="O102" s="1328"/>
      <c r="P102" s="1262"/>
      <c r="Q102" s="1259"/>
      <c r="R102" s="1668"/>
      <c r="S102" s="1668"/>
      <c r="T102" s="1668"/>
      <c r="U102" s="1669"/>
      <c r="V102" s="1669"/>
      <c r="W102" s="1259"/>
      <c r="X102" s="1695"/>
      <c r="Y102" s="1696"/>
      <c r="Z102" s="1696"/>
      <c r="AA102" s="1696"/>
      <c r="AB102" s="1668"/>
      <c r="AC102" s="1668"/>
      <c r="AD102" s="1680"/>
      <c r="AE102" s="1329"/>
    </row>
    <row r="103" spans="1:31" ht="12" x14ac:dyDescent="0.25">
      <c r="A103" s="23"/>
      <c r="B103" s="23"/>
      <c r="C103" s="845" t="s">
        <v>1572</v>
      </c>
      <c r="D103" s="23"/>
      <c r="E103" s="23"/>
      <c r="F103" s="23"/>
      <c r="G103" s="26"/>
      <c r="H103" s="20"/>
      <c r="N103" s="31" t="s">
        <v>352</v>
      </c>
      <c r="O103" s="31">
        <v>1</v>
      </c>
      <c r="P103" s="31" t="s">
        <v>385</v>
      </c>
      <c r="Q103" s="20"/>
      <c r="R103" s="3"/>
      <c r="S103" s="3"/>
      <c r="T103" s="38"/>
      <c r="U103" s="1574"/>
      <c r="V103" s="1574"/>
      <c r="W103" s="20"/>
      <c r="X103" s="3">
        <v>45</v>
      </c>
      <c r="Y103" s="31">
        <v>1</v>
      </c>
      <c r="Z103" s="376">
        <f>Y103*O103</f>
        <v>1</v>
      </c>
      <c r="AA103" s="31" t="s">
        <v>385</v>
      </c>
      <c r="AB103" s="1697" t="s">
        <v>8</v>
      </c>
      <c r="AC103" s="1697" t="s">
        <v>8</v>
      </c>
      <c r="AD103" s="50">
        <v>1</v>
      </c>
      <c r="AE103" s="39">
        <f>AD103*Z103</f>
        <v>1</v>
      </c>
    </row>
    <row r="104" spans="1:31" ht="12" x14ac:dyDescent="0.25">
      <c r="A104" s="23"/>
      <c r="B104" s="23"/>
      <c r="C104" s="26" t="s">
        <v>1575</v>
      </c>
      <c r="D104" s="23"/>
      <c r="E104" s="23"/>
      <c r="F104" s="23"/>
      <c r="G104" s="26"/>
      <c r="H104" s="20"/>
      <c r="Q104" s="20"/>
      <c r="R104" s="38" t="s">
        <v>369</v>
      </c>
      <c r="S104" s="3" t="s">
        <v>370</v>
      </c>
      <c r="T104" s="38" t="s">
        <v>369</v>
      </c>
      <c r="U104" s="1574">
        <v>460052003</v>
      </c>
      <c r="V104" s="1574"/>
      <c r="W104" s="20"/>
      <c r="X104" s="23"/>
      <c r="Y104" s="23"/>
      <c r="Z104" s="29"/>
      <c r="AA104" s="29"/>
      <c r="AB104" s="29"/>
      <c r="AC104" s="29"/>
      <c r="AD104" s="50"/>
      <c r="AE104" s="32"/>
    </row>
    <row r="105" spans="1:31" ht="12" x14ac:dyDescent="0.25">
      <c r="A105" s="23"/>
      <c r="B105" s="23"/>
      <c r="C105" s="26" t="s">
        <v>1576</v>
      </c>
      <c r="D105" s="23"/>
      <c r="E105" s="23"/>
      <c r="F105" s="23"/>
      <c r="G105" s="26"/>
      <c r="H105" s="20"/>
      <c r="Q105" s="20"/>
      <c r="R105" s="38" t="s">
        <v>369</v>
      </c>
      <c r="S105" s="3" t="s">
        <v>372</v>
      </c>
      <c r="T105" s="38" t="s">
        <v>369</v>
      </c>
      <c r="U105" s="1574">
        <v>460052021</v>
      </c>
      <c r="V105" s="1574"/>
      <c r="W105" s="20"/>
      <c r="X105" s="23"/>
      <c r="Y105" s="23"/>
      <c r="Z105" s="29"/>
      <c r="AA105" s="29"/>
      <c r="AB105" s="29"/>
      <c r="AC105" s="29"/>
      <c r="AD105" s="50"/>
      <c r="AE105" s="32"/>
    </row>
    <row r="106" spans="1:31" ht="12.6" thickBot="1" x14ac:dyDescent="0.3">
      <c r="A106" s="23"/>
      <c r="B106" s="885"/>
      <c r="C106" s="886"/>
      <c r="D106" s="885"/>
      <c r="E106" s="885"/>
      <c r="F106" s="885"/>
      <c r="G106" s="886"/>
      <c r="H106" s="887"/>
      <c r="I106" s="1102"/>
      <c r="J106" s="1102"/>
      <c r="K106" s="1102"/>
      <c r="L106" s="1102"/>
      <c r="M106" s="1102"/>
      <c r="N106" s="1102"/>
      <c r="O106" s="1102"/>
      <c r="P106" s="1102"/>
      <c r="Q106" s="887"/>
      <c r="R106" s="888" t="s">
        <v>369</v>
      </c>
      <c r="S106" s="889" t="s">
        <v>373</v>
      </c>
      <c r="T106" s="888" t="s">
        <v>369</v>
      </c>
      <c r="U106" s="1661">
        <v>460052033</v>
      </c>
      <c r="V106" s="1661"/>
      <c r="W106" s="887"/>
      <c r="X106" s="885"/>
      <c r="Y106" s="885"/>
      <c r="Z106" s="890"/>
      <c r="AA106" s="890"/>
      <c r="AB106" s="890"/>
      <c r="AC106" s="890"/>
      <c r="AD106" s="891"/>
      <c r="AE106" s="892"/>
    </row>
    <row r="107" spans="1:31" ht="18" thickBot="1" x14ac:dyDescent="0.35">
      <c r="A107" s="23"/>
      <c r="B107" s="1123" t="s">
        <v>1577</v>
      </c>
      <c r="C107" s="1708"/>
      <c r="D107" s="1708"/>
      <c r="E107" s="1708"/>
      <c r="F107" s="1708"/>
      <c r="G107" s="1708"/>
      <c r="H107" s="1708"/>
      <c r="I107" s="1708"/>
      <c r="J107" s="1709"/>
      <c r="K107" s="1709"/>
      <c r="L107" s="1709"/>
      <c r="M107" s="1708"/>
      <c r="N107" s="1708"/>
      <c r="O107" s="1708"/>
      <c r="P107" s="1708"/>
      <c r="Q107" s="1082"/>
      <c r="R107" s="1083"/>
      <c r="S107" s="1084"/>
      <c r="T107" s="1083"/>
      <c r="U107" s="1671">
        <v>460058000</v>
      </c>
      <c r="V107" s="1671"/>
      <c r="W107" s="1082"/>
      <c r="X107" s="1085"/>
      <c r="Y107" s="1085"/>
      <c r="Z107" s="1086"/>
      <c r="AA107" s="1086"/>
      <c r="AB107" s="1086"/>
      <c r="AC107" s="1086"/>
      <c r="AD107" s="1087"/>
      <c r="AE107" s="1088"/>
    </row>
    <row r="108" spans="1:31" ht="13.2" x14ac:dyDescent="0.3">
      <c r="A108" s="23"/>
      <c r="B108" s="354" t="s">
        <v>1578</v>
      </c>
      <c r="G108" s="958"/>
      <c r="H108" s="20"/>
      <c r="Q108" s="20"/>
      <c r="R108" s="1099" t="s">
        <v>8</v>
      </c>
      <c r="S108" s="1099" t="s">
        <v>8</v>
      </c>
      <c r="T108" s="1099" t="s">
        <v>8</v>
      </c>
      <c r="U108" s="354"/>
      <c r="V108" s="982">
        <v>8882157</v>
      </c>
      <c r="W108" s="20"/>
      <c r="X108" s="1101">
        <v>45</v>
      </c>
      <c r="Y108" s="1101">
        <v>1</v>
      </c>
      <c r="Z108" s="1710">
        <v>1</v>
      </c>
      <c r="AA108" s="1101" t="s">
        <v>385</v>
      </c>
      <c r="AB108" s="958"/>
      <c r="AC108" s="958"/>
      <c r="AE108" s="1711"/>
    </row>
    <row r="109" spans="1:31" ht="13.2" x14ac:dyDescent="0.3">
      <c r="A109" s="23"/>
      <c r="G109" s="958"/>
      <c r="H109" s="20"/>
      <c r="Q109" s="20"/>
      <c r="R109" s="1099"/>
      <c r="S109" s="1099"/>
      <c r="T109" s="1099"/>
      <c r="U109" s="1574"/>
      <c r="V109" s="1574"/>
      <c r="W109" s="20"/>
      <c r="X109" s="1101"/>
      <c r="Y109" s="1101"/>
      <c r="Z109" s="1710"/>
      <c r="AA109" s="1101"/>
      <c r="AB109" s="958"/>
      <c r="AC109" s="958"/>
      <c r="AE109" s="1711"/>
    </row>
    <row r="110" spans="1:31" ht="13.8" thickBot="1" x14ac:dyDescent="0.35">
      <c r="A110" s="23"/>
      <c r="B110" s="1102"/>
      <c r="C110" s="1102"/>
      <c r="D110" s="1102"/>
      <c r="E110" s="1102"/>
      <c r="F110" s="1102"/>
      <c r="G110" s="1104"/>
      <c r="H110" s="20"/>
      <c r="I110" s="1102"/>
      <c r="J110" s="1102"/>
      <c r="K110" s="1102"/>
      <c r="L110" s="1102"/>
      <c r="M110" s="1102"/>
      <c r="N110" s="1102"/>
      <c r="O110" s="1102"/>
      <c r="P110" s="1102"/>
      <c r="Q110" s="20"/>
      <c r="R110" s="1104"/>
      <c r="S110" s="1100"/>
      <c r="T110" s="1104"/>
      <c r="U110" s="1661"/>
      <c r="V110" s="1661"/>
      <c r="W110" s="20"/>
      <c r="X110" s="1100"/>
      <c r="Y110" s="1100"/>
      <c r="Z110" s="1712"/>
      <c r="AA110" s="1100"/>
      <c r="AB110" s="1100"/>
      <c r="AC110" s="1712"/>
      <c r="AD110" s="1713"/>
      <c r="AE110" s="1714"/>
    </row>
    <row r="111" spans="1:31" ht="13.2" x14ac:dyDescent="0.3">
      <c r="A111" s="23"/>
      <c r="B111" s="1092" t="s">
        <v>1574</v>
      </c>
      <c r="C111" s="1092"/>
      <c r="D111" s="1092"/>
      <c r="E111" s="1092"/>
      <c r="F111" s="1092"/>
      <c r="G111" s="1092"/>
      <c r="H111" s="20"/>
      <c r="Q111" s="20"/>
      <c r="R111" s="958"/>
      <c r="S111" s="1101"/>
      <c r="T111" s="958"/>
      <c r="U111" s="1574"/>
      <c r="V111" s="1574"/>
      <c r="W111" s="20"/>
      <c r="X111" s="1715"/>
      <c r="Y111" s="1716"/>
      <c r="Z111" s="1716"/>
      <c r="AA111" s="1716"/>
      <c r="AB111" s="1717"/>
      <c r="AC111" s="1717"/>
      <c r="AD111" s="1718"/>
      <c r="AE111" s="1075"/>
    </row>
    <row r="112" spans="1:31" ht="12" x14ac:dyDescent="0.25">
      <c r="A112" s="23"/>
      <c r="B112" s="1074"/>
      <c r="C112" s="1719" t="s">
        <v>1572</v>
      </c>
      <c r="D112" s="1071"/>
      <c r="E112" s="1071"/>
      <c r="F112" s="1071"/>
      <c r="G112" s="1081"/>
      <c r="H112" s="20"/>
      <c r="Q112" s="20"/>
      <c r="R112" s="1072" t="s">
        <v>369</v>
      </c>
      <c r="S112" s="1073" t="s">
        <v>370</v>
      </c>
      <c r="T112" s="1072" t="s">
        <v>369</v>
      </c>
      <c r="U112" s="1672">
        <v>460052003</v>
      </c>
      <c r="V112" s="1672"/>
      <c r="W112" s="20"/>
      <c r="X112" s="1070">
        <v>45</v>
      </c>
      <c r="Y112" s="1716">
        <v>3</v>
      </c>
      <c r="Z112" s="1070">
        <v>3</v>
      </c>
      <c r="AA112" s="1716" t="s">
        <v>385</v>
      </c>
      <c r="AB112" s="1720" t="s">
        <v>8</v>
      </c>
      <c r="AC112" s="1720" t="s">
        <v>8</v>
      </c>
      <c r="AD112" s="1069">
        <v>1</v>
      </c>
      <c r="AE112" s="1075">
        <f>Z112*AD112</f>
        <v>3</v>
      </c>
    </row>
    <row r="113" spans="1:31" ht="12" x14ac:dyDescent="0.25">
      <c r="A113" s="23"/>
      <c r="B113" s="1074"/>
      <c r="C113" s="1081" t="s">
        <v>1575</v>
      </c>
      <c r="D113" s="1071"/>
      <c r="E113" s="1071"/>
      <c r="F113" s="1071"/>
      <c r="G113" s="1081"/>
      <c r="H113" s="20"/>
      <c r="Q113" s="20"/>
      <c r="R113" s="1072" t="s">
        <v>369</v>
      </c>
      <c r="S113" s="1073" t="s">
        <v>372</v>
      </c>
      <c r="T113" s="1072" t="s">
        <v>369</v>
      </c>
      <c r="U113" s="1672">
        <v>460052021</v>
      </c>
      <c r="V113" s="1672"/>
      <c r="W113" s="20"/>
      <c r="X113" s="1070">
        <v>45</v>
      </c>
      <c r="Y113" s="1716">
        <v>3</v>
      </c>
      <c r="Z113" s="1070">
        <v>3</v>
      </c>
      <c r="AA113" s="1716" t="s">
        <v>385</v>
      </c>
      <c r="AB113" s="1720" t="s">
        <v>8</v>
      </c>
      <c r="AC113" s="1720" t="s">
        <v>8</v>
      </c>
      <c r="AD113" s="1069">
        <v>1</v>
      </c>
      <c r="AE113" s="1075">
        <f>Z113*AD113</f>
        <v>3</v>
      </c>
    </row>
    <row r="114" spans="1:31" ht="12.6" thickBot="1" x14ac:dyDescent="0.3">
      <c r="A114" s="23"/>
      <c r="B114" s="1093"/>
      <c r="C114" s="1094" t="s">
        <v>1576</v>
      </c>
      <c r="D114" s="1095"/>
      <c r="E114" s="1095"/>
      <c r="F114" s="1095"/>
      <c r="G114" s="1094"/>
      <c r="H114" s="20"/>
      <c r="I114" s="1102"/>
      <c r="J114" s="1102"/>
      <c r="K114" s="1102"/>
      <c r="L114" s="1102"/>
      <c r="M114" s="1102"/>
      <c r="N114" s="1102"/>
      <c r="O114" s="1102"/>
      <c r="P114" s="1102"/>
      <c r="Q114" s="20"/>
      <c r="R114" s="1102"/>
      <c r="S114" s="1102"/>
      <c r="T114" s="1102"/>
      <c r="U114" s="1673"/>
      <c r="V114" s="1673"/>
      <c r="W114" s="20"/>
      <c r="X114" s="1067"/>
      <c r="Y114" s="1067"/>
      <c r="Z114" s="1066"/>
      <c r="AA114" s="1066"/>
      <c r="AB114" s="1066"/>
      <c r="AC114" s="1066"/>
      <c r="AD114" s="1065"/>
      <c r="AE114" s="1064"/>
    </row>
    <row r="115" spans="1:31" ht="13.2" x14ac:dyDescent="0.3">
      <c r="A115" s="23"/>
      <c r="B115" s="1061" t="s">
        <v>890</v>
      </c>
      <c r="C115" s="1061"/>
      <c r="D115" s="1061"/>
      <c r="E115" s="1061"/>
      <c r="F115" s="1061"/>
      <c r="G115" s="1061"/>
      <c r="H115" s="20"/>
      <c r="Q115" s="20"/>
      <c r="R115" s="1073"/>
      <c r="S115" s="1073"/>
      <c r="T115" s="1072"/>
      <c r="U115" s="1672"/>
      <c r="V115" s="1672"/>
      <c r="W115" s="20"/>
      <c r="X115" s="1103"/>
      <c r="Y115" s="1103"/>
      <c r="Z115" s="1103"/>
      <c r="AA115" s="1103"/>
      <c r="AB115" s="1058"/>
      <c r="AC115" s="1103"/>
      <c r="AD115" s="1721"/>
      <c r="AE115" s="1722"/>
    </row>
    <row r="116" spans="1:31" ht="12" x14ac:dyDescent="0.25">
      <c r="A116" s="23"/>
      <c r="B116" s="1723"/>
      <c r="C116" s="1061"/>
      <c r="D116" s="1061" t="s">
        <v>891</v>
      </c>
      <c r="E116" s="1061"/>
      <c r="F116" s="1061"/>
      <c r="G116" s="1061"/>
      <c r="H116" s="20"/>
      <c r="Q116" s="20"/>
      <c r="R116" s="1062" t="s">
        <v>369</v>
      </c>
      <c r="S116" s="1063" t="s">
        <v>370</v>
      </c>
      <c r="T116" s="1062" t="s">
        <v>369</v>
      </c>
      <c r="U116" s="1662">
        <v>420176003</v>
      </c>
      <c r="V116" s="1662"/>
      <c r="W116" s="20"/>
      <c r="X116" s="1063">
        <v>45</v>
      </c>
      <c r="Y116" s="1063">
        <v>3</v>
      </c>
      <c r="Z116" s="1058">
        <v>3</v>
      </c>
      <c r="AA116" s="1063" t="s">
        <v>385</v>
      </c>
      <c r="AB116" s="1062" t="s">
        <v>8</v>
      </c>
      <c r="AC116" s="1062" t="s">
        <v>8</v>
      </c>
      <c r="AD116" s="1048">
        <v>0.113</v>
      </c>
      <c r="AE116" s="1724">
        <f>Z116*AD116</f>
        <v>0.33900000000000002</v>
      </c>
    </row>
    <row r="117" spans="1:31" ht="12" x14ac:dyDescent="0.25">
      <c r="A117" s="23"/>
      <c r="B117" s="1725" t="s">
        <v>892</v>
      </c>
      <c r="D117" s="1106" t="s">
        <v>1579</v>
      </c>
      <c r="E117" s="1061"/>
      <c r="F117" s="1061"/>
      <c r="G117" s="1061"/>
      <c r="H117" s="20"/>
      <c r="Q117" s="20"/>
      <c r="R117" s="1062" t="s">
        <v>369</v>
      </c>
      <c r="S117" s="1063" t="s">
        <v>372</v>
      </c>
      <c r="T117" s="1062" t="s">
        <v>369</v>
      </c>
      <c r="U117" s="1662">
        <v>420176021</v>
      </c>
      <c r="V117" s="1662"/>
      <c r="W117" s="20"/>
      <c r="X117" s="1063">
        <v>45</v>
      </c>
      <c r="Y117" s="1063">
        <v>3</v>
      </c>
      <c r="Z117" s="1058">
        <v>3</v>
      </c>
      <c r="AA117" s="1063" t="s">
        <v>385</v>
      </c>
      <c r="AB117" s="1062" t="s">
        <v>8</v>
      </c>
      <c r="AC117" s="1062" t="s">
        <v>8</v>
      </c>
      <c r="AD117" s="1048">
        <v>0.113</v>
      </c>
      <c r="AE117" s="1724">
        <f>Z117*AD117</f>
        <v>0.33900000000000002</v>
      </c>
    </row>
    <row r="118" spans="1:31" ht="13.8" thickBot="1" x14ac:dyDescent="0.35">
      <c r="A118" s="23"/>
      <c r="B118" s="1726" t="s">
        <v>893</v>
      </c>
      <c r="C118" s="1102"/>
      <c r="D118" s="1106" t="s">
        <v>1579</v>
      </c>
      <c r="E118" s="1061"/>
      <c r="F118" s="1061"/>
      <c r="G118" s="1061"/>
      <c r="H118" s="20"/>
      <c r="I118" s="1102"/>
      <c r="J118" s="1102"/>
      <c r="K118" s="1102"/>
      <c r="L118" s="1102"/>
      <c r="M118" s="1102"/>
      <c r="N118" s="1102"/>
      <c r="O118" s="1102"/>
      <c r="P118" s="1102"/>
      <c r="Q118" s="20"/>
      <c r="R118" s="1104"/>
      <c r="S118" s="1100"/>
      <c r="T118" s="1104"/>
      <c r="U118" s="1661"/>
      <c r="V118" s="1661"/>
      <c r="W118" s="20"/>
      <c r="X118" s="1103"/>
      <c r="Y118" s="1103"/>
      <c r="Z118" s="1103"/>
      <c r="AA118" s="1057"/>
      <c r="AB118" s="1058"/>
      <c r="AC118" s="1057"/>
      <c r="AD118" s="1727"/>
      <c r="AE118" s="1728"/>
    </row>
    <row r="119" spans="1:31" ht="13.2" x14ac:dyDescent="0.3">
      <c r="A119" s="23"/>
      <c r="D119" s="1056" t="s">
        <v>894</v>
      </c>
      <c r="E119" s="1056"/>
      <c r="F119" s="1056"/>
      <c r="G119" s="1056"/>
      <c r="H119" s="20"/>
      <c r="Q119" s="20"/>
      <c r="R119" s="1103"/>
      <c r="S119" s="1103"/>
      <c r="T119" s="1103"/>
      <c r="U119" s="1840"/>
      <c r="V119" s="1840"/>
      <c r="W119" s="20"/>
      <c r="X119" s="1055"/>
      <c r="Y119" s="1055"/>
      <c r="Z119" s="1055"/>
      <c r="AA119" s="1053"/>
      <c r="AB119" s="1054"/>
      <c r="AC119" s="1053"/>
    </row>
    <row r="120" spans="1:31" ht="12" x14ac:dyDescent="0.25">
      <c r="A120" s="23"/>
      <c r="B120" s="1729" t="s">
        <v>895</v>
      </c>
      <c r="D120" s="1106" t="s">
        <v>1579</v>
      </c>
      <c r="E120" s="1052"/>
      <c r="F120" s="1052"/>
      <c r="G120" s="1052"/>
      <c r="H120" s="20"/>
      <c r="Q120" s="20"/>
      <c r="R120" s="1049" t="s">
        <v>369</v>
      </c>
      <c r="S120" s="1050" t="s">
        <v>370</v>
      </c>
      <c r="T120" s="1049" t="s">
        <v>369</v>
      </c>
      <c r="U120" s="1663">
        <v>420175003</v>
      </c>
      <c r="V120" s="1663"/>
      <c r="W120" s="20"/>
      <c r="X120" s="1050">
        <v>45</v>
      </c>
      <c r="Y120" s="1050">
        <v>3</v>
      </c>
      <c r="Z120" s="1051">
        <v>3</v>
      </c>
      <c r="AA120" s="1050" t="s">
        <v>385</v>
      </c>
      <c r="AB120" s="1049" t="s">
        <v>8</v>
      </c>
      <c r="AC120" s="1049" t="s">
        <v>8</v>
      </c>
      <c r="AD120" s="1048">
        <v>0.113</v>
      </c>
      <c r="AE120" s="1724">
        <f>Z120*AD120</f>
        <v>0.33900000000000002</v>
      </c>
    </row>
    <row r="121" spans="1:31" ht="12" x14ac:dyDescent="0.25">
      <c r="A121" s="23"/>
      <c r="B121" s="1729" t="s">
        <v>896</v>
      </c>
      <c r="D121" s="1106" t="s">
        <v>1579</v>
      </c>
      <c r="E121" s="1052"/>
      <c r="F121" s="1052"/>
      <c r="G121" s="1052"/>
      <c r="H121" s="20"/>
      <c r="Q121" s="20"/>
      <c r="R121" s="1049" t="s">
        <v>369</v>
      </c>
      <c r="S121" s="1050" t="s">
        <v>372</v>
      </c>
      <c r="T121" s="1049" t="s">
        <v>369</v>
      </c>
      <c r="U121" s="1663">
        <v>420175021</v>
      </c>
      <c r="V121" s="1663"/>
      <c r="W121" s="20"/>
      <c r="X121" s="1050">
        <v>45</v>
      </c>
      <c r="Y121" s="1050">
        <v>3</v>
      </c>
      <c r="Z121" s="1051">
        <v>3</v>
      </c>
      <c r="AA121" s="1050" t="s">
        <v>385</v>
      </c>
      <c r="AB121" s="1049" t="s">
        <v>8</v>
      </c>
      <c r="AC121" s="1049" t="s">
        <v>8</v>
      </c>
      <c r="AD121" s="1048">
        <v>0.113</v>
      </c>
      <c r="AE121" s="1724">
        <f>Z121*AD121</f>
        <v>0.33900000000000002</v>
      </c>
    </row>
    <row r="122" spans="1:31" ht="13.8" thickBot="1" x14ac:dyDescent="0.35">
      <c r="A122" s="23"/>
      <c r="B122" s="1102"/>
      <c r="C122" s="1102"/>
      <c r="D122" s="1102"/>
      <c r="E122" s="1102"/>
      <c r="F122" s="1102"/>
      <c r="G122" s="1104"/>
      <c r="H122" s="20"/>
      <c r="I122" s="1102"/>
      <c r="J122" s="1102"/>
      <c r="K122" s="1102"/>
      <c r="L122" s="1102"/>
      <c r="M122" s="1102"/>
      <c r="N122" s="1102"/>
      <c r="O122" s="1102"/>
      <c r="P122" s="1102"/>
      <c r="Q122" s="20"/>
      <c r="R122" s="1059"/>
      <c r="S122" s="1060"/>
      <c r="T122" s="1059"/>
      <c r="U122" s="1664"/>
      <c r="V122" s="1664"/>
      <c r="W122" s="20"/>
      <c r="X122" s="1104"/>
      <c r="Y122" s="1104"/>
      <c r="Z122" s="1104"/>
      <c r="AA122" s="1104"/>
      <c r="AB122" s="1104"/>
      <c r="AC122" s="1104"/>
      <c r="AD122" s="1730"/>
      <c r="AE122" s="1728"/>
    </row>
    <row r="123" spans="1:31" ht="12.6" thickBot="1" x14ac:dyDescent="0.3">
      <c r="A123" s="23"/>
      <c r="B123" s="1080" t="s">
        <v>1580</v>
      </c>
      <c r="C123" s="1079"/>
      <c r="D123" s="1079"/>
      <c r="E123" s="1079"/>
      <c r="F123" s="1079"/>
      <c r="G123" s="1079"/>
      <c r="H123" s="20"/>
      <c r="Q123" s="20"/>
      <c r="R123" s="1090"/>
      <c r="S123" s="1091"/>
      <c r="T123" s="1090"/>
      <c r="U123" s="1665"/>
      <c r="V123" s="1665"/>
      <c r="W123" s="20"/>
    </row>
    <row r="124" spans="1:31" ht="12" x14ac:dyDescent="0.25">
      <c r="A124" s="23"/>
      <c r="B124" s="1106" t="s">
        <v>1581</v>
      </c>
      <c r="F124" s="1079"/>
      <c r="G124" s="1079"/>
      <c r="H124" s="20"/>
      <c r="Q124" s="20"/>
      <c r="R124" s="1090" t="s">
        <v>369</v>
      </c>
      <c r="S124" s="1091" t="s">
        <v>569</v>
      </c>
      <c r="T124" s="1090" t="s">
        <v>369</v>
      </c>
      <c r="U124" s="1665">
        <v>600064012</v>
      </c>
      <c r="V124" s="1665"/>
      <c r="W124" s="20"/>
      <c r="X124" s="1091"/>
      <c r="Y124" s="1091"/>
      <c r="Z124" s="1114"/>
      <c r="AA124" s="1091"/>
      <c r="AB124" s="1090"/>
      <c r="AC124" s="1090"/>
      <c r="AD124" s="1113"/>
      <c r="AE124" s="1731"/>
    </row>
    <row r="125" spans="1:31" ht="12" x14ac:dyDescent="0.25">
      <c r="A125" s="23"/>
      <c r="B125" s="1106"/>
      <c r="F125" s="1079"/>
      <c r="G125" s="1079"/>
      <c r="H125" s="20"/>
      <c r="Q125" s="20"/>
      <c r="R125" s="1090"/>
      <c r="S125" s="1091"/>
      <c r="T125" s="1090"/>
      <c r="U125" s="1665"/>
      <c r="V125" s="1665"/>
      <c r="W125" s="20"/>
      <c r="X125" s="1091">
        <v>45</v>
      </c>
      <c r="Y125" s="1091">
        <v>40</v>
      </c>
      <c r="Z125" s="1114">
        <v>40</v>
      </c>
      <c r="AA125" s="1091" t="s">
        <v>385</v>
      </c>
      <c r="AB125" s="1049" t="s">
        <v>8</v>
      </c>
      <c r="AC125" s="1049" t="s">
        <v>8</v>
      </c>
      <c r="AD125" s="1113">
        <v>1.2999999999999999E-2</v>
      </c>
      <c r="AE125" s="1732">
        <f>Z125*AD125</f>
        <v>0.52</v>
      </c>
    </row>
    <row r="126" spans="1:31" ht="13.8" thickBot="1" x14ac:dyDescent="0.35">
      <c r="A126" s="23"/>
      <c r="B126" s="1107"/>
      <c r="C126" s="1102"/>
      <c r="D126" s="1102"/>
      <c r="E126" s="1102"/>
      <c r="F126" s="1102"/>
      <c r="G126" s="1104"/>
      <c r="H126" s="20"/>
      <c r="I126" s="1102"/>
      <c r="J126" s="1102"/>
      <c r="K126" s="1102"/>
      <c r="L126" s="1102"/>
      <c r="M126" s="1102"/>
      <c r="N126" s="1102"/>
      <c r="O126" s="1102"/>
      <c r="P126" s="1102"/>
      <c r="Q126" s="20"/>
      <c r="R126" s="1104"/>
      <c r="S126" s="1104"/>
      <c r="T126" s="1104"/>
      <c r="U126" s="1673"/>
      <c r="V126" s="1673"/>
      <c r="W126" s="20"/>
      <c r="X126" s="1104"/>
      <c r="Y126" s="1104"/>
      <c r="Z126" s="1104"/>
      <c r="AA126" s="1104"/>
      <c r="AB126" s="1104"/>
      <c r="AC126" s="1104"/>
      <c r="AD126" s="1730"/>
      <c r="AE126" s="1728"/>
    </row>
    <row r="127" spans="1:31" ht="13.2" x14ac:dyDescent="0.3">
      <c r="A127" s="23"/>
      <c r="B127" s="845" t="s">
        <v>1582</v>
      </c>
      <c r="C127" s="845"/>
      <c r="D127" s="845"/>
      <c r="E127" s="845"/>
      <c r="H127" s="20"/>
      <c r="Q127" s="20"/>
      <c r="R127" s="958"/>
      <c r="S127" s="958"/>
      <c r="T127" s="958"/>
      <c r="W127" s="20"/>
      <c r="X127" s="958"/>
      <c r="Y127" s="958"/>
      <c r="Z127" s="958"/>
      <c r="AA127" s="958"/>
      <c r="AB127" s="958"/>
      <c r="AC127" s="958"/>
    </row>
    <row r="128" spans="1:31" ht="13.2" x14ac:dyDescent="0.3">
      <c r="A128" s="23"/>
      <c r="B128" s="354" t="s">
        <v>1583</v>
      </c>
      <c r="H128" s="20"/>
      <c r="Q128" s="20"/>
      <c r="R128" s="38" t="s">
        <v>369</v>
      </c>
      <c r="S128" s="3" t="s">
        <v>370</v>
      </c>
      <c r="T128" s="38" t="s">
        <v>369</v>
      </c>
      <c r="U128" s="1443">
        <v>420034006</v>
      </c>
      <c r="V128" s="1443"/>
      <c r="W128" s="20"/>
      <c r="X128" s="31">
        <v>45</v>
      </c>
      <c r="Y128" s="31">
        <v>6</v>
      </c>
      <c r="Z128" s="31">
        <v>6</v>
      </c>
      <c r="AA128" s="31" t="s">
        <v>385</v>
      </c>
      <c r="AB128" s="958"/>
      <c r="AC128" s="958"/>
      <c r="AD128" s="1692">
        <v>0.19620000000000001</v>
      </c>
      <c r="AE128" s="1711">
        <f>Z128*AD128</f>
        <v>1.1772</v>
      </c>
    </row>
    <row r="129" spans="1:31" ht="13.2" x14ac:dyDescent="0.3">
      <c r="A129" s="23"/>
      <c r="H129" s="20"/>
      <c r="Q129" s="20"/>
      <c r="R129" s="38" t="s">
        <v>369</v>
      </c>
      <c r="S129" s="3" t="s">
        <v>372</v>
      </c>
      <c r="T129" s="38" t="s">
        <v>369</v>
      </c>
      <c r="U129" s="1443">
        <v>420034021</v>
      </c>
      <c r="V129" s="1443"/>
      <c r="W129" s="20"/>
      <c r="X129" s="31">
        <v>45</v>
      </c>
      <c r="Y129" s="31">
        <v>6</v>
      </c>
      <c r="Z129" s="31">
        <v>6</v>
      </c>
      <c r="AA129" s="31" t="s">
        <v>385</v>
      </c>
      <c r="AB129" s="958"/>
      <c r="AC129" s="958"/>
      <c r="AD129" s="1692">
        <v>0.19620000000000001</v>
      </c>
      <c r="AE129" s="1711">
        <f>Z129*AD129</f>
        <v>1.1772</v>
      </c>
    </row>
    <row r="130" spans="1:31" ht="13.8" thickBot="1" x14ac:dyDescent="0.35">
      <c r="A130" s="23"/>
      <c r="B130" s="1102"/>
      <c r="C130" s="1102"/>
      <c r="D130" s="1102"/>
      <c r="E130" s="1102"/>
      <c r="F130" s="1102"/>
      <c r="G130" s="1104"/>
      <c r="H130" s="20"/>
      <c r="I130" s="1102"/>
      <c r="J130" s="1102"/>
      <c r="K130" s="1102"/>
      <c r="L130" s="1102"/>
      <c r="M130" s="1102"/>
      <c r="N130" s="1102"/>
      <c r="O130" s="1102"/>
      <c r="P130" s="1102"/>
      <c r="Q130" s="887"/>
      <c r="R130" s="888" t="s">
        <v>369</v>
      </c>
      <c r="S130" s="889" t="s">
        <v>373</v>
      </c>
      <c r="T130" s="888" t="s">
        <v>369</v>
      </c>
      <c r="U130" s="1444">
        <v>420034034</v>
      </c>
      <c r="V130" s="1444"/>
      <c r="W130" s="887"/>
      <c r="X130" s="893">
        <v>45</v>
      </c>
      <c r="Y130" s="893">
        <v>6</v>
      </c>
      <c r="Z130" s="893">
        <v>6</v>
      </c>
      <c r="AA130" s="893" t="s">
        <v>385</v>
      </c>
      <c r="AB130" s="1104"/>
      <c r="AC130" s="1104"/>
      <c r="AD130" s="1713">
        <v>0.19620000000000001</v>
      </c>
      <c r="AE130" s="1714">
        <f>Z130*AD130</f>
        <v>1.1772</v>
      </c>
    </row>
    <row r="131" spans="1:31" ht="13.2" x14ac:dyDescent="0.3">
      <c r="A131" s="23"/>
      <c r="B131" s="7" t="s">
        <v>2170</v>
      </c>
      <c r="C131" s="7"/>
      <c r="D131" s="3"/>
      <c r="E131" s="7"/>
      <c r="G131" s="958"/>
      <c r="H131" s="20"/>
      <c r="Q131" s="20"/>
      <c r="R131" s="38"/>
      <c r="S131" s="3"/>
      <c r="T131" s="38"/>
      <c r="U131" s="1443"/>
      <c r="V131" s="1443"/>
      <c r="W131" s="20"/>
      <c r="X131" s="31"/>
      <c r="Y131" s="31"/>
      <c r="Z131" s="31"/>
      <c r="AA131" s="31"/>
      <c r="AB131" s="958"/>
      <c r="AC131" s="958"/>
      <c r="AD131" s="1692"/>
      <c r="AE131" s="1711"/>
    </row>
    <row r="132" spans="1:31" ht="13.2" x14ac:dyDescent="0.3">
      <c r="A132" s="23"/>
      <c r="B132" s="7" t="s">
        <v>2090</v>
      </c>
      <c r="D132" s="3"/>
      <c r="E132" s="7"/>
      <c r="G132" s="958"/>
      <c r="H132" s="20"/>
      <c r="Q132" s="20"/>
      <c r="R132" s="38" t="s">
        <v>369</v>
      </c>
      <c r="S132" s="3" t="s">
        <v>370</v>
      </c>
      <c r="T132" s="38" t="s">
        <v>369</v>
      </c>
      <c r="U132" s="1443" t="s">
        <v>2017</v>
      </c>
      <c r="V132" s="1443"/>
      <c r="W132" s="20"/>
      <c r="X132" s="31">
        <v>45</v>
      </c>
      <c r="Y132" s="31">
        <v>6</v>
      </c>
      <c r="Z132" s="31">
        <v>6</v>
      </c>
      <c r="AA132" s="31" t="s">
        <v>385</v>
      </c>
      <c r="AB132" s="958"/>
      <c r="AC132" s="958"/>
      <c r="AD132" s="1692">
        <v>0.74399999999999999</v>
      </c>
      <c r="AE132" s="1711">
        <f>Z132*AD132</f>
        <v>4.4640000000000004</v>
      </c>
    </row>
    <row r="133" spans="1:31" ht="13.2" x14ac:dyDescent="0.3">
      <c r="A133" s="23"/>
      <c r="B133" s="7" t="s">
        <v>2171</v>
      </c>
      <c r="D133" s="3"/>
      <c r="E133" s="7"/>
      <c r="G133" s="958"/>
      <c r="H133" s="20"/>
      <c r="Q133" s="20"/>
      <c r="R133" s="38" t="s">
        <v>369</v>
      </c>
      <c r="S133" s="3" t="s">
        <v>372</v>
      </c>
      <c r="T133" s="38" t="s">
        <v>369</v>
      </c>
      <c r="U133" s="1443">
        <v>420553021</v>
      </c>
      <c r="V133" s="1443"/>
      <c r="W133" s="20"/>
      <c r="X133" s="31">
        <v>45</v>
      </c>
      <c r="Y133" s="31">
        <v>6</v>
      </c>
      <c r="Z133" s="31">
        <v>6</v>
      </c>
      <c r="AA133" s="31" t="s">
        <v>385</v>
      </c>
      <c r="AB133" s="958"/>
      <c r="AC133" s="958"/>
      <c r="AD133" s="1692">
        <v>0.70199999999999996</v>
      </c>
      <c r="AE133" s="1711">
        <f>Z133*AD133</f>
        <v>4.2119999999999997</v>
      </c>
    </row>
    <row r="134" spans="1:31" ht="13.8" thickBot="1" x14ac:dyDescent="0.35">
      <c r="A134" s="23"/>
      <c r="B134" s="1102"/>
      <c r="C134" s="1102"/>
      <c r="D134" s="1102"/>
      <c r="E134" s="1102"/>
      <c r="F134" s="1102"/>
      <c r="G134" s="1104"/>
      <c r="H134" s="887"/>
      <c r="I134" s="1102"/>
      <c r="J134" s="1102"/>
      <c r="K134" s="1102"/>
      <c r="L134" s="1102"/>
      <c r="M134" s="1102"/>
      <c r="N134" s="1102"/>
      <c r="O134" s="1102"/>
      <c r="P134" s="1102"/>
      <c r="Q134" s="887"/>
      <c r="R134" s="888" t="s">
        <v>369</v>
      </c>
      <c r="S134" s="889" t="s">
        <v>373</v>
      </c>
      <c r="T134" s="888" t="s">
        <v>369</v>
      </c>
      <c r="U134" s="1444" t="s">
        <v>2016</v>
      </c>
      <c r="V134" s="1444"/>
      <c r="W134" s="887"/>
      <c r="X134" s="893">
        <v>45</v>
      </c>
      <c r="Y134" s="893">
        <v>6</v>
      </c>
      <c r="Z134" s="893">
        <v>6</v>
      </c>
      <c r="AA134" s="893" t="s">
        <v>385</v>
      </c>
      <c r="AB134" s="1104"/>
      <c r="AC134" s="1104"/>
      <c r="AD134" s="1713">
        <v>0.74399999999999999</v>
      </c>
      <c r="AE134" s="1714">
        <f>Z134*AD134</f>
        <v>4.4640000000000004</v>
      </c>
    </row>
    <row r="135" spans="1:31" ht="12" x14ac:dyDescent="0.25">
      <c r="A135" s="23"/>
      <c r="B135" s="1108" t="s">
        <v>511</v>
      </c>
      <c r="C135" s="1097"/>
      <c r="D135" s="1097"/>
      <c r="E135" s="1096"/>
      <c r="F135" s="1096"/>
      <c r="G135" s="1096"/>
      <c r="H135" s="20"/>
      <c r="Q135" s="20"/>
      <c r="R135" s="1076"/>
      <c r="S135" s="1076"/>
      <c r="T135" s="1076"/>
      <c r="U135" s="1666"/>
      <c r="V135" s="1666"/>
      <c r="W135" s="20"/>
      <c r="X135" s="1078"/>
      <c r="Y135" s="1078"/>
      <c r="Z135" s="1111"/>
      <c r="AA135" s="1078"/>
      <c r="AB135" s="1089"/>
      <c r="AC135" s="1111"/>
      <c r="AD135" s="1733"/>
    </row>
    <row r="136" spans="1:31" ht="12" x14ac:dyDescent="0.25">
      <c r="A136" s="23"/>
      <c r="B136" s="1109" t="s">
        <v>2327</v>
      </c>
      <c r="C136" s="1077"/>
      <c r="D136" s="1734"/>
      <c r="E136" s="1076"/>
      <c r="F136" s="1076"/>
      <c r="G136" s="1076"/>
      <c r="H136" s="20"/>
      <c r="Q136" s="20"/>
      <c r="R136" s="38" t="s">
        <v>369</v>
      </c>
      <c r="S136" s="3" t="s">
        <v>370</v>
      </c>
      <c r="T136" s="38" t="s">
        <v>369</v>
      </c>
      <c r="U136" s="1443">
        <v>200249003</v>
      </c>
      <c r="V136" s="1443"/>
      <c r="W136" s="20"/>
      <c r="X136" s="1078">
        <v>45</v>
      </c>
      <c r="Y136" s="1078">
        <v>24</v>
      </c>
      <c r="Z136" s="1112" t="s">
        <v>1584</v>
      </c>
      <c r="AA136" s="1078" t="s">
        <v>385</v>
      </c>
      <c r="AB136" s="1089"/>
      <c r="AC136" s="1111"/>
      <c r="AD136" s="1110">
        <v>2.3300000000000001E-2</v>
      </c>
      <c r="AE136" s="1711">
        <f>Z$136*AD136</f>
        <v>0.55920000000000003</v>
      </c>
    </row>
    <row r="137" spans="1:31" ht="12" x14ac:dyDescent="0.25">
      <c r="A137" s="23"/>
      <c r="B137" s="1109"/>
      <c r="C137" s="1077"/>
      <c r="D137" s="1734"/>
      <c r="E137" s="1076"/>
      <c r="F137" s="1076"/>
      <c r="G137" s="1076"/>
      <c r="H137" s="20"/>
      <c r="Q137" s="20"/>
      <c r="R137" s="38" t="s">
        <v>369</v>
      </c>
      <c r="S137" s="3" t="s">
        <v>372</v>
      </c>
      <c r="T137" s="38" t="s">
        <v>369</v>
      </c>
      <c r="U137" s="1443">
        <v>200249021</v>
      </c>
      <c r="V137" s="1443"/>
      <c r="W137" s="20"/>
      <c r="X137" s="1078"/>
      <c r="Y137" s="1078"/>
      <c r="Z137" s="1112"/>
      <c r="AA137" s="1078"/>
      <c r="AB137" s="1089"/>
      <c r="AC137" s="1111"/>
      <c r="AD137" s="1110">
        <v>2.5100000000000001E-2</v>
      </c>
      <c r="AE137" s="1711">
        <f t="shared" ref="AE137:AE141" si="0">Z$136*AD137</f>
        <v>0.60240000000000005</v>
      </c>
    </row>
    <row r="138" spans="1:31" ht="12" x14ac:dyDescent="0.25">
      <c r="A138" s="23"/>
      <c r="B138" s="1109"/>
      <c r="C138" s="1077"/>
      <c r="D138" s="1734"/>
      <c r="E138" s="1076"/>
      <c r="F138" s="1076"/>
      <c r="G138" s="1076"/>
      <c r="H138" s="20"/>
      <c r="Q138" s="20"/>
      <c r="R138" s="38" t="s">
        <v>369</v>
      </c>
      <c r="S138" s="3" t="s">
        <v>373</v>
      </c>
      <c r="T138" s="38" t="s">
        <v>369</v>
      </c>
      <c r="U138" s="1443">
        <v>200249033</v>
      </c>
      <c r="V138" s="1443"/>
      <c r="W138" s="20"/>
      <c r="X138" s="1078"/>
      <c r="Y138" s="1078"/>
      <c r="Z138" s="1112"/>
      <c r="AA138" s="1078"/>
      <c r="AB138" s="1089"/>
      <c r="AC138" s="1111"/>
      <c r="AD138" s="1110">
        <v>2.5399999999999999E-2</v>
      </c>
      <c r="AE138" s="1711">
        <f t="shared" si="0"/>
        <v>0.60959999999999992</v>
      </c>
    </row>
    <row r="139" spans="1:31" ht="12" x14ac:dyDescent="0.25">
      <c r="A139" s="23"/>
      <c r="B139" s="1109"/>
      <c r="C139" s="1373"/>
      <c r="D139" s="1734"/>
      <c r="E139" s="1734"/>
      <c r="F139" s="1734"/>
      <c r="G139" s="1076"/>
      <c r="H139" s="20"/>
      <c r="Q139" s="20"/>
      <c r="R139" s="38" t="s">
        <v>369</v>
      </c>
      <c r="S139" s="3" t="s">
        <v>374</v>
      </c>
      <c r="T139" s="38" t="s">
        <v>369</v>
      </c>
      <c r="U139" s="1443">
        <v>200249090</v>
      </c>
      <c r="V139" s="1443"/>
      <c r="W139" s="20"/>
      <c r="X139" s="1078"/>
      <c r="Y139" s="1078"/>
      <c r="Z139" s="1112"/>
      <c r="AA139" s="1078"/>
      <c r="AB139" s="1089"/>
      <c r="AC139" s="1111"/>
      <c r="AD139" s="1110">
        <v>4.7699999999999999E-2</v>
      </c>
      <c r="AE139" s="1711">
        <f t="shared" si="0"/>
        <v>1.1448</v>
      </c>
    </row>
    <row r="140" spans="1:31" ht="12" x14ac:dyDescent="0.25">
      <c r="A140" s="23"/>
      <c r="B140" s="1109"/>
      <c r="C140" s="1077"/>
      <c r="D140" s="1734"/>
      <c r="E140" s="1076"/>
      <c r="F140" s="1076"/>
      <c r="G140" s="1076"/>
      <c r="H140" s="20"/>
      <c r="Q140" s="20"/>
      <c r="R140" s="38" t="s">
        <v>369</v>
      </c>
      <c r="S140" s="3" t="s">
        <v>375</v>
      </c>
      <c r="T140" s="38" t="s">
        <v>369</v>
      </c>
      <c r="U140" s="1443">
        <v>200249133</v>
      </c>
      <c r="V140" s="1443"/>
      <c r="W140" s="20"/>
      <c r="X140" s="1078"/>
      <c r="Y140" s="1078"/>
      <c r="Z140" s="1112"/>
      <c r="AA140" s="1078"/>
      <c r="AB140" s="1089"/>
      <c r="AC140" s="1111"/>
      <c r="AD140" s="1110">
        <v>5.2600000000000001E-2</v>
      </c>
      <c r="AE140" s="1711">
        <f t="shared" si="0"/>
        <v>1.2624</v>
      </c>
    </row>
    <row r="141" spans="1:31" ht="12.6" thickBot="1" x14ac:dyDescent="0.3">
      <c r="A141" s="23"/>
      <c r="B141" s="1115"/>
      <c r="C141" s="1116"/>
      <c r="D141" s="1735"/>
      <c r="E141" s="1735"/>
      <c r="F141" s="1735"/>
      <c r="G141" s="1117"/>
      <c r="H141" s="887"/>
      <c r="I141" s="1102"/>
      <c r="J141" s="1102"/>
      <c r="K141" s="1102"/>
      <c r="L141" s="1102"/>
      <c r="M141" s="1102"/>
      <c r="N141" s="1102"/>
      <c r="O141" s="1102"/>
      <c r="P141" s="1102"/>
      <c r="Q141" s="887"/>
      <c r="R141" s="1876" t="s">
        <v>369</v>
      </c>
      <c r="S141" s="1877" t="s">
        <v>1849</v>
      </c>
      <c r="T141" s="1876" t="s">
        <v>369</v>
      </c>
      <c r="U141" s="1878">
        <v>200249148</v>
      </c>
      <c r="V141" s="1444"/>
      <c r="W141" s="887"/>
      <c r="X141" s="1119"/>
      <c r="Y141" s="1119"/>
      <c r="Z141" s="1120"/>
      <c r="AA141" s="1119"/>
      <c r="AB141" s="1118"/>
      <c r="AC141" s="1121"/>
      <c r="AD141" s="1122">
        <v>4.9799999999999997E-2</v>
      </c>
      <c r="AE141" s="1714">
        <f t="shared" si="0"/>
        <v>1.1951999999999998</v>
      </c>
    </row>
    <row r="142" spans="1:31" ht="13.2" x14ac:dyDescent="0.3">
      <c r="A142" s="23"/>
      <c r="G142" s="958"/>
      <c r="H142" s="20"/>
      <c r="Q142" s="20"/>
      <c r="R142" s="958"/>
      <c r="S142" s="958"/>
      <c r="T142" s="958"/>
      <c r="W142" s="20"/>
      <c r="X142" s="958"/>
      <c r="Y142" s="958"/>
      <c r="Z142" s="958"/>
      <c r="AA142" s="958"/>
      <c r="AB142" s="958"/>
      <c r="AC142" s="958"/>
    </row>
    <row r="143" spans="1:31" ht="13.2" x14ac:dyDescent="0.3">
      <c r="A143" s="23"/>
      <c r="B143" s="354" t="s">
        <v>1585</v>
      </c>
      <c r="G143" s="958"/>
      <c r="H143" s="20"/>
      <c r="Q143" s="20"/>
      <c r="R143" s="958"/>
      <c r="S143" s="1101" t="s">
        <v>370</v>
      </c>
      <c r="T143" s="958"/>
      <c r="U143" s="1574">
        <v>600049061</v>
      </c>
      <c r="V143" s="1574"/>
      <c r="W143" s="20"/>
      <c r="X143" s="1101">
        <v>45</v>
      </c>
      <c r="Y143" s="1101">
        <v>12</v>
      </c>
      <c r="Z143" s="1101">
        <v>12</v>
      </c>
      <c r="AA143" s="1101" t="s">
        <v>385</v>
      </c>
      <c r="AB143" s="958"/>
      <c r="AC143" s="958"/>
      <c r="AD143" s="1692">
        <v>5.5500000000000001E-2</v>
      </c>
      <c r="AE143" s="1711">
        <f>AD143*Z143</f>
        <v>0.66600000000000004</v>
      </c>
    </row>
    <row r="144" spans="1:31" ht="13.8" thickBot="1" x14ac:dyDescent="0.35">
      <c r="A144" s="23"/>
      <c r="B144" s="1102"/>
      <c r="C144" s="1102"/>
      <c r="D144" s="1102"/>
      <c r="E144" s="1102"/>
      <c r="F144" s="1102"/>
      <c r="G144" s="1104"/>
      <c r="H144" s="20"/>
      <c r="I144" s="1102"/>
      <c r="J144" s="1102"/>
      <c r="K144" s="1102"/>
      <c r="L144" s="1102"/>
      <c r="M144" s="1102"/>
      <c r="N144" s="1102"/>
      <c r="O144" s="1102"/>
      <c r="P144" s="1102"/>
      <c r="Q144" s="20"/>
      <c r="R144" s="1104"/>
      <c r="S144" s="1104"/>
      <c r="T144" s="1104"/>
      <c r="U144" s="1673"/>
      <c r="V144" s="1673"/>
      <c r="W144" s="20"/>
      <c r="X144" s="1104"/>
      <c r="Y144" s="1104"/>
      <c r="Z144" s="1104"/>
      <c r="AA144" s="1104"/>
      <c r="AB144" s="1104"/>
      <c r="AC144" s="1104"/>
      <c r="AD144" s="1730"/>
      <c r="AE144" s="1728"/>
    </row>
    <row r="145" spans="1:31" ht="13.2" x14ac:dyDescent="0.3">
      <c r="A145" s="23"/>
      <c r="C145" s="1702"/>
      <c r="D145" s="1702"/>
      <c r="E145" s="1702"/>
      <c r="F145" s="1702"/>
      <c r="G145" s="1105"/>
      <c r="H145" s="20"/>
      <c r="I145" s="1702"/>
      <c r="J145" s="1702"/>
      <c r="K145" s="1702"/>
      <c r="L145" s="1702"/>
      <c r="M145" s="1702"/>
      <c r="N145" s="1702"/>
      <c r="O145" s="1702"/>
      <c r="P145" s="1702"/>
      <c r="Q145" s="20"/>
      <c r="R145" s="1105"/>
      <c r="S145" s="1105"/>
      <c r="T145" s="1105"/>
      <c r="U145" s="1674"/>
      <c r="W145" s="20"/>
      <c r="X145" s="1105"/>
      <c r="Y145" s="1105"/>
      <c r="Z145" s="1105"/>
      <c r="AA145" s="1105"/>
      <c r="AB145" s="1105"/>
      <c r="AC145" s="1105"/>
      <c r="AD145" s="1736"/>
      <c r="AE145" s="1737"/>
    </row>
    <row r="146" spans="1:31" ht="13.2" x14ac:dyDescent="0.3">
      <c r="A146" s="23"/>
      <c r="B146" s="354" t="s">
        <v>1586</v>
      </c>
      <c r="G146" s="958"/>
      <c r="H146" s="20"/>
      <c r="Q146" s="20"/>
      <c r="R146" s="958"/>
      <c r="S146" s="1101" t="s">
        <v>370</v>
      </c>
      <c r="T146" s="958"/>
      <c r="U146" s="1574">
        <v>420205003</v>
      </c>
      <c r="V146" s="1574" t="s">
        <v>1587</v>
      </c>
      <c r="W146" s="20"/>
      <c r="X146" s="1101">
        <v>45</v>
      </c>
      <c r="Y146" s="1101">
        <v>4</v>
      </c>
      <c r="Z146" s="1101">
        <v>4</v>
      </c>
      <c r="AA146" s="1101" t="s">
        <v>385</v>
      </c>
      <c r="AB146" s="958"/>
      <c r="AC146" s="958"/>
      <c r="AD146" s="1692">
        <v>0.3</v>
      </c>
      <c r="AE146" s="1711">
        <f>AD146*Z146</f>
        <v>1.2</v>
      </c>
    </row>
    <row r="147" spans="1:31" ht="13.8" thickBot="1" x14ac:dyDescent="0.35">
      <c r="A147" s="23"/>
      <c r="B147" s="1102"/>
      <c r="C147" s="1102"/>
      <c r="D147" s="1102"/>
      <c r="E147" s="1102"/>
      <c r="F147" s="1102"/>
      <c r="G147" s="1104"/>
      <c r="H147" s="20"/>
      <c r="I147" s="1102"/>
      <c r="J147" s="1102"/>
      <c r="K147" s="1102"/>
      <c r="L147" s="1102"/>
      <c r="M147" s="1102"/>
      <c r="N147" s="1102"/>
      <c r="O147" s="1102"/>
      <c r="P147" s="1102"/>
      <c r="Q147" s="20"/>
      <c r="R147" s="1104"/>
      <c r="S147" s="1104"/>
      <c r="T147" s="1104"/>
      <c r="U147" s="1673"/>
      <c r="V147" s="1673"/>
      <c r="W147" s="20"/>
      <c r="X147" s="1104"/>
      <c r="Y147" s="1104"/>
      <c r="Z147" s="1104"/>
      <c r="AA147" s="1104"/>
      <c r="AB147" s="1104"/>
      <c r="AC147" s="1104"/>
      <c r="AD147" s="1730"/>
      <c r="AE147" s="1728"/>
    </row>
    <row r="148" spans="1:31" ht="13.2" x14ac:dyDescent="0.3">
      <c r="A148" s="23"/>
      <c r="B148" s="1702"/>
      <c r="C148" s="1702"/>
      <c r="D148" s="1702"/>
      <c r="E148" s="1702"/>
      <c r="F148" s="1702"/>
      <c r="G148" s="1105"/>
      <c r="H148" s="20"/>
      <c r="I148" s="1702"/>
      <c r="J148" s="1702"/>
      <c r="K148" s="1702"/>
      <c r="L148" s="1702"/>
      <c r="M148" s="1702"/>
      <c r="N148" s="1702"/>
      <c r="O148" s="1702"/>
      <c r="P148" s="1702"/>
      <c r="Q148" s="20"/>
      <c r="R148" s="1105"/>
      <c r="S148" s="1105"/>
      <c r="T148" s="1105"/>
      <c r="U148" s="1674"/>
      <c r="V148" s="1674"/>
      <c r="W148" s="20"/>
      <c r="X148" s="1105"/>
      <c r="Y148" s="1105"/>
      <c r="Z148" s="1105"/>
      <c r="AA148" s="1105"/>
      <c r="AB148" s="1105"/>
      <c r="AC148" s="1105"/>
      <c r="AD148" s="1736"/>
      <c r="AE148" s="1737"/>
    </row>
    <row r="149" spans="1:31" ht="13.2" x14ac:dyDescent="0.3">
      <c r="A149" s="23"/>
      <c r="B149" s="354" t="s">
        <v>1588</v>
      </c>
      <c r="G149" s="958"/>
      <c r="H149" s="20"/>
      <c r="Q149" s="20"/>
      <c r="R149" s="958"/>
      <c r="S149" s="1101" t="s">
        <v>370</v>
      </c>
      <c r="T149" s="958"/>
      <c r="U149" s="1574">
        <v>440065003</v>
      </c>
      <c r="V149" s="1574" t="s">
        <v>1589</v>
      </c>
      <c r="W149" s="20"/>
      <c r="X149" s="1101">
        <v>45</v>
      </c>
      <c r="Y149" s="1101">
        <v>4</v>
      </c>
      <c r="Z149" s="1101">
        <v>4</v>
      </c>
      <c r="AA149" s="1101" t="s">
        <v>385</v>
      </c>
      <c r="AB149" s="958"/>
      <c r="AC149" s="958"/>
      <c r="AD149" s="1692">
        <v>3.5000000000000003E-2</v>
      </c>
      <c r="AE149" s="1711">
        <f>AD149*Z149</f>
        <v>0.14000000000000001</v>
      </c>
    </row>
    <row r="150" spans="1:31" ht="13.8" thickBot="1" x14ac:dyDescent="0.35">
      <c r="A150" s="23"/>
      <c r="B150" s="1102"/>
      <c r="C150" s="1102"/>
      <c r="D150" s="1102"/>
      <c r="E150" s="1102"/>
      <c r="F150" s="1102"/>
      <c r="G150" s="1104"/>
      <c r="H150" s="20"/>
      <c r="I150" s="1102"/>
      <c r="J150" s="1102"/>
      <c r="K150" s="1102"/>
      <c r="L150" s="1102"/>
      <c r="M150" s="1102"/>
      <c r="N150" s="1102"/>
      <c r="O150" s="1102"/>
      <c r="P150" s="1102"/>
      <c r="Q150" s="20"/>
      <c r="R150" s="1104"/>
      <c r="S150" s="1104"/>
      <c r="T150" s="1104"/>
      <c r="U150" s="1673"/>
      <c r="V150" s="1673"/>
      <c r="W150" s="20"/>
      <c r="X150" s="1104"/>
      <c r="Y150" s="1104"/>
      <c r="Z150" s="1104"/>
      <c r="AA150" s="1104"/>
      <c r="AB150" s="1104"/>
      <c r="AC150" s="1104"/>
      <c r="AD150" s="1730"/>
      <c r="AE150" s="1728"/>
    </row>
    <row r="151" spans="1:31" ht="13.2" x14ac:dyDescent="0.3">
      <c r="A151" s="23"/>
      <c r="B151" s="1702"/>
      <c r="C151" s="1702"/>
      <c r="D151" s="1702"/>
      <c r="E151" s="1702"/>
      <c r="F151" s="1702"/>
      <c r="G151" s="1105"/>
      <c r="H151" s="20"/>
      <c r="I151" s="1702"/>
      <c r="J151" s="1702"/>
      <c r="K151" s="1702"/>
      <c r="L151" s="1702"/>
      <c r="M151" s="1702"/>
      <c r="N151" s="1702"/>
      <c r="O151" s="1702"/>
      <c r="P151" s="1702"/>
      <c r="Q151" s="20"/>
      <c r="R151" s="1105"/>
      <c r="S151" s="1105"/>
      <c r="T151" s="1105"/>
      <c r="U151" s="1674"/>
      <c r="V151" s="1674"/>
      <c r="W151" s="20"/>
      <c r="X151" s="1105"/>
      <c r="Y151" s="1105"/>
      <c r="Z151" s="1105"/>
      <c r="AA151" s="1105"/>
      <c r="AB151" s="1105"/>
      <c r="AC151" s="1105"/>
      <c r="AD151" s="1736"/>
      <c r="AE151" s="1737"/>
    </row>
    <row r="152" spans="1:31" ht="13.2" x14ac:dyDescent="0.3">
      <c r="A152" s="23"/>
      <c r="B152" s="354" t="s">
        <v>1590</v>
      </c>
      <c r="G152" s="958"/>
      <c r="H152" s="20"/>
      <c r="Q152" s="20"/>
      <c r="R152" s="958"/>
      <c r="S152" s="1101" t="s">
        <v>370</v>
      </c>
      <c r="T152" s="958"/>
      <c r="U152" s="1574">
        <v>440066003</v>
      </c>
      <c r="V152" s="1574" t="s">
        <v>1591</v>
      </c>
      <c r="W152" s="20"/>
      <c r="X152" s="1101">
        <v>45</v>
      </c>
      <c r="Y152" s="1101">
        <v>4</v>
      </c>
      <c r="Z152" s="1101">
        <v>4</v>
      </c>
      <c r="AA152" s="1101" t="s">
        <v>385</v>
      </c>
      <c r="AB152" s="958"/>
      <c r="AC152" s="958"/>
      <c r="AD152" s="1692">
        <v>0.11</v>
      </c>
      <c r="AE152" s="1711">
        <f>AD152*Z152</f>
        <v>0.44</v>
      </c>
    </row>
    <row r="153" spans="1:31" ht="13.8" thickBot="1" x14ac:dyDescent="0.35">
      <c r="A153" s="23"/>
      <c r="B153" s="1102"/>
      <c r="C153" s="1102"/>
      <c r="D153" s="1102"/>
      <c r="E153" s="1102"/>
      <c r="F153" s="1102"/>
      <c r="G153" s="1104"/>
      <c r="H153" s="20"/>
      <c r="I153" s="1102"/>
      <c r="J153" s="1102"/>
      <c r="K153" s="1102"/>
      <c r="L153" s="1102"/>
      <c r="M153" s="1102"/>
      <c r="N153" s="1102"/>
      <c r="O153" s="1102"/>
      <c r="P153" s="1102"/>
      <c r="Q153" s="20"/>
      <c r="R153" s="1104"/>
      <c r="S153" s="1104"/>
      <c r="T153" s="1104"/>
      <c r="U153" s="1673"/>
      <c r="V153" s="1673"/>
      <c r="W153" s="20"/>
      <c r="X153" s="1104"/>
      <c r="Y153" s="1104"/>
      <c r="Z153" s="1104"/>
      <c r="AA153" s="1104"/>
      <c r="AB153" s="1104"/>
      <c r="AC153" s="1104"/>
      <c r="AD153" s="1730"/>
      <c r="AE153" s="1728"/>
    </row>
    <row r="154" spans="1:31" ht="13.2" x14ac:dyDescent="0.3">
      <c r="A154" s="23"/>
      <c r="B154" s="1702"/>
      <c r="C154" s="1702"/>
      <c r="D154" s="1702"/>
      <c r="E154" s="1702"/>
      <c r="F154" s="1702"/>
      <c r="G154" s="1105"/>
      <c r="H154" s="20"/>
      <c r="I154" s="1702"/>
      <c r="J154" s="1702"/>
      <c r="K154" s="1702"/>
      <c r="L154" s="1702"/>
      <c r="M154" s="1702"/>
      <c r="N154" s="1702"/>
      <c r="O154" s="1702"/>
      <c r="P154" s="1702"/>
      <c r="Q154" s="20"/>
      <c r="R154" s="1105"/>
      <c r="S154" s="1105"/>
      <c r="T154" s="1105"/>
      <c r="U154" s="1674"/>
      <c r="W154" s="20"/>
      <c r="X154" s="1105"/>
      <c r="Y154" s="1105"/>
      <c r="Z154" s="1105"/>
      <c r="AA154" s="1105"/>
      <c r="AB154" s="1105"/>
      <c r="AC154" s="1105"/>
      <c r="AD154" s="1736"/>
      <c r="AE154" s="1737"/>
    </row>
    <row r="155" spans="1:31" ht="13.2" x14ac:dyDescent="0.3">
      <c r="A155" s="23"/>
      <c r="B155" s="354" t="s">
        <v>1592</v>
      </c>
      <c r="G155" s="958"/>
      <c r="H155" s="20"/>
      <c r="Q155" s="20"/>
      <c r="R155" s="958"/>
      <c r="S155" s="1101" t="s">
        <v>370</v>
      </c>
      <c r="T155" s="958"/>
      <c r="U155" s="1738">
        <v>200122006001</v>
      </c>
      <c r="V155" s="1738"/>
      <c r="W155" s="20"/>
      <c r="X155" s="1101">
        <v>45</v>
      </c>
      <c r="Y155" s="1101">
        <v>3</v>
      </c>
      <c r="Z155" s="1101">
        <v>3</v>
      </c>
      <c r="AA155" s="1101" t="s">
        <v>385</v>
      </c>
      <c r="AB155" s="958"/>
      <c r="AC155" s="958"/>
      <c r="AD155" s="1692">
        <v>0.35270000000000001</v>
      </c>
      <c r="AE155" s="1711">
        <f>AD155*Z155</f>
        <v>1.0581</v>
      </c>
    </row>
    <row r="156" spans="1:31" ht="13.8" thickBot="1" x14ac:dyDescent="0.35">
      <c r="A156" s="23"/>
      <c r="B156" s="1102"/>
      <c r="C156" s="1102"/>
      <c r="D156" s="1102"/>
      <c r="E156" s="1102"/>
      <c r="F156" s="1102"/>
      <c r="G156" s="1104"/>
      <c r="H156" s="20"/>
      <c r="I156" s="1102"/>
      <c r="J156" s="1102"/>
      <c r="K156" s="1102"/>
      <c r="L156" s="1102"/>
      <c r="M156" s="1102"/>
      <c r="N156" s="1102"/>
      <c r="O156" s="1102"/>
      <c r="P156" s="1102"/>
      <c r="Q156" s="20"/>
      <c r="R156" s="1104"/>
      <c r="S156" s="1104"/>
      <c r="T156" s="1104"/>
      <c r="U156" s="1673"/>
      <c r="V156" s="1673"/>
      <c r="W156" s="20"/>
      <c r="X156" s="1104"/>
      <c r="Y156" s="1104"/>
      <c r="Z156" s="1104"/>
      <c r="AA156" s="1104"/>
      <c r="AB156" s="1104"/>
      <c r="AC156" s="1104"/>
      <c r="AD156" s="1730"/>
      <c r="AE156" s="1728"/>
    </row>
    <row r="157" spans="1:31" ht="13.2" x14ac:dyDescent="0.3">
      <c r="A157" s="23"/>
      <c r="B157" s="354" t="s">
        <v>1593</v>
      </c>
      <c r="C157" s="1702"/>
      <c r="D157" s="1702"/>
      <c r="E157" s="1702"/>
      <c r="F157" s="1702"/>
      <c r="G157" s="1105"/>
      <c r="H157" s="20"/>
      <c r="I157" s="1702"/>
      <c r="J157" s="1702"/>
      <c r="K157" s="1702"/>
      <c r="L157" s="1702"/>
      <c r="M157" s="1702"/>
      <c r="N157" s="1702"/>
      <c r="O157" s="1702"/>
      <c r="P157" s="1702"/>
      <c r="Q157" s="20"/>
      <c r="R157" s="1105"/>
      <c r="S157" s="1105"/>
      <c r="T157" s="1105"/>
      <c r="U157" s="1674"/>
      <c r="W157" s="20"/>
      <c r="X157" s="1105"/>
      <c r="Y157" s="1105"/>
      <c r="Z157" s="1105"/>
      <c r="AA157" s="1105"/>
      <c r="AB157" s="1105"/>
      <c r="AC157" s="1105"/>
      <c r="AD157" s="1736"/>
      <c r="AE157" s="1737"/>
    </row>
    <row r="158" spans="1:31" ht="25.5" customHeight="1" x14ac:dyDescent="0.3">
      <c r="A158" s="23"/>
      <c r="B158" s="354" t="s">
        <v>1594</v>
      </c>
      <c r="G158" s="958"/>
      <c r="H158" s="20"/>
      <c r="Q158" s="20"/>
      <c r="R158" s="958"/>
      <c r="S158" s="1101" t="s">
        <v>370</v>
      </c>
      <c r="T158" s="958"/>
      <c r="U158" s="1574">
        <v>610017003</v>
      </c>
      <c r="V158" s="1574"/>
      <c r="W158" s="20"/>
      <c r="X158" s="1101">
        <v>45</v>
      </c>
      <c r="Y158" s="1101">
        <v>1</v>
      </c>
      <c r="Z158" s="1101">
        <v>1</v>
      </c>
      <c r="AA158" s="1101" t="s">
        <v>385</v>
      </c>
      <c r="AB158" s="958"/>
      <c r="AC158" s="958"/>
      <c r="AD158" s="1692">
        <v>5.5500000000000001E-2</v>
      </c>
      <c r="AE158" s="1711">
        <f>AD158*Z158</f>
        <v>5.5500000000000001E-2</v>
      </c>
    </row>
    <row r="159" spans="1:31" ht="18" thickBot="1" x14ac:dyDescent="0.35">
      <c r="A159" s="23"/>
      <c r="B159" s="1123" t="s">
        <v>1595</v>
      </c>
      <c r="C159" s="1708"/>
      <c r="D159" s="1708"/>
      <c r="E159" s="1708"/>
      <c r="F159" s="1708"/>
      <c r="G159" s="1708"/>
      <c r="H159" s="1708"/>
      <c r="I159" s="1708"/>
      <c r="J159" s="1709"/>
      <c r="K159" s="1709"/>
      <c r="L159" s="1709"/>
      <c r="M159" s="1708"/>
      <c r="N159" s="1708"/>
      <c r="O159" s="1708"/>
      <c r="P159" s="1708"/>
      <c r="Q159" s="1082"/>
      <c r="R159" s="1083"/>
      <c r="S159" s="1084"/>
      <c r="T159" s="1083"/>
      <c r="U159" s="1671"/>
      <c r="V159" s="1671"/>
      <c r="W159" s="1082"/>
      <c r="X159" s="1085"/>
      <c r="Y159" s="1085"/>
      <c r="Z159" s="1086"/>
      <c r="AA159" s="1086"/>
      <c r="AB159" s="1086"/>
      <c r="AC159" s="1086"/>
      <c r="AD159" s="1087"/>
      <c r="AE159" s="1088"/>
    </row>
    <row r="160" spans="1:31" ht="13.2" x14ac:dyDescent="0.3">
      <c r="A160" s="23"/>
      <c r="B160" s="354" t="s">
        <v>1596</v>
      </c>
      <c r="G160" s="958"/>
      <c r="H160" s="20"/>
      <c r="Q160" s="20"/>
      <c r="R160" s="1099" t="s">
        <v>8</v>
      </c>
      <c r="S160" s="1099" t="s">
        <v>8</v>
      </c>
      <c r="T160" s="1099" t="s">
        <v>8</v>
      </c>
      <c r="U160" s="1574">
        <v>460061000</v>
      </c>
      <c r="V160" s="1574"/>
      <c r="W160" s="20"/>
      <c r="X160" s="1101">
        <v>45</v>
      </c>
      <c r="Y160" s="1101">
        <v>1</v>
      </c>
      <c r="Z160" s="1710">
        <v>1</v>
      </c>
      <c r="AA160" s="1101" t="s">
        <v>385</v>
      </c>
      <c r="AB160" s="958"/>
      <c r="AC160" s="958"/>
      <c r="AD160" s="1681">
        <v>0.58499999999999996</v>
      </c>
      <c r="AE160" s="1711">
        <f>AD160*Z160</f>
        <v>0.58499999999999996</v>
      </c>
    </row>
    <row r="161" spans="1:31" ht="13.2" x14ac:dyDescent="0.3">
      <c r="A161" s="23"/>
      <c r="G161" s="958"/>
      <c r="H161" s="20"/>
      <c r="Q161" s="20"/>
      <c r="R161" s="1099"/>
      <c r="S161" s="1099"/>
      <c r="T161" s="1099"/>
      <c r="U161" s="1574"/>
      <c r="V161" s="1574"/>
      <c r="W161" s="20"/>
      <c r="X161" s="1101"/>
      <c r="Y161" s="1101"/>
      <c r="Z161" s="1710"/>
      <c r="AA161" s="1101"/>
      <c r="AB161" s="958"/>
      <c r="AC161" s="958"/>
      <c r="AE161" s="1711"/>
    </row>
    <row r="162" spans="1:31" ht="13.8" thickBot="1" x14ac:dyDescent="0.35">
      <c r="A162" s="23"/>
      <c r="B162" s="1102"/>
      <c r="C162" s="1102"/>
      <c r="D162" s="1102"/>
      <c r="E162" s="1102"/>
      <c r="F162" s="1102"/>
      <c r="G162" s="1104"/>
      <c r="H162" s="20"/>
      <c r="I162" s="1102"/>
      <c r="J162" s="1102"/>
      <c r="K162" s="1102"/>
      <c r="L162" s="1102"/>
      <c r="M162" s="1102"/>
      <c r="N162" s="1102"/>
      <c r="O162" s="1102"/>
      <c r="P162" s="1102"/>
      <c r="Q162" s="20"/>
      <c r="R162" s="1104"/>
      <c r="S162" s="1100"/>
      <c r="T162" s="1104"/>
      <c r="U162" s="1661"/>
      <c r="V162" s="1661"/>
      <c r="W162" s="20"/>
      <c r="X162" s="1100"/>
      <c r="Y162" s="1100"/>
      <c r="Z162" s="1712"/>
      <c r="AA162" s="1100"/>
      <c r="AB162" s="1100"/>
      <c r="AC162" s="1712"/>
      <c r="AD162" s="1713"/>
      <c r="AE162" s="1714"/>
    </row>
    <row r="163" spans="1:31" ht="13.8" thickBot="1" x14ac:dyDescent="0.35">
      <c r="A163" s="23"/>
      <c r="B163" s="1102"/>
      <c r="C163" s="1102"/>
      <c r="D163" s="1102"/>
      <c r="E163" s="1102"/>
      <c r="F163" s="1102"/>
      <c r="G163" s="1104"/>
      <c r="H163" s="20"/>
      <c r="I163" s="1102"/>
      <c r="J163" s="1102"/>
      <c r="K163" s="1102"/>
      <c r="L163" s="1102"/>
      <c r="M163" s="1102"/>
      <c r="N163" s="1102"/>
      <c r="O163" s="1102"/>
      <c r="P163" s="1102"/>
      <c r="Q163" s="20"/>
      <c r="R163" s="1104"/>
      <c r="S163" s="1104"/>
      <c r="T163" s="1104"/>
      <c r="U163" s="1673"/>
      <c r="W163" s="20"/>
      <c r="X163" s="1104"/>
      <c r="Y163" s="1104"/>
      <c r="Z163" s="1104"/>
      <c r="AA163" s="1104"/>
      <c r="AB163" s="1104"/>
      <c r="AC163" s="1104"/>
      <c r="AD163" s="1730"/>
      <c r="AE163" s="1728"/>
    </row>
    <row r="164" spans="1:31" ht="17.399999999999999" x14ac:dyDescent="0.3">
      <c r="B164" s="382" t="s">
        <v>1597</v>
      </c>
      <c r="C164" s="1675"/>
      <c r="D164" s="1675"/>
      <c r="E164" s="1675"/>
      <c r="F164" s="1675"/>
      <c r="G164" s="1739"/>
      <c r="H164" s="383"/>
      <c r="I164" s="383"/>
      <c r="J164" s="151"/>
      <c r="K164" s="151"/>
      <c r="L164" s="151"/>
      <c r="M164" s="384"/>
      <c r="N164" s="151"/>
      <c r="O164" s="384"/>
      <c r="P164" s="151"/>
      <c r="Q164" s="148"/>
      <c r="R164" s="1675"/>
      <c r="S164" s="1675"/>
      <c r="T164" s="1675"/>
      <c r="U164" s="1676"/>
      <c r="V164" s="1676"/>
      <c r="W164" s="148"/>
      <c r="X164" s="1740"/>
      <c r="Y164" s="1741"/>
      <c r="Z164" s="1741"/>
      <c r="AA164" s="1741"/>
      <c r="AB164" s="1675"/>
      <c r="AC164" s="1675"/>
      <c r="AD164" s="1742"/>
      <c r="AE164" s="385"/>
    </row>
    <row r="165" spans="1:31" ht="12" x14ac:dyDescent="0.25">
      <c r="A165" s="23"/>
      <c r="B165" s="23"/>
      <c r="C165" s="845" t="s">
        <v>1554</v>
      </c>
      <c r="D165" s="23"/>
      <c r="E165" s="23"/>
      <c r="F165" s="23"/>
      <c r="G165" s="26"/>
      <c r="H165" s="27"/>
      <c r="I165" s="23"/>
      <c r="J165" s="28"/>
      <c r="K165" s="23"/>
      <c r="L165" s="3"/>
      <c r="M165" s="29"/>
      <c r="N165" s="1706" t="s">
        <v>352</v>
      </c>
      <c r="O165" s="1707">
        <v>1</v>
      </c>
      <c r="P165" s="31" t="s">
        <v>385</v>
      </c>
      <c r="Q165" s="27"/>
      <c r="R165" s="31"/>
      <c r="S165" s="31"/>
      <c r="T165" s="31"/>
      <c r="U165" s="1575"/>
      <c r="V165" s="1575"/>
      <c r="W165" s="27"/>
      <c r="X165" s="23"/>
      <c r="Y165" s="23"/>
      <c r="Z165" s="29"/>
      <c r="AA165" s="29"/>
      <c r="AB165" s="29"/>
      <c r="AC165" s="29"/>
      <c r="AD165" s="50"/>
      <c r="AE165" s="32"/>
    </row>
    <row r="166" spans="1:31" ht="12" x14ac:dyDescent="0.25">
      <c r="A166" s="23"/>
      <c r="B166" s="23"/>
      <c r="C166" s="23"/>
      <c r="D166" s="23"/>
      <c r="E166" s="23"/>
      <c r="F166" s="23"/>
      <c r="G166" s="26"/>
      <c r="H166" s="27"/>
      <c r="I166" s="23"/>
      <c r="J166" s="28"/>
      <c r="K166" s="23"/>
      <c r="L166" s="3"/>
      <c r="M166" s="29"/>
      <c r="N166" s="30"/>
      <c r="O166" s="29"/>
      <c r="P166" s="23"/>
      <c r="Q166" s="27"/>
      <c r="R166" s="31"/>
      <c r="S166" s="31"/>
      <c r="T166" s="31"/>
      <c r="U166" s="1575"/>
      <c r="V166" s="1575"/>
      <c r="W166" s="27"/>
      <c r="X166" s="23"/>
      <c r="Y166" s="23"/>
      <c r="Z166" s="29"/>
      <c r="AA166" s="29"/>
      <c r="AB166" s="29"/>
      <c r="AC166" s="29"/>
      <c r="AD166" s="50"/>
      <c r="AE166" s="32"/>
    </row>
    <row r="167" spans="1:31" ht="12" x14ac:dyDescent="0.25">
      <c r="A167" s="23"/>
      <c r="B167" s="23"/>
      <c r="C167" s="23"/>
      <c r="D167" s="23"/>
      <c r="E167" s="23"/>
      <c r="F167" s="23"/>
      <c r="G167" s="26"/>
      <c r="H167" s="27"/>
      <c r="I167" s="23"/>
      <c r="J167" s="28"/>
      <c r="K167" s="23"/>
      <c r="L167" s="3"/>
      <c r="M167" s="29"/>
      <c r="N167" s="30"/>
      <c r="O167" s="29"/>
      <c r="P167" s="23"/>
      <c r="Q167" s="27"/>
      <c r="R167" s="38" t="s">
        <v>369</v>
      </c>
      <c r="S167" s="3" t="s">
        <v>370</v>
      </c>
      <c r="T167" s="38" t="s">
        <v>369</v>
      </c>
      <c r="U167" s="1575"/>
      <c r="V167" s="1575"/>
      <c r="W167" s="27"/>
      <c r="X167" s="23"/>
      <c r="Y167" s="23"/>
      <c r="Z167" s="29"/>
      <c r="AA167" s="29"/>
      <c r="AB167" s="29"/>
      <c r="AC167" s="29"/>
      <c r="AD167" s="50"/>
      <c r="AE167" s="32"/>
    </row>
    <row r="168" spans="1:31" ht="12" x14ac:dyDescent="0.25">
      <c r="A168" s="23"/>
      <c r="B168" s="23"/>
      <c r="C168" s="23"/>
      <c r="D168" s="23"/>
      <c r="E168" s="23"/>
      <c r="F168" s="23"/>
      <c r="G168" s="26"/>
      <c r="H168" s="27"/>
      <c r="I168" s="23"/>
      <c r="J168" s="28"/>
      <c r="K168" s="23"/>
      <c r="L168" s="3"/>
      <c r="M168" s="29"/>
      <c r="N168" s="30"/>
      <c r="O168" s="29"/>
      <c r="P168" s="23"/>
      <c r="Q168" s="27"/>
      <c r="R168" s="38" t="s">
        <v>369</v>
      </c>
      <c r="S168" s="3" t="s">
        <v>372</v>
      </c>
      <c r="T168" s="38" t="s">
        <v>369</v>
      </c>
      <c r="U168" s="1575"/>
      <c r="V168" s="1575"/>
      <c r="W168" s="27"/>
      <c r="X168" s="23"/>
      <c r="Y168" s="23"/>
      <c r="Z168" s="29"/>
      <c r="AA168" s="29"/>
      <c r="AB168" s="29"/>
      <c r="AC168" s="29"/>
      <c r="AD168" s="50"/>
      <c r="AE168" s="32"/>
    </row>
    <row r="169" spans="1:31" ht="12" x14ac:dyDescent="0.25">
      <c r="A169" s="23"/>
      <c r="B169" s="23"/>
      <c r="C169" s="23"/>
      <c r="D169" s="23"/>
      <c r="E169" s="23"/>
      <c r="F169" s="23"/>
      <c r="G169" s="26"/>
      <c r="H169" s="27"/>
      <c r="I169" s="23"/>
      <c r="J169" s="28"/>
      <c r="K169" s="23"/>
      <c r="L169" s="3"/>
      <c r="M169" s="29"/>
      <c r="N169" s="30"/>
      <c r="O169" s="29"/>
      <c r="P169" s="23"/>
      <c r="Q169" s="27"/>
      <c r="R169" s="38" t="s">
        <v>369</v>
      </c>
      <c r="S169" s="3" t="s">
        <v>373</v>
      </c>
      <c r="T169" s="38" t="s">
        <v>369</v>
      </c>
      <c r="U169" s="1575"/>
      <c r="V169" s="1575"/>
      <c r="W169" s="27"/>
      <c r="X169" s="23"/>
      <c r="Y169" s="23"/>
      <c r="Z169" s="29"/>
      <c r="AA169" s="29"/>
      <c r="AB169" s="29"/>
      <c r="AC169" s="29"/>
      <c r="AD169" s="50"/>
      <c r="AE169" s="32"/>
    </row>
    <row r="170" spans="1:31" ht="12.6" thickBot="1" x14ac:dyDescent="0.3">
      <c r="A170" s="23"/>
      <c r="B170" s="23"/>
      <c r="C170" s="885"/>
      <c r="D170" s="885"/>
      <c r="E170" s="885"/>
      <c r="F170" s="885"/>
      <c r="G170" s="886"/>
      <c r="H170" s="1331"/>
      <c r="I170" s="885"/>
      <c r="J170" s="1325"/>
      <c r="K170" s="885"/>
      <c r="L170" s="889"/>
      <c r="M170" s="890"/>
      <c r="N170" s="969"/>
      <c r="O170" s="890"/>
      <c r="P170" s="885"/>
      <c r="Q170" s="1331"/>
      <c r="R170" s="888" t="s">
        <v>369</v>
      </c>
      <c r="S170" s="889" t="s">
        <v>374</v>
      </c>
      <c r="T170" s="888" t="s">
        <v>369</v>
      </c>
      <c r="U170" s="1660"/>
      <c r="V170" s="1660"/>
      <c r="W170" s="1331"/>
      <c r="X170" s="885"/>
      <c r="Y170" s="885"/>
      <c r="Z170" s="890"/>
      <c r="AA170" s="890"/>
      <c r="AB170" s="890"/>
      <c r="AC170" s="890"/>
      <c r="AD170" s="891"/>
      <c r="AE170" s="892"/>
    </row>
    <row r="171" spans="1:31" ht="12" x14ac:dyDescent="0.2">
      <c r="C171" s="7" t="s">
        <v>1598</v>
      </c>
      <c r="D171" s="3"/>
      <c r="E171" s="8"/>
      <c r="F171" s="3"/>
      <c r="G171" s="7"/>
      <c r="H171" s="20"/>
      <c r="I171" s="3" t="s">
        <v>365</v>
      </c>
      <c r="J171" s="3"/>
      <c r="K171" s="3"/>
      <c r="L171" s="3" t="s">
        <v>348</v>
      </c>
      <c r="M171" s="5">
        <v>0</v>
      </c>
      <c r="N171" s="3" t="s">
        <v>352</v>
      </c>
      <c r="O171" s="5" t="e">
        <f>SHHeight+M171</f>
        <v>#NAME?</v>
      </c>
      <c r="P171" s="3" t="s">
        <v>366</v>
      </c>
      <c r="Q171" s="20"/>
      <c r="R171" s="7"/>
      <c r="S171" s="7"/>
      <c r="T171" s="7"/>
      <c r="U171" s="1443"/>
      <c r="V171" s="1443"/>
      <c r="W171" s="20"/>
      <c r="X171" s="3">
        <v>40</v>
      </c>
      <c r="Y171" s="3">
        <v>4</v>
      </c>
      <c r="Z171" s="5" t="e">
        <f>Y171*O171/12</f>
        <v>#NAME?</v>
      </c>
      <c r="AA171" s="3" t="s">
        <v>367</v>
      </c>
      <c r="AB171" s="38">
        <v>9.0999999999999998E-2</v>
      </c>
      <c r="AC171" s="5">
        <v>3</v>
      </c>
      <c r="AD171" s="51"/>
      <c r="AE171" s="39"/>
    </row>
    <row r="172" spans="1:31" ht="12" x14ac:dyDescent="0.2">
      <c r="C172" s="36"/>
      <c r="D172" s="4"/>
      <c r="E172" s="8"/>
      <c r="F172" s="4"/>
      <c r="G172" s="7"/>
      <c r="H172" s="20"/>
      <c r="I172" s="3"/>
      <c r="J172" s="3"/>
      <c r="K172" s="3"/>
      <c r="L172" s="3"/>
      <c r="M172" s="5"/>
      <c r="N172" s="3"/>
      <c r="O172" s="5"/>
      <c r="P172" s="3"/>
      <c r="Q172" s="20"/>
      <c r="R172" s="38" t="s">
        <v>369</v>
      </c>
      <c r="S172" s="3" t="s">
        <v>370</v>
      </c>
      <c r="T172" s="38" t="s">
        <v>369</v>
      </c>
      <c r="U172" s="1677">
        <v>200144003</v>
      </c>
      <c r="V172" s="1677"/>
      <c r="W172" s="20"/>
      <c r="X172" s="3"/>
      <c r="Y172" s="3"/>
      <c r="Z172" s="5"/>
      <c r="AA172" s="3"/>
      <c r="AB172" s="38"/>
      <c r="AC172" s="5"/>
      <c r="AD172" s="51">
        <f>$AC$172*AC171</f>
        <v>0</v>
      </c>
      <c r="AE172" s="39" t="e">
        <f>AD172*Z171</f>
        <v>#NAME?</v>
      </c>
    </row>
    <row r="173" spans="1:31" ht="12" x14ac:dyDescent="0.2">
      <c r="C173" s="36"/>
      <c r="D173" s="4"/>
      <c r="E173" s="4"/>
      <c r="F173" s="4"/>
      <c r="G173" s="7"/>
      <c r="H173" s="20"/>
      <c r="I173" s="3"/>
      <c r="J173" s="3"/>
      <c r="K173" s="3"/>
      <c r="L173" s="3"/>
      <c r="M173" s="5"/>
      <c r="N173" s="3"/>
      <c r="O173" s="5"/>
      <c r="P173" s="3"/>
      <c r="Q173" s="20"/>
      <c r="R173" s="38" t="s">
        <v>369</v>
      </c>
      <c r="S173" s="3" t="s">
        <v>372</v>
      </c>
      <c r="T173" s="38" t="s">
        <v>369</v>
      </c>
      <c r="U173" s="1677">
        <v>200144021</v>
      </c>
      <c r="V173" s="1677"/>
      <c r="W173" s="20"/>
      <c r="X173" s="3"/>
      <c r="Y173" s="3"/>
      <c r="Z173" s="5"/>
      <c r="AA173" s="3"/>
      <c r="AB173" s="3"/>
      <c r="AC173" s="5"/>
      <c r="AD173" s="51">
        <f>1*AC171</f>
        <v>3</v>
      </c>
      <c r="AE173" s="39" t="e">
        <f>AD173*Z171</f>
        <v>#NAME?</v>
      </c>
    </row>
    <row r="174" spans="1:31" ht="12" x14ac:dyDescent="0.2">
      <c r="C174" s="36"/>
      <c r="D174" s="4"/>
      <c r="E174" s="4"/>
      <c r="F174" s="4"/>
      <c r="G174" s="7"/>
      <c r="H174" s="20"/>
      <c r="I174" s="3"/>
      <c r="J174" s="3"/>
      <c r="K174" s="3"/>
      <c r="L174" s="3"/>
      <c r="M174" s="5"/>
      <c r="N174" s="3"/>
      <c r="O174" s="5"/>
      <c r="P174" s="3"/>
      <c r="Q174" s="20"/>
      <c r="R174" s="38" t="s">
        <v>369</v>
      </c>
      <c r="S174" s="3" t="s">
        <v>375</v>
      </c>
      <c r="T174" s="38" t="s">
        <v>369</v>
      </c>
      <c r="U174" s="1677">
        <v>200144133</v>
      </c>
      <c r="V174" s="1677"/>
      <c r="W174" s="20"/>
      <c r="X174" s="3"/>
      <c r="Y174" s="3"/>
      <c r="Z174" s="5"/>
      <c r="AA174" s="3"/>
      <c r="AB174" s="3"/>
      <c r="AC174" s="5"/>
      <c r="AD174" s="51">
        <f>1*AC171</f>
        <v>3</v>
      </c>
      <c r="AE174" s="39" t="e">
        <f>AD174*Z171</f>
        <v>#NAME?</v>
      </c>
    </row>
    <row r="175" spans="1:31" ht="12" x14ac:dyDescent="0.2">
      <c r="C175" s="36"/>
      <c r="D175" s="4"/>
      <c r="E175" s="4"/>
      <c r="F175" s="4"/>
      <c r="G175" s="7"/>
      <c r="H175" s="20"/>
      <c r="I175" s="3"/>
      <c r="J175" s="3"/>
      <c r="K175" s="3"/>
      <c r="L175" s="3"/>
      <c r="M175" s="5"/>
      <c r="N175" s="3"/>
      <c r="O175" s="5"/>
      <c r="P175" s="3"/>
      <c r="Q175" s="20"/>
      <c r="R175" s="38" t="s">
        <v>369</v>
      </c>
      <c r="S175" s="3" t="s">
        <v>373</v>
      </c>
      <c r="T175" s="38" t="s">
        <v>369</v>
      </c>
      <c r="U175" s="1677">
        <v>200144033</v>
      </c>
      <c r="V175" s="1677"/>
      <c r="W175" s="20"/>
      <c r="X175" s="3"/>
      <c r="Y175" s="3"/>
      <c r="Z175" s="5"/>
      <c r="AA175" s="3"/>
      <c r="AB175" s="3"/>
      <c r="AC175" s="5"/>
      <c r="AD175" s="844">
        <f>1*AC172</f>
        <v>0</v>
      </c>
      <c r="AE175" s="39">
        <f>AD175*Z172</f>
        <v>0</v>
      </c>
    </row>
    <row r="176" spans="1:31" ht="12.6" thickBot="1" x14ac:dyDescent="0.25">
      <c r="C176" s="36"/>
      <c r="D176" s="4"/>
      <c r="E176" s="4"/>
      <c r="F176" s="4"/>
      <c r="G176" s="7"/>
      <c r="H176" s="20"/>
      <c r="I176" s="3"/>
      <c r="J176" s="3"/>
      <c r="K176" s="3"/>
      <c r="L176" s="3"/>
      <c r="M176" s="5"/>
      <c r="N176" s="3"/>
      <c r="O176" s="945"/>
      <c r="P176" s="3"/>
      <c r="Q176" s="20"/>
      <c r="R176" s="38"/>
      <c r="S176" s="3"/>
      <c r="T176" s="38"/>
      <c r="U176" s="1677"/>
      <c r="V176" s="1677"/>
      <c r="W176" s="20"/>
      <c r="X176" s="3"/>
      <c r="Y176" s="3"/>
      <c r="Z176" s="5"/>
      <c r="AA176" s="3"/>
      <c r="AB176" s="3"/>
      <c r="AC176" s="5"/>
      <c r="AD176" s="51"/>
      <c r="AE176" s="39"/>
    </row>
    <row r="177" spans="3:31" ht="12" x14ac:dyDescent="0.2">
      <c r="C177" s="173" t="s">
        <v>1599</v>
      </c>
      <c r="D177" s="116"/>
      <c r="E177" s="114"/>
      <c r="F177" s="116"/>
      <c r="G177" s="173"/>
      <c r="H177" s="175"/>
      <c r="I177" s="116" t="s">
        <v>365</v>
      </c>
      <c r="J177" s="116"/>
      <c r="K177" s="116"/>
      <c r="L177" s="116" t="s">
        <v>348</v>
      </c>
      <c r="M177" s="177">
        <v>0</v>
      </c>
      <c r="N177" s="116" t="s">
        <v>352</v>
      </c>
      <c r="O177" s="5" t="e">
        <f>SHHeight+M177</f>
        <v>#NAME?</v>
      </c>
      <c r="P177" s="116" t="s">
        <v>366</v>
      </c>
      <c r="Q177" s="175"/>
      <c r="R177" s="173"/>
      <c r="S177" s="173"/>
      <c r="T177" s="173"/>
      <c r="U177" s="1678"/>
      <c r="V177" s="1678"/>
      <c r="W177" s="175"/>
      <c r="X177" s="116">
        <v>40</v>
      </c>
      <c r="Y177" s="116">
        <v>2</v>
      </c>
      <c r="Z177" s="177" t="e">
        <f>Y177*O177/12</f>
        <v>#NAME?</v>
      </c>
      <c r="AA177" s="116" t="s">
        <v>367</v>
      </c>
      <c r="AB177" s="179">
        <v>0.21099999999999999</v>
      </c>
      <c r="AC177" s="177">
        <v>3</v>
      </c>
      <c r="AD177" s="185"/>
      <c r="AE177" s="180"/>
    </row>
    <row r="178" spans="3:31" ht="12" x14ac:dyDescent="0.2">
      <c r="C178" s="36"/>
      <c r="D178" s="4"/>
      <c r="E178" s="8"/>
      <c r="F178" s="4"/>
      <c r="G178" s="7"/>
      <c r="H178" s="20"/>
      <c r="I178" s="3"/>
      <c r="J178" s="3"/>
      <c r="K178" s="3"/>
      <c r="L178" s="3"/>
      <c r="M178" s="5"/>
      <c r="N178" s="3"/>
      <c r="O178" s="5"/>
      <c r="P178" s="3"/>
      <c r="Q178" s="20"/>
      <c r="R178" s="38" t="s">
        <v>369</v>
      </c>
      <c r="S178" s="3" t="s">
        <v>370</v>
      </c>
      <c r="T178" s="38" t="s">
        <v>369</v>
      </c>
      <c r="U178" s="1677">
        <v>200159003</v>
      </c>
      <c r="V178" s="1677"/>
      <c r="W178" s="20"/>
      <c r="X178" s="3"/>
      <c r="Y178" s="3"/>
      <c r="Z178" s="5"/>
      <c r="AA178" s="3"/>
      <c r="AB178" s="38"/>
      <c r="AC178" s="5"/>
      <c r="AD178" s="51">
        <f>$AC$172*AC177</f>
        <v>0</v>
      </c>
      <c r="AE178" s="39" t="e">
        <f>AD178*Z177</f>
        <v>#NAME?</v>
      </c>
    </row>
    <row r="179" spans="3:31" ht="12" x14ac:dyDescent="0.2">
      <c r="C179" s="36"/>
      <c r="D179" s="4"/>
      <c r="E179" s="4"/>
      <c r="F179" s="4"/>
      <c r="G179" s="7"/>
      <c r="H179" s="20"/>
      <c r="I179" s="3"/>
      <c r="J179" s="3"/>
      <c r="K179" s="3"/>
      <c r="L179" s="3"/>
      <c r="M179" s="5"/>
      <c r="N179" s="3"/>
      <c r="O179" s="5"/>
      <c r="P179" s="3"/>
      <c r="Q179" s="20"/>
      <c r="R179" s="38" t="s">
        <v>369</v>
      </c>
      <c r="S179" s="3" t="s">
        <v>372</v>
      </c>
      <c r="T179" s="38" t="s">
        <v>369</v>
      </c>
      <c r="U179" s="1677">
        <v>200159021</v>
      </c>
      <c r="V179" s="1677"/>
      <c r="W179" s="20"/>
      <c r="X179" s="3"/>
      <c r="Y179" s="3"/>
      <c r="Z179" s="5"/>
      <c r="AA179" s="3"/>
      <c r="AB179" s="3"/>
      <c r="AC179" s="5"/>
      <c r="AD179" s="51">
        <f>1*AC177</f>
        <v>3</v>
      </c>
      <c r="AE179" s="39" t="e">
        <f>AD179*Z177</f>
        <v>#NAME?</v>
      </c>
    </row>
    <row r="180" spans="3:31" ht="12" x14ac:dyDescent="0.2">
      <c r="C180" s="36"/>
      <c r="D180" s="4"/>
      <c r="E180" s="4"/>
      <c r="F180" s="4"/>
      <c r="G180" s="7"/>
      <c r="H180" s="20"/>
      <c r="I180" s="3"/>
      <c r="J180" s="3"/>
      <c r="K180" s="3"/>
      <c r="L180" s="3"/>
      <c r="M180" s="5"/>
      <c r="N180" s="3"/>
      <c r="O180" s="5"/>
      <c r="P180" s="3"/>
      <c r="Q180" s="20"/>
      <c r="R180" s="38" t="s">
        <v>369</v>
      </c>
      <c r="S180" s="3" t="s">
        <v>373</v>
      </c>
      <c r="T180" s="38" t="s">
        <v>369</v>
      </c>
      <c r="U180" s="1677">
        <v>200159033</v>
      </c>
      <c r="V180" s="1677"/>
      <c r="W180" s="20"/>
      <c r="X180" s="3"/>
      <c r="Y180" s="3"/>
      <c r="Z180" s="5"/>
      <c r="AA180" s="3"/>
      <c r="AB180" s="3"/>
      <c r="AC180" s="5"/>
      <c r="AD180" s="51">
        <f>1*AC177</f>
        <v>3</v>
      </c>
      <c r="AE180" s="39" t="e">
        <f>AD180*Z177</f>
        <v>#NAME?</v>
      </c>
    </row>
    <row r="181" spans="3:31" ht="12" x14ac:dyDescent="0.2">
      <c r="C181" s="36"/>
      <c r="D181" s="4"/>
      <c r="E181" s="4"/>
      <c r="F181" s="4"/>
      <c r="G181" s="7"/>
      <c r="H181" s="20"/>
      <c r="I181" s="3"/>
      <c r="J181" s="3"/>
      <c r="K181" s="3"/>
      <c r="L181" s="3"/>
      <c r="M181" s="5"/>
      <c r="N181" s="3"/>
      <c r="O181" s="5"/>
      <c r="P181" s="3"/>
      <c r="Q181" s="20"/>
      <c r="R181" s="38" t="s">
        <v>369</v>
      </c>
      <c r="S181" s="3" t="s">
        <v>375</v>
      </c>
      <c r="T181" s="38" t="s">
        <v>369</v>
      </c>
      <c r="U181" s="1677">
        <v>200159133</v>
      </c>
      <c r="V181" s="1677"/>
      <c r="W181" s="20"/>
      <c r="X181" s="3"/>
      <c r="Y181" s="3"/>
      <c r="Z181" s="5"/>
      <c r="AA181" s="3"/>
      <c r="AB181" s="3"/>
      <c r="AC181" s="5"/>
      <c r="AD181" s="844">
        <f>1*AC178</f>
        <v>0</v>
      </c>
      <c r="AE181" s="39">
        <f>AD181*Z178</f>
        <v>0</v>
      </c>
    </row>
    <row r="182" spans="3:31" ht="12.6" thickBot="1" x14ac:dyDescent="0.25">
      <c r="C182" s="36"/>
      <c r="D182" s="4"/>
      <c r="E182" s="4"/>
      <c r="F182" s="4"/>
      <c r="G182" s="7"/>
      <c r="H182" s="20"/>
      <c r="I182" s="3"/>
      <c r="J182" s="3"/>
      <c r="K182" s="3"/>
      <c r="L182" s="3"/>
      <c r="M182" s="5"/>
      <c r="N182" s="3"/>
      <c r="O182" s="945"/>
      <c r="P182" s="3"/>
      <c r="Q182" s="20"/>
      <c r="R182" s="38"/>
      <c r="S182" s="3"/>
      <c r="T182" s="38"/>
      <c r="U182" s="1677"/>
      <c r="V182" s="1677"/>
      <c r="W182" s="20"/>
      <c r="X182" s="3"/>
      <c r="Y182" s="3"/>
      <c r="Z182" s="5"/>
      <c r="AA182" s="3"/>
      <c r="AB182" s="3"/>
      <c r="AC182" s="5"/>
      <c r="AD182" s="51"/>
      <c r="AE182" s="39"/>
    </row>
    <row r="183" spans="3:31" ht="12" x14ac:dyDescent="0.2">
      <c r="C183" s="173" t="s">
        <v>1600</v>
      </c>
      <c r="D183" s="116"/>
      <c r="E183" s="114"/>
      <c r="F183" s="116"/>
      <c r="G183" s="173"/>
      <c r="H183" s="175"/>
      <c r="I183" s="116" t="s">
        <v>365</v>
      </c>
      <c r="J183" s="116"/>
      <c r="K183" s="116"/>
      <c r="L183" s="116" t="s">
        <v>348</v>
      </c>
      <c r="M183" s="177">
        <v>0</v>
      </c>
      <c r="N183" s="116" t="s">
        <v>352</v>
      </c>
      <c r="O183" s="5" t="e">
        <f>SHHeight+M183</f>
        <v>#NAME?</v>
      </c>
      <c r="P183" s="116" t="s">
        <v>366</v>
      </c>
      <c r="Q183" s="175"/>
      <c r="R183" s="173"/>
      <c r="S183" s="173"/>
      <c r="T183" s="173"/>
      <c r="U183" s="1678"/>
      <c r="V183" s="1678"/>
      <c r="W183" s="175"/>
      <c r="X183" s="116">
        <v>40</v>
      </c>
      <c r="Y183" s="116">
        <v>2</v>
      </c>
      <c r="Z183" s="177" t="e">
        <f>Y183*O183/12</f>
        <v>#NAME?</v>
      </c>
      <c r="AA183" s="116" t="s">
        <v>367</v>
      </c>
      <c r="AB183" s="179">
        <v>0.48</v>
      </c>
      <c r="AC183" s="177">
        <v>3</v>
      </c>
      <c r="AD183" s="185"/>
      <c r="AE183" s="180"/>
    </row>
    <row r="184" spans="3:31" ht="12" x14ac:dyDescent="0.2">
      <c r="C184" s="36"/>
      <c r="D184" s="4"/>
      <c r="E184" s="8"/>
      <c r="F184" s="4"/>
      <c r="G184" s="7"/>
      <c r="H184" s="20"/>
      <c r="I184" s="3"/>
      <c r="J184" s="3"/>
      <c r="K184" s="3"/>
      <c r="L184" s="3"/>
      <c r="M184" s="5"/>
      <c r="N184" s="3"/>
      <c r="O184" s="5"/>
      <c r="P184" s="3"/>
      <c r="Q184" s="20"/>
      <c r="R184" s="38" t="s">
        <v>369</v>
      </c>
      <c r="S184" s="3" t="s">
        <v>370</v>
      </c>
      <c r="T184" s="38" t="s">
        <v>369</v>
      </c>
      <c r="U184" s="1677">
        <v>200160003</v>
      </c>
      <c r="V184" s="1677"/>
      <c r="W184" s="20"/>
      <c r="X184" s="3"/>
      <c r="Y184" s="3"/>
      <c r="Z184" s="5"/>
      <c r="AA184" s="3"/>
      <c r="AB184" s="38"/>
      <c r="AC184" s="5"/>
      <c r="AD184" s="51">
        <f>$AC$172*AC183</f>
        <v>0</v>
      </c>
      <c r="AE184" s="39" t="e">
        <f>AD184*Z183</f>
        <v>#NAME?</v>
      </c>
    </row>
    <row r="185" spans="3:31" ht="12" x14ac:dyDescent="0.2">
      <c r="C185" s="36"/>
      <c r="D185" s="4"/>
      <c r="E185" s="4"/>
      <c r="F185" s="4"/>
      <c r="G185" s="7"/>
      <c r="H185" s="20"/>
      <c r="I185" s="3"/>
      <c r="J185" s="3"/>
      <c r="K185" s="3"/>
      <c r="L185" s="3"/>
      <c r="M185" s="5"/>
      <c r="N185" s="3"/>
      <c r="O185" s="5"/>
      <c r="P185" s="3"/>
      <c r="Q185" s="20"/>
      <c r="R185" s="38" t="s">
        <v>369</v>
      </c>
      <c r="S185" s="3" t="s">
        <v>372</v>
      </c>
      <c r="T185" s="38" t="s">
        <v>369</v>
      </c>
      <c r="U185" s="1677">
        <v>200160021</v>
      </c>
      <c r="V185" s="1677"/>
      <c r="W185" s="20"/>
      <c r="X185" s="3"/>
      <c r="Y185" s="3"/>
      <c r="Z185" s="5"/>
      <c r="AA185" s="3"/>
      <c r="AB185" s="3"/>
      <c r="AC185" s="5"/>
      <c r="AD185" s="51">
        <f>1*AC183</f>
        <v>3</v>
      </c>
      <c r="AE185" s="39" t="e">
        <f>AD185*Z183</f>
        <v>#NAME?</v>
      </c>
    </row>
    <row r="186" spans="3:31" ht="12" x14ac:dyDescent="0.2">
      <c r="C186" s="36"/>
      <c r="D186" s="4"/>
      <c r="E186" s="4"/>
      <c r="F186" s="4"/>
      <c r="G186" s="7"/>
      <c r="H186" s="20"/>
      <c r="I186" s="3"/>
      <c r="J186" s="3"/>
      <c r="K186" s="3"/>
      <c r="L186" s="3"/>
      <c r="M186" s="5"/>
      <c r="N186" s="3"/>
      <c r="O186" s="5"/>
      <c r="P186" s="3"/>
      <c r="Q186" s="20"/>
      <c r="R186" s="38" t="s">
        <v>369</v>
      </c>
      <c r="S186" s="3" t="s">
        <v>373</v>
      </c>
      <c r="T186" s="38" t="s">
        <v>369</v>
      </c>
      <c r="U186" s="1677">
        <v>200160033</v>
      </c>
      <c r="V186" s="1677"/>
      <c r="W186" s="20"/>
      <c r="X186" s="3"/>
      <c r="Y186" s="3"/>
      <c r="Z186" s="5"/>
      <c r="AA186" s="3"/>
      <c r="AB186" s="3"/>
      <c r="AC186" s="5"/>
      <c r="AD186" s="51">
        <f>1*AC183</f>
        <v>3</v>
      </c>
      <c r="AE186" s="39" t="e">
        <f>AD186*Z183</f>
        <v>#NAME?</v>
      </c>
    </row>
    <row r="187" spans="3:31" ht="12" x14ac:dyDescent="0.2">
      <c r="C187" s="36"/>
      <c r="D187" s="4"/>
      <c r="E187" s="4"/>
      <c r="F187" s="4"/>
      <c r="G187" s="7"/>
      <c r="H187" s="20"/>
      <c r="I187" s="3"/>
      <c r="J187" s="3"/>
      <c r="K187" s="3"/>
      <c r="L187" s="3"/>
      <c r="M187" s="5"/>
      <c r="N187" s="3"/>
      <c r="O187" s="5"/>
      <c r="P187" s="3"/>
      <c r="Q187" s="20"/>
      <c r="R187" s="38" t="s">
        <v>369</v>
      </c>
      <c r="S187" s="3" t="s">
        <v>375</v>
      </c>
      <c r="T187" s="38" t="s">
        <v>369</v>
      </c>
      <c r="U187" s="1677">
        <v>200160133</v>
      </c>
      <c r="V187" s="1677"/>
      <c r="W187" s="20"/>
      <c r="X187" s="3"/>
      <c r="Y187" s="3"/>
      <c r="Z187" s="5"/>
      <c r="AA187" s="3"/>
      <c r="AB187" s="3"/>
      <c r="AC187" s="5"/>
      <c r="AD187" s="844">
        <f>1*AC184</f>
        <v>0</v>
      </c>
      <c r="AE187" s="39">
        <f>AD187*Z184</f>
        <v>0</v>
      </c>
    </row>
    <row r="188" spans="3:31" ht="12.6" thickBot="1" x14ac:dyDescent="0.25">
      <c r="C188" s="36"/>
      <c r="D188" s="4"/>
      <c r="E188" s="4"/>
      <c r="F188" s="4"/>
      <c r="G188" s="7"/>
      <c r="H188" s="20"/>
      <c r="I188" s="3"/>
      <c r="J188" s="3"/>
      <c r="K188" s="3"/>
      <c r="L188" s="3"/>
      <c r="M188" s="5"/>
      <c r="N188" s="3"/>
      <c r="O188" s="945"/>
      <c r="P188" s="3"/>
      <c r="Q188" s="20"/>
      <c r="R188" s="38"/>
      <c r="S188" s="3"/>
      <c r="T188" s="38"/>
      <c r="U188" s="1677"/>
      <c r="V188" s="1677"/>
      <c r="W188" s="20"/>
      <c r="X188" s="3"/>
      <c r="Y188" s="3"/>
      <c r="Z188" s="5"/>
      <c r="AA188" s="3"/>
      <c r="AB188" s="3"/>
      <c r="AC188" s="5"/>
      <c r="AD188" s="51"/>
      <c r="AE188" s="39"/>
    </row>
    <row r="189" spans="3:31" ht="12" x14ac:dyDescent="0.2">
      <c r="C189" s="173" t="s">
        <v>1601</v>
      </c>
      <c r="D189" s="116"/>
      <c r="E189" s="114"/>
      <c r="F189" s="116"/>
      <c r="G189" s="173"/>
      <c r="H189" s="175"/>
      <c r="I189" s="116" t="s">
        <v>365</v>
      </c>
      <c r="J189" s="116"/>
      <c r="K189" s="116"/>
      <c r="L189" s="116" t="s">
        <v>348</v>
      </c>
      <c r="M189" s="177">
        <v>0</v>
      </c>
      <c r="N189" s="116" t="s">
        <v>352</v>
      </c>
      <c r="O189" s="5" t="e">
        <f>SHHeight+M189</f>
        <v>#NAME?</v>
      </c>
      <c r="P189" s="116" t="s">
        <v>366</v>
      </c>
      <c r="Q189" s="175"/>
      <c r="R189" s="173"/>
      <c r="S189" s="173"/>
      <c r="T189" s="173"/>
      <c r="U189" s="1678"/>
      <c r="V189" s="1678"/>
      <c r="W189" s="175"/>
      <c r="X189" s="116">
        <v>40</v>
      </c>
      <c r="Y189" s="116">
        <v>2</v>
      </c>
      <c r="Z189" s="177" t="e">
        <f>Y189*O189/12</f>
        <v>#NAME?</v>
      </c>
      <c r="AA189" s="116" t="s">
        <v>367</v>
      </c>
      <c r="AB189" s="179">
        <v>7.8E-2</v>
      </c>
      <c r="AC189" s="177">
        <v>3</v>
      </c>
      <c r="AD189" s="185"/>
      <c r="AE189" s="180"/>
    </row>
    <row r="190" spans="3:31" ht="12" x14ac:dyDescent="0.2">
      <c r="C190" s="36"/>
      <c r="D190" s="4"/>
      <c r="E190" s="8"/>
      <c r="F190" s="4"/>
      <c r="G190" s="7"/>
      <c r="H190" s="20"/>
      <c r="I190" s="3"/>
      <c r="J190" s="3"/>
      <c r="K190" s="3"/>
      <c r="L190" s="3"/>
      <c r="M190" s="5"/>
      <c r="N190" s="3"/>
      <c r="O190" s="5"/>
      <c r="P190" s="3"/>
      <c r="Q190" s="20"/>
      <c r="R190" s="38" t="s">
        <v>369</v>
      </c>
      <c r="S190" s="3" t="s">
        <v>370</v>
      </c>
      <c r="T190" s="38" t="s">
        <v>369</v>
      </c>
      <c r="U190" s="1677">
        <v>200116003</v>
      </c>
      <c r="V190" s="1677"/>
      <c r="W190" s="20"/>
      <c r="X190" s="3"/>
      <c r="Y190" s="3"/>
      <c r="Z190" s="5"/>
      <c r="AA190" s="3"/>
      <c r="AB190" s="38"/>
      <c r="AC190" s="5"/>
      <c r="AD190" s="51">
        <f>$AC$172*AC189</f>
        <v>0</v>
      </c>
      <c r="AE190" s="39" t="e">
        <f>AD190*Z189</f>
        <v>#NAME?</v>
      </c>
    </row>
    <row r="191" spans="3:31" ht="12" x14ac:dyDescent="0.2">
      <c r="C191" s="36"/>
      <c r="D191" s="4"/>
      <c r="E191" s="4"/>
      <c r="F191" s="4"/>
      <c r="G191" s="7"/>
      <c r="H191" s="20"/>
      <c r="I191" s="3"/>
      <c r="J191" s="3"/>
      <c r="K191" s="3"/>
      <c r="L191" s="3"/>
      <c r="M191" s="5"/>
      <c r="N191" s="3"/>
      <c r="O191" s="5"/>
      <c r="P191" s="3"/>
      <c r="Q191" s="20"/>
      <c r="R191" s="38" t="s">
        <v>369</v>
      </c>
      <c r="S191" s="3" t="s">
        <v>372</v>
      </c>
      <c r="T191" s="38" t="s">
        <v>369</v>
      </c>
      <c r="U191" s="1677">
        <v>200116021</v>
      </c>
      <c r="V191" s="1677"/>
      <c r="W191" s="20"/>
      <c r="X191" s="3"/>
      <c r="Y191" s="3"/>
      <c r="Z191" s="5"/>
      <c r="AA191" s="3"/>
      <c r="AB191" s="3"/>
      <c r="AC191" s="5"/>
      <c r="AD191" s="51">
        <f>1*AC189</f>
        <v>3</v>
      </c>
      <c r="AE191" s="39" t="e">
        <f>AD191*Z189</f>
        <v>#NAME?</v>
      </c>
    </row>
    <row r="192" spans="3:31" ht="12.6" thickBot="1" x14ac:dyDescent="0.25">
      <c r="C192" s="943"/>
      <c r="D192" s="968"/>
      <c r="E192" s="968"/>
      <c r="F192" s="968"/>
      <c r="G192" s="924"/>
      <c r="H192" s="887"/>
      <c r="I192" s="889"/>
      <c r="J192" s="889"/>
      <c r="K192" s="889"/>
      <c r="L192" s="889"/>
      <c r="M192" s="945"/>
      <c r="N192" s="889"/>
      <c r="O192" s="945"/>
      <c r="P192" s="889"/>
      <c r="Q192" s="887"/>
      <c r="R192" s="888" t="s">
        <v>369</v>
      </c>
      <c r="S192" s="889" t="s">
        <v>373</v>
      </c>
      <c r="T192" s="888" t="s">
        <v>369</v>
      </c>
      <c r="U192" s="1679">
        <v>200116033</v>
      </c>
      <c r="V192" s="1679"/>
      <c r="W192" s="887"/>
      <c r="X192" s="889"/>
      <c r="Y192" s="889"/>
      <c r="Z192" s="945"/>
      <c r="AA192" s="889"/>
      <c r="AB192" s="889"/>
      <c r="AC192" s="945"/>
      <c r="AD192" s="937">
        <f>1*AC189</f>
        <v>3</v>
      </c>
      <c r="AE192" s="947" t="e">
        <f>AD192*Z189</f>
        <v>#NAME?</v>
      </c>
    </row>
    <row r="193" spans="3:31" ht="12" x14ac:dyDescent="0.2">
      <c r="C193" s="36"/>
      <c r="D193" s="4"/>
      <c r="E193" s="4"/>
      <c r="F193" s="4"/>
      <c r="G193" s="7"/>
      <c r="H193" s="20"/>
      <c r="I193" s="3"/>
      <c r="J193" s="3"/>
      <c r="K193" s="3"/>
      <c r="L193" s="3"/>
      <c r="M193" s="5"/>
      <c r="N193" s="3"/>
      <c r="O193" s="5"/>
      <c r="P193" s="3"/>
      <c r="Q193" s="20"/>
      <c r="R193" s="38"/>
      <c r="S193" s="3"/>
      <c r="T193" s="38"/>
      <c r="U193" s="1677"/>
      <c r="V193" s="1677"/>
      <c r="W193" s="20"/>
      <c r="X193" s="3"/>
      <c r="Y193" s="3"/>
      <c r="Z193" s="5"/>
      <c r="AA193" s="3"/>
      <c r="AB193" s="3"/>
      <c r="AC193" s="5"/>
      <c r="AD193" s="51"/>
      <c r="AE193" s="39"/>
    </row>
    <row r="194" spans="3:31" ht="12.6" thickBot="1" x14ac:dyDescent="0.25">
      <c r="C194" s="36"/>
      <c r="D194" s="4"/>
      <c r="E194" s="4"/>
      <c r="F194" s="4"/>
      <c r="G194" s="7"/>
      <c r="H194" s="20"/>
      <c r="I194" s="3"/>
      <c r="J194" s="3"/>
      <c r="K194" s="3"/>
      <c r="L194" s="3"/>
      <c r="M194" s="5"/>
      <c r="N194" s="3"/>
      <c r="O194" s="5"/>
      <c r="P194" s="3"/>
      <c r="Q194" s="20"/>
      <c r="R194" s="38"/>
      <c r="S194" s="3"/>
      <c r="T194" s="38"/>
      <c r="U194" s="1677"/>
      <c r="V194" s="1677"/>
      <c r="W194" s="20"/>
      <c r="X194" s="3"/>
      <c r="Y194" s="3"/>
      <c r="Z194" s="5"/>
      <c r="AA194" s="3"/>
      <c r="AB194" s="3"/>
      <c r="AC194" s="5"/>
      <c r="AD194" s="51"/>
      <c r="AE194" s="39"/>
    </row>
    <row r="195" spans="3:31" ht="12" x14ac:dyDescent="0.2">
      <c r="C195" s="173" t="s">
        <v>1602</v>
      </c>
      <c r="D195" s="116"/>
      <c r="E195" s="114"/>
      <c r="F195" s="116"/>
      <c r="G195" s="173"/>
      <c r="H195" s="175"/>
      <c r="I195" s="116" t="s">
        <v>365</v>
      </c>
      <c r="J195" s="116"/>
      <c r="K195" s="116"/>
      <c r="L195" s="116" t="s">
        <v>348</v>
      </c>
      <c r="M195" s="177">
        <v>0</v>
      </c>
      <c r="N195" s="116" t="s">
        <v>352</v>
      </c>
      <c r="O195" s="177" t="e">
        <f>SHHeight+M195</f>
        <v>#NAME?</v>
      </c>
      <c r="P195" s="116" t="s">
        <v>366</v>
      </c>
      <c r="Q195" s="175"/>
      <c r="R195" s="173"/>
      <c r="S195" s="173"/>
      <c r="T195" s="173"/>
      <c r="U195" s="1678"/>
      <c r="V195" s="1678"/>
      <c r="W195" s="175"/>
      <c r="X195" s="116">
        <v>40</v>
      </c>
      <c r="Y195" s="116">
        <v>2</v>
      </c>
      <c r="Z195" s="177" t="e">
        <f>Y195*O195/12</f>
        <v>#NAME?</v>
      </c>
      <c r="AA195" s="116" t="s">
        <v>367</v>
      </c>
      <c r="AB195" s="179">
        <v>0.127</v>
      </c>
      <c r="AC195" s="177">
        <v>3</v>
      </c>
      <c r="AD195" s="185"/>
      <c r="AE195" s="180"/>
    </row>
    <row r="196" spans="3:31" ht="12" x14ac:dyDescent="0.2">
      <c r="C196" s="36"/>
      <c r="D196" s="4"/>
      <c r="E196" s="8"/>
      <c r="F196" s="4"/>
      <c r="G196" s="7"/>
      <c r="H196" s="20"/>
      <c r="I196" s="3"/>
      <c r="J196" s="3"/>
      <c r="K196" s="3"/>
      <c r="L196" s="3"/>
      <c r="M196" s="5"/>
      <c r="N196" s="3"/>
      <c r="O196" s="5"/>
      <c r="P196" s="3"/>
      <c r="Q196" s="20"/>
      <c r="R196" s="38" t="s">
        <v>369</v>
      </c>
      <c r="S196" s="3" t="s">
        <v>370</v>
      </c>
      <c r="T196" s="38" t="s">
        <v>369</v>
      </c>
      <c r="U196" s="1677">
        <v>200158003</v>
      </c>
      <c r="V196" s="1677"/>
      <c r="W196" s="20"/>
      <c r="X196" s="3"/>
      <c r="Y196" s="3"/>
      <c r="Z196" s="5"/>
      <c r="AA196" s="3"/>
      <c r="AB196" s="38"/>
      <c r="AC196" s="5"/>
      <c r="AD196" s="51">
        <f>$AC$172*AC195</f>
        <v>0</v>
      </c>
      <c r="AE196" s="39" t="e">
        <f>AD196*Z195</f>
        <v>#NAME?</v>
      </c>
    </row>
    <row r="197" spans="3:31" ht="12" x14ac:dyDescent="0.2">
      <c r="C197" s="36"/>
      <c r="D197" s="4"/>
      <c r="E197" s="4"/>
      <c r="F197" s="4"/>
      <c r="G197" s="7"/>
      <c r="H197" s="20"/>
      <c r="I197" s="3"/>
      <c r="J197" s="3"/>
      <c r="K197" s="3"/>
      <c r="L197" s="3"/>
      <c r="M197" s="5"/>
      <c r="N197" s="3"/>
      <c r="O197" s="5"/>
      <c r="P197" s="3"/>
      <c r="Q197" s="20"/>
      <c r="R197" s="38" t="s">
        <v>369</v>
      </c>
      <c r="S197" s="3" t="s">
        <v>372</v>
      </c>
      <c r="T197" s="38" t="s">
        <v>369</v>
      </c>
      <c r="U197" s="1677">
        <v>200158021</v>
      </c>
      <c r="V197" s="1677"/>
      <c r="W197" s="20"/>
      <c r="X197" s="3"/>
      <c r="Y197" s="3"/>
      <c r="Z197" s="5"/>
      <c r="AA197" s="3"/>
      <c r="AB197" s="3"/>
      <c r="AC197" s="5"/>
      <c r="AD197" s="51">
        <f>1*AC195</f>
        <v>3</v>
      </c>
      <c r="AE197" s="39" t="e">
        <f>AD197*Z195</f>
        <v>#NAME?</v>
      </c>
    </row>
    <row r="198" spans="3:31" ht="12.6" thickBot="1" x14ac:dyDescent="0.25">
      <c r="C198" s="943"/>
      <c r="D198" s="968"/>
      <c r="E198" s="968"/>
      <c r="F198" s="968"/>
      <c r="G198" s="924"/>
      <c r="H198" s="887"/>
      <c r="I198" s="889"/>
      <c r="J198" s="889"/>
      <c r="K198" s="889"/>
      <c r="L198" s="889"/>
      <c r="M198" s="945"/>
      <c r="N198" s="889"/>
      <c r="O198" s="945"/>
      <c r="P198" s="889"/>
      <c r="Q198" s="887"/>
      <c r="R198" s="888" t="s">
        <v>369</v>
      </c>
      <c r="S198" s="889" t="s">
        <v>373</v>
      </c>
      <c r="T198" s="888" t="s">
        <v>369</v>
      </c>
      <c r="U198" s="1679">
        <v>200158033</v>
      </c>
      <c r="V198" s="1679"/>
      <c r="W198" s="887"/>
      <c r="X198" s="889"/>
      <c r="Y198" s="889"/>
      <c r="Z198" s="945"/>
      <c r="AA198" s="889"/>
      <c r="AB198" s="889"/>
      <c r="AC198" s="945"/>
      <c r="AD198" s="937">
        <f>1*AC195</f>
        <v>3</v>
      </c>
      <c r="AE198" s="947" t="e">
        <f>AD198*Z195</f>
        <v>#NAME?</v>
      </c>
    </row>
    <row r="199" spans="3:31" ht="12" x14ac:dyDescent="0.2">
      <c r="C199" s="173" t="s">
        <v>1603</v>
      </c>
      <c r="D199" s="116"/>
      <c r="E199" s="114"/>
      <c r="F199" s="116"/>
      <c r="G199" s="173"/>
      <c r="H199" s="175"/>
      <c r="I199" s="116"/>
      <c r="J199" s="116"/>
      <c r="K199" s="116"/>
      <c r="L199" s="116"/>
      <c r="M199" s="177"/>
      <c r="N199" s="116" t="s">
        <v>352</v>
      </c>
      <c r="O199" s="177">
        <v>3</v>
      </c>
      <c r="P199" s="116" t="s">
        <v>366</v>
      </c>
      <c r="Q199" s="175"/>
      <c r="R199" s="173"/>
      <c r="S199" s="173"/>
      <c r="T199" s="173"/>
      <c r="U199" s="1678"/>
      <c r="V199" s="1678"/>
      <c r="W199" s="175"/>
      <c r="X199" s="116">
        <v>40</v>
      </c>
      <c r="Y199" s="116">
        <v>2</v>
      </c>
      <c r="Z199" s="177">
        <f>Y199*O199/12</f>
        <v>0.5</v>
      </c>
      <c r="AA199" s="116" t="s">
        <v>367</v>
      </c>
      <c r="AB199" s="179">
        <v>0.14099999999999999</v>
      </c>
      <c r="AC199" s="177">
        <v>3</v>
      </c>
      <c r="AD199" s="185"/>
      <c r="AE199" s="180"/>
    </row>
    <row r="200" spans="3:31" ht="12" x14ac:dyDescent="0.2">
      <c r="C200" s="36"/>
      <c r="D200" s="4"/>
      <c r="E200" s="8"/>
      <c r="F200" s="4"/>
      <c r="G200" s="7"/>
      <c r="H200" s="20"/>
      <c r="I200" s="3"/>
      <c r="J200" s="3"/>
      <c r="K200" s="3"/>
      <c r="L200" s="3"/>
      <c r="M200" s="5"/>
      <c r="N200" s="3"/>
      <c r="O200" s="5"/>
      <c r="P200" s="3"/>
      <c r="Q200" s="20"/>
      <c r="R200" s="38" t="s">
        <v>369</v>
      </c>
      <c r="S200" s="3" t="s">
        <v>370</v>
      </c>
      <c r="T200" s="38" t="s">
        <v>369</v>
      </c>
      <c r="U200" s="1677">
        <v>200156003</v>
      </c>
      <c r="V200" s="1677"/>
      <c r="W200" s="20"/>
      <c r="X200" s="3"/>
      <c r="Y200" s="3"/>
      <c r="Z200" s="5"/>
      <c r="AA200" s="3"/>
      <c r="AB200" s="38"/>
      <c r="AC200" s="5"/>
      <c r="AD200" s="51">
        <f>$AC$172*AC199</f>
        <v>0</v>
      </c>
      <c r="AE200" s="39">
        <f>AD200*Z199</f>
        <v>0</v>
      </c>
    </row>
    <row r="201" spans="3:31" ht="12" x14ac:dyDescent="0.2">
      <c r="C201" s="36"/>
      <c r="D201" s="4"/>
      <c r="E201" s="4"/>
      <c r="F201" s="4"/>
      <c r="G201" s="7"/>
      <c r="H201" s="20"/>
      <c r="I201" s="3"/>
      <c r="J201" s="3"/>
      <c r="K201" s="3"/>
      <c r="L201" s="3"/>
      <c r="M201" s="5"/>
      <c r="N201" s="3"/>
      <c r="O201" s="5"/>
      <c r="P201" s="3"/>
      <c r="Q201" s="20"/>
      <c r="R201" s="38" t="s">
        <v>369</v>
      </c>
      <c r="S201" s="3" t="s">
        <v>372</v>
      </c>
      <c r="T201" s="38" t="s">
        <v>369</v>
      </c>
      <c r="U201" s="1677">
        <v>200156021</v>
      </c>
      <c r="V201" s="1677"/>
      <c r="W201" s="20"/>
      <c r="X201" s="3"/>
      <c r="Y201" s="3"/>
      <c r="Z201" s="5"/>
      <c r="AA201" s="3"/>
      <c r="AB201" s="3"/>
      <c r="AC201" s="5"/>
      <c r="AD201" s="51">
        <f>1*AC199</f>
        <v>3</v>
      </c>
      <c r="AE201" s="39">
        <f>AD201*Z199</f>
        <v>1.5</v>
      </c>
    </row>
    <row r="202" spans="3:31" ht="12" x14ac:dyDescent="0.2">
      <c r="C202" s="36"/>
      <c r="D202" s="4"/>
      <c r="E202" s="4"/>
      <c r="F202" s="4"/>
      <c r="G202" s="7"/>
      <c r="H202" s="20"/>
      <c r="I202" s="3"/>
      <c r="J202" s="3"/>
      <c r="K202" s="3"/>
      <c r="L202" s="3"/>
      <c r="M202" s="5"/>
      <c r="N202" s="3"/>
      <c r="O202" s="5"/>
      <c r="P202" s="3"/>
      <c r="Q202" s="20"/>
      <c r="R202" s="38" t="s">
        <v>369</v>
      </c>
      <c r="S202" s="3" t="s">
        <v>373</v>
      </c>
      <c r="T202" s="38" t="s">
        <v>369</v>
      </c>
      <c r="U202" s="1677">
        <v>200156033</v>
      </c>
      <c r="V202" s="1677"/>
      <c r="W202" s="20"/>
      <c r="X202" s="3"/>
      <c r="Y202" s="3"/>
      <c r="Z202" s="5"/>
      <c r="AA202" s="3"/>
      <c r="AB202" s="3"/>
      <c r="AC202" s="5"/>
      <c r="AD202" s="51">
        <f>1*AC199</f>
        <v>3</v>
      </c>
      <c r="AE202" s="39">
        <f>AD202*Z199</f>
        <v>1.5</v>
      </c>
    </row>
    <row r="203" spans="3:31" ht="12" x14ac:dyDescent="0.2">
      <c r="C203" s="36"/>
      <c r="D203" s="4"/>
      <c r="E203" s="4"/>
      <c r="F203" s="4"/>
      <c r="G203" s="7"/>
      <c r="H203" s="20"/>
      <c r="I203" s="3"/>
      <c r="J203" s="3"/>
      <c r="K203" s="3"/>
      <c r="L203" s="3"/>
      <c r="M203" s="5"/>
      <c r="N203" s="3"/>
      <c r="O203" s="5"/>
      <c r="P203" s="3"/>
      <c r="Q203" s="20"/>
      <c r="R203" s="38" t="s">
        <v>369</v>
      </c>
      <c r="S203" s="3" t="s">
        <v>375</v>
      </c>
      <c r="T203" s="38" t="s">
        <v>369</v>
      </c>
      <c r="U203" s="1677">
        <v>200156133</v>
      </c>
      <c r="V203" s="1677"/>
      <c r="W203" s="20"/>
      <c r="X203" s="3"/>
      <c r="Y203" s="3"/>
      <c r="Z203" s="5"/>
      <c r="AA203" s="3"/>
      <c r="AB203" s="3"/>
      <c r="AC203" s="5"/>
      <c r="AD203" s="844">
        <f>1*AC200</f>
        <v>0</v>
      </c>
      <c r="AE203" s="39">
        <f>AD203*Z200</f>
        <v>0</v>
      </c>
    </row>
    <row r="204" spans="3:31" ht="12.6" thickBot="1" x14ac:dyDescent="0.25">
      <c r="C204" s="36"/>
      <c r="D204" s="4"/>
      <c r="E204" s="4"/>
      <c r="F204" s="4"/>
      <c r="G204" s="7"/>
      <c r="H204" s="20"/>
      <c r="I204" s="3"/>
      <c r="J204" s="3"/>
      <c r="K204" s="3"/>
      <c r="L204" s="3"/>
      <c r="M204" s="5"/>
      <c r="N204" s="3"/>
      <c r="O204" s="5"/>
      <c r="P204" s="3"/>
      <c r="Q204" s="20"/>
      <c r="R204" s="38"/>
      <c r="S204" s="3"/>
      <c r="T204" s="38"/>
      <c r="U204" s="1677"/>
      <c r="V204" s="1677"/>
      <c r="W204" s="20"/>
      <c r="X204" s="3"/>
      <c r="Y204" s="3"/>
      <c r="Z204" s="5"/>
      <c r="AA204" s="3"/>
      <c r="AB204" s="3"/>
      <c r="AC204" s="5"/>
      <c r="AD204" s="51"/>
      <c r="AE204" s="39"/>
    </row>
    <row r="205" spans="3:31" ht="12" x14ac:dyDescent="0.2">
      <c r="C205" s="173" t="s">
        <v>1604</v>
      </c>
      <c r="D205" s="116"/>
      <c r="E205" s="114"/>
      <c r="F205" s="116"/>
      <c r="G205" s="173"/>
      <c r="H205" s="175"/>
      <c r="I205" s="116"/>
      <c r="J205" s="116"/>
      <c r="K205" s="116"/>
      <c r="L205" s="116"/>
      <c r="M205" s="177"/>
      <c r="N205" s="116" t="s">
        <v>352</v>
      </c>
      <c r="O205" s="177">
        <v>3</v>
      </c>
      <c r="P205" s="116" t="s">
        <v>366</v>
      </c>
      <c r="Q205" s="175"/>
      <c r="R205" s="173"/>
      <c r="S205" s="173"/>
      <c r="T205" s="173"/>
      <c r="U205" s="1678"/>
      <c r="V205" s="1678"/>
      <c r="W205" s="175"/>
      <c r="X205" s="116">
        <v>40</v>
      </c>
      <c r="Y205" s="116">
        <v>2</v>
      </c>
      <c r="Z205" s="177">
        <f>Y205*O205/12</f>
        <v>0.5</v>
      </c>
      <c r="AA205" s="116" t="s">
        <v>367</v>
      </c>
      <c r="AB205" s="179">
        <v>7.8E-2</v>
      </c>
      <c r="AC205" s="177">
        <v>3</v>
      </c>
      <c r="AD205" s="185"/>
      <c r="AE205" s="180"/>
    </row>
    <row r="206" spans="3:31" ht="12" x14ac:dyDescent="0.2">
      <c r="C206" s="36"/>
      <c r="D206" s="4"/>
      <c r="E206" s="8"/>
      <c r="F206" s="4"/>
      <c r="G206" s="7"/>
      <c r="H206" s="20"/>
      <c r="I206" s="3"/>
      <c r="J206" s="3"/>
      <c r="K206" s="3"/>
      <c r="L206" s="3"/>
      <c r="M206" s="5"/>
      <c r="N206" s="3"/>
      <c r="O206" s="5"/>
      <c r="P206" s="3"/>
      <c r="Q206" s="20"/>
      <c r="R206" s="38" t="s">
        <v>369</v>
      </c>
      <c r="S206" s="3" t="s">
        <v>370</v>
      </c>
      <c r="T206" s="38" t="s">
        <v>369</v>
      </c>
      <c r="U206" s="1677">
        <v>200157003</v>
      </c>
      <c r="V206" s="1677"/>
      <c r="W206" s="20"/>
      <c r="X206" s="3"/>
      <c r="Y206" s="3"/>
      <c r="Z206" s="5"/>
      <c r="AA206" s="3"/>
      <c r="AB206" s="38"/>
      <c r="AC206" s="5"/>
      <c r="AD206" s="51">
        <f>$AC$172*AC205</f>
        <v>0</v>
      </c>
      <c r="AE206" s="39">
        <f>AD206*Z205</f>
        <v>0</v>
      </c>
    </row>
    <row r="207" spans="3:31" ht="12" x14ac:dyDescent="0.2">
      <c r="C207" s="36"/>
      <c r="D207" s="4"/>
      <c r="E207" s="4"/>
      <c r="F207" s="4"/>
      <c r="G207" s="7"/>
      <c r="H207" s="20"/>
      <c r="I207" s="3"/>
      <c r="J207" s="3"/>
      <c r="K207" s="3"/>
      <c r="L207" s="3"/>
      <c r="M207" s="5"/>
      <c r="N207" s="3"/>
      <c r="O207" s="5"/>
      <c r="P207" s="3"/>
      <c r="Q207" s="20"/>
      <c r="R207" s="38" t="s">
        <v>369</v>
      </c>
      <c r="S207" s="3" t="s">
        <v>372</v>
      </c>
      <c r="T207" s="38" t="s">
        <v>369</v>
      </c>
      <c r="U207" s="1677">
        <v>200157021</v>
      </c>
      <c r="V207" s="1677"/>
      <c r="W207" s="20"/>
      <c r="X207" s="3"/>
      <c r="Y207" s="3"/>
      <c r="Z207" s="5"/>
      <c r="AA207" s="3"/>
      <c r="AB207" s="3"/>
      <c r="AC207" s="5"/>
      <c r="AD207" s="51">
        <f>1*AC205</f>
        <v>3</v>
      </c>
      <c r="AE207" s="39">
        <f>AD207*Z205</f>
        <v>1.5</v>
      </c>
    </row>
    <row r="208" spans="3:31" ht="12" x14ac:dyDescent="0.2">
      <c r="C208" s="36"/>
      <c r="D208" s="4"/>
      <c r="E208" s="4"/>
      <c r="F208" s="4"/>
      <c r="G208" s="7"/>
      <c r="H208" s="20"/>
      <c r="I208" s="3"/>
      <c r="J208" s="3"/>
      <c r="K208" s="3"/>
      <c r="L208" s="3"/>
      <c r="M208" s="5"/>
      <c r="N208" s="3"/>
      <c r="O208" s="5"/>
      <c r="P208" s="3"/>
      <c r="Q208" s="20"/>
      <c r="R208" s="38" t="s">
        <v>369</v>
      </c>
      <c r="S208" s="3" t="s">
        <v>373</v>
      </c>
      <c r="T208" s="38" t="s">
        <v>369</v>
      </c>
      <c r="U208" s="1677">
        <v>200157033</v>
      </c>
      <c r="V208" s="1677"/>
      <c r="W208" s="20"/>
      <c r="X208" s="3"/>
      <c r="Y208" s="3"/>
      <c r="Z208" s="5"/>
      <c r="AA208" s="3"/>
      <c r="AB208" s="3"/>
      <c r="AC208" s="5"/>
      <c r="AD208" s="51">
        <f>1*AC205</f>
        <v>3</v>
      </c>
      <c r="AE208" s="39">
        <f>AD208*Z205</f>
        <v>1.5</v>
      </c>
    </row>
    <row r="209" spans="3:31" ht="12" x14ac:dyDescent="0.2">
      <c r="C209" s="36"/>
      <c r="D209" s="4"/>
      <c r="E209" s="4"/>
      <c r="F209" s="4"/>
      <c r="G209" s="7"/>
      <c r="H209" s="20"/>
      <c r="I209" s="3"/>
      <c r="J209" s="3"/>
      <c r="K209" s="3"/>
      <c r="L209" s="3"/>
      <c r="M209" s="5"/>
      <c r="N209" s="3"/>
      <c r="O209" s="5"/>
      <c r="P209" s="3"/>
      <c r="Q209" s="20"/>
      <c r="R209" s="38" t="s">
        <v>369</v>
      </c>
      <c r="S209" s="3" t="s">
        <v>375</v>
      </c>
      <c r="T209" s="38" t="s">
        <v>369</v>
      </c>
      <c r="U209" s="1677">
        <v>200157133</v>
      </c>
      <c r="V209" s="1677"/>
      <c r="W209" s="20"/>
      <c r="X209" s="3"/>
      <c r="Y209" s="3"/>
      <c r="Z209" s="5"/>
      <c r="AA209" s="3"/>
      <c r="AB209" s="3"/>
      <c r="AC209" s="5"/>
      <c r="AD209" s="844">
        <f>1*AC206</f>
        <v>0</v>
      </c>
      <c r="AE209" s="39">
        <f>AD209*Z206</f>
        <v>0</v>
      </c>
    </row>
    <row r="210" spans="3:31" ht="12.6" thickBot="1" x14ac:dyDescent="0.25">
      <c r="C210" s="36"/>
      <c r="D210" s="4"/>
      <c r="E210" s="4"/>
      <c r="F210" s="4"/>
      <c r="G210" s="7"/>
      <c r="H210" s="20"/>
      <c r="I210" s="3"/>
      <c r="J210" s="3"/>
      <c r="K210" s="3"/>
      <c r="L210" s="3"/>
      <c r="M210" s="5"/>
      <c r="N210" s="3"/>
      <c r="O210" s="5"/>
      <c r="P210" s="3"/>
      <c r="Q210" s="20"/>
      <c r="R210" s="38"/>
      <c r="S210" s="3"/>
      <c r="T210" s="38"/>
      <c r="U210" s="1677"/>
      <c r="V210" s="1677"/>
      <c r="W210" s="20"/>
      <c r="X210" s="889"/>
      <c r="Y210" s="3"/>
      <c r="Z210" s="5"/>
      <c r="AA210" s="3"/>
      <c r="AB210" s="3"/>
      <c r="AC210" s="5"/>
      <c r="AD210" s="51"/>
      <c r="AE210" s="39"/>
    </row>
    <row r="211" spans="3:31" ht="12" x14ac:dyDescent="0.2">
      <c r="C211" s="173" t="s">
        <v>1605</v>
      </c>
      <c r="D211" s="116"/>
      <c r="E211" s="114"/>
      <c r="F211" s="116"/>
      <c r="G211" s="173"/>
      <c r="H211" s="175"/>
      <c r="I211" s="116"/>
      <c r="J211" s="116"/>
      <c r="K211" s="116"/>
      <c r="L211" s="116"/>
      <c r="M211" s="177"/>
      <c r="N211" s="116" t="s">
        <v>352</v>
      </c>
      <c r="O211" s="177">
        <v>3</v>
      </c>
      <c r="P211" s="116" t="s">
        <v>366</v>
      </c>
      <c r="Q211" s="175"/>
      <c r="R211" s="173"/>
      <c r="S211" s="173"/>
      <c r="T211" s="173"/>
      <c r="U211" s="1678"/>
      <c r="V211" s="1678"/>
      <c r="W211" s="175"/>
      <c r="Y211" s="116">
        <v>2</v>
      </c>
      <c r="Z211" s="177">
        <f>Y211*O211/12</f>
        <v>0.5</v>
      </c>
      <c r="AA211" s="116" t="s">
        <v>367</v>
      </c>
      <c r="AB211" s="179">
        <v>0.123</v>
      </c>
      <c r="AC211" s="177">
        <v>3</v>
      </c>
      <c r="AD211" s="185"/>
      <c r="AE211" s="180"/>
    </row>
    <row r="212" spans="3:31" ht="12" x14ac:dyDescent="0.2">
      <c r="C212" s="36"/>
      <c r="D212" s="4"/>
      <c r="E212" s="8"/>
      <c r="F212" s="4"/>
      <c r="G212" s="7"/>
      <c r="H212" s="20"/>
      <c r="I212" s="3"/>
      <c r="J212" s="3"/>
      <c r="K212" s="3"/>
      <c r="L212" s="3"/>
      <c r="M212" s="5"/>
      <c r="N212" s="3"/>
      <c r="O212" s="5"/>
      <c r="P212" s="3"/>
      <c r="Q212" s="20"/>
      <c r="R212" s="38" t="s">
        <v>369</v>
      </c>
      <c r="S212" s="3" t="s">
        <v>370</v>
      </c>
      <c r="T212" s="38" t="s">
        <v>369</v>
      </c>
      <c r="U212" s="1677">
        <v>200186003</v>
      </c>
      <c r="V212" s="1677"/>
      <c r="W212" s="20"/>
      <c r="X212" s="3"/>
      <c r="Y212" s="3"/>
      <c r="Z212" s="5"/>
      <c r="AA212" s="3"/>
      <c r="AB212" s="38"/>
      <c r="AC212" s="5"/>
      <c r="AD212" s="51">
        <f>$AC$172*AC211</f>
        <v>0</v>
      </c>
      <c r="AE212" s="39">
        <f>AD212*Z211</f>
        <v>0</v>
      </c>
    </row>
    <row r="213" spans="3:31" ht="12" x14ac:dyDescent="0.2">
      <c r="C213" s="36"/>
      <c r="D213" s="4"/>
      <c r="E213" s="4"/>
      <c r="F213" s="4"/>
      <c r="G213" s="7"/>
      <c r="H213" s="20"/>
      <c r="I213" s="3"/>
      <c r="J213" s="3"/>
      <c r="K213" s="3"/>
      <c r="L213" s="3"/>
      <c r="M213" s="5"/>
      <c r="N213" s="3"/>
      <c r="O213" s="5"/>
      <c r="P213" s="3"/>
      <c r="Q213" s="20"/>
      <c r="R213" s="38" t="s">
        <v>369</v>
      </c>
      <c r="S213" s="3" t="s">
        <v>372</v>
      </c>
      <c r="T213" s="38" t="s">
        <v>369</v>
      </c>
      <c r="U213" s="1677">
        <v>200186021</v>
      </c>
      <c r="V213" s="1677"/>
      <c r="W213" s="20"/>
      <c r="X213" s="3"/>
      <c r="Y213" s="3"/>
      <c r="Z213" s="5"/>
      <c r="AA213" s="3"/>
      <c r="AB213" s="3"/>
      <c r="AC213" s="5"/>
      <c r="AD213" s="51">
        <f>1*AC211</f>
        <v>3</v>
      </c>
      <c r="AE213" s="39">
        <f>AD213*Z211</f>
        <v>1.5</v>
      </c>
    </row>
    <row r="214" spans="3:31" ht="12" x14ac:dyDescent="0.2">
      <c r="C214" s="36"/>
      <c r="D214" s="4"/>
      <c r="E214" s="4"/>
      <c r="F214" s="4"/>
      <c r="G214" s="7"/>
      <c r="H214" s="20"/>
      <c r="I214" s="3"/>
      <c r="J214" s="3"/>
      <c r="K214" s="3"/>
      <c r="L214" s="3"/>
      <c r="M214" s="5"/>
      <c r="N214" s="3"/>
      <c r="O214" s="5"/>
      <c r="P214" s="3"/>
      <c r="Q214" s="20"/>
      <c r="R214" s="38" t="s">
        <v>369</v>
      </c>
      <c r="S214" s="3" t="s">
        <v>373</v>
      </c>
      <c r="T214" s="38" t="s">
        <v>369</v>
      </c>
      <c r="U214" s="1677">
        <v>200186033</v>
      </c>
      <c r="V214" s="1677"/>
      <c r="W214" s="20"/>
      <c r="X214" s="3"/>
      <c r="Y214" s="3"/>
      <c r="Z214" s="5"/>
      <c r="AA214" s="3"/>
      <c r="AB214" s="3"/>
      <c r="AC214" s="5"/>
      <c r="AD214" s="51">
        <f>1*AC211</f>
        <v>3</v>
      </c>
      <c r="AE214" s="39">
        <f>AD214*Z211</f>
        <v>1.5</v>
      </c>
    </row>
    <row r="215" spans="3:31" ht="12" x14ac:dyDescent="0.2">
      <c r="C215" s="36"/>
      <c r="D215" s="4"/>
      <c r="E215" s="4"/>
      <c r="F215" s="4"/>
      <c r="G215" s="7"/>
      <c r="H215" s="20"/>
      <c r="I215" s="3"/>
      <c r="J215" s="3"/>
      <c r="K215" s="3"/>
      <c r="L215" s="3"/>
      <c r="M215" s="5"/>
      <c r="N215" s="3"/>
      <c r="O215" s="5"/>
      <c r="P215" s="3"/>
      <c r="Q215" s="20"/>
      <c r="R215" s="38" t="s">
        <v>369</v>
      </c>
      <c r="S215" s="3" t="s">
        <v>375</v>
      </c>
      <c r="T215" s="38" t="s">
        <v>369</v>
      </c>
      <c r="U215" s="1677">
        <v>200186133</v>
      </c>
      <c r="V215" s="1677"/>
      <c r="W215" s="20"/>
      <c r="X215" s="3"/>
      <c r="Y215" s="3"/>
      <c r="Z215" s="5"/>
      <c r="AA215" s="3"/>
      <c r="AB215" s="3"/>
      <c r="AC215" s="5"/>
      <c r="AD215" s="844">
        <f>1*AC212</f>
        <v>0</v>
      </c>
      <c r="AE215" s="39">
        <f>AD215*Z212</f>
        <v>0</v>
      </c>
    </row>
    <row r="216" spans="3:31" ht="12.6" thickBot="1" x14ac:dyDescent="0.25">
      <c r="C216" s="36"/>
      <c r="D216" s="4"/>
      <c r="E216" s="4"/>
      <c r="F216" s="4"/>
      <c r="G216" s="7"/>
      <c r="H216" s="20"/>
      <c r="I216" s="3"/>
      <c r="J216" s="3"/>
      <c r="K216" s="3"/>
      <c r="L216" s="3"/>
      <c r="M216" s="5"/>
      <c r="N216" s="3"/>
      <c r="O216" s="5"/>
      <c r="P216" s="3"/>
      <c r="Q216" s="20"/>
      <c r="R216" s="38"/>
      <c r="S216" s="3"/>
      <c r="T216" s="38"/>
      <c r="U216" s="1677"/>
      <c r="V216" s="1677"/>
      <c r="W216" s="20"/>
      <c r="X216" s="889"/>
      <c r="Y216" s="3"/>
      <c r="Z216" s="5"/>
      <c r="AA216" s="3"/>
      <c r="AB216" s="3"/>
      <c r="AC216" s="5"/>
      <c r="AD216" s="51"/>
      <c r="AE216" s="39"/>
    </row>
    <row r="217" spans="3:31" ht="12" x14ac:dyDescent="0.2">
      <c r="C217" s="173" t="s">
        <v>1606</v>
      </c>
      <c r="D217" s="116"/>
      <c r="E217" s="114"/>
      <c r="F217" s="116"/>
      <c r="G217" s="173"/>
      <c r="H217" s="175"/>
      <c r="I217" s="116"/>
      <c r="J217" s="116"/>
      <c r="K217" s="116"/>
      <c r="L217" s="116"/>
      <c r="M217" s="177"/>
      <c r="N217" s="116" t="s">
        <v>352</v>
      </c>
      <c r="O217" s="177">
        <v>3</v>
      </c>
      <c r="P217" s="116" t="s">
        <v>366</v>
      </c>
      <c r="Q217" s="175"/>
      <c r="R217" s="173"/>
      <c r="S217" s="173"/>
      <c r="T217" s="173"/>
      <c r="U217" s="1678"/>
      <c r="V217" s="1678"/>
      <c r="W217" s="175"/>
      <c r="Y217" s="116">
        <v>2</v>
      </c>
      <c r="Z217" s="177">
        <f>Y217*O217/12</f>
        <v>0.5</v>
      </c>
      <c r="AA217" s="116" t="s">
        <v>367</v>
      </c>
      <c r="AB217" s="179">
        <v>4.5999999999999999E-2</v>
      </c>
      <c r="AC217" s="177">
        <v>3</v>
      </c>
      <c r="AD217" s="185"/>
      <c r="AE217" s="180"/>
    </row>
    <row r="218" spans="3:31" ht="12" x14ac:dyDescent="0.2">
      <c r="C218" s="36"/>
      <c r="D218" s="4"/>
      <c r="E218" s="8"/>
      <c r="F218" s="4"/>
      <c r="G218" s="7"/>
      <c r="H218" s="20"/>
      <c r="I218" s="3"/>
      <c r="J218" s="3"/>
      <c r="K218" s="3"/>
      <c r="L218" s="3"/>
      <c r="M218" s="5"/>
      <c r="N218" s="3"/>
      <c r="O218" s="5"/>
      <c r="P218" s="3"/>
      <c r="Q218" s="20"/>
      <c r="R218" s="38" t="s">
        <v>369</v>
      </c>
      <c r="S218" s="3" t="s">
        <v>370</v>
      </c>
      <c r="T218" s="38" t="s">
        <v>369</v>
      </c>
      <c r="U218" s="1677">
        <v>200120003</v>
      </c>
      <c r="V218" s="1677"/>
      <c r="W218" s="20"/>
      <c r="X218" s="3"/>
      <c r="Y218" s="3"/>
      <c r="Z218" s="5"/>
      <c r="AA218" s="3"/>
      <c r="AB218" s="38"/>
      <c r="AC218" s="5"/>
      <c r="AD218" s="51">
        <f>$AC$172*AC217</f>
        <v>0</v>
      </c>
      <c r="AE218" s="39">
        <f>AD218*Z217</f>
        <v>0</v>
      </c>
    </row>
    <row r="219" spans="3:31" ht="12" x14ac:dyDescent="0.2">
      <c r="C219" s="36"/>
      <c r="D219" s="4"/>
      <c r="E219" s="4"/>
      <c r="F219" s="4"/>
      <c r="G219" s="7"/>
      <c r="H219" s="20"/>
      <c r="I219" s="3"/>
      <c r="J219" s="3"/>
      <c r="K219" s="3"/>
      <c r="L219" s="3"/>
      <c r="M219" s="5"/>
      <c r="N219" s="3"/>
      <c r="O219" s="5"/>
      <c r="P219" s="3"/>
      <c r="Q219" s="20"/>
      <c r="R219" s="38" t="s">
        <v>369</v>
      </c>
      <c r="S219" s="3" t="s">
        <v>372</v>
      </c>
      <c r="T219" s="38" t="s">
        <v>369</v>
      </c>
      <c r="U219" s="1677">
        <v>200120021</v>
      </c>
      <c r="V219" s="1677"/>
      <c r="W219" s="20"/>
      <c r="X219" s="3"/>
      <c r="Y219" s="3"/>
      <c r="Z219" s="5"/>
      <c r="AA219" s="3"/>
      <c r="AB219" s="3"/>
      <c r="AC219" s="5"/>
      <c r="AD219" s="51">
        <f>1*AC217</f>
        <v>3</v>
      </c>
      <c r="AE219" s="39">
        <f>AD219*Z217</f>
        <v>1.5</v>
      </c>
    </row>
    <row r="220" spans="3:31" ht="12" x14ac:dyDescent="0.2">
      <c r="C220" s="36"/>
      <c r="D220" s="4"/>
      <c r="E220" s="4"/>
      <c r="F220" s="4"/>
      <c r="G220" s="7"/>
      <c r="H220" s="20"/>
      <c r="I220" s="3"/>
      <c r="J220" s="3"/>
      <c r="K220" s="3"/>
      <c r="L220" s="3"/>
      <c r="M220" s="5"/>
      <c r="N220" s="3"/>
      <c r="O220" s="5"/>
      <c r="P220" s="3"/>
      <c r="Q220" s="20"/>
      <c r="R220" s="38" t="s">
        <v>369</v>
      </c>
      <c r="S220" s="3" t="s">
        <v>373</v>
      </c>
      <c r="T220" s="38" t="s">
        <v>369</v>
      </c>
      <c r="U220" s="1677">
        <v>200120033</v>
      </c>
      <c r="V220" s="1677"/>
      <c r="W220" s="20"/>
      <c r="X220" s="3"/>
      <c r="Y220" s="3"/>
      <c r="Z220" s="5"/>
      <c r="AA220" s="3"/>
      <c r="AB220" s="3"/>
      <c r="AC220" s="5"/>
      <c r="AD220" s="51">
        <f>1*AC217</f>
        <v>3</v>
      </c>
      <c r="AE220" s="39">
        <f>AD220*Z217</f>
        <v>1.5</v>
      </c>
    </row>
    <row r="221" spans="3:31" ht="12.6" thickBot="1" x14ac:dyDescent="0.25">
      <c r="C221" s="36"/>
      <c r="D221" s="4"/>
      <c r="E221" s="4"/>
      <c r="F221" s="4"/>
      <c r="G221" s="7"/>
      <c r="H221" s="20"/>
      <c r="I221" s="3"/>
      <c r="J221" s="3"/>
      <c r="K221" s="3"/>
      <c r="L221" s="3"/>
      <c r="M221" s="5"/>
      <c r="N221" s="3"/>
      <c r="O221" s="5"/>
      <c r="P221" s="3"/>
      <c r="Q221" s="20"/>
      <c r="R221" s="38"/>
      <c r="S221" s="3"/>
      <c r="T221" s="38"/>
      <c r="U221" s="1677"/>
      <c r="V221" s="1677"/>
      <c r="W221" s="20"/>
      <c r="X221" s="889"/>
      <c r="Y221" s="3"/>
      <c r="Z221" s="5"/>
      <c r="AA221" s="3"/>
      <c r="AB221" s="3"/>
      <c r="AC221" s="5"/>
      <c r="AD221" s="51"/>
      <c r="AE221" s="39"/>
    </row>
    <row r="222" spans="3:31" ht="12" x14ac:dyDescent="0.2">
      <c r="C222" s="173" t="s">
        <v>1607</v>
      </c>
      <c r="D222" s="116"/>
      <c r="E222" s="114"/>
      <c r="F222" s="116"/>
      <c r="G222" s="173"/>
      <c r="H222" s="175"/>
      <c r="I222" s="116"/>
      <c r="J222" s="116"/>
      <c r="K222" s="116"/>
      <c r="L222" s="116"/>
      <c r="M222" s="177"/>
      <c r="N222" s="116" t="s">
        <v>352</v>
      </c>
      <c r="O222" s="177">
        <v>3</v>
      </c>
      <c r="P222" s="116" t="s">
        <v>366</v>
      </c>
      <c r="Q222" s="175"/>
      <c r="R222" s="173"/>
      <c r="S222" s="173"/>
      <c r="T222" s="173"/>
      <c r="U222" s="1678"/>
      <c r="V222" s="1678"/>
      <c r="W222" s="175"/>
      <c r="Y222" s="116">
        <v>2</v>
      </c>
      <c r="Z222" s="177">
        <f>Y222*O222/12</f>
        <v>0.5</v>
      </c>
      <c r="AA222" s="116" t="s">
        <v>367</v>
      </c>
      <c r="AB222" s="179">
        <v>0.17299999999999999</v>
      </c>
      <c r="AC222" s="177">
        <v>3</v>
      </c>
      <c r="AD222" s="185"/>
      <c r="AE222" s="180"/>
    </row>
    <row r="223" spans="3:31" ht="12" x14ac:dyDescent="0.2">
      <c r="C223" s="36"/>
      <c r="D223" s="4"/>
      <c r="E223" s="8"/>
      <c r="F223" s="4"/>
      <c r="G223" s="7"/>
      <c r="H223" s="20"/>
      <c r="I223" s="3"/>
      <c r="J223" s="3"/>
      <c r="K223" s="3"/>
      <c r="L223" s="3"/>
      <c r="M223" s="5"/>
      <c r="N223" s="3"/>
      <c r="O223" s="5"/>
      <c r="P223" s="3"/>
      <c r="Q223" s="20"/>
      <c r="R223" s="38" t="s">
        <v>369</v>
      </c>
      <c r="S223" s="3" t="s">
        <v>370</v>
      </c>
      <c r="T223" s="38" t="s">
        <v>369</v>
      </c>
      <c r="U223" s="1677">
        <v>200187003</v>
      </c>
      <c r="V223" s="1677"/>
      <c r="W223" s="20"/>
      <c r="X223" s="3"/>
      <c r="Y223" s="3"/>
      <c r="Z223" s="5"/>
      <c r="AA223" s="3"/>
      <c r="AB223" s="38"/>
      <c r="AC223" s="5"/>
      <c r="AD223" s="51">
        <f>$AC$172*AC222</f>
        <v>0</v>
      </c>
      <c r="AE223" s="39">
        <f>AD223*Z222</f>
        <v>0</v>
      </c>
    </row>
    <row r="224" spans="3:31" ht="12" x14ac:dyDescent="0.2">
      <c r="C224" s="36"/>
      <c r="D224" s="4"/>
      <c r="E224" s="4"/>
      <c r="F224" s="4"/>
      <c r="G224" s="7"/>
      <c r="H224" s="20"/>
      <c r="I224" s="3"/>
      <c r="J224" s="3"/>
      <c r="K224" s="3"/>
      <c r="L224" s="3"/>
      <c r="M224" s="5"/>
      <c r="N224" s="3"/>
      <c r="O224" s="5"/>
      <c r="P224" s="3"/>
      <c r="Q224" s="20"/>
      <c r="R224" s="38" t="s">
        <v>369</v>
      </c>
      <c r="S224" s="3" t="s">
        <v>372</v>
      </c>
      <c r="T224" s="38" t="s">
        <v>369</v>
      </c>
      <c r="U224" s="1677">
        <v>200187021</v>
      </c>
      <c r="V224" s="1677"/>
      <c r="W224" s="20"/>
      <c r="X224" s="3"/>
      <c r="Y224" s="3"/>
      <c r="Z224" s="5"/>
      <c r="AA224" s="3"/>
      <c r="AB224" s="3"/>
      <c r="AC224" s="5"/>
      <c r="AD224" s="51">
        <f>1*AC222</f>
        <v>3</v>
      </c>
      <c r="AE224" s="39">
        <f>AD224*Z222</f>
        <v>1.5</v>
      </c>
    </row>
    <row r="225" spans="3:31" ht="12" x14ac:dyDescent="0.2">
      <c r="C225" s="36"/>
      <c r="D225" s="4"/>
      <c r="E225" s="4"/>
      <c r="F225" s="4"/>
      <c r="G225" s="7"/>
      <c r="H225" s="20"/>
      <c r="I225" s="3"/>
      <c r="J225" s="3"/>
      <c r="K225" s="3"/>
      <c r="L225" s="3"/>
      <c r="M225" s="5"/>
      <c r="N225" s="3"/>
      <c r="O225" s="5"/>
      <c r="P225" s="3"/>
      <c r="Q225" s="20"/>
      <c r="R225" s="38" t="s">
        <v>369</v>
      </c>
      <c r="S225" s="3" t="s">
        <v>373</v>
      </c>
      <c r="T225" s="38" t="s">
        <v>369</v>
      </c>
      <c r="U225" s="1677">
        <v>200187033</v>
      </c>
      <c r="V225" s="1677"/>
      <c r="W225" s="20"/>
      <c r="X225" s="3"/>
      <c r="Y225" s="3"/>
      <c r="Z225" s="5"/>
      <c r="AA225" s="3"/>
      <c r="AB225" s="3"/>
      <c r="AC225" s="5"/>
      <c r="AD225" s="51">
        <f>1*AC222</f>
        <v>3</v>
      </c>
      <c r="AE225" s="39">
        <f>AD225*Z222</f>
        <v>1.5</v>
      </c>
    </row>
    <row r="226" spans="3:31" ht="12" x14ac:dyDescent="0.2">
      <c r="C226" s="36"/>
      <c r="D226" s="4"/>
      <c r="E226" s="4"/>
      <c r="F226" s="4"/>
      <c r="G226" s="7"/>
      <c r="H226" s="20"/>
      <c r="I226" s="3"/>
      <c r="J226" s="3"/>
      <c r="K226" s="3"/>
      <c r="L226" s="3"/>
      <c r="M226" s="5"/>
      <c r="N226" s="3"/>
      <c r="O226" s="5"/>
      <c r="P226" s="3"/>
      <c r="Q226" s="20"/>
      <c r="R226" s="38"/>
      <c r="S226" s="3"/>
      <c r="T226" s="38"/>
      <c r="U226" s="1443"/>
      <c r="V226" s="1443"/>
      <c r="W226" s="20"/>
      <c r="X226" s="3"/>
      <c r="Y226" s="3"/>
      <c r="Z226" s="5"/>
      <c r="AA226" s="3"/>
      <c r="AB226" s="3"/>
      <c r="AC226" s="5"/>
      <c r="AD226" s="51"/>
      <c r="AE226" s="39"/>
    </row>
    <row r="227" spans="3:31" ht="12" x14ac:dyDescent="0.2">
      <c r="C227" s="36"/>
      <c r="D227" s="4"/>
      <c r="E227" s="4"/>
      <c r="F227" s="4"/>
      <c r="G227" s="7"/>
      <c r="H227" s="20"/>
      <c r="I227" s="3"/>
      <c r="J227" s="3"/>
      <c r="K227" s="3"/>
      <c r="L227" s="3"/>
      <c r="M227" s="5"/>
      <c r="N227" s="3"/>
      <c r="O227" s="5"/>
      <c r="P227" s="3"/>
      <c r="Q227" s="20"/>
      <c r="R227" s="38"/>
      <c r="S227" s="3"/>
      <c r="T227" s="38"/>
      <c r="U227" s="1443"/>
      <c r="V227" s="1443"/>
      <c r="W227" s="20"/>
      <c r="X227" s="3"/>
      <c r="Y227" s="3"/>
      <c r="Z227" s="5"/>
      <c r="AA227" s="3"/>
      <c r="AB227" s="3"/>
      <c r="AC227" s="5"/>
      <c r="AD227" s="51"/>
      <c r="AE227" s="39"/>
    </row>
    <row r="247" spans="3:31" x14ac:dyDescent="0.2">
      <c r="AD247" s="51"/>
      <c r="AE247" s="39"/>
    </row>
    <row r="248" spans="3:31" x14ac:dyDescent="0.2">
      <c r="AD248" s="51"/>
      <c r="AE248" s="39"/>
    </row>
    <row r="249" spans="3:31" x14ac:dyDescent="0.2">
      <c r="AD249" s="51"/>
      <c r="AE249" s="39"/>
    </row>
    <row r="250" spans="3:31" x14ac:dyDescent="0.2">
      <c r="AD250" s="51"/>
      <c r="AE250" s="39"/>
    </row>
    <row r="251" spans="3:31" x14ac:dyDescent="0.2">
      <c r="AD251" s="51"/>
      <c r="AE251" s="39"/>
    </row>
    <row r="252" spans="3:31" x14ac:dyDescent="0.2">
      <c r="AD252" s="51"/>
      <c r="AE252" s="39"/>
    </row>
    <row r="253" spans="3:31" x14ac:dyDescent="0.2">
      <c r="AD253" s="51"/>
      <c r="AE253" s="39"/>
    </row>
    <row r="254" spans="3:31" ht="12" x14ac:dyDescent="0.25">
      <c r="C254" s="845"/>
    </row>
    <row r="269" spans="1:1" x14ac:dyDescent="0.2">
      <c r="A269" s="1743"/>
    </row>
  </sheetData>
  <sheetProtection algorithmName="SHA-512" hashValue="fQqQoZ0dG085BfLk8A8fwpKR+Jen42quKx4GEUzwa3yM+N2DrWOQ0MQx+xEyP7BtP7jpHb+KbqIruLObD5xssQ==" saltValue="tlwAChvyXHimgSX/c9yt3A==" spinCount="100000" sheet="1" objects="1" scenarios="1"/>
  <mergeCells count="4">
    <mergeCell ref="B8:G8"/>
    <mergeCell ref="I8:M8"/>
    <mergeCell ref="C99:G101"/>
    <mergeCell ref="R8:T8"/>
  </mergeCells>
  <phoneticPr fontId="27" type="noConversion"/>
  <conditionalFormatting sqref="X218:X221 X212:X214 X171:X174 X90:X94 X79:X83 X72 X65 X58 X223:X227 X98 X53 X44 X13 X25 X33 X176:X180 X182:X186 X188:X202 X204:X208 X210 X216">
    <cfRule type="cellIs" dxfId="17" priority="29" stopIfTrue="1" operator="lessThan">
      <formula>42</formula>
    </cfRule>
    <cfRule type="cellIs" dxfId="16" priority="30" stopIfTrue="1" operator="lessThan">
      <formula>45</formula>
    </cfRule>
  </conditionalFormatting>
  <conditionalFormatting sqref="X103">
    <cfRule type="cellIs" dxfId="15" priority="13" stopIfTrue="1" operator="lessThan">
      <formula>42</formula>
    </cfRule>
    <cfRule type="cellIs" dxfId="14" priority="14" stopIfTrue="1" operator="lessThan">
      <formula>45</formula>
    </cfRule>
  </conditionalFormatting>
  <conditionalFormatting sqref="X175">
    <cfRule type="cellIs" dxfId="13" priority="11" stopIfTrue="1" operator="lessThan">
      <formula>42</formula>
    </cfRule>
    <cfRule type="cellIs" dxfId="12" priority="12" stopIfTrue="1" operator="lessThan">
      <formula>45</formula>
    </cfRule>
  </conditionalFormatting>
  <conditionalFormatting sqref="X181">
    <cfRule type="cellIs" dxfId="11" priority="9" stopIfTrue="1" operator="lessThan">
      <formula>42</formula>
    </cfRule>
    <cfRule type="cellIs" dxfId="10" priority="10" stopIfTrue="1" operator="lessThan">
      <formula>45</formula>
    </cfRule>
  </conditionalFormatting>
  <conditionalFormatting sqref="X187">
    <cfRule type="cellIs" dxfId="9" priority="7" stopIfTrue="1" operator="lessThan">
      <formula>42</formula>
    </cfRule>
    <cfRule type="cellIs" dxfId="8" priority="8" stopIfTrue="1" operator="lessThan">
      <formula>45</formula>
    </cfRule>
  </conditionalFormatting>
  <conditionalFormatting sqref="X203">
    <cfRule type="cellIs" dxfId="7" priority="5" stopIfTrue="1" operator="lessThan">
      <formula>42</formula>
    </cfRule>
    <cfRule type="cellIs" dxfId="6" priority="6" stopIfTrue="1" operator="lessThan">
      <formula>45</formula>
    </cfRule>
  </conditionalFormatting>
  <conditionalFormatting sqref="X209">
    <cfRule type="cellIs" dxfId="5" priority="3" stopIfTrue="1" operator="lessThan">
      <formula>42</formula>
    </cfRule>
    <cfRule type="cellIs" dxfId="4" priority="4" stopIfTrue="1" operator="lessThan">
      <formula>45</formula>
    </cfRule>
  </conditionalFormatting>
  <conditionalFormatting sqref="X215">
    <cfRule type="cellIs" dxfId="3" priority="1" stopIfTrue="1" operator="lessThan">
      <formula>42</formula>
    </cfRule>
    <cfRule type="cellIs" dxfId="2" priority="2" stopIfTrue="1" operator="lessThan">
      <formula>45</formula>
    </cfRule>
  </conditionalFormatting>
  <pageMargins left="0.25" right="0.25" top="0.5" bottom="0.5" header="0" footer="0"/>
  <pageSetup scale="45" fitToHeight="3" orientation="landscape" r:id="rId1"/>
  <headerFooter alignWithMargins="0">
    <oddFooter>&amp;L&amp;Z&amp;F</oddFooter>
  </headerFooter>
  <ignoredErrors>
    <ignoredError sqref="Z136"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Z463"/>
  <sheetViews>
    <sheetView view="pageBreakPreview" zoomScaleSheetLayoutView="100" workbookViewId="0">
      <pane ySplit="7" topLeftCell="A8" activePane="bottomLeft" state="frozen"/>
      <selection activeCell="P178" sqref="P178"/>
      <selection pane="bottomLeft"/>
    </sheetView>
  </sheetViews>
  <sheetFormatPr defaultColWidth="9" defaultRowHeight="11.4" x14ac:dyDescent="0.2"/>
  <cols>
    <col min="1" max="1" width="3.59765625" style="31" customWidth="1"/>
    <col min="2" max="3" width="2.5" style="354" customWidth="1"/>
    <col min="4" max="4" width="32.8984375" style="354" customWidth="1"/>
    <col min="5" max="5" width="1.59765625" style="1752" customWidth="1"/>
    <col min="6" max="6" width="7.3984375" style="354" customWidth="1"/>
    <col min="7" max="7" width="1.3984375" style="354" bestFit="1" customWidth="1"/>
    <col min="8" max="8" width="1.59765625" style="354" bestFit="1" customWidth="1"/>
    <col min="9" max="9" width="2.8984375" style="354" bestFit="1" customWidth="1"/>
    <col min="10" max="10" width="5" style="354" bestFit="1" customWidth="1"/>
    <col min="11" max="11" width="1.8984375" style="354" bestFit="1" customWidth="1"/>
    <col min="12" max="12" width="7.5" style="31" bestFit="1" customWidth="1"/>
    <col min="13" max="13" width="5.8984375" style="354" customWidth="1"/>
    <col min="14" max="14" width="1.59765625" style="1752" customWidth="1"/>
    <col min="15" max="15" width="3.59765625" style="354" bestFit="1" customWidth="1"/>
    <col min="16" max="16" width="5.19921875" style="354" bestFit="1" customWidth="1"/>
    <col min="17" max="17" width="4" style="354" bestFit="1" customWidth="1"/>
    <col min="18" max="18" width="12.5" style="354" bestFit="1" customWidth="1"/>
    <col min="19" max="19" width="1.59765625" style="1752" customWidth="1"/>
    <col min="20" max="20" width="8" style="31" bestFit="1" customWidth="1"/>
    <col min="21" max="21" width="4.19921875" style="354" bestFit="1" customWidth="1"/>
    <col min="22" max="22" width="9" style="1746" bestFit="1" customWidth="1"/>
    <col min="23" max="23" width="5.09765625" style="1747" bestFit="1" customWidth="1"/>
    <col min="24" max="24" width="6.69921875" style="1692" bestFit="1" customWidth="1"/>
    <col min="25" max="25" width="9.09765625" style="31" bestFit="1" customWidth="1"/>
    <col min="26" max="16384" width="9" style="354"/>
  </cols>
  <sheetData>
    <row r="1" spans="1:25" ht="35.4" x14ac:dyDescent="0.2">
      <c r="A1" s="1569" t="s">
        <v>1608</v>
      </c>
      <c r="E1" s="354"/>
      <c r="N1" s="354"/>
      <c r="S1" s="354"/>
      <c r="V1" s="5"/>
      <c r="W1" s="1744"/>
      <c r="X1" s="51"/>
      <c r="Y1" s="1745"/>
    </row>
    <row r="2" spans="1:25" x14ac:dyDescent="0.2">
      <c r="E2" s="354"/>
      <c r="N2" s="354"/>
      <c r="S2" s="354"/>
    </row>
    <row r="3" spans="1:25" ht="12.6" thickBot="1" x14ac:dyDescent="0.3">
      <c r="E3" s="354"/>
      <c r="N3" s="354"/>
      <c r="S3" s="354"/>
      <c r="X3" s="1748">
        <v>1.5</v>
      </c>
    </row>
    <row r="4" spans="1:25" ht="12.6" thickBot="1" x14ac:dyDescent="0.3">
      <c r="A4" s="23"/>
      <c r="B4" s="1749"/>
      <c r="C4" s="1749"/>
      <c r="D4" s="1749"/>
      <c r="E4" s="354"/>
      <c r="F4" s="2127" t="s">
        <v>329</v>
      </c>
      <c r="G4" s="2128"/>
      <c r="H4" s="2128"/>
      <c r="I4" s="2128"/>
      <c r="J4" s="2129"/>
      <c r="K4" s="23"/>
      <c r="M4" s="23"/>
      <c r="N4" s="354"/>
      <c r="O4" s="2130" t="s">
        <v>332</v>
      </c>
      <c r="P4" s="2131"/>
      <c r="Q4" s="2131"/>
      <c r="R4" s="2132"/>
      <c r="S4" s="354"/>
      <c r="T4" s="23" t="s">
        <v>1482</v>
      </c>
      <c r="W4" s="1750" t="s">
        <v>1609</v>
      </c>
      <c r="X4" s="1692" t="s">
        <v>1610</v>
      </c>
    </row>
    <row r="5" spans="1:25" s="1752" customFormat="1" ht="5.0999999999999996" customHeight="1" x14ac:dyDescent="0.25">
      <c r="A5" s="27"/>
      <c r="B5" s="1751"/>
      <c r="C5" s="1751"/>
      <c r="D5" s="1751"/>
      <c r="K5" s="1753"/>
      <c r="L5" s="1753"/>
      <c r="T5" s="1753"/>
      <c r="V5" s="1754"/>
      <c r="W5" s="1755"/>
      <c r="X5" s="1756"/>
      <c r="Y5" s="1753"/>
    </row>
    <row r="6" spans="1:25" ht="35.1" customHeight="1" x14ac:dyDescent="0.2">
      <c r="A6" s="2125" t="s">
        <v>328</v>
      </c>
      <c r="B6" s="2126"/>
      <c r="C6" s="2126"/>
      <c r="D6" s="2126"/>
      <c r="E6" s="20"/>
      <c r="F6" s="1757" t="s">
        <v>345</v>
      </c>
      <c r="G6" s="1757" t="s">
        <v>346</v>
      </c>
      <c r="H6" s="1757" t="s">
        <v>347</v>
      </c>
      <c r="I6" s="1757" t="s">
        <v>1485</v>
      </c>
      <c r="J6" s="1757" t="s">
        <v>347</v>
      </c>
      <c r="K6" s="1758" t="s">
        <v>352</v>
      </c>
      <c r="L6" s="1759" t="s">
        <v>1611</v>
      </c>
      <c r="M6" s="1757" t="s">
        <v>1483</v>
      </c>
      <c r="N6" s="20"/>
      <c r="O6" s="1760" t="s">
        <v>2361</v>
      </c>
      <c r="P6" s="1760" t="s">
        <v>2369</v>
      </c>
      <c r="Q6" s="1760" t="s">
        <v>2362</v>
      </c>
      <c r="R6" s="1757" t="s">
        <v>356</v>
      </c>
      <c r="S6" s="20"/>
      <c r="T6" s="1759" t="s">
        <v>1612</v>
      </c>
      <c r="U6" s="1759" t="s">
        <v>1550</v>
      </c>
      <c r="V6" s="1761" t="s">
        <v>1613</v>
      </c>
      <c r="W6" s="1762">
        <v>0.62939999999999996</v>
      </c>
      <c r="X6" s="1763" t="s">
        <v>1614</v>
      </c>
      <c r="Y6" s="1757" t="s">
        <v>1615</v>
      </c>
    </row>
    <row r="7" spans="1:25" s="1752" customFormat="1" ht="5.0999999999999996" customHeight="1" x14ac:dyDescent="0.25">
      <c r="A7" s="27"/>
      <c r="B7" s="1751"/>
      <c r="C7" s="1751"/>
      <c r="D7" s="1751"/>
      <c r="K7" s="1753"/>
      <c r="L7" s="1753"/>
      <c r="T7" s="1753"/>
      <c r="V7" s="1754"/>
      <c r="W7" s="1755"/>
      <c r="X7" s="1756"/>
      <c r="Y7" s="1753"/>
    </row>
    <row r="8" spans="1:25" s="1771" customFormat="1" ht="17.399999999999999" x14ac:dyDescent="0.3">
      <c r="A8" s="1820" t="s">
        <v>1616</v>
      </c>
      <c r="B8" s="1764"/>
      <c r="C8" s="1764"/>
      <c r="D8" s="1764"/>
      <c r="E8" s="1765"/>
      <c r="F8" s="1765"/>
      <c r="G8" s="1765"/>
      <c r="H8" s="1765"/>
      <c r="I8" s="1765"/>
      <c r="J8" s="1765"/>
      <c r="K8" s="1766"/>
      <c r="L8" s="1766"/>
      <c r="M8" s="1765"/>
      <c r="N8" s="1765"/>
      <c r="O8" s="1765"/>
      <c r="P8" s="1765"/>
      <c r="Q8" s="1765"/>
      <c r="R8" s="1765"/>
      <c r="S8" s="1765"/>
      <c r="T8" s="1765"/>
      <c r="U8" s="1767"/>
      <c r="V8" s="1768"/>
      <c r="W8" s="1769"/>
      <c r="X8" s="1770"/>
      <c r="Y8" s="1766"/>
    </row>
    <row r="9" spans="1:25" ht="12" x14ac:dyDescent="0.25">
      <c r="A9" s="31">
        <v>1</v>
      </c>
      <c r="B9" s="845" t="s">
        <v>1617</v>
      </c>
      <c r="F9" s="31"/>
      <c r="G9" s="31"/>
      <c r="I9" s="31"/>
      <c r="J9" s="1772"/>
      <c r="K9" s="1772"/>
      <c r="L9" s="1746">
        <v>1</v>
      </c>
      <c r="M9" s="31" t="s">
        <v>367</v>
      </c>
      <c r="R9" s="31"/>
      <c r="T9" s="31">
        <v>1</v>
      </c>
      <c r="U9" s="1746">
        <f>T9*L9</f>
        <v>1</v>
      </c>
      <c r="V9" s="1746">
        <v>0.13900000000000001</v>
      </c>
      <c r="W9" s="1773">
        <f>V9*AtolbperftAccy</f>
        <v>8.7486599999999998E-2</v>
      </c>
      <c r="X9" s="1774">
        <f>W9*AccSScostperlb</f>
        <v>0.13122990000000001</v>
      </c>
    </row>
    <row r="10" spans="1:25" x14ac:dyDescent="0.2">
      <c r="F10" s="31"/>
      <c r="G10" s="31"/>
      <c r="I10" s="31"/>
      <c r="J10" s="1772"/>
      <c r="K10" s="1772"/>
      <c r="L10" s="1746"/>
      <c r="M10" s="31"/>
      <c r="O10" s="38" t="s">
        <v>369</v>
      </c>
      <c r="P10" s="3" t="s">
        <v>370</v>
      </c>
      <c r="Q10" s="38" t="s">
        <v>369</v>
      </c>
      <c r="R10" s="1574">
        <v>200143003</v>
      </c>
      <c r="U10" s="1746"/>
      <c r="W10" s="1773"/>
      <c r="X10" s="1692">
        <v>0.1434</v>
      </c>
    </row>
    <row r="11" spans="1:25" x14ac:dyDescent="0.2">
      <c r="F11" s="31"/>
      <c r="G11" s="31"/>
      <c r="I11" s="31"/>
      <c r="J11" s="1772"/>
      <c r="K11" s="1772"/>
      <c r="L11" s="1746"/>
      <c r="M11" s="31"/>
      <c r="O11" s="38" t="s">
        <v>369</v>
      </c>
      <c r="P11" s="3" t="s">
        <v>372</v>
      </c>
      <c r="Q11" s="38" t="s">
        <v>369</v>
      </c>
      <c r="R11" s="1574">
        <v>200143021</v>
      </c>
      <c r="U11" s="1746"/>
      <c r="W11" s="1773"/>
      <c r="X11" s="1692">
        <v>0.1666</v>
      </c>
    </row>
    <row r="12" spans="1:25" x14ac:dyDescent="0.2">
      <c r="F12" s="31"/>
      <c r="G12" s="31"/>
      <c r="I12" s="31"/>
      <c r="J12" s="1772"/>
      <c r="K12" s="1772"/>
      <c r="L12" s="1746"/>
      <c r="M12" s="31"/>
      <c r="O12" s="38" t="s">
        <v>369</v>
      </c>
      <c r="P12" s="3" t="s">
        <v>373</v>
      </c>
      <c r="Q12" s="38" t="s">
        <v>369</v>
      </c>
      <c r="R12" s="1574">
        <v>200143033</v>
      </c>
      <c r="U12" s="1746"/>
      <c r="W12" s="1773"/>
      <c r="X12" s="1692">
        <v>0.16950000000000001</v>
      </c>
    </row>
    <row r="13" spans="1:25" x14ac:dyDescent="0.2">
      <c r="F13" s="31"/>
      <c r="G13" s="31"/>
      <c r="I13" s="31"/>
      <c r="J13" s="1772"/>
      <c r="K13" s="1772"/>
      <c r="L13" s="1746"/>
      <c r="M13" s="31"/>
      <c r="O13" s="38" t="s">
        <v>369</v>
      </c>
      <c r="P13" s="3" t="s">
        <v>375</v>
      </c>
      <c r="Q13" s="38" t="s">
        <v>369</v>
      </c>
      <c r="R13" s="1574">
        <v>200143133</v>
      </c>
      <c r="U13" s="1746"/>
      <c r="W13" s="1773"/>
      <c r="X13" s="1774">
        <v>0</v>
      </c>
    </row>
    <row r="14" spans="1:25" x14ac:dyDescent="0.2">
      <c r="F14" s="31"/>
      <c r="G14" s="31"/>
      <c r="I14" s="31"/>
      <c r="J14" s="1772"/>
      <c r="K14" s="1772"/>
      <c r="L14" s="1746"/>
      <c r="M14" s="31"/>
      <c r="O14" s="38" t="s">
        <v>369</v>
      </c>
      <c r="P14" s="3" t="s">
        <v>374</v>
      </c>
      <c r="Q14" s="38" t="s">
        <v>369</v>
      </c>
      <c r="R14" s="1443">
        <v>200143090</v>
      </c>
      <c r="U14" s="1746"/>
      <c r="W14" s="1773"/>
    </row>
    <row r="15" spans="1:25" ht="12" thickBot="1" x14ac:dyDescent="0.25">
      <c r="A15" s="893"/>
      <c r="B15" s="1102"/>
      <c r="C15" s="1102"/>
      <c r="D15" s="1102"/>
      <c r="E15" s="1775"/>
      <c r="F15" s="893"/>
      <c r="G15" s="893"/>
      <c r="H15" s="1102"/>
      <c r="I15" s="893"/>
      <c r="J15" s="1776"/>
      <c r="K15" s="1776"/>
      <c r="L15" s="1777"/>
      <c r="M15" s="893"/>
      <c r="N15" s="1775"/>
      <c r="O15" s="1876" t="s">
        <v>369</v>
      </c>
      <c r="P15" s="1877" t="s">
        <v>1849</v>
      </c>
      <c r="Q15" s="1876" t="s">
        <v>369</v>
      </c>
      <c r="R15" s="1878">
        <v>200143148</v>
      </c>
      <c r="S15" s="1775"/>
      <c r="T15" s="893"/>
      <c r="U15" s="1777"/>
      <c r="V15" s="1777"/>
      <c r="W15" s="1778"/>
      <c r="X15" s="1713">
        <v>0</v>
      </c>
      <c r="Y15" s="893"/>
    </row>
    <row r="16" spans="1:25" ht="12" x14ac:dyDescent="0.25">
      <c r="A16" s="31">
        <f>A9+1</f>
        <v>2</v>
      </c>
      <c r="B16" s="845" t="s">
        <v>1618</v>
      </c>
      <c r="F16" s="1779" t="s">
        <v>1619</v>
      </c>
      <c r="G16" s="31"/>
      <c r="I16" s="31"/>
      <c r="J16" s="1697"/>
      <c r="K16" s="1697"/>
      <c r="L16" s="1746">
        <v>1</v>
      </c>
      <c r="M16" s="31" t="s">
        <v>385</v>
      </c>
      <c r="R16" s="1574"/>
      <c r="T16" s="31">
        <v>1</v>
      </c>
      <c r="U16" s="1746">
        <f>T16*L16</f>
        <v>1</v>
      </c>
      <c r="V16" s="1746">
        <v>0.23200000000000001</v>
      </c>
      <c r="W16" s="1773">
        <f>V16*AtolbperftAccy</f>
        <v>0.14602080000000001</v>
      </c>
      <c r="X16" s="1774">
        <f>W16*AccSScostperlb</f>
        <v>0.21903120000000001</v>
      </c>
    </row>
    <row r="17" spans="1:25" x14ac:dyDescent="0.2">
      <c r="F17" s="31"/>
      <c r="G17" s="31"/>
      <c r="I17" s="31"/>
      <c r="J17" s="1772"/>
      <c r="K17" s="1772"/>
      <c r="L17" s="1746"/>
      <c r="M17" s="31"/>
      <c r="O17" s="38" t="s">
        <v>369</v>
      </c>
      <c r="P17" s="3" t="s">
        <v>386</v>
      </c>
      <c r="Q17" s="38" t="s">
        <v>369</v>
      </c>
      <c r="R17" s="1574">
        <v>200165008</v>
      </c>
      <c r="U17" s="1746"/>
      <c r="W17" s="1773"/>
      <c r="X17" s="1692">
        <v>7.5399999999999995E-2</v>
      </c>
    </row>
    <row r="18" spans="1:25" x14ac:dyDescent="0.2">
      <c r="F18" s="31"/>
      <c r="G18" s="31"/>
      <c r="I18" s="31"/>
      <c r="J18" s="1772"/>
      <c r="K18" s="1772"/>
      <c r="L18" s="1746"/>
      <c r="M18" s="31"/>
      <c r="O18" s="38"/>
      <c r="P18" s="3"/>
      <c r="Q18" s="38"/>
      <c r="R18" s="1574"/>
      <c r="U18" s="1746"/>
      <c r="W18" s="1773"/>
    </row>
    <row r="19" spans="1:25" ht="12" thickBot="1" x14ac:dyDescent="0.25">
      <c r="A19" s="893"/>
      <c r="B19" s="1102"/>
      <c r="C19" s="1102"/>
      <c r="D19" s="1102"/>
      <c r="E19" s="1775"/>
      <c r="F19" s="893"/>
      <c r="G19" s="893"/>
      <c r="H19" s="1102"/>
      <c r="I19" s="893"/>
      <c r="J19" s="1776"/>
      <c r="K19" s="1776"/>
      <c r="L19" s="1777"/>
      <c r="M19" s="893"/>
      <c r="N19" s="1775"/>
      <c r="O19" s="888"/>
      <c r="P19" s="889"/>
      <c r="Q19" s="888"/>
      <c r="R19" s="1661"/>
      <c r="S19" s="1775"/>
      <c r="T19" s="893"/>
      <c r="U19" s="1777"/>
      <c r="V19" s="1777"/>
      <c r="W19" s="1778"/>
      <c r="X19" s="1713"/>
      <c r="Y19" s="893"/>
    </row>
    <row r="20" spans="1:25" ht="12" x14ac:dyDescent="0.25">
      <c r="A20" s="31">
        <f>A16+1</f>
        <v>3</v>
      </c>
      <c r="B20" s="845" t="s">
        <v>1620</v>
      </c>
      <c r="F20" s="31"/>
      <c r="G20" s="31"/>
      <c r="I20" s="31"/>
      <c r="J20" s="1772"/>
      <c r="K20" s="1772"/>
      <c r="L20" s="1746">
        <v>1</v>
      </c>
      <c r="M20" s="31" t="s">
        <v>367</v>
      </c>
      <c r="R20" s="1574"/>
      <c r="T20" s="31">
        <v>1</v>
      </c>
      <c r="U20" s="1746">
        <f>T20*L20</f>
        <v>1</v>
      </c>
      <c r="V20" s="1746">
        <v>0.26700000000000002</v>
      </c>
      <c r="W20" s="1773">
        <f>V20*AtolbperftAccy</f>
        <v>0.1680498</v>
      </c>
      <c r="X20" s="1774">
        <f>W20*AccSScostperlb</f>
        <v>0.25207469999999998</v>
      </c>
    </row>
    <row r="21" spans="1:25" x14ac:dyDescent="0.2">
      <c r="F21" s="31"/>
      <c r="G21" s="31"/>
      <c r="I21" s="31"/>
      <c r="J21" s="1772"/>
      <c r="K21" s="1772"/>
      <c r="L21" s="1746"/>
      <c r="M21" s="31"/>
      <c r="O21" s="38" t="s">
        <v>369</v>
      </c>
      <c r="P21" s="3" t="s">
        <v>370</v>
      </c>
      <c r="Q21" s="38" t="s">
        <v>369</v>
      </c>
      <c r="R21" s="1574">
        <v>200202003</v>
      </c>
      <c r="U21" s="1746"/>
      <c r="W21" s="1773"/>
    </row>
    <row r="22" spans="1:25" x14ac:dyDescent="0.2">
      <c r="F22" s="31"/>
      <c r="G22" s="31"/>
      <c r="I22" s="31"/>
      <c r="J22" s="1772"/>
      <c r="K22" s="1772"/>
      <c r="L22" s="1746"/>
      <c r="M22" s="31"/>
      <c r="O22" s="38" t="s">
        <v>369</v>
      </c>
      <c r="P22" s="3" t="s">
        <v>372</v>
      </c>
      <c r="Q22" s="38" t="s">
        <v>369</v>
      </c>
      <c r="R22" s="1574">
        <v>200202021</v>
      </c>
      <c r="U22" s="1746"/>
      <c r="W22" s="1773"/>
    </row>
    <row r="23" spans="1:25" x14ac:dyDescent="0.2">
      <c r="L23" s="1780"/>
      <c r="M23" s="31"/>
      <c r="O23" s="38" t="s">
        <v>369</v>
      </c>
      <c r="P23" s="3" t="s">
        <v>373</v>
      </c>
      <c r="Q23" s="38" t="s">
        <v>369</v>
      </c>
      <c r="R23" s="1574">
        <v>200202033</v>
      </c>
      <c r="U23" s="1746"/>
      <c r="W23" s="1773"/>
    </row>
    <row r="24" spans="1:25" x14ac:dyDescent="0.2">
      <c r="L24" s="1780"/>
      <c r="M24" s="31"/>
      <c r="O24" s="3" t="s">
        <v>2363</v>
      </c>
      <c r="P24" s="3" t="s">
        <v>370</v>
      </c>
      <c r="Q24" s="38" t="s">
        <v>369</v>
      </c>
      <c r="R24" s="1443">
        <v>200202127</v>
      </c>
      <c r="U24" s="1746"/>
      <c r="W24" s="1773"/>
    </row>
    <row r="25" spans="1:25" x14ac:dyDescent="0.2">
      <c r="L25" s="1780"/>
      <c r="M25" s="31"/>
      <c r="O25" s="112" t="s">
        <v>2366</v>
      </c>
      <c r="P25" s="112" t="s">
        <v>370</v>
      </c>
      <c r="Q25" s="279" t="s">
        <v>369</v>
      </c>
      <c r="R25" s="1871">
        <v>200202128</v>
      </c>
      <c r="U25" s="1746"/>
      <c r="W25" s="1773"/>
    </row>
    <row r="26" spans="1:25" x14ac:dyDescent="0.2">
      <c r="L26" s="1780"/>
      <c r="M26" s="31"/>
      <c r="O26" s="112" t="s">
        <v>2364</v>
      </c>
      <c r="P26" s="112" t="s">
        <v>370</v>
      </c>
      <c r="Q26" s="279" t="s">
        <v>369</v>
      </c>
      <c r="R26" s="1871">
        <v>200202129</v>
      </c>
      <c r="U26" s="1746"/>
      <c r="W26" s="1773"/>
    </row>
    <row r="27" spans="1:25" x14ac:dyDescent="0.2">
      <c r="L27" s="1780"/>
      <c r="M27" s="31"/>
      <c r="O27" s="3" t="s">
        <v>2365</v>
      </c>
      <c r="P27" s="3" t="s">
        <v>370</v>
      </c>
      <c r="Q27" s="38" t="s">
        <v>369</v>
      </c>
      <c r="R27" s="1443">
        <v>200202180</v>
      </c>
      <c r="U27" s="1746"/>
      <c r="W27" s="1773"/>
    </row>
    <row r="28" spans="1:25" x14ac:dyDescent="0.2">
      <c r="L28" s="1780"/>
      <c r="M28" s="31"/>
      <c r="O28" s="112" t="s">
        <v>2367</v>
      </c>
      <c r="P28" s="112" t="s">
        <v>370</v>
      </c>
      <c r="Q28" s="279" t="s">
        <v>369</v>
      </c>
      <c r="R28" s="1871">
        <v>200202152</v>
      </c>
      <c r="U28" s="1746"/>
      <c r="W28" s="1773"/>
    </row>
    <row r="29" spans="1:25" ht="12" thickBot="1" x14ac:dyDescent="0.25">
      <c r="A29" s="893"/>
      <c r="B29" s="1102"/>
      <c r="C29" s="1102"/>
      <c r="D29" s="1102"/>
      <c r="E29" s="1775"/>
      <c r="F29" s="1102"/>
      <c r="G29" s="1102"/>
      <c r="H29" s="1102"/>
      <c r="I29" s="1102"/>
      <c r="J29" s="1102"/>
      <c r="K29" s="1102"/>
      <c r="L29" s="1781"/>
      <c r="M29" s="893"/>
      <c r="N29" s="1775"/>
      <c r="O29" s="889" t="s">
        <v>2365</v>
      </c>
      <c r="P29" s="889" t="s">
        <v>370</v>
      </c>
      <c r="Q29" s="888" t="s">
        <v>2365</v>
      </c>
      <c r="R29" s="1444">
        <v>200202181</v>
      </c>
      <c r="S29" s="1775"/>
      <c r="T29" s="893"/>
      <c r="U29" s="1777"/>
      <c r="V29" s="1777"/>
      <c r="W29" s="1778"/>
      <c r="X29" s="1713"/>
      <c r="Y29" s="893"/>
    </row>
    <row r="30" spans="1:25" ht="12" x14ac:dyDescent="0.25">
      <c r="A30" s="31">
        <f>A20+1</f>
        <v>4</v>
      </c>
      <c r="B30" s="845" t="s">
        <v>1621</v>
      </c>
      <c r="L30" s="1780"/>
      <c r="M30" s="31"/>
      <c r="R30" s="1574"/>
      <c r="U30" s="1746"/>
      <c r="W30" s="1773"/>
    </row>
    <row r="31" spans="1:25" ht="12" x14ac:dyDescent="0.25">
      <c r="B31" s="845"/>
      <c r="F31" s="354" t="s">
        <v>1622</v>
      </c>
      <c r="L31" s="1780"/>
      <c r="M31" s="31" t="s">
        <v>367</v>
      </c>
      <c r="O31" s="38" t="s">
        <v>369</v>
      </c>
      <c r="P31" s="3" t="s">
        <v>1623</v>
      </c>
      <c r="Q31" s="38" t="s">
        <v>369</v>
      </c>
      <c r="R31" s="1574">
        <v>200228008</v>
      </c>
      <c r="T31" s="31">
        <v>1</v>
      </c>
      <c r="U31" s="1746">
        <v>1</v>
      </c>
      <c r="V31" s="1746">
        <v>0.32700000000000001</v>
      </c>
      <c r="W31" s="1773">
        <f>V31*AtolbperftAccy</f>
        <v>0.20581379999999999</v>
      </c>
      <c r="X31" s="1774">
        <f>W31*AccSScostperlb</f>
        <v>0.30872069999999996</v>
      </c>
    </row>
    <row r="32" spans="1:25" ht="12" x14ac:dyDescent="0.25">
      <c r="B32" s="845"/>
      <c r="L32" s="1780"/>
      <c r="M32" s="31"/>
      <c r="O32" s="38"/>
      <c r="P32" s="3"/>
      <c r="Q32" s="38"/>
      <c r="R32" s="1574"/>
      <c r="U32" s="1746"/>
      <c r="W32" s="1773"/>
    </row>
    <row r="33" spans="1:25" ht="12" x14ac:dyDescent="0.25">
      <c r="B33" s="845"/>
      <c r="L33" s="1780"/>
      <c r="M33" s="31"/>
      <c r="O33" s="38"/>
      <c r="P33" s="3"/>
      <c r="Q33" s="38"/>
      <c r="R33" s="1574"/>
      <c r="U33" s="1746"/>
      <c r="W33" s="1773"/>
    </row>
    <row r="34" spans="1:25" ht="12.6" thickBot="1" x14ac:dyDescent="0.3">
      <c r="A34" s="893"/>
      <c r="B34" s="1782"/>
      <c r="C34" s="1102"/>
      <c r="D34" s="1102"/>
      <c r="E34" s="1775"/>
      <c r="F34" s="1102"/>
      <c r="G34" s="1102"/>
      <c r="H34" s="1102"/>
      <c r="I34" s="1102"/>
      <c r="J34" s="1102"/>
      <c r="K34" s="1102"/>
      <c r="L34" s="1781"/>
      <c r="M34" s="893"/>
      <c r="N34" s="1775"/>
      <c r="O34" s="888"/>
      <c r="P34" s="889"/>
      <c r="Q34" s="888"/>
      <c r="R34" s="1661"/>
      <c r="S34" s="1775"/>
      <c r="T34" s="893"/>
      <c r="U34" s="1777"/>
      <c r="V34" s="1777"/>
      <c r="W34" s="1778"/>
      <c r="X34" s="1713"/>
      <c r="Y34" s="893"/>
    </row>
    <row r="35" spans="1:25" ht="12" x14ac:dyDescent="0.25">
      <c r="A35" s="31">
        <f>A30+1</f>
        <v>5</v>
      </c>
      <c r="B35" s="845" t="s">
        <v>1624</v>
      </c>
      <c r="F35" s="31"/>
      <c r="G35" s="31"/>
      <c r="I35" s="31"/>
      <c r="J35" s="1783"/>
      <c r="K35" s="1783"/>
      <c r="L35" s="1746"/>
      <c r="M35" s="31" t="s">
        <v>367</v>
      </c>
      <c r="R35" s="1574"/>
      <c r="T35" s="31">
        <v>1</v>
      </c>
      <c r="U35" s="1746">
        <f>T35*L35</f>
        <v>0</v>
      </c>
      <c r="V35" s="1746">
        <v>0.10199999999999999</v>
      </c>
      <c r="W35" s="1773">
        <f>V35*AtolbperftAccy</f>
        <v>6.4198799999999986E-2</v>
      </c>
      <c r="X35" s="1774">
        <f>W35*AccSScostperlb</f>
        <v>9.6298199999999973E-2</v>
      </c>
    </row>
    <row r="36" spans="1:25" x14ac:dyDescent="0.2">
      <c r="F36" s="31"/>
      <c r="G36" s="31"/>
      <c r="I36" s="31"/>
      <c r="J36" s="1783"/>
      <c r="K36" s="1783"/>
      <c r="L36" s="1746"/>
      <c r="M36" s="31"/>
      <c r="O36" s="38" t="s">
        <v>369</v>
      </c>
      <c r="P36" s="3" t="s">
        <v>370</v>
      </c>
      <c r="Q36" s="38" t="s">
        <v>369</v>
      </c>
      <c r="R36" s="1574">
        <v>200169003</v>
      </c>
      <c r="U36" s="1746"/>
      <c r="W36" s="1773"/>
      <c r="X36" s="51">
        <v>0.1221</v>
      </c>
    </row>
    <row r="37" spans="1:25" x14ac:dyDescent="0.2">
      <c r="F37" s="31"/>
      <c r="G37" s="31"/>
      <c r="I37" s="1697"/>
      <c r="J37" s="1783"/>
      <c r="K37" s="1783"/>
      <c r="L37" s="1746"/>
      <c r="M37" s="31"/>
      <c r="O37" s="38" t="s">
        <v>369</v>
      </c>
      <c r="P37" s="3" t="s">
        <v>372</v>
      </c>
      <c r="Q37" s="38" t="s">
        <v>369</v>
      </c>
      <c r="R37" s="1574">
        <v>200169021</v>
      </c>
      <c r="U37" s="1746"/>
      <c r="W37" s="1773"/>
      <c r="X37" s="51">
        <v>0.1229</v>
      </c>
    </row>
    <row r="38" spans="1:25" x14ac:dyDescent="0.2">
      <c r="L38" s="1780"/>
      <c r="M38" s="31"/>
      <c r="O38" s="38" t="s">
        <v>369</v>
      </c>
      <c r="P38" s="3" t="s">
        <v>373</v>
      </c>
      <c r="Q38" s="38" t="s">
        <v>369</v>
      </c>
      <c r="R38" s="1574">
        <v>200169033</v>
      </c>
      <c r="U38" s="1746"/>
      <c r="W38" s="1773"/>
      <c r="X38" s="51">
        <v>0.12479999999999999</v>
      </c>
    </row>
    <row r="39" spans="1:25" x14ac:dyDescent="0.2">
      <c r="L39" s="1780"/>
      <c r="M39" s="31"/>
      <c r="O39" s="38" t="s">
        <v>369</v>
      </c>
      <c r="P39" s="3" t="s">
        <v>374</v>
      </c>
      <c r="Q39" s="38" t="s">
        <v>369</v>
      </c>
      <c r="R39" s="1443">
        <v>200169090</v>
      </c>
      <c r="U39" s="1746"/>
      <c r="W39" s="1773"/>
      <c r="X39" s="51">
        <v>0.01</v>
      </c>
    </row>
    <row r="40" spans="1:25" x14ac:dyDescent="0.2">
      <c r="L40" s="1780"/>
      <c r="M40" s="31"/>
      <c r="O40" s="38" t="s">
        <v>369</v>
      </c>
      <c r="P40" s="3" t="s">
        <v>375</v>
      </c>
      <c r="Q40" s="38" t="s">
        <v>369</v>
      </c>
      <c r="R40" s="1574">
        <v>200169133</v>
      </c>
      <c r="U40" s="1746"/>
      <c r="W40" s="1773"/>
      <c r="X40" s="844">
        <v>0</v>
      </c>
    </row>
    <row r="41" spans="1:25" ht="12" thickBot="1" x14ac:dyDescent="0.25">
      <c r="A41" s="893"/>
      <c r="B41" s="1102"/>
      <c r="C41" s="1102"/>
      <c r="D41" s="1102"/>
      <c r="E41" s="1775"/>
      <c r="F41" s="1102"/>
      <c r="G41" s="1102"/>
      <c r="H41" s="1102"/>
      <c r="I41" s="1102"/>
      <c r="J41" s="1102"/>
      <c r="K41" s="1102"/>
      <c r="L41" s="1781"/>
      <c r="M41" s="893"/>
      <c r="N41" s="1775"/>
      <c r="O41" s="1876" t="s">
        <v>369</v>
      </c>
      <c r="P41" s="1877" t="s">
        <v>1849</v>
      </c>
      <c r="Q41" s="1876" t="s">
        <v>369</v>
      </c>
      <c r="R41" s="1878">
        <v>200169148</v>
      </c>
      <c r="S41" s="1775"/>
      <c r="T41" s="893"/>
      <c r="U41" s="1777"/>
      <c r="V41" s="1777"/>
      <c r="W41" s="1778"/>
      <c r="X41" s="937">
        <v>0</v>
      </c>
      <c r="Y41" s="893"/>
    </row>
    <row r="42" spans="1:25" ht="12" x14ac:dyDescent="0.25">
      <c r="A42" s="31">
        <f>A35+1</f>
        <v>6</v>
      </c>
      <c r="B42" s="845" t="s">
        <v>1625</v>
      </c>
      <c r="F42" s="1779" t="s">
        <v>1626</v>
      </c>
      <c r="G42" s="31"/>
      <c r="I42" s="31"/>
      <c r="J42" s="1772"/>
      <c r="K42" s="1772"/>
      <c r="L42" s="1746"/>
      <c r="M42" s="31" t="s">
        <v>367</v>
      </c>
      <c r="R42" s="1574"/>
      <c r="T42" s="31">
        <v>1</v>
      </c>
      <c r="U42" s="1746">
        <v>1</v>
      </c>
      <c r="V42" s="1746">
        <v>0.14099999999999999</v>
      </c>
      <c r="W42" s="1773">
        <f>V42*AtolbperftAccy</f>
        <v>8.8745399999999988E-2</v>
      </c>
      <c r="X42" s="1774">
        <f>U42*W42*AccSScostperlb</f>
        <v>0.13311809999999999</v>
      </c>
    </row>
    <row r="43" spans="1:25" x14ac:dyDescent="0.2">
      <c r="G43" s="31"/>
      <c r="I43" s="31"/>
      <c r="J43" s="1772"/>
      <c r="K43" s="1772"/>
      <c r="L43" s="1746"/>
      <c r="M43" s="31"/>
      <c r="O43" s="38" t="s">
        <v>369</v>
      </c>
      <c r="P43" s="3" t="s">
        <v>370</v>
      </c>
      <c r="Q43" s="38" t="s">
        <v>369</v>
      </c>
      <c r="R43" s="1574">
        <v>200156003</v>
      </c>
      <c r="U43" s="1746"/>
      <c r="W43" s="1773"/>
      <c r="X43" s="1692">
        <v>0.1754</v>
      </c>
    </row>
    <row r="44" spans="1:25" x14ac:dyDescent="0.2">
      <c r="F44" s="31"/>
      <c r="G44" s="31"/>
      <c r="I44" s="31"/>
      <c r="J44" s="1772"/>
      <c r="K44" s="1772"/>
      <c r="L44" s="1746"/>
      <c r="M44" s="31"/>
      <c r="O44" s="38" t="s">
        <v>369</v>
      </c>
      <c r="P44" s="3" t="s">
        <v>372</v>
      </c>
      <c r="Q44" s="38" t="s">
        <v>369</v>
      </c>
      <c r="R44" s="1574">
        <v>200156021</v>
      </c>
      <c r="U44" s="1746"/>
      <c r="W44" s="1773"/>
      <c r="X44" s="1692">
        <v>0.193</v>
      </c>
    </row>
    <row r="45" spans="1:25" x14ac:dyDescent="0.2">
      <c r="F45" s="31"/>
      <c r="G45" s="31"/>
      <c r="I45" s="31"/>
      <c r="J45" s="1772"/>
      <c r="K45" s="1772"/>
      <c r="L45" s="1746"/>
      <c r="M45" s="31"/>
      <c r="O45" s="38" t="s">
        <v>369</v>
      </c>
      <c r="P45" s="3" t="s">
        <v>373</v>
      </c>
      <c r="Q45" s="38" t="s">
        <v>369</v>
      </c>
      <c r="R45" s="1574">
        <v>200156033</v>
      </c>
      <c r="U45" s="1746"/>
      <c r="W45" s="1773"/>
      <c r="X45" s="1692">
        <v>0.20649999999999999</v>
      </c>
    </row>
    <row r="46" spans="1:25" x14ac:dyDescent="0.2">
      <c r="F46" s="31"/>
      <c r="G46" s="31"/>
      <c r="I46" s="31"/>
      <c r="J46" s="1772"/>
      <c r="K46" s="1772"/>
      <c r="L46" s="1746"/>
      <c r="M46" s="31"/>
      <c r="O46" s="38" t="s">
        <v>369</v>
      </c>
      <c r="P46" s="3" t="s">
        <v>374</v>
      </c>
      <c r="Q46" s="38" t="s">
        <v>369</v>
      </c>
      <c r="R46" s="1443">
        <v>200156090</v>
      </c>
      <c r="U46" s="1746"/>
      <c r="W46" s="1773"/>
      <c r="X46" s="1692">
        <v>0.317</v>
      </c>
    </row>
    <row r="47" spans="1:25" x14ac:dyDescent="0.2">
      <c r="F47" s="31"/>
      <c r="G47" s="31"/>
      <c r="I47" s="31"/>
      <c r="J47" s="1772"/>
      <c r="K47" s="1772"/>
      <c r="L47" s="1746"/>
      <c r="M47" s="31"/>
      <c r="O47" s="38" t="s">
        <v>369</v>
      </c>
      <c r="P47" s="3" t="s">
        <v>375</v>
      </c>
      <c r="Q47" s="38" t="s">
        <v>369</v>
      </c>
      <c r="R47" s="1574">
        <v>200156133</v>
      </c>
      <c r="U47" s="1746"/>
      <c r="W47" s="1773"/>
      <c r="X47" s="1774">
        <v>0</v>
      </c>
    </row>
    <row r="48" spans="1:25" ht="12" thickBot="1" x14ac:dyDescent="0.25">
      <c r="F48" s="893"/>
      <c r="G48" s="893"/>
      <c r="H48" s="1102"/>
      <c r="I48" s="893"/>
      <c r="J48" s="1776"/>
      <c r="K48" s="1776"/>
      <c r="L48" s="1777"/>
      <c r="M48" s="893"/>
      <c r="N48" s="1775"/>
      <c r="O48" s="1876" t="s">
        <v>369</v>
      </c>
      <c r="P48" s="1877" t="s">
        <v>1849</v>
      </c>
      <c r="Q48" s="1876" t="s">
        <v>369</v>
      </c>
      <c r="R48" s="1878">
        <v>200156148</v>
      </c>
      <c r="S48" s="1775"/>
      <c r="T48" s="893"/>
      <c r="U48" s="1777"/>
      <c r="V48" s="1777"/>
      <c r="W48" s="1778"/>
      <c r="X48" s="1713">
        <v>0</v>
      </c>
      <c r="Y48" s="893"/>
    </row>
    <row r="49" spans="1:25" x14ac:dyDescent="0.2">
      <c r="F49" s="1779" t="s">
        <v>1627</v>
      </c>
      <c r="G49" s="31"/>
      <c r="I49" s="31"/>
      <c r="J49" s="1772"/>
      <c r="K49" s="1772"/>
      <c r="L49" s="1746"/>
      <c r="M49" s="31" t="s">
        <v>385</v>
      </c>
      <c r="R49" s="31"/>
      <c r="T49" s="31">
        <v>1</v>
      </c>
      <c r="U49" s="1746">
        <v>0.25</v>
      </c>
      <c r="V49" s="1746">
        <v>0.14099999999999999</v>
      </c>
      <c r="W49" s="1773">
        <f>V49*AtolbperftAccy</f>
        <v>8.8745399999999988E-2</v>
      </c>
      <c r="X49" s="1774">
        <f>U49*W49*AccSScostperlb</f>
        <v>3.3279524999999997E-2</v>
      </c>
    </row>
    <row r="50" spans="1:25" x14ac:dyDescent="0.2">
      <c r="F50" s="31"/>
      <c r="G50" s="31"/>
      <c r="I50" s="31"/>
      <c r="J50" s="1772"/>
      <c r="K50" s="1772"/>
      <c r="L50" s="1746"/>
      <c r="M50" s="31"/>
      <c r="O50" s="38" t="s">
        <v>369</v>
      </c>
      <c r="P50" s="3" t="s">
        <v>370</v>
      </c>
      <c r="Q50" s="38" t="s">
        <v>369</v>
      </c>
      <c r="R50" s="1784">
        <v>200156003001</v>
      </c>
      <c r="U50" s="1746"/>
      <c r="W50" s="1773"/>
      <c r="X50" s="1692">
        <v>4.3900000000000002E-2</v>
      </c>
    </row>
    <row r="51" spans="1:25" x14ac:dyDescent="0.2">
      <c r="F51" s="31"/>
      <c r="G51" s="31"/>
      <c r="I51" s="31"/>
      <c r="J51" s="1772"/>
      <c r="K51" s="1772"/>
      <c r="L51" s="1746"/>
      <c r="M51" s="31"/>
      <c r="O51" s="38" t="s">
        <v>369</v>
      </c>
      <c r="P51" s="3" t="s">
        <v>372</v>
      </c>
      <c r="Q51" s="38" t="s">
        <v>369</v>
      </c>
      <c r="R51" s="1784">
        <v>200156021001</v>
      </c>
      <c r="U51" s="1746"/>
      <c r="W51" s="1773"/>
      <c r="X51" s="1692">
        <v>4.8300000000000003E-2</v>
      </c>
    </row>
    <row r="52" spans="1:25" x14ac:dyDescent="0.2">
      <c r="F52" s="31"/>
      <c r="G52" s="31"/>
      <c r="I52" s="31"/>
      <c r="J52" s="1772"/>
      <c r="K52" s="1772"/>
      <c r="L52" s="1746"/>
      <c r="M52" s="31"/>
      <c r="O52" s="38" t="s">
        <v>369</v>
      </c>
      <c r="P52" s="3" t="s">
        <v>373</v>
      </c>
      <c r="Q52" s="38" t="s">
        <v>369</v>
      </c>
      <c r="R52" s="1784">
        <v>200156033001</v>
      </c>
      <c r="U52" s="1746"/>
      <c r="W52" s="1773"/>
      <c r="X52" s="1692">
        <v>5.16E-2</v>
      </c>
    </row>
    <row r="53" spans="1:25" x14ac:dyDescent="0.2">
      <c r="F53" s="31"/>
      <c r="G53" s="31"/>
      <c r="I53" s="31"/>
      <c r="J53" s="1772"/>
      <c r="K53" s="1772"/>
      <c r="L53" s="1746"/>
      <c r="M53" s="31"/>
      <c r="O53" s="38" t="s">
        <v>369</v>
      </c>
      <c r="P53" s="3" t="s">
        <v>374</v>
      </c>
      <c r="Q53" s="38" t="s">
        <v>369</v>
      </c>
      <c r="R53" s="1784">
        <v>200156090001</v>
      </c>
      <c r="U53" s="1746"/>
      <c r="W53" s="1773"/>
      <c r="X53" s="1692">
        <v>7.9299999999999995E-2</v>
      </c>
    </row>
    <row r="54" spans="1:25" x14ac:dyDescent="0.2">
      <c r="F54" s="31"/>
      <c r="G54" s="31"/>
      <c r="I54" s="31"/>
      <c r="J54" s="1772"/>
      <c r="K54" s="1772"/>
      <c r="L54" s="1746"/>
      <c r="M54" s="31"/>
      <c r="O54" s="38" t="s">
        <v>369</v>
      </c>
      <c r="P54" s="3" t="s">
        <v>375</v>
      </c>
      <c r="Q54" s="38" t="s">
        <v>369</v>
      </c>
      <c r="R54" s="1784">
        <v>200156133001</v>
      </c>
      <c r="U54" s="1746"/>
      <c r="W54" s="1773"/>
      <c r="X54" s="1774">
        <v>0</v>
      </c>
    </row>
    <row r="55" spans="1:25" ht="12" thickBot="1" x14ac:dyDescent="0.25">
      <c r="A55" s="893"/>
      <c r="B55" s="1102"/>
      <c r="C55" s="1102"/>
      <c r="D55" s="1102"/>
      <c r="E55" s="1775"/>
      <c r="F55" s="893"/>
      <c r="G55" s="893"/>
      <c r="H55" s="1102"/>
      <c r="I55" s="893"/>
      <c r="J55" s="1776"/>
      <c r="K55" s="1776"/>
      <c r="L55" s="1777"/>
      <c r="M55" s="893"/>
      <c r="N55" s="1775"/>
      <c r="O55" s="1876" t="s">
        <v>369</v>
      </c>
      <c r="P55" s="1877" t="s">
        <v>1849</v>
      </c>
      <c r="Q55" s="1876" t="s">
        <v>369</v>
      </c>
      <c r="R55" s="1925">
        <v>200156148001</v>
      </c>
      <c r="S55" s="1775"/>
      <c r="T55" s="893"/>
      <c r="U55" s="1777"/>
      <c r="V55" s="1777"/>
      <c r="W55" s="1778"/>
      <c r="X55" s="1713">
        <v>0</v>
      </c>
      <c r="Y55" s="893"/>
    </row>
    <row r="56" spans="1:25" ht="12" x14ac:dyDescent="0.25">
      <c r="A56" s="31">
        <f>A42+1</f>
        <v>7</v>
      </c>
      <c r="B56" s="845" t="s">
        <v>1628</v>
      </c>
      <c r="F56" s="1779" t="s">
        <v>1626</v>
      </c>
      <c r="G56" s="31"/>
      <c r="I56" s="31"/>
      <c r="J56" s="1772"/>
      <c r="K56" s="1772"/>
      <c r="L56" s="1746"/>
      <c r="M56" s="31" t="s">
        <v>367</v>
      </c>
      <c r="R56" s="31"/>
      <c r="T56" s="31">
        <v>1</v>
      </c>
      <c r="U56" s="1746">
        <v>1</v>
      </c>
      <c r="V56" s="1746">
        <v>7.8E-2</v>
      </c>
      <c r="W56" s="1773">
        <f>V56*AtolbperftAccy</f>
        <v>4.9093199999999997E-2</v>
      </c>
      <c r="X56" s="1774">
        <f>U56*W56*AccSScostperlb</f>
        <v>7.3639799999999991E-2</v>
      </c>
    </row>
    <row r="57" spans="1:25" x14ac:dyDescent="0.2">
      <c r="G57" s="31"/>
      <c r="I57" s="31"/>
      <c r="J57" s="1772"/>
      <c r="K57" s="1772"/>
      <c r="L57" s="1746"/>
      <c r="M57" s="31"/>
      <c r="O57" s="38" t="s">
        <v>369</v>
      </c>
      <c r="P57" s="3" t="s">
        <v>370</v>
      </c>
      <c r="Q57" s="38" t="s">
        <v>369</v>
      </c>
      <c r="R57" s="1574">
        <v>200157003</v>
      </c>
      <c r="U57" s="1746"/>
      <c r="W57" s="1773"/>
      <c r="X57" s="1692">
        <v>0.11</v>
      </c>
    </row>
    <row r="58" spans="1:25" x14ac:dyDescent="0.2">
      <c r="F58" s="31"/>
      <c r="G58" s="31"/>
      <c r="I58" s="31"/>
      <c r="J58" s="1772"/>
      <c r="K58" s="1772"/>
      <c r="L58" s="1746"/>
      <c r="M58" s="31"/>
      <c r="O58" s="38" t="s">
        <v>369</v>
      </c>
      <c r="P58" s="3" t="s">
        <v>372</v>
      </c>
      <c r="Q58" s="38" t="s">
        <v>369</v>
      </c>
      <c r="R58" s="1574">
        <v>200157021</v>
      </c>
      <c r="U58" s="1746"/>
      <c r="W58" s="1773"/>
      <c r="X58" s="1692">
        <v>0.12</v>
      </c>
    </row>
    <row r="59" spans="1:25" x14ac:dyDescent="0.2">
      <c r="F59" s="31"/>
      <c r="G59" s="31"/>
      <c r="I59" s="31"/>
      <c r="J59" s="1772"/>
      <c r="K59" s="1772"/>
      <c r="L59" s="1746"/>
      <c r="M59" s="31"/>
      <c r="O59" s="38" t="s">
        <v>369</v>
      </c>
      <c r="P59" s="3" t="s">
        <v>373</v>
      </c>
      <c r="Q59" s="38" t="s">
        <v>369</v>
      </c>
      <c r="R59" s="1574">
        <v>200157033</v>
      </c>
      <c r="U59" s="1746"/>
      <c r="W59" s="1773"/>
      <c r="X59" s="1692">
        <v>0.1278</v>
      </c>
    </row>
    <row r="60" spans="1:25" x14ac:dyDescent="0.2">
      <c r="F60" s="31"/>
      <c r="G60" s="31"/>
      <c r="I60" s="31"/>
      <c r="J60" s="1772"/>
      <c r="K60" s="1772"/>
      <c r="L60" s="1746"/>
      <c r="M60" s="31"/>
      <c r="O60" s="38" t="s">
        <v>369</v>
      </c>
      <c r="P60" s="3" t="s">
        <v>374</v>
      </c>
      <c r="Q60" s="38" t="s">
        <v>369</v>
      </c>
      <c r="R60" s="1574">
        <v>200157090</v>
      </c>
      <c r="U60" s="1746"/>
      <c r="W60" s="1773"/>
      <c r="X60" s="1692">
        <v>0.19120000000000001</v>
      </c>
    </row>
    <row r="61" spans="1:25" x14ac:dyDescent="0.2">
      <c r="F61" s="31"/>
      <c r="G61" s="31"/>
      <c r="I61" s="31"/>
      <c r="J61" s="1772"/>
      <c r="K61" s="1772"/>
      <c r="L61" s="1746"/>
      <c r="M61" s="31"/>
      <c r="O61" s="38" t="s">
        <v>369</v>
      </c>
      <c r="P61" s="3" t="s">
        <v>375</v>
      </c>
      <c r="Q61" s="38" t="s">
        <v>369</v>
      </c>
      <c r="R61" s="1574">
        <v>200157133</v>
      </c>
      <c r="U61" s="1746"/>
      <c r="W61" s="1773"/>
      <c r="X61" s="1774">
        <v>0</v>
      </c>
    </row>
    <row r="62" spans="1:25" ht="12" thickBot="1" x14ac:dyDescent="0.25">
      <c r="F62" s="893"/>
      <c r="G62" s="893"/>
      <c r="H62" s="1102"/>
      <c r="I62" s="893"/>
      <c r="J62" s="1776"/>
      <c r="K62" s="1776"/>
      <c r="L62" s="1777"/>
      <c r="M62" s="893"/>
      <c r="N62" s="1775"/>
      <c r="O62" s="888" t="s">
        <v>369</v>
      </c>
      <c r="P62" s="1877" t="s">
        <v>1849</v>
      </c>
      <c r="Q62" s="1876" t="s">
        <v>369</v>
      </c>
      <c r="R62" s="1926">
        <v>200157148</v>
      </c>
      <c r="S62" s="1775"/>
      <c r="T62" s="893"/>
      <c r="U62" s="1777"/>
      <c r="V62" s="1777"/>
      <c r="W62" s="1778"/>
      <c r="X62" s="1713">
        <v>0</v>
      </c>
      <c r="Y62" s="893"/>
    </row>
    <row r="63" spans="1:25" x14ac:dyDescent="0.2">
      <c r="F63" s="1779" t="s">
        <v>1627</v>
      </c>
      <c r="G63" s="31"/>
      <c r="I63" s="31"/>
      <c r="J63" s="1772"/>
      <c r="K63" s="1772"/>
      <c r="L63" s="1746"/>
      <c r="M63" s="31" t="s">
        <v>385</v>
      </c>
      <c r="O63" s="38"/>
      <c r="P63" s="3"/>
      <c r="Q63" s="38"/>
      <c r="R63" s="41"/>
      <c r="T63" s="31">
        <v>1</v>
      </c>
      <c r="U63" s="1746">
        <v>0.25</v>
      </c>
      <c r="V63" s="1746">
        <v>7.8E-2</v>
      </c>
      <c r="W63" s="1773">
        <f>V63*AtolbperftAccy</f>
        <v>4.9093199999999997E-2</v>
      </c>
      <c r="X63" s="1774">
        <f>U63*W63*AccSScostperlb</f>
        <v>1.8409949999999998E-2</v>
      </c>
    </row>
    <row r="64" spans="1:25" x14ac:dyDescent="0.2">
      <c r="G64" s="31"/>
      <c r="I64" s="31"/>
      <c r="J64" s="1772"/>
      <c r="K64" s="1772"/>
      <c r="L64" s="1746"/>
      <c r="M64" s="31"/>
      <c r="O64" s="38" t="s">
        <v>369</v>
      </c>
      <c r="P64" s="3" t="s">
        <v>370</v>
      </c>
      <c r="Q64" s="38" t="s">
        <v>369</v>
      </c>
      <c r="R64" s="1784">
        <v>200157003001</v>
      </c>
      <c r="U64" s="1746"/>
      <c r="W64" s="1773"/>
      <c r="X64" s="1692">
        <v>2.75E-2</v>
      </c>
    </row>
    <row r="65" spans="1:25" x14ac:dyDescent="0.2">
      <c r="F65" s="31"/>
      <c r="G65" s="31"/>
      <c r="I65" s="31"/>
      <c r="J65" s="1772"/>
      <c r="K65" s="1772"/>
      <c r="L65" s="1746"/>
      <c r="M65" s="31"/>
      <c r="O65" s="38" t="s">
        <v>369</v>
      </c>
      <c r="P65" s="3" t="s">
        <v>372</v>
      </c>
      <c r="Q65" s="38" t="s">
        <v>369</v>
      </c>
      <c r="R65" s="1784">
        <v>200157021001</v>
      </c>
      <c r="U65" s="1746"/>
      <c r="W65" s="1773"/>
      <c r="X65" s="1692">
        <v>0.03</v>
      </c>
    </row>
    <row r="66" spans="1:25" x14ac:dyDescent="0.2">
      <c r="F66" s="31"/>
      <c r="G66" s="31"/>
      <c r="I66" s="31"/>
      <c r="J66" s="1772"/>
      <c r="K66" s="1772"/>
      <c r="L66" s="1746"/>
      <c r="M66" s="31"/>
      <c r="O66" s="38" t="s">
        <v>369</v>
      </c>
      <c r="P66" s="3" t="s">
        <v>373</v>
      </c>
      <c r="Q66" s="38" t="s">
        <v>369</v>
      </c>
      <c r="R66" s="1784">
        <v>200157033001</v>
      </c>
      <c r="U66" s="1746"/>
      <c r="W66" s="1773"/>
      <c r="X66" s="1692">
        <v>3.2000000000000001E-2</v>
      </c>
    </row>
    <row r="67" spans="1:25" x14ac:dyDescent="0.2">
      <c r="F67" s="31"/>
      <c r="G67" s="31"/>
      <c r="I67" s="31"/>
      <c r="J67" s="1772"/>
      <c r="K67" s="1772"/>
      <c r="L67" s="1746"/>
      <c r="M67" s="31"/>
      <c r="O67" s="38" t="s">
        <v>369</v>
      </c>
      <c r="P67" s="3" t="s">
        <v>374</v>
      </c>
      <c r="Q67" s="38" t="s">
        <v>369</v>
      </c>
      <c r="R67" s="1445">
        <v>200157090001</v>
      </c>
      <c r="U67" s="1746"/>
      <c r="W67" s="1773"/>
      <c r="X67" s="1692">
        <v>4.7800000000000002E-2</v>
      </c>
    </row>
    <row r="68" spans="1:25" x14ac:dyDescent="0.2">
      <c r="F68" s="31"/>
      <c r="G68" s="31"/>
      <c r="I68" s="31"/>
      <c r="J68" s="1772"/>
      <c r="K68" s="1772"/>
      <c r="L68" s="1746"/>
      <c r="M68" s="31"/>
      <c r="O68" s="38" t="s">
        <v>369</v>
      </c>
      <c r="P68" s="3" t="s">
        <v>375</v>
      </c>
      <c r="Q68" s="38" t="s">
        <v>369</v>
      </c>
      <c r="R68" s="1784">
        <v>200157133001</v>
      </c>
      <c r="U68" s="1746"/>
      <c r="W68" s="1773"/>
      <c r="X68" s="1774">
        <v>0</v>
      </c>
    </row>
    <row r="69" spans="1:25" ht="12" thickBot="1" x14ac:dyDescent="0.25">
      <c r="A69" s="893"/>
      <c r="B69" s="1102"/>
      <c r="C69" s="1102"/>
      <c r="D69" s="1102"/>
      <c r="E69" s="1775"/>
      <c r="F69" s="893"/>
      <c r="G69" s="893"/>
      <c r="H69" s="1102"/>
      <c r="I69" s="893"/>
      <c r="J69" s="1776"/>
      <c r="K69" s="1776"/>
      <c r="L69" s="1777"/>
      <c r="M69" s="893"/>
      <c r="N69" s="1775"/>
      <c r="O69" s="1876" t="s">
        <v>369</v>
      </c>
      <c r="P69" s="1877" t="s">
        <v>1849</v>
      </c>
      <c r="Q69" s="1876" t="s">
        <v>369</v>
      </c>
      <c r="R69" s="1927">
        <v>200157148001</v>
      </c>
      <c r="S69" s="1775"/>
      <c r="T69" s="893"/>
      <c r="U69" s="1777"/>
      <c r="V69" s="1777"/>
      <c r="W69" s="1778"/>
      <c r="X69" s="1713">
        <v>0</v>
      </c>
      <c r="Y69" s="893"/>
    </row>
    <row r="70" spans="1:25" ht="12" x14ac:dyDescent="0.25">
      <c r="A70" s="31">
        <f>A56+1</f>
        <v>8</v>
      </c>
      <c r="B70" s="845" t="s">
        <v>1629</v>
      </c>
      <c r="F70" s="31"/>
      <c r="G70" s="31"/>
      <c r="I70" s="31"/>
      <c r="J70" s="1772"/>
      <c r="K70" s="1772"/>
      <c r="L70" s="1746"/>
      <c r="M70" s="31" t="s">
        <v>367</v>
      </c>
      <c r="R70" s="31"/>
      <c r="T70" s="31">
        <v>1</v>
      </c>
      <c r="U70" s="1746">
        <f>T70*L70</f>
        <v>0</v>
      </c>
      <c r="V70" s="1746">
        <v>7.8E-2</v>
      </c>
      <c r="W70" s="1773">
        <f>V70*AtolbperftAccy</f>
        <v>4.9093199999999997E-2</v>
      </c>
      <c r="X70" s="1774">
        <f>W70*AccSScostperlb</f>
        <v>7.3639799999999991E-2</v>
      </c>
    </row>
    <row r="71" spans="1:25" x14ac:dyDescent="0.2">
      <c r="D71" s="354" t="s">
        <v>1630</v>
      </c>
      <c r="G71" s="31"/>
      <c r="I71" s="31"/>
      <c r="J71" s="1772"/>
      <c r="K71" s="1772"/>
      <c r="L71" s="1746"/>
      <c r="M71" s="31"/>
      <c r="O71" s="38" t="s">
        <v>369</v>
      </c>
      <c r="P71" s="3" t="s">
        <v>370</v>
      </c>
      <c r="Q71" s="38" t="s">
        <v>369</v>
      </c>
      <c r="R71" s="1574">
        <v>200116003</v>
      </c>
      <c r="U71" s="1746"/>
      <c r="W71" s="1773"/>
      <c r="X71" s="1692">
        <v>9.4100000000000003E-2</v>
      </c>
    </row>
    <row r="72" spans="1:25" x14ac:dyDescent="0.2">
      <c r="F72" s="31"/>
      <c r="G72" s="31"/>
      <c r="I72" s="31"/>
      <c r="J72" s="1772"/>
      <c r="K72" s="1772"/>
      <c r="L72" s="1746"/>
      <c r="M72" s="31"/>
      <c r="O72" s="38" t="s">
        <v>369</v>
      </c>
      <c r="P72" s="3" t="s">
        <v>372</v>
      </c>
      <c r="Q72" s="38" t="s">
        <v>369</v>
      </c>
      <c r="R72" s="1574">
        <v>200116021</v>
      </c>
      <c r="U72" s="1746"/>
      <c r="W72" s="1773"/>
      <c r="X72" s="1692">
        <v>0.10440000000000001</v>
      </c>
    </row>
    <row r="73" spans="1:25" x14ac:dyDescent="0.2">
      <c r="F73" s="31"/>
      <c r="G73" s="31"/>
      <c r="I73" s="31"/>
      <c r="J73" s="1772"/>
      <c r="K73" s="1772"/>
      <c r="L73" s="1746"/>
      <c r="M73" s="31"/>
      <c r="O73" s="38" t="s">
        <v>369</v>
      </c>
      <c r="P73" s="3" t="s">
        <v>373</v>
      </c>
      <c r="Q73" s="38" t="s">
        <v>369</v>
      </c>
      <c r="R73" s="1574">
        <v>200116033</v>
      </c>
      <c r="U73" s="1746"/>
      <c r="W73" s="1773"/>
      <c r="X73" s="1692">
        <v>0.1123</v>
      </c>
    </row>
    <row r="74" spans="1:25" x14ac:dyDescent="0.2">
      <c r="F74" s="31"/>
      <c r="G74" s="31"/>
      <c r="I74" s="31"/>
      <c r="J74" s="1772"/>
      <c r="K74" s="1772"/>
      <c r="L74" s="1746"/>
      <c r="M74" s="31"/>
      <c r="O74" s="38" t="s">
        <v>369</v>
      </c>
      <c r="P74" s="3" t="s">
        <v>374</v>
      </c>
      <c r="Q74" s="38" t="s">
        <v>369</v>
      </c>
      <c r="R74" s="1574">
        <v>200116090</v>
      </c>
      <c r="U74" s="1746"/>
      <c r="W74" s="1773"/>
    </row>
    <row r="75" spans="1:25" ht="12" thickBot="1" x14ac:dyDescent="0.25">
      <c r="A75" s="893"/>
      <c r="B75" s="1102"/>
      <c r="C75" s="1102"/>
      <c r="D75" s="1102"/>
      <c r="E75" s="1775"/>
      <c r="F75" s="893"/>
      <c r="G75" s="893"/>
      <c r="H75" s="1102"/>
      <c r="I75" s="893"/>
      <c r="J75" s="1776"/>
      <c r="K75" s="1776"/>
      <c r="L75" s="1777"/>
      <c r="M75" s="893"/>
      <c r="N75" s="1775"/>
      <c r="O75" s="888" t="s">
        <v>369</v>
      </c>
      <c r="P75" s="889" t="s">
        <v>375</v>
      </c>
      <c r="Q75" s="888" t="s">
        <v>369</v>
      </c>
      <c r="R75" s="1661">
        <v>200116133</v>
      </c>
      <c r="S75" s="1775"/>
      <c r="T75" s="893"/>
      <c r="U75" s="1777"/>
      <c r="V75" s="1777"/>
      <c r="W75" s="1778"/>
      <c r="X75" s="1822">
        <v>0</v>
      </c>
      <c r="Y75" s="893"/>
    </row>
    <row r="77" spans="1:25" ht="12" x14ac:dyDescent="0.25">
      <c r="A77" s="31">
        <f>A70+1</f>
        <v>9</v>
      </c>
      <c r="B77" s="845" t="s">
        <v>1876</v>
      </c>
      <c r="F77" s="31"/>
      <c r="G77" s="31"/>
      <c r="I77" s="31"/>
      <c r="J77" s="1772"/>
      <c r="K77" s="1772"/>
      <c r="L77" s="1746"/>
      <c r="M77" s="31"/>
      <c r="O77" s="38"/>
      <c r="P77" s="3"/>
      <c r="Q77" s="38"/>
      <c r="R77" s="1574" t="s">
        <v>2168</v>
      </c>
      <c r="U77" s="1746"/>
      <c r="W77" s="1773"/>
    </row>
    <row r="78" spans="1:25" x14ac:dyDescent="0.2">
      <c r="F78" s="1779" t="s">
        <v>2166</v>
      </c>
      <c r="G78" s="31"/>
      <c r="I78" s="31"/>
      <c r="J78" s="1772"/>
      <c r="K78" s="1772"/>
      <c r="L78" s="1746"/>
      <c r="M78" s="31"/>
      <c r="O78" s="38"/>
      <c r="P78" s="3"/>
      <c r="Q78" s="38"/>
      <c r="R78" s="1574">
        <v>250015000</v>
      </c>
      <c r="U78" s="1746"/>
      <c r="W78" s="1773"/>
    </row>
    <row r="79" spans="1:25" x14ac:dyDescent="0.2">
      <c r="F79" s="31"/>
      <c r="G79" s="31"/>
      <c r="I79" s="31"/>
      <c r="J79" s="1772"/>
      <c r="K79" s="1772"/>
      <c r="L79" s="1746"/>
      <c r="M79" s="31"/>
      <c r="O79" s="38"/>
      <c r="P79" s="3"/>
      <c r="Q79" s="38"/>
      <c r="R79" s="1574"/>
      <c r="U79" s="1746"/>
      <c r="W79" s="1773"/>
    </row>
    <row r="80" spans="1:25" ht="12" thickBot="1" x14ac:dyDescent="0.25">
      <c r="A80" s="893"/>
      <c r="B80" s="1102"/>
      <c r="C80" s="1102"/>
      <c r="D80" s="1102"/>
      <c r="E80" s="1775"/>
      <c r="F80" s="893"/>
      <c r="G80" s="893"/>
      <c r="H80" s="1102"/>
      <c r="I80" s="893"/>
      <c r="J80" s="1776"/>
      <c r="K80" s="1776"/>
      <c r="L80" s="1777"/>
      <c r="M80" s="893"/>
      <c r="N80" s="1775"/>
      <c r="O80" s="888"/>
      <c r="P80" s="889"/>
      <c r="Q80" s="888"/>
      <c r="R80" s="1661"/>
      <c r="S80" s="1775"/>
      <c r="T80" s="893"/>
      <c r="U80" s="1777"/>
      <c r="V80" s="1777"/>
      <c r="W80" s="1778"/>
      <c r="X80" s="1713"/>
      <c r="Y80" s="893"/>
    </row>
    <row r="81" spans="1:25" ht="12" x14ac:dyDescent="0.25">
      <c r="A81" s="31">
        <f>A77+1</f>
        <v>10</v>
      </c>
      <c r="B81" s="845" t="s">
        <v>2089</v>
      </c>
      <c r="F81" s="31"/>
      <c r="G81" s="31"/>
      <c r="I81" s="31"/>
      <c r="J81" s="1772"/>
      <c r="K81" s="1772"/>
      <c r="L81" s="1746"/>
      <c r="M81" s="31"/>
      <c r="O81" s="38"/>
      <c r="P81" s="3"/>
      <c r="Q81" s="38"/>
      <c r="R81" s="1574"/>
      <c r="U81" s="1746"/>
      <c r="W81" s="1773"/>
    </row>
    <row r="82" spans="1:25" x14ac:dyDescent="0.2">
      <c r="F82" s="1779" t="s">
        <v>2166</v>
      </c>
      <c r="G82" s="31"/>
      <c r="I82" s="31"/>
      <c r="J82" s="1772"/>
      <c r="K82" s="1772"/>
      <c r="L82" s="1746"/>
      <c r="M82" s="31"/>
      <c r="O82" s="38"/>
      <c r="P82" s="3"/>
      <c r="Q82" s="38"/>
      <c r="R82" s="1574">
        <v>250019000</v>
      </c>
      <c r="U82" s="1746"/>
      <c r="W82" s="1773"/>
    </row>
    <row r="83" spans="1:25" x14ac:dyDescent="0.2">
      <c r="F83" s="31"/>
      <c r="G83" s="31"/>
      <c r="I83" s="31"/>
      <c r="J83" s="1772"/>
      <c r="K83" s="1772"/>
      <c r="L83" s="1746"/>
      <c r="M83" s="31"/>
      <c r="O83" s="38"/>
      <c r="P83" s="3"/>
      <c r="Q83" s="38"/>
      <c r="R83" s="1574"/>
      <c r="U83" s="1746"/>
      <c r="W83" s="1773"/>
    </row>
    <row r="84" spans="1:25" ht="12" thickBot="1" x14ac:dyDescent="0.25">
      <c r="A84" s="893"/>
      <c r="B84" s="1102"/>
      <c r="C84" s="1102"/>
      <c r="D84" s="1102"/>
      <c r="E84" s="1775"/>
      <c r="F84" s="893"/>
      <c r="G84" s="893"/>
      <c r="H84" s="1102"/>
      <c r="I84" s="893"/>
      <c r="J84" s="1776"/>
      <c r="K84" s="1776"/>
      <c r="L84" s="1777"/>
      <c r="M84" s="893"/>
      <c r="N84" s="1775"/>
      <c r="O84" s="888"/>
      <c r="P84" s="889"/>
      <c r="Q84" s="888"/>
      <c r="R84" s="1661"/>
      <c r="S84" s="1775"/>
      <c r="T84" s="893"/>
      <c r="U84" s="1777"/>
      <c r="V84" s="1777"/>
      <c r="W84" s="1778"/>
      <c r="X84" s="1713"/>
      <c r="Y84" s="893"/>
    </row>
    <row r="85" spans="1:25" ht="12" x14ac:dyDescent="0.25">
      <c r="A85" s="31">
        <f>A81+1</f>
        <v>11</v>
      </c>
      <c r="B85" s="845" t="s">
        <v>1631</v>
      </c>
      <c r="F85" s="31"/>
      <c r="G85" s="31"/>
      <c r="I85" s="31"/>
      <c r="J85" s="1772"/>
      <c r="K85" s="1772"/>
      <c r="L85" s="1746"/>
      <c r="M85" s="31" t="s">
        <v>367</v>
      </c>
      <c r="R85" s="1574"/>
      <c r="T85" s="31">
        <v>1</v>
      </c>
      <c r="U85" s="1746">
        <f>T85*L85</f>
        <v>0</v>
      </c>
      <c r="V85" s="1746">
        <v>9.4E-2</v>
      </c>
      <c r="W85" s="1773">
        <f>V85*AtolbperftAccy</f>
        <v>5.9163599999999997E-2</v>
      </c>
      <c r="X85" s="1774">
        <f>W85*AccSScostperlb</f>
        <v>8.8745400000000002E-2</v>
      </c>
    </row>
    <row r="86" spans="1:25" x14ac:dyDescent="0.2">
      <c r="F86" s="31"/>
      <c r="G86" s="31"/>
      <c r="I86" s="31"/>
      <c r="J86" s="1772"/>
      <c r="K86" s="1772"/>
      <c r="L86" s="1746"/>
      <c r="M86" s="31"/>
      <c r="O86" s="38" t="s">
        <v>369</v>
      </c>
      <c r="P86" s="3" t="s">
        <v>370</v>
      </c>
      <c r="Q86" s="38" t="s">
        <v>369</v>
      </c>
      <c r="R86" s="1574">
        <v>200178003</v>
      </c>
      <c r="U86" s="1746"/>
      <c r="W86" s="1773"/>
      <c r="X86" s="1692">
        <v>0.10589999999999999</v>
      </c>
    </row>
    <row r="87" spans="1:25" x14ac:dyDescent="0.2">
      <c r="M87" s="31"/>
      <c r="O87" s="38" t="s">
        <v>369</v>
      </c>
      <c r="P87" s="3" t="s">
        <v>372</v>
      </c>
      <c r="Q87" s="38" t="s">
        <v>369</v>
      </c>
      <c r="R87" s="1574">
        <v>200178021</v>
      </c>
      <c r="X87" s="1692">
        <v>0.1183</v>
      </c>
    </row>
    <row r="88" spans="1:25" x14ac:dyDescent="0.2">
      <c r="L88" s="1780"/>
      <c r="M88" s="31"/>
      <c r="O88" s="38" t="s">
        <v>369</v>
      </c>
      <c r="P88" s="3" t="s">
        <v>373</v>
      </c>
      <c r="Q88" s="38" t="s">
        <v>369</v>
      </c>
      <c r="R88" s="1574">
        <v>200178033</v>
      </c>
      <c r="U88" s="1746"/>
      <c r="W88" s="1773"/>
      <c r="X88" s="1692">
        <v>0.1108</v>
      </c>
    </row>
    <row r="89" spans="1:25" x14ac:dyDescent="0.2">
      <c r="L89" s="1780"/>
      <c r="M89" s="31"/>
      <c r="O89" s="38" t="s">
        <v>369</v>
      </c>
      <c r="P89" s="3" t="s">
        <v>375</v>
      </c>
      <c r="Q89" s="38" t="s">
        <v>369</v>
      </c>
      <c r="R89" s="1574">
        <v>200178133</v>
      </c>
      <c r="U89" s="1746"/>
      <c r="W89" s="1773"/>
      <c r="X89" s="1774">
        <v>0</v>
      </c>
    </row>
    <row r="90" spans="1:25" x14ac:dyDescent="0.2">
      <c r="L90" s="1780"/>
      <c r="M90" s="31"/>
      <c r="O90" s="38" t="s">
        <v>369</v>
      </c>
      <c r="P90" s="3" t="s">
        <v>374</v>
      </c>
      <c r="Q90" s="38" t="s">
        <v>369</v>
      </c>
      <c r="R90" s="1574">
        <v>200178090</v>
      </c>
      <c r="U90" s="1746"/>
      <c r="W90" s="1773"/>
    </row>
    <row r="91" spans="1:25" ht="12" thickBot="1" x14ac:dyDescent="0.25">
      <c r="A91" s="893"/>
      <c r="B91" s="1102"/>
      <c r="C91" s="1102"/>
      <c r="D91" s="1102"/>
      <c r="E91" s="1775"/>
      <c r="F91" s="1102"/>
      <c r="G91" s="1102"/>
      <c r="H91" s="1102"/>
      <c r="I91" s="1102"/>
      <c r="J91" s="1102"/>
      <c r="K91" s="1102"/>
      <c r="L91" s="1781"/>
      <c r="M91" s="893"/>
      <c r="N91" s="1775"/>
      <c r="O91" s="1876" t="s">
        <v>369</v>
      </c>
      <c r="P91" s="1877" t="s">
        <v>1849</v>
      </c>
      <c r="Q91" s="1876" t="s">
        <v>369</v>
      </c>
      <c r="R91" s="1926">
        <v>200178148</v>
      </c>
      <c r="S91" s="1775"/>
      <c r="T91" s="893"/>
      <c r="U91" s="1777"/>
      <c r="V91" s="1777"/>
      <c r="W91" s="1778"/>
      <c r="X91" s="1713">
        <v>0</v>
      </c>
      <c r="Y91" s="893"/>
    </row>
    <row r="92" spans="1:25" ht="12" x14ac:dyDescent="0.25">
      <c r="A92" s="31">
        <f>A85+1</f>
        <v>12</v>
      </c>
      <c r="B92" s="845" t="s">
        <v>1632</v>
      </c>
      <c r="F92" s="31"/>
      <c r="G92" s="31"/>
      <c r="I92" s="31"/>
      <c r="J92" s="1772"/>
      <c r="K92" s="1772"/>
      <c r="L92" s="1746"/>
      <c r="M92" s="31" t="s">
        <v>367</v>
      </c>
      <c r="R92" s="1574"/>
      <c r="T92" s="31">
        <v>1</v>
      </c>
      <c r="U92" s="1746">
        <f>T92*L92</f>
        <v>0</v>
      </c>
      <c r="V92" s="1746">
        <v>8.8999999999999996E-2</v>
      </c>
      <c r="W92" s="1773">
        <f>V92*AtolbperftAccy</f>
        <v>5.6016599999999993E-2</v>
      </c>
      <c r="X92" s="1774">
        <f>W92*AccSScostperlb</f>
        <v>8.4024899999999986E-2</v>
      </c>
    </row>
    <row r="93" spans="1:25" x14ac:dyDescent="0.2">
      <c r="F93" s="31"/>
      <c r="G93" s="31"/>
      <c r="I93" s="31"/>
      <c r="J93" s="1772"/>
      <c r="K93" s="1772"/>
      <c r="L93" s="1746"/>
      <c r="M93" s="31"/>
      <c r="O93" s="38" t="s">
        <v>369</v>
      </c>
      <c r="P93" s="3" t="s">
        <v>370</v>
      </c>
      <c r="Q93" s="38" t="s">
        <v>369</v>
      </c>
      <c r="R93" s="1574">
        <v>200185003</v>
      </c>
      <c r="U93" s="1746"/>
      <c r="W93" s="1773"/>
      <c r="X93" s="1692">
        <v>9.3299999999999994E-2</v>
      </c>
    </row>
    <row r="94" spans="1:25" x14ac:dyDescent="0.2">
      <c r="F94" s="31"/>
      <c r="G94" s="31"/>
      <c r="I94" s="31"/>
      <c r="J94" s="1772"/>
      <c r="K94" s="1772"/>
      <c r="L94" s="1746"/>
      <c r="M94" s="31"/>
      <c r="O94" s="38" t="s">
        <v>369</v>
      </c>
      <c r="P94" s="3" t="s">
        <v>372</v>
      </c>
      <c r="Q94" s="38" t="s">
        <v>369</v>
      </c>
      <c r="R94" s="1574">
        <v>200185021</v>
      </c>
      <c r="U94" s="1746"/>
      <c r="W94" s="1773"/>
      <c r="X94" s="1692">
        <v>0.10879999999999999</v>
      </c>
    </row>
    <row r="95" spans="1:25" ht="12" thickBot="1" x14ac:dyDescent="0.25">
      <c r="A95" s="893"/>
      <c r="B95" s="1102"/>
      <c r="C95" s="1102"/>
      <c r="D95" s="1102"/>
      <c r="E95" s="1775"/>
      <c r="F95" s="893"/>
      <c r="G95" s="893"/>
      <c r="H95" s="1102"/>
      <c r="I95" s="893"/>
      <c r="J95" s="1776"/>
      <c r="K95" s="1776"/>
      <c r="L95" s="1777"/>
      <c r="M95" s="893"/>
      <c r="N95" s="1775"/>
      <c r="O95" s="888" t="s">
        <v>369</v>
      </c>
      <c r="P95" s="889" t="s">
        <v>373</v>
      </c>
      <c r="Q95" s="888" t="s">
        <v>369</v>
      </c>
      <c r="R95" s="1661">
        <v>200185033</v>
      </c>
      <c r="S95" s="1775"/>
      <c r="T95" s="893"/>
      <c r="U95" s="1777"/>
      <c r="V95" s="1777"/>
      <c r="W95" s="1778"/>
      <c r="X95" s="1713">
        <v>0.11070000000000001</v>
      </c>
      <c r="Y95" s="893"/>
    </row>
    <row r="96" spans="1:25" ht="12" x14ac:dyDescent="0.25">
      <c r="A96" s="31">
        <f>A92+1</f>
        <v>13</v>
      </c>
      <c r="B96" s="845" t="s">
        <v>1633</v>
      </c>
      <c r="F96" s="31"/>
      <c r="G96" s="31"/>
      <c r="I96" s="31"/>
      <c r="J96" s="1772"/>
      <c r="K96" s="1772"/>
      <c r="L96" s="1746"/>
      <c r="M96" s="31" t="s">
        <v>367</v>
      </c>
      <c r="R96" s="1574"/>
      <c r="T96" s="31">
        <v>1</v>
      </c>
      <c r="U96" s="1746">
        <f>T96*L96</f>
        <v>0</v>
      </c>
      <c r="V96" s="1746">
        <v>0.22500000000000001</v>
      </c>
      <c r="W96" s="1773">
        <f>V96*AtolbperftAccy</f>
        <v>0.14161499999999999</v>
      </c>
      <c r="X96" s="1774">
        <f>W96*AccSScostperlb</f>
        <v>0.21242249999999999</v>
      </c>
    </row>
    <row r="97" spans="1:25" x14ac:dyDescent="0.2">
      <c r="F97" s="31"/>
      <c r="G97" s="31"/>
      <c r="I97" s="31"/>
      <c r="J97" s="1772"/>
      <c r="K97" s="1772"/>
      <c r="L97" s="1746"/>
      <c r="M97" s="31"/>
      <c r="O97" s="38" t="s">
        <v>369</v>
      </c>
      <c r="P97" s="3" t="s">
        <v>370</v>
      </c>
      <c r="Q97" s="38" t="s">
        <v>369</v>
      </c>
      <c r="R97" s="1574">
        <v>200167003</v>
      </c>
      <c r="U97" s="1746"/>
      <c r="W97" s="1773"/>
      <c r="X97" s="1692">
        <v>0.21179999999999999</v>
      </c>
    </row>
    <row r="98" spans="1:25" x14ac:dyDescent="0.2">
      <c r="F98" s="31"/>
      <c r="G98" s="31"/>
      <c r="I98" s="31"/>
      <c r="J98" s="1772"/>
      <c r="K98" s="1772"/>
      <c r="L98" s="1746"/>
      <c r="M98" s="31"/>
      <c r="O98" s="38" t="s">
        <v>369</v>
      </c>
      <c r="P98" s="3" t="s">
        <v>372</v>
      </c>
      <c r="Q98" s="38" t="s">
        <v>369</v>
      </c>
      <c r="R98" s="1574">
        <v>200167021</v>
      </c>
      <c r="U98" s="1746"/>
      <c r="W98" s="1773"/>
      <c r="X98" s="1692">
        <v>0.248</v>
      </c>
    </row>
    <row r="99" spans="1:25" x14ac:dyDescent="0.2">
      <c r="F99" s="31"/>
      <c r="G99" s="31"/>
      <c r="I99" s="31"/>
      <c r="J99" s="1772"/>
      <c r="K99" s="1772"/>
      <c r="L99" s="1746"/>
      <c r="M99" s="31"/>
      <c r="O99" s="38" t="s">
        <v>369</v>
      </c>
      <c r="P99" s="3" t="s">
        <v>373</v>
      </c>
      <c r="Q99" s="38" t="s">
        <v>369</v>
      </c>
      <c r="R99" s="1574">
        <v>200167033</v>
      </c>
      <c r="U99" s="1746"/>
      <c r="W99" s="1773"/>
      <c r="X99" s="1692">
        <v>0.25240000000000001</v>
      </c>
    </row>
    <row r="100" spans="1:25" x14ac:dyDescent="0.2">
      <c r="F100" s="31"/>
      <c r="G100" s="31"/>
      <c r="I100" s="31"/>
      <c r="J100" s="1772"/>
      <c r="K100" s="1772"/>
      <c r="L100" s="1746"/>
      <c r="M100" s="31"/>
      <c r="O100" s="38" t="s">
        <v>369</v>
      </c>
      <c r="P100" s="3" t="s">
        <v>374</v>
      </c>
      <c r="Q100" s="38" t="s">
        <v>369</v>
      </c>
      <c r="R100" s="1574">
        <v>200167090</v>
      </c>
      <c r="U100" s="1746"/>
      <c r="W100" s="1773"/>
    </row>
    <row r="101" spans="1:25" x14ac:dyDescent="0.2">
      <c r="F101" s="31"/>
      <c r="G101" s="31"/>
      <c r="I101" s="31"/>
      <c r="J101" s="1772"/>
      <c r="K101" s="1772"/>
      <c r="L101" s="1746"/>
      <c r="M101" s="31"/>
      <c r="O101" s="38" t="s">
        <v>369</v>
      </c>
      <c r="P101" s="3" t="s">
        <v>375</v>
      </c>
      <c r="Q101" s="38" t="s">
        <v>369</v>
      </c>
      <c r="R101" s="1574">
        <v>200167133</v>
      </c>
      <c r="U101" s="1746"/>
      <c r="W101" s="1773"/>
      <c r="X101" s="1774">
        <v>0</v>
      </c>
    </row>
    <row r="102" spans="1:25" ht="12" thickBot="1" x14ac:dyDescent="0.25">
      <c r="A102" s="893"/>
      <c r="B102" s="1102"/>
      <c r="C102" s="1102"/>
      <c r="D102" s="1102"/>
      <c r="E102" s="1775"/>
      <c r="F102" s="893"/>
      <c r="G102" s="893"/>
      <c r="H102" s="1102"/>
      <c r="I102" s="893"/>
      <c r="J102" s="1776"/>
      <c r="K102" s="1776"/>
      <c r="L102" s="1777"/>
      <c r="M102" s="893"/>
      <c r="N102" s="1775"/>
      <c r="O102" s="1876" t="s">
        <v>369</v>
      </c>
      <c r="P102" s="1877" t="s">
        <v>1849</v>
      </c>
      <c r="Q102" s="1876" t="s">
        <v>369</v>
      </c>
      <c r="R102" s="1926">
        <v>200167148</v>
      </c>
      <c r="S102" s="1775"/>
      <c r="T102" s="893"/>
      <c r="U102" s="1777"/>
      <c r="V102" s="1777"/>
      <c r="W102" s="1778"/>
      <c r="X102" s="1713">
        <v>0</v>
      </c>
      <c r="Y102" s="893"/>
    </row>
    <row r="103" spans="1:25" s="4" customFormat="1" ht="12" x14ac:dyDescent="0.2">
      <c r="A103" s="3">
        <f>A96+1</f>
        <v>14</v>
      </c>
      <c r="B103" s="7" t="s">
        <v>1634</v>
      </c>
      <c r="E103" s="10"/>
      <c r="F103" s="3"/>
      <c r="G103" s="3"/>
      <c r="I103" s="3"/>
      <c r="J103" s="1786"/>
      <c r="K103" s="1786"/>
      <c r="L103" s="5"/>
      <c r="M103" s="3" t="s">
        <v>367</v>
      </c>
      <c r="N103" s="10"/>
      <c r="R103" s="1443"/>
      <c r="S103" s="10"/>
      <c r="T103" s="3">
        <v>1</v>
      </c>
      <c r="U103" s="5">
        <f>T103*L103</f>
        <v>0</v>
      </c>
      <c r="V103" s="5"/>
      <c r="W103" s="1773"/>
      <c r="X103" s="1774"/>
      <c r="Y103" s="3"/>
    </row>
    <row r="104" spans="1:25" s="4" customFormat="1" x14ac:dyDescent="0.2">
      <c r="A104" s="3"/>
      <c r="E104" s="10"/>
      <c r="F104" s="3"/>
      <c r="G104" s="3"/>
      <c r="I104" s="3"/>
      <c r="J104" s="1786"/>
      <c r="K104" s="1786"/>
      <c r="L104" s="5"/>
      <c r="M104" s="3"/>
      <c r="N104" s="10"/>
      <c r="O104" s="38" t="s">
        <v>369</v>
      </c>
      <c r="P104" s="3" t="s">
        <v>370</v>
      </c>
      <c r="Q104" s="38" t="s">
        <v>369</v>
      </c>
      <c r="R104" s="1574">
        <v>200175003</v>
      </c>
      <c r="S104" s="10"/>
      <c r="T104" s="3"/>
      <c r="U104" s="5"/>
      <c r="V104" s="5"/>
      <c r="X104" s="51">
        <v>0.56840000000000002</v>
      </c>
      <c r="Y104" s="3"/>
    </row>
    <row r="105" spans="1:25" s="4" customFormat="1" x14ac:dyDescent="0.2">
      <c r="A105" s="3"/>
      <c r="E105" s="10"/>
      <c r="F105" s="3"/>
      <c r="G105" s="3"/>
      <c r="I105" s="3"/>
      <c r="J105" s="1786"/>
      <c r="K105" s="1786"/>
      <c r="L105" s="5"/>
      <c r="M105" s="3"/>
      <c r="N105" s="10"/>
      <c r="O105" s="38" t="s">
        <v>369</v>
      </c>
      <c r="P105" s="3" t="s">
        <v>372</v>
      </c>
      <c r="Q105" s="38" t="s">
        <v>369</v>
      </c>
      <c r="R105" s="1574">
        <v>200175021</v>
      </c>
      <c r="S105" s="10"/>
      <c r="T105" s="3"/>
      <c r="U105" s="5"/>
      <c r="V105" s="5"/>
      <c r="W105" s="77"/>
      <c r="X105" s="51">
        <v>0.61370000000000002</v>
      </c>
      <c r="Y105" s="3"/>
    </row>
    <row r="106" spans="1:25" s="4" customFormat="1" x14ac:dyDescent="0.2">
      <c r="A106" s="3"/>
      <c r="E106" s="10"/>
      <c r="F106" s="3"/>
      <c r="G106" s="3"/>
      <c r="I106" s="3"/>
      <c r="J106" s="1786"/>
      <c r="K106" s="1786"/>
      <c r="L106" s="5"/>
      <c r="M106" s="3"/>
      <c r="N106" s="10"/>
      <c r="O106" s="38" t="s">
        <v>369</v>
      </c>
      <c r="P106" s="3" t="s">
        <v>373</v>
      </c>
      <c r="Q106" s="38" t="s">
        <v>369</v>
      </c>
      <c r="R106" s="1574">
        <v>200175033</v>
      </c>
      <c r="S106" s="10"/>
      <c r="T106" s="3"/>
      <c r="U106" s="5"/>
      <c r="V106" s="5"/>
      <c r="W106" s="77"/>
      <c r="X106" s="51">
        <v>0.67579999999999996</v>
      </c>
      <c r="Y106" s="3"/>
    </row>
    <row r="107" spans="1:25" s="4" customFormat="1" x14ac:dyDescent="0.4">
      <c r="A107" s="3"/>
      <c r="E107" s="10"/>
      <c r="F107" s="3"/>
      <c r="G107" s="3"/>
      <c r="I107" s="3"/>
      <c r="J107" s="1786"/>
      <c r="K107" s="1786"/>
      <c r="L107" s="5"/>
      <c r="M107" s="3"/>
      <c r="N107" s="10"/>
      <c r="O107" s="3" t="s">
        <v>2363</v>
      </c>
      <c r="P107" s="3" t="s">
        <v>370</v>
      </c>
      <c r="Q107" s="38" t="s">
        <v>369</v>
      </c>
      <c r="R107" s="1443">
        <v>200175127</v>
      </c>
      <c r="S107" s="10"/>
      <c r="T107" s="3"/>
      <c r="U107" s="5"/>
      <c r="V107" s="5"/>
      <c r="W107" s="77"/>
      <c r="X107" s="51"/>
      <c r="Y107" s="3"/>
    </row>
    <row r="108" spans="1:25" s="4" customFormat="1" x14ac:dyDescent="0.4">
      <c r="A108" s="3"/>
      <c r="E108" s="10"/>
      <c r="F108" s="3"/>
      <c r="G108" s="3"/>
      <c r="I108" s="3"/>
      <c r="J108" s="1786"/>
      <c r="K108" s="1786"/>
      <c r="L108" s="5"/>
      <c r="M108" s="3"/>
      <c r="N108" s="10"/>
      <c r="O108" s="38" t="s">
        <v>2365</v>
      </c>
      <c r="P108" s="3" t="s">
        <v>370</v>
      </c>
      <c r="Q108" s="38" t="s">
        <v>369</v>
      </c>
      <c r="R108" s="1443">
        <v>200175180</v>
      </c>
      <c r="S108" s="10"/>
      <c r="T108" s="3"/>
      <c r="U108" s="5"/>
      <c r="V108" s="5"/>
      <c r="W108" s="77"/>
      <c r="X108" s="844">
        <v>0</v>
      </c>
      <c r="Y108" s="3"/>
    </row>
    <row r="109" spans="1:25" s="4" customFormat="1" ht="12" thickBot="1" x14ac:dyDescent="0.45">
      <c r="A109" s="889"/>
      <c r="B109" s="968"/>
      <c r="C109" s="968"/>
      <c r="D109" s="968"/>
      <c r="E109" s="1422"/>
      <c r="F109" s="889"/>
      <c r="G109" s="889"/>
      <c r="H109" s="968"/>
      <c r="I109" s="889"/>
      <c r="J109" s="1787"/>
      <c r="K109" s="1787"/>
      <c r="L109" s="945"/>
      <c r="M109" s="889"/>
      <c r="N109" s="1422"/>
      <c r="O109" s="1877" t="s">
        <v>2367</v>
      </c>
      <c r="P109" s="1877" t="s">
        <v>370</v>
      </c>
      <c r="Q109" s="1876" t="s">
        <v>369</v>
      </c>
      <c r="R109" s="1878">
        <v>200175152</v>
      </c>
      <c r="S109" s="1422"/>
      <c r="T109" s="889"/>
      <c r="U109" s="945"/>
      <c r="V109" s="945"/>
      <c r="W109" s="1788"/>
      <c r="X109" s="937">
        <v>0</v>
      </c>
      <c r="Y109" s="889"/>
    </row>
    <row r="110" spans="1:25" ht="12" x14ac:dyDescent="0.2">
      <c r="A110" s="31">
        <f>A103+1</f>
        <v>15</v>
      </c>
      <c r="B110" s="7" t="s">
        <v>1635</v>
      </c>
      <c r="F110" s="31"/>
      <c r="G110" s="31"/>
      <c r="I110" s="31"/>
      <c r="J110" s="1772"/>
      <c r="K110" s="1772"/>
      <c r="L110" s="1746"/>
      <c r="M110" s="31" t="s">
        <v>367</v>
      </c>
      <c r="R110" s="1574"/>
      <c r="T110" s="31">
        <v>1</v>
      </c>
      <c r="U110" s="5">
        <f>T110*L110</f>
        <v>0</v>
      </c>
      <c r="V110" s="5"/>
      <c r="W110" s="77"/>
      <c r="X110" s="844"/>
    </row>
    <row r="111" spans="1:25" x14ac:dyDescent="0.2">
      <c r="F111" s="31"/>
      <c r="G111" s="31"/>
      <c r="I111" s="31"/>
      <c r="J111" s="1772"/>
      <c r="K111" s="1772"/>
      <c r="L111" s="1746"/>
      <c r="M111" s="31"/>
      <c r="O111" s="38" t="s">
        <v>369</v>
      </c>
      <c r="P111" s="3" t="s">
        <v>370</v>
      </c>
      <c r="Q111" s="38" t="s">
        <v>369</v>
      </c>
      <c r="R111" s="1443">
        <v>200236003</v>
      </c>
      <c r="U111" s="1746"/>
      <c r="W111" s="1773"/>
    </row>
    <row r="112" spans="1:25" x14ac:dyDescent="0.2">
      <c r="F112" s="31"/>
      <c r="G112" s="31"/>
      <c r="I112" s="31"/>
      <c r="J112" s="1772"/>
      <c r="K112" s="1772"/>
      <c r="L112" s="1746"/>
      <c r="M112" s="31"/>
      <c r="O112" s="38" t="s">
        <v>369</v>
      </c>
      <c r="P112" s="3" t="s">
        <v>372</v>
      </c>
      <c r="Q112" s="38" t="s">
        <v>369</v>
      </c>
      <c r="R112" s="1443">
        <v>200236021</v>
      </c>
      <c r="U112" s="1746"/>
      <c r="W112" s="1773"/>
    </row>
    <row r="113" spans="1:25" x14ac:dyDescent="0.2">
      <c r="F113" s="31"/>
      <c r="G113" s="31"/>
      <c r="I113" s="31"/>
      <c r="J113" s="1772"/>
      <c r="K113" s="1772"/>
      <c r="L113" s="1746"/>
      <c r="M113" s="31"/>
      <c r="O113" s="38" t="s">
        <v>369</v>
      </c>
      <c r="P113" s="3" t="s">
        <v>373</v>
      </c>
      <c r="Q113" s="38" t="s">
        <v>369</v>
      </c>
      <c r="R113" s="1443">
        <v>200236033</v>
      </c>
      <c r="U113" s="1746"/>
      <c r="W113" s="1773"/>
    </row>
    <row r="114" spans="1:25" x14ac:dyDescent="0.2">
      <c r="F114" s="31"/>
      <c r="G114" s="31"/>
      <c r="I114" s="31"/>
      <c r="J114" s="1772"/>
      <c r="K114" s="1772"/>
      <c r="L114" s="1746"/>
      <c r="M114" s="31"/>
      <c r="O114" s="3" t="s">
        <v>2363</v>
      </c>
      <c r="P114" s="3" t="s">
        <v>370</v>
      </c>
      <c r="Q114" s="38" t="s">
        <v>369</v>
      </c>
      <c r="R114" s="1443">
        <v>200236127</v>
      </c>
      <c r="U114" s="1746"/>
      <c r="W114" s="1773"/>
    </row>
    <row r="115" spans="1:25" s="4" customFormat="1" x14ac:dyDescent="0.4">
      <c r="A115" s="3"/>
      <c r="E115" s="10"/>
      <c r="F115" s="3"/>
      <c r="G115" s="3"/>
      <c r="I115" s="3"/>
      <c r="J115" s="1786"/>
      <c r="K115" s="1786"/>
      <c r="L115" s="5"/>
      <c r="M115" s="3"/>
      <c r="N115" s="10"/>
      <c r="O115" s="38" t="s">
        <v>2365</v>
      </c>
      <c r="P115" s="3" t="s">
        <v>370</v>
      </c>
      <c r="Q115" s="38" t="s">
        <v>369</v>
      </c>
      <c r="R115" s="1443">
        <v>200236180</v>
      </c>
      <c r="S115" s="10"/>
      <c r="T115" s="3"/>
      <c r="U115" s="5"/>
      <c r="V115" s="5"/>
      <c r="W115" s="77"/>
      <c r="X115" s="844">
        <v>0</v>
      </c>
      <c r="Y115" s="3"/>
    </row>
    <row r="116" spans="1:25" ht="12" thickBot="1" x14ac:dyDescent="0.25">
      <c r="A116" s="893"/>
      <c r="B116" s="1102"/>
      <c r="C116" s="1102"/>
      <c r="D116" s="1102"/>
      <c r="E116" s="1775"/>
      <c r="F116" s="893"/>
      <c r="G116" s="893"/>
      <c r="H116" s="1102"/>
      <c r="I116" s="893"/>
      <c r="J116" s="1776"/>
      <c r="K116" s="1776"/>
      <c r="L116" s="1777"/>
      <c r="M116" s="893"/>
      <c r="N116" s="1775"/>
      <c r="O116" s="1877" t="s">
        <v>2367</v>
      </c>
      <c r="P116" s="1877" t="s">
        <v>370</v>
      </c>
      <c r="Q116" s="1876" t="s">
        <v>369</v>
      </c>
      <c r="R116" s="1878">
        <v>200236152</v>
      </c>
      <c r="S116" s="1775"/>
      <c r="T116" s="893"/>
      <c r="U116" s="1777"/>
      <c r="V116" s="1777"/>
      <c r="W116" s="1778"/>
      <c r="X116" s="1713">
        <v>0</v>
      </c>
      <c r="Y116" s="893"/>
    </row>
    <row r="117" spans="1:25" ht="12" x14ac:dyDescent="0.25">
      <c r="A117" s="31">
        <f>A110+1</f>
        <v>16</v>
      </c>
      <c r="B117" s="845" t="s">
        <v>1636</v>
      </c>
      <c r="F117" s="31" t="s">
        <v>1452</v>
      </c>
      <c r="G117" s="31"/>
      <c r="I117" s="31"/>
      <c r="J117" s="1772">
        <f>('Single Hung'!M167)</f>
        <v>3.9375</v>
      </c>
      <c r="K117" s="1772"/>
      <c r="L117" s="1746">
        <f>('Single Hung'!S167)/12</f>
        <v>3.5416666666666665</v>
      </c>
      <c r="M117" s="31" t="s">
        <v>367</v>
      </c>
      <c r="R117" s="1574"/>
      <c r="T117" s="31">
        <v>1</v>
      </c>
      <c r="U117" s="1746">
        <f>T117*L117</f>
        <v>3.5416666666666665</v>
      </c>
      <c r="V117" s="1746">
        <v>0.34599999999999997</v>
      </c>
      <c r="W117" s="77">
        <f>V117*AtolbperftAccy</f>
        <v>0.21777239999999998</v>
      </c>
      <c r="X117" s="1774">
        <f>W117*1</f>
        <v>0.21777239999999998</v>
      </c>
    </row>
    <row r="118" spans="1:25" x14ac:dyDescent="0.2">
      <c r="F118" s="31"/>
      <c r="G118" s="31"/>
      <c r="I118" s="31"/>
      <c r="J118" s="1772"/>
      <c r="K118" s="1772"/>
      <c r="L118" s="1746"/>
      <c r="M118" s="31"/>
      <c r="O118" s="38" t="s">
        <v>369</v>
      </c>
      <c r="P118" s="3" t="s">
        <v>370</v>
      </c>
      <c r="Q118" s="38" t="s">
        <v>369</v>
      </c>
      <c r="R118" s="1574">
        <v>200174003</v>
      </c>
      <c r="U118" s="1746"/>
      <c r="X118" s="51">
        <v>0.22839999999999999</v>
      </c>
    </row>
    <row r="119" spans="1:25" x14ac:dyDescent="0.2">
      <c r="F119" s="31"/>
      <c r="G119" s="31"/>
      <c r="I119" s="31"/>
      <c r="J119" s="1772"/>
      <c r="K119" s="1772"/>
      <c r="L119" s="1746"/>
      <c r="M119" s="31"/>
      <c r="O119" s="38" t="s">
        <v>369</v>
      </c>
      <c r="P119" s="3" t="s">
        <v>372</v>
      </c>
      <c r="Q119" s="38" t="s">
        <v>369</v>
      </c>
      <c r="R119" s="1574">
        <v>200174021</v>
      </c>
      <c r="U119" s="1746"/>
      <c r="W119" s="77"/>
      <c r="X119" s="51">
        <v>0.29720000000000002</v>
      </c>
    </row>
    <row r="120" spans="1:25" x14ac:dyDescent="0.2">
      <c r="F120" s="31"/>
      <c r="G120" s="31"/>
      <c r="I120" s="31"/>
      <c r="J120" s="1772"/>
      <c r="K120" s="1772"/>
      <c r="L120" s="1746"/>
      <c r="M120" s="31"/>
      <c r="O120" s="38" t="s">
        <v>369</v>
      </c>
      <c r="P120" s="3" t="s">
        <v>373</v>
      </c>
      <c r="Q120" s="38" t="s">
        <v>369</v>
      </c>
      <c r="R120" s="1574">
        <v>200174033</v>
      </c>
      <c r="U120" s="1746"/>
      <c r="W120" s="77"/>
      <c r="X120" s="51">
        <v>0.31219999999999998</v>
      </c>
    </row>
    <row r="121" spans="1:25" x14ac:dyDescent="0.2">
      <c r="F121" s="31"/>
      <c r="G121" s="31"/>
      <c r="I121" s="31"/>
      <c r="J121" s="1772"/>
      <c r="K121" s="1772"/>
      <c r="L121" s="1746"/>
      <c r="M121" s="31"/>
      <c r="O121" s="3" t="s">
        <v>2363</v>
      </c>
      <c r="P121" s="3" t="s">
        <v>370</v>
      </c>
      <c r="Q121" s="38" t="s">
        <v>369</v>
      </c>
      <c r="R121" s="1443">
        <v>200174127</v>
      </c>
      <c r="U121" s="1746"/>
      <c r="W121" s="1773"/>
    </row>
    <row r="122" spans="1:25" x14ac:dyDescent="0.2">
      <c r="F122" s="31"/>
      <c r="G122" s="31"/>
      <c r="I122" s="31"/>
      <c r="J122" s="1772"/>
      <c r="K122" s="1772"/>
      <c r="L122" s="1746"/>
      <c r="M122" s="31"/>
      <c r="O122" s="38" t="s">
        <v>369</v>
      </c>
      <c r="P122" s="3" t="s">
        <v>375</v>
      </c>
      <c r="Q122" s="38" t="s">
        <v>369</v>
      </c>
      <c r="R122" s="1574">
        <v>200174180</v>
      </c>
      <c r="U122" s="1746"/>
      <c r="W122" s="77"/>
      <c r="X122" s="51">
        <v>0.31219999999999998</v>
      </c>
    </row>
    <row r="123" spans="1:25" ht="12" thickBot="1" x14ac:dyDescent="0.25">
      <c r="A123" s="893"/>
      <c r="B123" s="1102"/>
      <c r="C123" s="1102"/>
      <c r="D123" s="1102"/>
      <c r="E123" s="1775"/>
      <c r="F123" s="893"/>
      <c r="G123" s="893"/>
      <c r="H123" s="1102"/>
      <c r="I123" s="893"/>
      <c r="J123" s="1776"/>
      <c r="K123" s="1776"/>
      <c r="L123" s="1777"/>
      <c r="M123" s="893"/>
      <c r="N123" s="1775"/>
      <c r="O123" s="1877" t="s">
        <v>2367</v>
      </c>
      <c r="P123" s="1877" t="s">
        <v>370</v>
      </c>
      <c r="Q123" s="1876" t="s">
        <v>369</v>
      </c>
      <c r="R123" s="1878">
        <v>200174152</v>
      </c>
      <c r="S123" s="1775"/>
      <c r="T123" s="893"/>
      <c r="U123" s="1777"/>
      <c r="V123" s="1777"/>
      <c r="W123" s="1778"/>
      <c r="X123" s="1713">
        <v>0</v>
      </c>
      <c r="Y123" s="893"/>
    </row>
    <row r="124" spans="1:25" ht="12" x14ac:dyDescent="0.25">
      <c r="A124" s="31">
        <f>A117+1</f>
        <v>17</v>
      </c>
      <c r="B124" s="845" t="s">
        <v>1637</v>
      </c>
      <c r="F124" s="31"/>
      <c r="G124" s="31"/>
      <c r="I124" s="31"/>
      <c r="J124" s="1772"/>
      <c r="K124" s="1772"/>
      <c r="L124" s="1746">
        <v>1</v>
      </c>
      <c r="M124" s="31" t="s">
        <v>385</v>
      </c>
      <c r="R124" s="1574"/>
      <c r="T124" s="31">
        <v>2</v>
      </c>
      <c r="U124" s="1746">
        <f>T124*L124</f>
        <v>2</v>
      </c>
      <c r="V124" s="1789" t="s">
        <v>8</v>
      </c>
      <c r="W124" s="1789" t="s">
        <v>8</v>
      </c>
      <c r="X124" s="1692">
        <v>8.1500000000000003E-2</v>
      </c>
    </row>
    <row r="125" spans="1:25" x14ac:dyDescent="0.2">
      <c r="F125" s="31"/>
      <c r="G125" s="31"/>
      <c r="I125" s="31"/>
      <c r="J125" s="1772"/>
      <c r="K125" s="1772"/>
      <c r="L125" s="1746"/>
      <c r="M125" s="31"/>
      <c r="O125" s="38" t="s">
        <v>369</v>
      </c>
      <c r="P125" s="3" t="s">
        <v>370</v>
      </c>
      <c r="Q125" s="38" t="s">
        <v>369</v>
      </c>
      <c r="R125" s="1574">
        <v>430027003</v>
      </c>
      <c r="U125" s="1746"/>
      <c r="W125" s="1773"/>
      <c r="X125" s="51"/>
    </row>
    <row r="126" spans="1:25" x14ac:dyDescent="0.2">
      <c r="F126" s="31"/>
      <c r="G126" s="31"/>
      <c r="I126" s="31"/>
      <c r="J126" s="1772"/>
      <c r="K126" s="1772"/>
      <c r="L126" s="1746"/>
      <c r="M126" s="31"/>
      <c r="O126" s="38" t="s">
        <v>369</v>
      </c>
      <c r="P126" s="3" t="s">
        <v>372</v>
      </c>
      <c r="Q126" s="38" t="s">
        <v>369</v>
      </c>
      <c r="R126" s="1574">
        <v>430027021</v>
      </c>
      <c r="U126" s="1746"/>
      <c r="W126" s="1773"/>
      <c r="X126" s="51"/>
    </row>
    <row r="127" spans="1:25" x14ac:dyDescent="0.2">
      <c r="F127" s="31"/>
      <c r="G127" s="31"/>
      <c r="I127" s="31"/>
      <c r="J127" s="1772"/>
      <c r="K127" s="1772"/>
      <c r="L127" s="1746"/>
      <c r="M127" s="31"/>
      <c r="O127" s="38" t="s">
        <v>369</v>
      </c>
      <c r="P127" s="3" t="s">
        <v>373</v>
      </c>
      <c r="Q127" s="38" t="s">
        <v>369</v>
      </c>
      <c r="R127" s="1574">
        <v>430027033</v>
      </c>
      <c r="U127" s="1746"/>
      <c r="W127" s="1773"/>
      <c r="X127" s="51"/>
    </row>
    <row r="128" spans="1:25" x14ac:dyDescent="0.2">
      <c r="F128" s="31"/>
      <c r="G128" s="31"/>
      <c r="I128" s="31"/>
      <c r="J128" s="1772"/>
      <c r="K128" s="1772"/>
      <c r="L128" s="1746"/>
      <c r="M128" s="31"/>
      <c r="O128" s="38" t="s">
        <v>369</v>
      </c>
      <c r="P128" s="3" t="s">
        <v>374</v>
      </c>
      <c r="Q128" s="38" t="s">
        <v>369</v>
      </c>
      <c r="R128" s="1443">
        <v>430027090</v>
      </c>
      <c r="U128" s="1746"/>
      <c r="W128" s="1773"/>
    </row>
    <row r="129" spans="1:25" x14ac:dyDescent="0.2">
      <c r="F129" s="31"/>
      <c r="G129" s="31"/>
      <c r="I129" s="31"/>
      <c r="J129" s="1772"/>
      <c r="K129" s="1772"/>
      <c r="L129" s="1746"/>
      <c r="M129" s="31"/>
      <c r="O129" s="38" t="s">
        <v>369</v>
      </c>
      <c r="P129" s="3" t="s">
        <v>375</v>
      </c>
      <c r="Q129" s="38" t="s">
        <v>369</v>
      </c>
      <c r="R129" s="1574">
        <v>430027133</v>
      </c>
      <c r="U129" s="1746"/>
      <c r="W129" s="1773"/>
      <c r="X129" s="51"/>
    </row>
    <row r="130" spans="1:25" ht="12" thickBot="1" x14ac:dyDescent="0.25">
      <c r="A130" s="893"/>
      <c r="B130" s="1102"/>
      <c r="C130" s="1102"/>
      <c r="D130" s="1102"/>
      <c r="E130" s="1775"/>
      <c r="F130" s="893"/>
      <c r="G130" s="893"/>
      <c r="H130" s="1102"/>
      <c r="I130" s="893"/>
      <c r="J130" s="1776"/>
      <c r="K130" s="1776"/>
      <c r="L130" s="1777"/>
      <c r="M130" s="893"/>
      <c r="N130" s="1775"/>
      <c r="O130" s="1876" t="s">
        <v>369</v>
      </c>
      <c r="P130" s="1877" t="s">
        <v>1849</v>
      </c>
      <c r="Q130" s="1876" t="s">
        <v>369</v>
      </c>
      <c r="R130" s="1878">
        <v>430027148</v>
      </c>
      <c r="S130" s="1775"/>
      <c r="T130" s="893"/>
      <c r="U130" s="1777"/>
      <c r="V130" s="1777"/>
      <c r="W130" s="1778"/>
      <c r="X130" s="1713"/>
      <c r="Y130" s="893"/>
    </row>
    <row r="131" spans="1:25" ht="12" x14ac:dyDescent="0.25">
      <c r="A131" s="31">
        <f>A124+1</f>
        <v>18</v>
      </c>
      <c r="B131" s="845" t="s">
        <v>1638</v>
      </c>
      <c r="F131" s="31"/>
      <c r="G131" s="31"/>
      <c r="I131" s="31"/>
      <c r="J131" s="1772"/>
      <c r="K131" s="1772"/>
      <c r="L131" s="1746">
        <v>1</v>
      </c>
      <c r="M131" s="31" t="s">
        <v>367</v>
      </c>
      <c r="R131" s="1574"/>
      <c r="T131" s="31">
        <v>1</v>
      </c>
      <c r="U131" s="1746">
        <f>T131*L131</f>
        <v>1</v>
      </c>
      <c r="V131" s="1746">
        <v>7.0999999999999994E-2</v>
      </c>
      <c r="W131" s="77">
        <f>V131*AtolbperftAccy</f>
        <v>4.4687399999999995E-2</v>
      </c>
      <c r="X131" s="1774">
        <f>W131*AccSScostperlb</f>
        <v>6.7031099999999996E-2</v>
      </c>
    </row>
    <row r="132" spans="1:25" x14ac:dyDescent="0.2">
      <c r="F132" s="31"/>
      <c r="G132" s="31"/>
      <c r="I132" s="31"/>
      <c r="J132" s="1772"/>
      <c r="K132" s="1772"/>
      <c r="L132" s="1746"/>
      <c r="M132" s="31"/>
      <c r="O132" s="38" t="s">
        <v>369</v>
      </c>
      <c r="P132" s="3" t="s">
        <v>370</v>
      </c>
      <c r="Q132" s="38" t="s">
        <v>369</v>
      </c>
      <c r="R132" s="1574">
        <v>200105003</v>
      </c>
      <c r="U132" s="1746"/>
      <c r="W132" s="1773"/>
    </row>
    <row r="133" spans="1:25" x14ac:dyDescent="0.2">
      <c r="F133" s="31"/>
      <c r="G133" s="31"/>
      <c r="I133" s="31"/>
      <c r="J133" s="1772"/>
      <c r="K133" s="1772"/>
      <c r="L133" s="1746"/>
      <c r="M133" s="31"/>
      <c r="O133" s="38" t="s">
        <v>369</v>
      </c>
      <c r="P133" s="3" t="s">
        <v>372</v>
      </c>
      <c r="Q133" s="38" t="s">
        <v>369</v>
      </c>
      <c r="R133" s="1574">
        <v>200105021</v>
      </c>
      <c r="U133" s="1746"/>
      <c r="W133" s="1773"/>
    </row>
    <row r="134" spans="1:25" x14ac:dyDescent="0.2">
      <c r="F134" s="31"/>
      <c r="G134" s="31"/>
      <c r="I134" s="31"/>
      <c r="J134" s="1772"/>
      <c r="K134" s="1772"/>
      <c r="L134" s="1746"/>
      <c r="M134" s="31"/>
      <c r="O134" s="38" t="s">
        <v>369</v>
      </c>
      <c r="P134" s="3" t="s">
        <v>373</v>
      </c>
      <c r="Q134" s="38" t="s">
        <v>369</v>
      </c>
      <c r="R134" s="1574">
        <v>200105033</v>
      </c>
      <c r="U134" s="1746"/>
      <c r="W134" s="1773"/>
    </row>
    <row r="135" spans="1:25" x14ac:dyDescent="0.2">
      <c r="F135" s="31"/>
      <c r="G135" s="31"/>
      <c r="I135" s="31"/>
      <c r="J135" s="1772"/>
      <c r="K135" s="1772"/>
      <c r="L135" s="1746"/>
      <c r="M135" s="31"/>
      <c r="O135" s="38" t="s">
        <v>369</v>
      </c>
      <c r="P135" s="3" t="s">
        <v>375</v>
      </c>
      <c r="Q135" s="38" t="s">
        <v>369</v>
      </c>
      <c r="R135" s="1574">
        <v>200105133</v>
      </c>
      <c r="U135" s="1746"/>
      <c r="W135" s="1773"/>
    </row>
    <row r="136" spans="1:25" x14ac:dyDescent="0.2">
      <c r="F136" s="31"/>
      <c r="G136" s="31"/>
      <c r="I136" s="31"/>
      <c r="J136" s="1772"/>
      <c r="K136" s="1772"/>
      <c r="L136" s="1746"/>
      <c r="M136" s="31"/>
      <c r="O136" s="38" t="s">
        <v>369</v>
      </c>
      <c r="P136" s="3" t="s">
        <v>374</v>
      </c>
      <c r="Q136" s="38" t="s">
        <v>369</v>
      </c>
      <c r="R136" s="1574">
        <v>200105090</v>
      </c>
      <c r="U136" s="1746"/>
      <c r="W136" s="1773"/>
    </row>
    <row r="137" spans="1:25" ht="12" thickBot="1" x14ac:dyDescent="0.25">
      <c r="A137" s="893"/>
      <c r="B137" s="1102"/>
      <c r="C137" s="1102"/>
      <c r="D137" s="1102"/>
      <c r="E137" s="1775"/>
      <c r="F137" s="893"/>
      <c r="G137" s="893"/>
      <c r="H137" s="1102"/>
      <c r="I137" s="893"/>
      <c r="J137" s="1776"/>
      <c r="K137" s="1776"/>
      <c r="L137" s="1777"/>
      <c r="M137" s="893"/>
      <c r="N137" s="1775"/>
      <c r="O137" s="1876" t="s">
        <v>369</v>
      </c>
      <c r="P137" s="1877" t="s">
        <v>1849</v>
      </c>
      <c r="Q137" s="1876" t="s">
        <v>369</v>
      </c>
      <c r="R137" s="1926">
        <v>200105148</v>
      </c>
      <c r="S137" s="1775"/>
      <c r="T137" s="893"/>
      <c r="U137" s="1777"/>
      <c r="V137" s="1777"/>
      <c r="W137" s="1778"/>
      <c r="X137" s="1713"/>
      <c r="Y137" s="893"/>
    </row>
    <row r="138" spans="1:25" x14ac:dyDescent="0.2">
      <c r="F138" s="31"/>
      <c r="G138" s="31"/>
      <c r="I138" s="31"/>
      <c r="J138" s="1772"/>
      <c r="K138" s="1772"/>
      <c r="L138" s="1746"/>
      <c r="M138" s="31"/>
      <c r="O138" s="38"/>
      <c r="P138" s="3"/>
      <c r="Q138" s="38"/>
      <c r="R138" s="1574"/>
      <c r="U138" s="1746"/>
      <c r="W138" s="1773"/>
    </row>
    <row r="139" spans="1:25" x14ac:dyDescent="0.2">
      <c r="A139" s="31">
        <f>COUNTA(B9:B138)</f>
        <v>18</v>
      </c>
      <c r="B139" s="1706" t="s">
        <v>1639</v>
      </c>
      <c r="R139" s="1667"/>
      <c r="X139" s="1928"/>
    </row>
    <row r="140" spans="1:25" x14ac:dyDescent="0.2">
      <c r="R140" s="1667"/>
    </row>
    <row r="141" spans="1:25" s="1771" customFormat="1" ht="17.399999999999999" x14ac:dyDescent="0.3">
      <c r="A141" s="1820" t="s">
        <v>1640</v>
      </c>
      <c r="B141" s="1764"/>
      <c r="C141" s="1764"/>
      <c r="D141" s="1764"/>
      <c r="E141" s="1765"/>
      <c r="F141" s="1765"/>
      <c r="G141" s="1765"/>
      <c r="H141" s="1765"/>
      <c r="I141" s="1765"/>
      <c r="J141" s="1765"/>
      <c r="K141" s="1790"/>
      <c r="L141" s="1790"/>
      <c r="M141" s="1765"/>
      <c r="N141" s="1765"/>
      <c r="O141" s="1765"/>
      <c r="P141" s="1765"/>
      <c r="Q141" s="1765"/>
      <c r="R141" s="1791"/>
      <c r="S141" s="1765"/>
      <c r="T141" s="1766"/>
      <c r="U141" s="1790"/>
      <c r="V141" s="1790"/>
      <c r="W141" s="1792"/>
      <c r="X141" s="1793"/>
      <c r="Y141" s="1766"/>
    </row>
    <row r="142" spans="1:25" ht="12" x14ac:dyDescent="0.25">
      <c r="A142" s="31">
        <v>1</v>
      </c>
      <c r="B142" s="845" t="s">
        <v>1641</v>
      </c>
      <c r="F142" s="31"/>
      <c r="G142" s="31"/>
      <c r="I142" s="31"/>
      <c r="J142" s="1772"/>
      <c r="K142" s="1772"/>
      <c r="L142" s="1746"/>
      <c r="M142" s="31" t="s">
        <v>367</v>
      </c>
      <c r="R142" s="1574"/>
      <c r="T142" s="31">
        <v>1</v>
      </c>
      <c r="U142" s="1746">
        <f>T142*L142</f>
        <v>0</v>
      </c>
      <c r="V142" s="1746">
        <v>0.17699999999999999</v>
      </c>
      <c r="W142" s="1773">
        <f>V142*AtolbperftAccy</f>
        <v>0.11140379999999998</v>
      </c>
      <c r="X142" s="1774">
        <f>W142*AccSScostperlb</f>
        <v>0.16710569999999997</v>
      </c>
    </row>
    <row r="143" spans="1:25" x14ac:dyDescent="0.2">
      <c r="F143" s="31"/>
      <c r="G143" s="31"/>
      <c r="I143" s="31"/>
      <c r="J143" s="1772"/>
      <c r="K143" s="1772"/>
      <c r="L143" s="1746"/>
      <c r="M143" s="31"/>
      <c r="O143" s="38" t="s">
        <v>369</v>
      </c>
      <c r="P143" s="3" t="s">
        <v>370</v>
      </c>
      <c r="Q143" s="38" t="s">
        <v>369</v>
      </c>
      <c r="R143" s="1574">
        <v>200142003</v>
      </c>
      <c r="U143" s="1746"/>
      <c r="W143" s="1773"/>
      <c r="X143" s="1692">
        <v>0.16520000000000001</v>
      </c>
    </row>
    <row r="144" spans="1:25" x14ac:dyDescent="0.2">
      <c r="F144" s="31"/>
      <c r="G144" s="31"/>
      <c r="I144" s="31"/>
      <c r="J144" s="1772"/>
      <c r="K144" s="1772"/>
      <c r="L144" s="1746"/>
      <c r="M144" s="31"/>
      <c r="O144" s="38" t="s">
        <v>369</v>
      </c>
      <c r="P144" s="3" t="s">
        <v>372</v>
      </c>
      <c r="Q144" s="38" t="s">
        <v>369</v>
      </c>
      <c r="R144" s="1574">
        <v>200142021</v>
      </c>
      <c r="U144" s="1746"/>
      <c r="W144" s="1773"/>
      <c r="X144" s="1692">
        <v>0.19359999999999999</v>
      </c>
    </row>
    <row r="145" spans="1:25" x14ac:dyDescent="0.2">
      <c r="F145" s="31"/>
      <c r="G145" s="31"/>
      <c r="I145" s="31"/>
      <c r="J145" s="1772"/>
      <c r="K145" s="1772"/>
      <c r="L145" s="1746"/>
      <c r="M145" s="31"/>
      <c r="O145" s="38" t="s">
        <v>369</v>
      </c>
      <c r="P145" s="3" t="s">
        <v>373</v>
      </c>
      <c r="Q145" s="38" t="s">
        <v>369</v>
      </c>
      <c r="R145" s="1574">
        <v>200142033</v>
      </c>
      <c r="U145" s="1746"/>
      <c r="W145" s="1773"/>
      <c r="X145" s="1692">
        <v>0.1971</v>
      </c>
    </row>
    <row r="146" spans="1:25" x14ac:dyDescent="0.2">
      <c r="F146" s="31"/>
      <c r="G146" s="31"/>
      <c r="I146" s="31"/>
      <c r="J146" s="1772"/>
      <c r="K146" s="1772"/>
      <c r="L146" s="1746"/>
      <c r="M146" s="31"/>
      <c r="O146" s="38" t="s">
        <v>369</v>
      </c>
      <c r="P146" s="3" t="s">
        <v>374</v>
      </c>
      <c r="Q146" s="38" t="s">
        <v>369</v>
      </c>
      <c r="R146" s="1574">
        <v>200142090</v>
      </c>
      <c r="U146" s="1746"/>
      <c r="W146" s="1773"/>
      <c r="X146" s="1692">
        <v>0.51639999999999997</v>
      </c>
    </row>
    <row r="147" spans="1:25" x14ac:dyDescent="0.2">
      <c r="F147" s="31"/>
      <c r="G147" s="31"/>
      <c r="I147" s="31"/>
      <c r="J147" s="1772"/>
      <c r="K147" s="1772"/>
      <c r="L147" s="1746"/>
      <c r="M147" s="31"/>
      <c r="O147" s="38" t="s">
        <v>369</v>
      </c>
      <c r="P147" s="3" t="s">
        <v>375</v>
      </c>
      <c r="Q147" s="38" t="s">
        <v>369</v>
      </c>
      <c r="R147" s="1574">
        <v>200142133</v>
      </c>
      <c r="U147" s="1746"/>
      <c r="W147" s="1773"/>
      <c r="X147" s="1692">
        <v>0.55810000000000004</v>
      </c>
    </row>
    <row r="148" spans="1:25" ht="12" thickBot="1" x14ac:dyDescent="0.25">
      <c r="A148" s="893"/>
      <c r="B148" s="1102"/>
      <c r="C148" s="1102"/>
      <c r="D148" s="1102"/>
      <c r="E148" s="1775"/>
      <c r="F148" s="893"/>
      <c r="G148" s="893"/>
      <c r="H148" s="1102"/>
      <c r="I148" s="893"/>
      <c r="J148" s="1776"/>
      <c r="K148" s="1776"/>
      <c r="L148" s="1777"/>
      <c r="M148" s="893"/>
      <c r="N148" s="1775"/>
      <c r="O148" s="888"/>
      <c r="P148" s="889"/>
      <c r="Q148" s="888"/>
      <c r="R148" s="893"/>
      <c r="S148" s="1775"/>
      <c r="T148" s="893"/>
      <c r="U148" s="1777"/>
      <c r="V148" s="1777"/>
      <c r="W148" s="1778"/>
      <c r="X148" s="1713"/>
      <c r="Y148" s="893"/>
    </row>
    <row r="149" spans="1:25" ht="12" x14ac:dyDescent="0.25">
      <c r="A149" s="31">
        <f>A142+1</f>
        <v>2</v>
      </c>
      <c r="B149" s="845" t="s">
        <v>1642</v>
      </c>
      <c r="F149" s="31"/>
      <c r="G149" s="31"/>
      <c r="I149" s="31"/>
      <c r="J149" s="1697"/>
      <c r="K149" s="1697"/>
      <c r="L149" s="1746"/>
      <c r="M149" s="31" t="s">
        <v>385</v>
      </c>
      <c r="R149" s="31"/>
      <c r="T149" s="31">
        <v>1</v>
      </c>
      <c r="U149" s="1746">
        <f>T149*L149</f>
        <v>0</v>
      </c>
      <c r="V149" s="1746">
        <v>0.19</v>
      </c>
      <c r="W149" s="1773">
        <f>V149*AtolbperftAccy</f>
        <v>0.119586</v>
      </c>
      <c r="X149" s="1774">
        <f>W149*AccSScostperlb</f>
        <v>0.17937900000000001</v>
      </c>
    </row>
    <row r="150" spans="1:25" x14ac:dyDescent="0.2">
      <c r="F150" s="31"/>
      <c r="G150" s="31"/>
      <c r="I150" s="31"/>
      <c r="J150" s="1772"/>
      <c r="K150" s="1772"/>
      <c r="L150" s="1746"/>
      <c r="M150" s="31"/>
      <c r="O150" s="38" t="s">
        <v>369</v>
      </c>
      <c r="P150" s="3" t="s">
        <v>386</v>
      </c>
      <c r="Q150" s="38" t="s">
        <v>369</v>
      </c>
      <c r="R150" s="1784">
        <v>200164008001</v>
      </c>
      <c r="U150" s="1746"/>
      <c r="W150" s="1773"/>
    </row>
    <row r="151" spans="1:25" x14ac:dyDescent="0.2">
      <c r="F151" s="31"/>
      <c r="G151" s="31"/>
      <c r="I151" s="31"/>
      <c r="J151" s="1772"/>
      <c r="K151" s="1772"/>
      <c r="L151" s="1746"/>
      <c r="M151" s="31"/>
      <c r="O151" s="38"/>
      <c r="P151" s="3"/>
      <c r="Q151" s="38"/>
      <c r="R151" s="982"/>
      <c r="U151" s="1746"/>
      <c r="W151" s="1773"/>
    </row>
    <row r="152" spans="1:25" ht="12" thickBot="1" x14ac:dyDescent="0.25">
      <c r="A152" s="893"/>
      <c r="B152" s="1102"/>
      <c r="C152" s="1102"/>
      <c r="D152" s="1102"/>
      <c r="E152" s="1775"/>
      <c r="F152" s="893"/>
      <c r="G152" s="893"/>
      <c r="H152" s="1102"/>
      <c r="I152" s="893"/>
      <c r="J152" s="1776"/>
      <c r="K152" s="1776"/>
      <c r="L152" s="1777"/>
      <c r="M152" s="893"/>
      <c r="N152" s="1775"/>
      <c r="O152" s="888"/>
      <c r="P152" s="889"/>
      <c r="Q152" s="888"/>
      <c r="R152" s="1204"/>
      <c r="S152" s="1775"/>
      <c r="T152" s="893"/>
      <c r="U152" s="1777"/>
      <c r="V152" s="1777"/>
      <c r="W152" s="1778"/>
      <c r="X152" s="1713"/>
      <c r="Y152" s="893"/>
    </row>
    <row r="153" spans="1:25" ht="12" x14ac:dyDescent="0.25">
      <c r="A153" s="31">
        <f>A149+1</f>
        <v>3</v>
      </c>
      <c r="B153" s="845" t="s">
        <v>1643</v>
      </c>
      <c r="F153" s="31"/>
      <c r="G153" s="31"/>
      <c r="I153" s="31"/>
      <c r="J153" s="1772"/>
      <c r="K153" s="1772"/>
      <c r="L153" s="1746"/>
      <c r="M153" s="31" t="s">
        <v>367</v>
      </c>
      <c r="R153" s="31"/>
      <c r="T153" s="31">
        <v>1</v>
      </c>
      <c r="U153" s="1746">
        <f>T153*L153</f>
        <v>0</v>
      </c>
      <c r="V153" s="1746">
        <v>0.23300000000000001</v>
      </c>
      <c r="W153" s="1773">
        <f>V153*AtolbperftAccy</f>
        <v>0.14665020000000001</v>
      </c>
      <c r="X153" s="1774">
        <f>W153*AccSScostperlb</f>
        <v>0.21997530000000001</v>
      </c>
    </row>
    <row r="154" spans="1:25" x14ac:dyDescent="0.2">
      <c r="F154" s="31"/>
      <c r="G154" s="31"/>
      <c r="I154" s="31"/>
      <c r="J154" s="1772"/>
      <c r="K154" s="1772"/>
      <c r="L154" s="1746"/>
      <c r="M154" s="31"/>
      <c r="O154" s="38" t="s">
        <v>369</v>
      </c>
      <c r="P154" s="3" t="s">
        <v>370</v>
      </c>
      <c r="Q154" s="38" t="s">
        <v>369</v>
      </c>
      <c r="R154" s="1574">
        <v>200201003</v>
      </c>
      <c r="U154" s="1746"/>
      <c r="W154" s="1773"/>
    </row>
    <row r="155" spans="1:25" x14ac:dyDescent="0.2">
      <c r="F155" s="31"/>
      <c r="G155" s="31"/>
      <c r="I155" s="31"/>
      <c r="J155" s="1772"/>
      <c r="K155" s="1772"/>
      <c r="L155" s="1746"/>
      <c r="M155" s="31"/>
      <c r="O155" s="38" t="s">
        <v>369</v>
      </c>
      <c r="P155" s="3" t="s">
        <v>372</v>
      </c>
      <c r="Q155" s="38" t="s">
        <v>369</v>
      </c>
      <c r="R155" s="1574">
        <v>200201021</v>
      </c>
      <c r="U155" s="1746"/>
      <c r="W155" s="1773"/>
    </row>
    <row r="156" spans="1:25" x14ac:dyDescent="0.2">
      <c r="L156" s="1780"/>
      <c r="M156" s="31"/>
      <c r="O156" s="38" t="s">
        <v>369</v>
      </c>
      <c r="P156" s="3" t="s">
        <v>373</v>
      </c>
      <c r="Q156" s="38" t="s">
        <v>369</v>
      </c>
      <c r="R156" s="1574">
        <v>200201033</v>
      </c>
      <c r="U156" s="1746"/>
      <c r="W156" s="1773"/>
    </row>
    <row r="157" spans="1:25" x14ac:dyDescent="0.2">
      <c r="L157" s="1780"/>
      <c r="M157" s="31"/>
      <c r="O157" s="3" t="s">
        <v>2363</v>
      </c>
      <c r="P157" s="3" t="s">
        <v>370</v>
      </c>
      <c r="Q157" s="38" t="s">
        <v>369</v>
      </c>
      <c r="R157" s="1574">
        <v>200201127</v>
      </c>
      <c r="U157" s="1746"/>
      <c r="W157" s="1773"/>
      <c r="X157" s="1692">
        <v>0.23119999999999999</v>
      </c>
    </row>
    <row r="158" spans="1:25" x14ac:dyDescent="0.2">
      <c r="L158" s="1780"/>
      <c r="M158" s="31"/>
      <c r="O158" s="3" t="s">
        <v>2365</v>
      </c>
      <c r="P158" s="3" t="s">
        <v>370</v>
      </c>
      <c r="Q158" s="38" t="s">
        <v>369</v>
      </c>
      <c r="R158" s="1574">
        <v>200201180</v>
      </c>
      <c r="U158" s="1746"/>
      <c r="W158" s="1773"/>
      <c r="X158" s="1692">
        <v>0.23369999999999999</v>
      </c>
    </row>
    <row r="159" spans="1:25" ht="12" thickBot="1" x14ac:dyDescent="0.25">
      <c r="A159" s="893"/>
      <c r="B159" s="1102"/>
      <c r="C159" s="1102"/>
      <c r="D159" s="1102"/>
      <c r="E159" s="1775"/>
      <c r="F159" s="1102"/>
      <c r="G159" s="1102"/>
      <c r="H159" s="1102"/>
      <c r="I159" s="1102"/>
      <c r="J159" s="1102"/>
      <c r="K159" s="1102"/>
      <c r="L159" s="1781"/>
      <c r="M159" s="893"/>
      <c r="N159" s="1775"/>
      <c r="O159" s="888"/>
      <c r="P159" s="889"/>
      <c r="Q159" s="888"/>
      <c r="R159" s="1661"/>
      <c r="S159" s="1775"/>
      <c r="T159" s="893"/>
      <c r="U159" s="1777"/>
      <c r="V159" s="1777"/>
      <c r="W159" s="1778"/>
      <c r="X159" s="1713"/>
      <c r="Y159" s="893"/>
    </row>
    <row r="160" spans="1:25" ht="12" x14ac:dyDescent="0.25">
      <c r="A160" s="31">
        <f>A153+1</f>
        <v>4</v>
      </c>
      <c r="B160" s="845" t="s">
        <v>1644</v>
      </c>
      <c r="L160" s="1780"/>
      <c r="M160" s="31" t="s">
        <v>367</v>
      </c>
      <c r="R160" s="1574"/>
      <c r="T160" s="31">
        <v>1</v>
      </c>
      <c r="U160" s="1746">
        <f>T160*L161</f>
        <v>0</v>
      </c>
      <c r="V160" s="1746">
        <v>0.29199999999999998</v>
      </c>
      <c r="W160" s="1773">
        <f>V160*AtolbperftAccy</f>
        <v>0.18378479999999997</v>
      </c>
      <c r="X160" s="1774">
        <f>W160*AccSScostperlb</f>
        <v>0.27567719999999996</v>
      </c>
    </row>
    <row r="161" spans="1:25" x14ac:dyDescent="0.2">
      <c r="F161" s="354" t="s">
        <v>1622</v>
      </c>
      <c r="G161" s="31"/>
      <c r="I161" s="31"/>
      <c r="J161" s="1772"/>
      <c r="K161" s="1772"/>
      <c r="L161" s="1746"/>
      <c r="M161" s="31"/>
      <c r="O161" s="38" t="s">
        <v>369</v>
      </c>
      <c r="P161" s="3" t="s">
        <v>386</v>
      </c>
      <c r="Q161" s="38" t="s">
        <v>369</v>
      </c>
      <c r="R161" s="1574">
        <v>200227008</v>
      </c>
    </row>
    <row r="162" spans="1:25" x14ac:dyDescent="0.2">
      <c r="G162" s="31"/>
      <c r="I162" s="31"/>
      <c r="J162" s="1772"/>
      <c r="K162" s="1772"/>
      <c r="L162" s="1746"/>
      <c r="M162" s="31"/>
      <c r="O162" s="38"/>
      <c r="P162" s="3"/>
      <c r="Q162" s="38"/>
      <c r="R162" s="1574"/>
      <c r="U162" s="1746"/>
      <c r="W162" s="1773"/>
    </row>
    <row r="163" spans="1:25" x14ac:dyDescent="0.2">
      <c r="G163" s="31"/>
      <c r="I163" s="31"/>
      <c r="J163" s="1772"/>
      <c r="K163" s="1772"/>
      <c r="L163" s="1746"/>
      <c r="M163" s="31"/>
      <c r="O163" s="38"/>
      <c r="P163" s="3"/>
      <c r="Q163" s="38"/>
      <c r="R163" s="1574"/>
      <c r="U163" s="1746"/>
      <c r="W163" s="1773"/>
    </row>
    <row r="164" spans="1:25" ht="12" thickBot="1" x14ac:dyDescent="0.25">
      <c r="A164" s="893"/>
      <c r="B164" s="1102"/>
      <c r="C164" s="1102"/>
      <c r="D164" s="1102"/>
      <c r="E164" s="1775"/>
      <c r="F164" s="1102"/>
      <c r="G164" s="893"/>
      <c r="H164" s="1102"/>
      <c r="I164" s="893"/>
      <c r="J164" s="1776"/>
      <c r="K164" s="1776"/>
      <c r="L164" s="1777"/>
      <c r="M164" s="893"/>
      <c r="N164" s="1775"/>
      <c r="O164" s="888"/>
      <c r="P164" s="889"/>
      <c r="Q164" s="888"/>
      <c r="R164" s="1661"/>
      <c r="S164" s="1775"/>
      <c r="T164" s="893"/>
      <c r="U164" s="1777"/>
      <c r="V164" s="1777"/>
      <c r="W164" s="1778"/>
      <c r="X164" s="1713"/>
      <c r="Y164" s="893"/>
    </row>
    <row r="165" spans="1:25" ht="12" x14ac:dyDescent="0.25">
      <c r="A165" s="31">
        <f>A160+1</f>
        <v>5</v>
      </c>
      <c r="B165" s="845" t="s">
        <v>1645</v>
      </c>
      <c r="F165" s="31"/>
      <c r="G165" s="31"/>
      <c r="I165" s="31"/>
      <c r="J165" s="1772"/>
      <c r="K165" s="1772"/>
      <c r="L165" s="1746"/>
      <c r="M165" s="31" t="s">
        <v>367</v>
      </c>
      <c r="R165" s="1574"/>
      <c r="T165" s="31">
        <v>1</v>
      </c>
      <c r="U165" s="1746">
        <f>T165*L165</f>
        <v>0</v>
      </c>
      <c r="V165" s="1746">
        <v>0.08</v>
      </c>
      <c r="W165" s="1773">
        <f>V165*AtolbperftAccy</f>
        <v>5.0352000000000001E-2</v>
      </c>
      <c r="X165" s="1774">
        <f>W165*AccSScostperlb</f>
        <v>7.5527999999999998E-2</v>
      </c>
    </row>
    <row r="166" spans="1:25" x14ac:dyDescent="0.2">
      <c r="F166" s="1779"/>
      <c r="G166" s="31"/>
      <c r="I166" s="31"/>
      <c r="J166" s="1772"/>
      <c r="K166" s="1772"/>
      <c r="L166" s="1746"/>
      <c r="M166" s="31"/>
      <c r="O166" s="38" t="s">
        <v>369</v>
      </c>
      <c r="P166" s="3" t="s">
        <v>370</v>
      </c>
      <c r="Q166" s="38" t="s">
        <v>369</v>
      </c>
      <c r="R166" s="1574">
        <v>200114003</v>
      </c>
      <c r="U166" s="1746"/>
      <c r="W166" s="1773"/>
      <c r="X166" s="1692">
        <v>9.4100000000000003E-2</v>
      </c>
    </row>
    <row r="167" spans="1:25" x14ac:dyDescent="0.2">
      <c r="F167" s="31"/>
      <c r="G167" s="31"/>
      <c r="I167" s="31"/>
      <c r="J167" s="1772"/>
      <c r="K167" s="1772"/>
      <c r="L167" s="1746"/>
      <c r="M167" s="31"/>
      <c r="O167" s="38" t="s">
        <v>369</v>
      </c>
      <c r="P167" s="3" t="s">
        <v>372</v>
      </c>
      <c r="Q167" s="38" t="s">
        <v>369</v>
      </c>
      <c r="R167" s="1574">
        <v>200114021</v>
      </c>
      <c r="U167" s="1746"/>
      <c r="W167" s="1773"/>
      <c r="X167" s="1692">
        <v>9.5299999999999996E-2</v>
      </c>
    </row>
    <row r="168" spans="1:25" x14ac:dyDescent="0.2">
      <c r="L168" s="1780"/>
      <c r="M168" s="31"/>
      <c r="O168" s="38" t="s">
        <v>369</v>
      </c>
      <c r="P168" s="3" t="s">
        <v>373</v>
      </c>
      <c r="Q168" s="38" t="s">
        <v>369</v>
      </c>
      <c r="R168" s="1574">
        <v>200114033</v>
      </c>
      <c r="U168" s="1746"/>
      <c r="W168" s="1773"/>
      <c r="X168" s="1692">
        <v>9.69E-2</v>
      </c>
    </row>
    <row r="169" spans="1:25" x14ac:dyDescent="0.2">
      <c r="L169" s="1780"/>
      <c r="M169" s="31"/>
      <c r="O169" s="38" t="s">
        <v>369</v>
      </c>
      <c r="P169" s="3" t="s">
        <v>374</v>
      </c>
      <c r="Q169" s="38" t="s">
        <v>369</v>
      </c>
      <c r="R169" s="1574">
        <v>200114090</v>
      </c>
      <c r="U169" s="1746"/>
      <c r="W169" s="1773"/>
      <c r="X169" s="1692">
        <v>0.26579999999999998</v>
      </c>
    </row>
    <row r="170" spans="1:25" x14ac:dyDescent="0.2">
      <c r="L170" s="1780"/>
      <c r="M170" s="31"/>
      <c r="O170" s="38" t="s">
        <v>369</v>
      </c>
      <c r="P170" s="3" t="s">
        <v>375</v>
      </c>
      <c r="Q170" s="38" t="s">
        <v>369</v>
      </c>
      <c r="R170" s="1574">
        <v>200114133</v>
      </c>
      <c r="U170" s="1746"/>
      <c r="W170" s="1773"/>
      <c r="X170" s="1692">
        <v>0.28470000000000001</v>
      </c>
    </row>
    <row r="171" spans="1:25" ht="12" thickBot="1" x14ac:dyDescent="0.25">
      <c r="A171" s="893"/>
      <c r="B171" s="1102"/>
      <c r="C171" s="1102"/>
      <c r="D171" s="1102"/>
      <c r="E171" s="1775"/>
      <c r="F171" s="893"/>
      <c r="G171" s="893"/>
      <c r="H171" s="1102"/>
      <c r="I171" s="893"/>
      <c r="J171" s="1776"/>
      <c r="K171" s="1776"/>
      <c r="L171" s="1777"/>
      <c r="M171" s="893"/>
      <c r="N171" s="1775"/>
      <c r="O171" s="888"/>
      <c r="P171" s="889"/>
      <c r="Q171" s="888"/>
      <c r="R171" s="1661"/>
      <c r="S171" s="1775"/>
      <c r="T171" s="893"/>
      <c r="U171" s="1777"/>
      <c r="V171" s="1777"/>
      <c r="W171" s="1778"/>
      <c r="X171" s="1713"/>
      <c r="Y171" s="893"/>
    </row>
    <row r="172" spans="1:25" ht="12" x14ac:dyDescent="0.25">
      <c r="A172" s="31">
        <f>A165+1</f>
        <v>6</v>
      </c>
      <c r="B172" s="845" t="s">
        <v>1646</v>
      </c>
      <c r="F172" s="1779" t="s">
        <v>1626</v>
      </c>
      <c r="G172" s="31"/>
      <c r="I172" s="31"/>
      <c r="J172" s="1772"/>
      <c r="K172" s="1772"/>
      <c r="L172" s="1746"/>
      <c r="M172" s="31" t="s">
        <v>367</v>
      </c>
      <c r="R172" s="1574"/>
      <c r="T172" s="31">
        <v>1</v>
      </c>
      <c r="U172" s="1746">
        <v>1</v>
      </c>
      <c r="V172" s="1746">
        <v>0.17299999999999999</v>
      </c>
      <c r="W172" s="1773">
        <f>V172*AtolbperftAccy</f>
        <v>0.10888619999999999</v>
      </c>
      <c r="X172" s="1774">
        <f>U172*W172*AccSScostperlb</f>
        <v>0.16332929999999998</v>
      </c>
    </row>
    <row r="173" spans="1:25" x14ac:dyDescent="0.2">
      <c r="G173" s="31"/>
      <c r="I173" s="31"/>
      <c r="J173" s="1772"/>
      <c r="K173" s="1772"/>
      <c r="L173" s="1746"/>
      <c r="M173" s="31"/>
      <c r="O173" s="38" t="s">
        <v>369</v>
      </c>
      <c r="P173" s="3" t="s">
        <v>370</v>
      </c>
      <c r="Q173" s="38" t="s">
        <v>369</v>
      </c>
      <c r="R173" s="1574">
        <v>200187003</v>
      </c>
      <c r="U173" s="1746"/>
      <c r="W173" s="1773"/>
      <c r="X173" s="1692">
        <v>0.1996</v>
      </c>
    </row>
    <row r="174" spans="1:25" x14ac:dyDescent="0.2">
      <c r="F174" s="31"/>
      <c r="G174" s="31"/>
      <c r="I174" s="31"/>
      <c r="J174" s="1772"/>
      <c r="K174" s="1772"/>
      <c r="L174" s="1746"/>
      <c r="M174" s="31"/>
      <c r="O174" s="38" t="s">
        <v>369</v>
      </c>
      <c r="P174" s="3" t="s">
        <v>372</v>
      </c>
      <c r="Q174" s="38" t="s">
        <v>369</v>
      </c>
      <c r="R174" s="1574">
        <v>200187021</v>
      </c>
      <c r="U174" s="1746"/>
      <c r="W174" s="1773"/>
      <c r="X174" s="1692">
        <v>0.2213</v>
      </c>
    </row>
    <row r="175" spans="1:25" x14ac:dyDescent="0.2">
      <c r="F175" s="31"/>
      <c r="G175" s="31"/>
      <c r="I175" s="31"/>
      <c r="J175" s="1772"/>
      <c r="K175" s="1772"/>
      <c r="L175" s="1746"/>
      <c r="M175" s="31"/>
      <c r="O175" s="38" t="s">
        <v>369</v>
      </c>
      <c r="P175" s="3" t="s">
        <v>373</v>
      </c>
      <c r="Q175" s="38" t="s">
        <v>369</v>
      </c>
      <c r="R175" s="1574">
        <v>200187033</v>
      </c>
      <c r="U175" s="1746"/>
      <c r="W175" s="1773"/>
      <c r="X175" s="1692">
        <v>0.23799999999999999</v>
      </c>
    </row>
    <row r="176" spans="1:25" x14ac:dyDescent="0.2">
      <c r="F176" s="31"/>
      <c r="G176" s="31"/>
      <c r="I176" s="31"/>
      <c r="J176" s="1772"/>
      <c r="K176" s="1772"/>
      <c r="L176" s="1746"/>
      <c r="M176" s="31"/>
      <c r="O176" s="38" t="s">
        <v>369</v>
      </c>
      <c r="P176" s="3" t="s">
        <v>374</v>
      </c>
      <c r="Q176" s="38" t="s">
        <v>369</v>
      </c>
      <c r="R176" s="1574">
        <v>200187090</v>
      </c>
      <c r="U176" s="1746"/>
      <c r="W176" s="1773"/>
    </row>
    <row r="177" spans="1:25" x14ac:dyDescent="0.2">
      <c r="F177" s="31"/>
      <c r="G177" s="31"/>
      <c r="I177" s="31"/>
      <c r="J177" s="1772"/>
      <c r="K177" s="1772"/>
      <c r="L177" s="1746"/>
      <c r="M177" s="31"/>
      <c r="O177" s="38" t="s">
        <v>369</v>
      </c>
      <c r="P177" s="3" t="s">
        <v>375</v>
      </c>
      <c r="Q177" s="38" t="s">
        <v>369</v>
      </c>
      <c r="R177" s="1574">
        <v>200187133</v>
      </c>
      <c r="U177" s="1746"/>
      <c r="W177" s="1773"/>
    </row>
    <row r="178" spans="1:25" x14ac:dyDescent="0.2">
      <c r="F178" s="31"/>
      <c r="G178" s="31"/>
      <c r="I178" s="31"/>
      <c r="J178" s="1772"/>
      <c r="K178" s="1772"/>
      <c r="L178" s="1746"/>
      <c r="M178" s="31"/>
      <c r="O178" s="279" t="s">
        <v>369</v>
      </c>
      <c r="P178" s="112" t="s">
        <v>1849</v>
      </c>
      <c r="Q178" s="279" t="s">
        <v>369</v>
      </c>
      <c r="R178" s="1924">
        <v>200187148</v>
      </c>
      <c r="U178" s="1746"/>
      <c r="W178" s="1773"/>
    </row>
    <row r="179" spans="1:25" ht="12" thickBot="1" x14ac:dyDescent="0.25">
      <c r="F179" s="893"/>
      <c r="G179" s="893"/>
      <c r="H179" s="1102"/>
      <c r="I179" s="893"/>
      <c r="J179" s="1776"/>
      <c r="K179" s="1776"/>
      <c r="L179" s="1777"/>
      <c r="M179" s="893"/>
      <c r="N179" s="1775"/>
      <c r="O179" s="888"/>
      <c r="P179" s="889"/>
      <c r="Q179" s="888"/>
      <c r="R179" s="893"/>
      <c r="S179" s="1775"/>
      <c r="T179" s="893"/>
      <c r="U179" s="1777"/>
      <c r="V179" s="1777"/>
      <c r="W179" s="1778"/>
      <c r="X179" s="1713"/>
      <c r="Y179" s="893"/>
    </row>
    <row r="180" spans="1:25" x14ac:dyDescent="0.2">
      <c r="F180" s="1779" t="s">
        <v>1627</v>
      </c>
      <c r="G180" s="31"/>
      <c r="I180" s="31"/>
      <c r="J180" s="1772"/>
      <c r="K180" s="1772"/>
      <c r="L180" s="1746"/>
      <c r="M180" s="31" t="s">
        <v>385</v>
      </c>
      <c r="R180" s="31"/>
      <c r="T180" s="31">
        <v>1</v>
      </c>
      <c r="U180" s="1746">
        <v>0.25</v>
      </c>
      <c r="V180" s="1746">
        <v>0.17299999999999999</v>
      </c>
      <c r="W180" s="1773">
        <f>V180*AtolbperftAccy</f>
        <v>0.10888619999999999</v>
      </c>
      <c r="X180" s="1774">
        <f>U180*W180*AccSScostperlb</f>
        <v>4.0832324999999996E-2</v>
      </c>
    </row>
    <row r="181" spans="1:25" x14ac:dyDescent="0.2">
      <c r="G181" s="31"/>
      <c r="I181" s="31"/>
      <c r="J181" s="1772"/>
      <c r="K181" s="1772"/>
      <c r="L181" s="1746"/>
      <c r="M181" s="31"/>
      <c r="O181" s="38" t="s">
        <v>369</v>
      </c>
      <c r="P181" s="3" t="s">
        <v>370</v>
      </c>
      <c r="Q181" s="38" t="s">
        <v>369</v>
      </c>
      <c r="R181" s="1784">
        <v>200187003001</v>
      </c>
      <c r="U181" s="1746"/>
      <c r="W181" s="1773"/>
      <c r="X181" s="1692">
        <v>4.99E-2</v>
      </c>
    </row>
    <row r="182" spans="1:25" x14ac:dyDescent="0.2">
      <c r="F182" s="31"/>
      <c r="G182" s="31"/>
      <c r="I182" s="31"/>
      <c r="J182" s="1772"/>
      <c r="K182" s="1772"/>
      <c r="L182" s="1746"/>
      <c r="M182" s="31"/>
      <c r="O182" s="38" t="s">
        <v>369</v>
      </c>
      <c r="P182" s="3" t="s">
        <v>372</v>
      </c>
      <c r="Q182" s="38" t="s">
        <v>369</v>
      </c>
      <c r="R182" s="1784">
        <v>200187021001</v>
      </c>
      <c r="U182" s="1746"/>
      <c r="W182" s="1773"/>
      <c r="X182" s="1692">
        <v>5.5300000000000002E-2</v>
      </c>
    </row>
    <row r="183" spans="1:25" x14ac:dyDescent="0.2">
      <c r="F183" s="31"/>
      <c r="G183" s="31"/>
      <c r="I183" s="31"/>
      <c r="J183" s="1772"/>
      <c r="K183" s="1772"/>
      <c r="L183" s="1746"/>
      <c r="M183" s="31"/>
      <c r="O183" s="38" t="s">
        <v>369</v>
      </c>
      <c r="P183" s="3" t="s">
        <v>373</v>
      </c>
      <c r="Q183" s="38" t="s">
        <v>369</v>
      </c>
      <c r="R183" s="1784">
        <v>200187033001</v>
      </c>
      <c r="U183" s="1746"/>
      <c r="W183" s="1773"/>
      <c r="X183" s="1692">
        <v>5.9499999999999997E-2</v>
      </c>
    </row>
    <row r="184" spans="1:25" x14ac:dyDescent="0.2">
      <c r="F184" s="31"/>
      <c r="G184" s="31"/>
      <c r="I184" s="31"/>
      <c r="J184" s="1772"/>
      <c r="K184" s="1772"/>
      <c r="L184" s="1746"/>
      <c r="M184" s="31"/>
      <c r="O184" s="38" t="s">
        <v>369</v>
      </c>
      <c r="P184" s="3" t="s">
        <v>374</v>
      </c>
      <c r="Q184" s="38" t="s">
        <v>369</v>
      </c>
      <c r="R184" s="1784">
        <v>200187090001</v>
      </c>
      <c r="U184" s="1746"/>
      <c r="W184" s="1773"/>
    </row>
    <row r="185" spans="1:25" x14ac:dyDescent="0.2">
      <c r="F185" s="31"/>
      <c r="G185" s="31"/>
      <c r="I185" s="31"/>
      <c r="J185" s="1772"/>
      <c r="K185" s="1772"/>
      <c r="L185" s="1746"/>
      <c r="M185" s="31"/>
      <c r="O185" s="38" t="s">
        <v>369</v>
      </c>
      <c r="P185" s="3" t="s">
        <v>375</v>
      </c>
      <c r="Q185" s="38" t="s">
        <v>369</v>
      </c>
      <c r="R185" s="1784">
        <v>200187133001</v>
      </c>
      <c r="U185" s="1746"/>
      <c r="W185" s="1773"/>
    </row>
    <row r="186" spans="1:25" ht="12" thickBot="1" x14ac:dyDescent="0.25">
      <c r="A186" s="893"/>
      <c r="B186" s="1102"/>
      <c r="C186" s="1102"/>
      <c r="D186" s="1102"/>
      <c r="E186" s="1775"/>
      <c r="F186" s="893"/>
      <c r="G186" s="893"/>
      <c r="H186" s="1102"/>
      <c r="I186" s="893"/>
      <c r="J186" s="1776"/>
      <c r="K186" s="1776"/>
      <c r="L186" s="1777"/>
      <c r="M186" s="893"/>
      <c r="N186" s="1775"/>
      <c r="O186" s="888"/>
      <c r="P186" s="889"/>
      <c r="Q186" s="888"/>
      <c r="R186" s="893"/>
      <c r="S186" s="1775"/>
      <c r="T186" s="893"/>
      <c r="U186" s="1777"/>
      <c r="V186" s="1777"/>
      <c r="W186" s="1778"/>
      <c r="X186" s="1713"/>
      <c r="Y186" s="893"/>
    </row>
    <row r="187" spans="1:25" ht="12" x14ac:dyDescent="0.25">
      <c r="A187" s="31">
        <f>A172+1</f>
        <v>7</v>
      </c>
      <c r="B187" s="845" t="s">
        <v>1647</v>
      </c>
      <c r="F187" s="1779" t="s">
        <v>1626</v>
      </c>
      <c r="G187" s="31"/>
      <c r="I187" s="31"/>
      <c r="J187" s="1772"/>
      <c r="K187" s="1772"/>
      <c r="L187" s="1746"/>
      <c r="M187" s="31" t="s">
        <v>385</v>
      </c>
      <c r="R187" s="31"/>
      <c r="T187" s="31">
        <v>1</v>
      </c>
      <c r="U187" s="1746">
        <v>1</v>
      </c>
      <c r="V187" s="1746">
        <v>4.5999999999999999E-2</v>
      </c>
      <c r="W187" s="1773">
        <f>V187*AtolbperftAccy</f>
        <v>2.8952399999999996E-2</v>
      </c>
      <c r="X187" s="1774">
        <f>U187*W187*AccSScostperlb</f>
        <v>4.3428599999999998E-2</v>
      </c>
    </row>
    <row r="188" spans="1:25" x14ac:dyDescent="0.2">
      <c r="G188" s="31"/>
      <c r="I188" s="31"/>
      <c r="J188" s="1772"/>
      <c r="K188" s="1772"/>
      <c r="L188" s="1746"/>
      <c r="M188" s="31"/>
      <c r="O188" s="38" t="s">
        <v>369</v>
      </c>
      <c r="P188" s="3" t="s">
        <v>370</v>
      </c>
      <c r="Q188" s="38" t="s">
        <v>369</v>
      </c>
      <c r="R188" s="1574">
        <v>200120003</v>
      </c>
      <c r="U188" s="1746"/>
      <c r="W188" s="1773"/>
      <c r="X188" s="1692">
        <v>6.4600000000000005E-2</v>
      </c>
    </row>
    <row r="189" spans="1:25" x14ac:dyDescent="0.2">
      <c r="F189" s="31"/>
      <c r="G189" s="31"/>
      <c r="I189" s="31"/>
      <c r="J189" s="1772"/>
      <c r="K189" s="1772"/>
      <c r="L189" s="1746"/>
      <c r="M189" s="31"/>
      <c r="O189" s="38" t="s">
        <v>369</v>
      </c>
      <c r="P189" s="3" t="s">
        <v>372</v>
      </c>
      <c r="Q189" s="38" t="s">
        <v>369</v>
      </c>
      <c r="R189" s="1574">
        <v>200120021</v>
      </c>
      <c r="U189" s="1746"/>
      <c r="W189" s="1773"/>
      <c r="X189" s="1692">
        <v>7.0599999999999996E-2</v>
      </c>
    </row>
    <row r="190" spans="1:25" x14ac:dyDescent="0.2">
      <c r="F190" s="31"/>
      <c r="G190" s="31"/>
      <c r="I190" s="31"/>
      <c r="J190" s="1772"/>
      <c r="K190" s="1772"/>
      <c r="L190" s="1746"/>
      <c r="M190" s="31"/>
      <c r="O190" s="38" t="s">
        <v>369</v>
      </c>
      <c r="P190" s="3" t="s">
        <v>373</v>
      </c>
      <c r="Q190" s="38" t="s">
        <v>369</v>
      </c>
      <c r="R190" s="1574">
        <v>200120033</v>
      </c>
      <c r="U190" s="1746"/>
      <c r="W190" s="1773"/>
      <c r="X190" s="1692">
        <v>7.5200000000000003E-2</v>
      </c>
    </row>
    <row r="191" spans="1:25" x14ac:dyDescent="0.2">
      <c r="F191" s="31"/>
      <c r="G191" s="31"/>
      <c r="I191" s="31"/>
      <c r="J191" s="1772"/>
      <c r="K191" s="1772"/>
      <c r="L191" s="1746"/>
      <c r="M191" s="31"/>
      <c r="O191" s="38" t="s">
        <v>369</v>
      </c>
      <c r="P191" s="3" t="s">
        <v>374</v>
      </c>
      <c r="Q191" s="38" t="s">
        <v>369</v>
      </c>
      <c r="R191" s="1574">
        <v>200120090</v>
      </c>
      <c r="U191" s="1746"/>
      <c r="W191" s="1773"/>
    </row>
    <row r="192" spans="1:25" x14ac:dyDescent="0.2">
      <c r="F192" s="31"/>
      <c r="G192" s="31"/>
      <c r="I192" s="31"/>
      <c r="J192" s="1772"/>
      <c r="K192" s="1772"/>
      <c r="L192" s="1746"/>
      <c r="M192" s="31"/>
      <c r="O192" s="38" t="s">
        <v>369</v>
      </c>
      <c r="P192" s="3" t="s">
        <v>375</v>
      </c>
      <c r="Q192" s="38" t="s">
        <v>369</v>
      </c>
      <c r="R192" s="1574">
        <v>200120133</v>
      </c>
      <c r="U192" s="1746"/>
      <c r="W192" s="1773"/>
    </row>
    <row r="193" spans="1:25" x14ac:dyDescent="0.2">
      <c r="F193" s="31"/>
      <c r="G193" s="31"/>
      <c r="I193" s="31"/>
      <c r="J193" s="1772"/>
      <c r="K193" s="1772"/>
      <c r="L193" s="1746"/>
      <c r="M193" s="31"/>
      <c r="O193" s="279" t="s">
        <v>369</v>
      </c>
      <c r="P193" s="112" t="s">
        <v>1849</v>
      </c>
      <c r="Q193" s="279" t="s">
        <v>369</v>
      </c>
      <c r="R193" s="1924">
        <v>200120148</v>
      </c>
      <c r="U193" s="1746"/>
      <c r="W193" s="1773"/>
    </row>
    <row r="194" spans="1:25" ht="12" thickBot="1" x14ac:dyDescent="0.25">
      <c r="F194" s="893"/>
      <c r="G194" s="893"/>
      <c r="H194" s="1102"/>
      <c r="I194" s="893"/>
      <c r="J194" s="1776"/>
      <c r="K194" s="1776"/>
      <c r="L194" s="1777"/>
      <c r="M194" s="893"/>
      <c r="N194" s="1775"/>
      <c r="O194" s="888"/>
      <c r="P194" s="889"/>
      <c r="Q194" s="888"/>
      <c r="R194" s="893"/>
      <c r="S194" s="1775"/>
      <c r="T194" s="893"/>
      <c r="U194" s="1777"/>
      <c r="V194" s="1777"/>
      <c r="W194" s="1778"/>
      <c r="X194" s="1713"/>
      <c r="Y194" s="893"/>
    </row>
    <row r="195" spans="1:25" x14ac:dyDescent="0.2">
      <c r="F195" s="1779" t="s">
        <v>1627</v>
      </c>
      <c r="G195" s="31"/>
      <c r="I195" s="31"/>
      <c r="J195" s="1772"/>
      <c r="K195" s="1772"/>
      <c r="L195" s="1746"/>
      <c r="M195" s="31" t="s">
        <v>385</v>
      </c>
      <c r="R195" s="31"/>
      <c r="T195" s="31">
        <v>1</v>
      </c>
      <c r="U195" s="1746">
        <v>0.25</v>
      </c>
      <c r="V195" s="1746">
        <v>4.5999999999999999E-2</v>
      </c>
      <c r="W195" s="1773">
        <f>V195*AtolbperftAccy</f>
        <v>2.8952399999999996E-2</v>
      </c>
      <c r="X195" s="1774">
        <f>U195*W195*AccSScostperlb</f>
        <v>1.0857149999999999E-2</v>
      </c>
    </row>
    <row r="196" spans="1:25" x14ac:dyDescent="0.2">
      <c r="F196" s="31"/>
      <c r="G196" s="31"/>
      <c r="I196" s="31"/>
      <c r="J196" s="1772"/>
      <c r="K196" s="1772"/>
      <c r="L196" s="1746"/>
      <c r="M196" s="31"/>
      <c r="O196" s="38" t="s">
        <v>369</v>
      </c>
      <c r="P196" s="3" t="s">
        <v>370</v>
      </c>
      <c r="Q196" s="38" t="s">
        <v>369</v>
      </c>
      <c r="R196" s="1784">
        <v>200120003001</v>
      </c>
      <c r="U196" s="1746"/>
      <c r="W196" s="1773"/>
    </row>
    <row r="197" spans="1:25" x14ac:dyDescent="0.2">
      <c r="F197" s="31"/>
      <c r="G197" s="31"/>
      <c r="I197" s="31"/>
      <c r="J197" s="1772"/>
      <c r="K197" s="1772"/>
      <c r="L197" s="1746"/>
      <c r="M197" s="31"/>
      <c r="O197" s="38" t="s">
        <v>369</v>
      </c>
      <c r="P197" s="3" t="s">
        <v>372</v>
      </c>
      <c r="Q197" s="38" t="s">
        <v>369</v>
      </c>
      <c r="R197" s="1784">
        <v>200120021001</v>
      </c>
      <c r="U197" s="1746"/>
      <c r="W197" s="1773"/>
    </row>
    <row r="198" spans="1:25" x14ac:dyDescent="0.2">
      <c r="F198" s="31"/>
      <c r="G198" s="31"/>
      <c r="I198" s="31"/>
      <c r="J198" s="1772"/>
      <c r="K198" s="1772"/>
      <c r="L198" s="1746"/>
      <c r="M198" s="31"/>
      <c r="O198" s="38" t="s">
        <v>369</v>
      </c>
      <c r="P198" s="3" t="s">
        <v>373</v>
      </c>
      <c r="Q198" s="38" t="s">
        <v>369</v>
      </c>
      <c r="R198" s="1784">
        <v>200120033001</v>
      </c>
      <c r="U198" s="1746"/>
      <c r="W198" s="1773"/>
    </row>
    <row r="199" spans="1:25" x14ac:dyDescent="0.2">
      <c r="F199" s="31"/>
      <c r="G199" s="31"/>
      <c r="I199" s="31"/>
      <c r="J199" s="1772"/>
      <c r="K199" s="1772"/>
      <c r="L199" s="1746"/>
      <c r="M199" s="31"/>
      <c r="O199" s="38" t="s">
        <v>369</v>
      </c>
      <c r="P199" s="3" t="s">
        <v>374</v>
      </c>
      <c r="Q199" s="38" t="s">
        <v>369</v>
      </c>
      <c r="R199" s="1784">
        <v>200120090001</v>
      </c>
      <c r="U199" s="1746"/>
      <c r="W199" s="1773"/>
    </row>
    <row r="200" spans="1:25" x14ac:dyDescent="0.2">
      <c r="F200" s="31"/>
      <c r="G200" s="31"/>
      <c r="I200" s="31"/>
      <c r="J200" s="1772"/>
      <c r="K200" s="1772"/>
      <c r="L200" s="1746"/>
      <c r="M200" s="31"/>
      <c r="O200" s="38" t="s">
        <v>369</v>
      </c>
      <c r="P200" s="3" t="s">
        <v>375</v>
      </c>
      <c r="Q200" s="38" t="s">
        <v>369</v>
      </c>
      <c r="R200" s="1784">
        <v>200120133001</v>
      </c>
      <c r="U200" s="1746"/>
      <c r="W200" s="1773"/>
    </row>
    <row r="201" spans="1:25" ht="12" thickBot="1" x14ac:dyDescent="0.25">
      <c r="A201" s="893"/>
      <c r="B201" s="1102"/>
      <c r="C201" s="1102"/>
      <c r="D201" s="1102"/>
      <c r="E201" s="1775"/>
      <c r="F201" s="893"/>
      <c r="G201" s="893"/>
      <c r="H201" s="1102"/>
      <c r="I201" s="893"/>
      <c r="J201" s="1776"/>
      <c r="K201" s="1776"/>
      <c r="L201" s="1777"/>
      <c r="M201" s="893"/>
      <c r="N201" s="1775"/>
      <c r="O201" s="888"/>
      <c r="P201" s="889"/>
      <c r="Q201" s="888"/>
      <c r="R201" s="893"/>
      <c r="S201" s="1775"/>
      <c r="T201" s="893"/>
      <c r="U201" s="1777"/>
      <c r="V201" s="1777"/>
      <c r="W201" s="1778"/>
      <c r="X201" s="1713"/>
      <c r="Y201" s="893"/>
    </row>
    <row r="202" spans="1:25" ht="12" x14ac:dyDescent="0.25">
      <c r="A202" s="31">
        <f>A187+1</f>
        <v>8</v>
      </c>
      <c r="B202" s="845" t="s">
        <v>1877</v>
      </c>
      <c r="F202" s="31"/>
      <c r="G202" s="31"/>
      <c r="I202" s="31"/>
      <c r="J202" s="1772"/>
      <c r="K202" s="1772"/>
      <c r="L202" s="1746"/>
      <c r="M202" s="31"/>
      <c r="O202" s="38"/>
      <c r="P202" s="3"/>
      <c r="Q202" s="38"/>
      <c r="R202" s="1784" t="s">
        <v>2167</v>
      </c>
      <c r="U202" s="1746"/>
      <c r="W202" s="1773"/>
    </row>
    <row r="203" spans="1:25" x14ac:dyDescent="0.2">
      <c r="F203" s="1779" t="s">
        <v>2166</v>
      </c>
      <c r="G203" s="31"/>
      <c r="I203" s="31"/>
      <c r="J203" s="1772"/>
      <c r="K203" s="1772"/>
      <c r="L203" s="1746"/>
      <c r="M203" s="31"/>
      <c r="O203" s="38"/>
      <c r="P203" s="3"/>
      <c r="Q203" s="38"/>
      <c r="R203" s="1574">
        <v>250014000</v>
      </c>
      <c r="U203" s="1746"/>
      <c r="W203" s="1773"/>
    </row>
    <row r="204" spans="1:25" x14ac:dyDescent="0.2">
      <c r="F204" s="31"/>
      <c r="G204" s="31"/>
      <c r="I204" s="31"/>
      <c r="J204" s="1772"/>
      <c r="K204" s="1772"/>
      <c r="L204" s="1746"/>
      <c r="M204" s="31"/>
      <c r="O204" s="38"/>
      <c r="P204" s="3"/>
      <c r="Q204" s="38"/>
      <c r="R204" s="31"/>
      <c r="U204" s="1746"/>
      <c r="W204" s="1773"/>
    </row>
    <row r="205" spans="1:25" ht="12" thickBot="1" x14ac:dyDescent="0.25">
      <c r="A205" s="893"/>
      <c r="B205" s="1102"/>
      <c r="C205" s="1102"/>
      <c r="D205" s="1102"/>
      <c r="E205" s="1775"/>
      <c r="F205" s="893"/>
      <c r="G205" s="893"/>
      <c r="H205" s="1102"/>
      <c r="I205" s="893"/>
      <c r="J205" s="1776"/>
      <c r="K205" s="1776"/>
      <c r="L205" s="1777"/>
      <c r="M205" s="893"/>
      <c r="N205" s="1775"/>
      <c r="O205" s="888"/>
      <c r="P205" s="889"/>
      <c r="Q205" s="888"/>
      <c r="R205" s="893"/>
      <c r="S205" s="1775"/>
      <c r="T205" s="893"/>
      <c r="U205" s="1777"/>
      <c r="V205" s="1777"/>
      <c r="W205" s="1778"/>
      <c r="X205" s="1713"/>
      <c r="Y205" s="893"/>
    </row>
    <row r="206" spans="1:25" x14ac:dyDescent="0.2">
      <c r="F206" s="31"/>
      <c r="G206" s="31"/>
      <c r="I206" s="31"/>
      <c r="J206" s="1772"/>
      <c r="K206" s="1772"/>
      <c r="L206" s="1746"/>
      <c r="M206" s="31"/>
      <c r="O206" s="38"/>
      <c r="P206" s="3"/>
      <c r="Q206" s="38"/>
      <c r="R206" s="31"/>
      <c r="U206" s="1746"/>
      <c r="W206" s="1773"/>
    </row>
    <row r="207" spans="1:25" x14ac:dyDescent="0.2">
      <c r="A207" s="31">
        <f>COUNTA(B142:B206)</f>
        <v>8</v>
      </c>
      <c r="B207" s="1706" t="s">
        <v>1648</v>
      </c>
    </row>
    <row r="209" spans="1:25" s="1771" customFormat="1" ht="18" thickBot="1" x14ac:dyDescent="0.35">
      <c r="A209" s="1821" t="s">
        <v>1649</v>
      </c>
      <c r="B209" s="1794"/>
      <c r="C209" s="1794"/>
      <c r="D209" s="1794"/>
      <c r="E209" s="1795"/>
      <c r="F209" s="1795"/>
      <c r="G209" s="1795"/>
      <c r="H209" s="1795"/>
      <c r="I209" s="1795"/>
      <c r="J209" s="1795"/>
      <c r="K209" s="1796"/>
      <c r="L209" s="1796"/>
      <c r="M209" s="1795"/>
      <c r="N209" s="1795"/>
      <c r="O209" s="1795"/>
      <c r="P209" s="1795"/>
      <c r="Q209" s="1795"/>
      <c r="R209" s="1795"/>
      <c r="S209" s="1795"/>
      <c r="T209" s="1797"/>
      <c r="U209" s="1796"/>
      <c r="V209" s="1796"/>
      <c r="W209" s="1798"/>
      <c r="X209" s="1799"/>
      <c r="Y209" s="1797"/>
    </row>
    <row r="210" spans="1:25" s="1771" customFormat="1" ht="13.95" customHeight="1" x14ac:dyDescent="0.3">
      <c r="A210" s="31">
        <v>1</v>
      </c>
      <c r="B210" s="1703" t="s">
        <v>1957</v>
      </c>
      <c r="C210" s="958"/>
      <c r="D210" s="958"/>
      <c r="E210" s="1752"/>
      <c r="F210" s="23"/>
      <c r="G210" s="23"/>
      <c r="H210" s="23"/>
      <c r="I210" s="23"/>
      <c r="J210" s="23"/>
      <c r="K210" s="29"/>
      <c r="L210" s="29"/>
      <c r="M210" s="23"/>
      <c r="N210" s="1752"/>
      <c r="O210" s="23"/>
      <c r="P210" s="23"/>
      <c r="Q210" s="23"/>
      <c r="R210" s="23"/>
      <c r="S210" s="1752"/>
      <c r="T210" s="31"/>
      <c r="U210" s="29"/>
      <c r="V210" s="29"/>
      <c r="W210" s="1750"/>
      <c r="X210" s="50"/>
      <c r="Y210" s="31"/>
    </row>
    <row r="211" spans="1:25" s="1771" customFormat="1" ht="13.95" customHeight="1" x14ac:dyDescent="0.3">
      <c r="A211" s="1800"/>
      <c r="B211" s="958"/>
      <c r="C211" s="958"/>
      <c r="D211" s="958" t="s">
        <v>1958</v>
      </c>
      <c r="E211" s="1752"/>
      <c r="F211" s="23"/>
      <c r="G211" s="23"/>
      <c r="H211" s="23"/>
      <c r="I211" s="23"/>
      <c r="J211" s="23"/>
      <c r="K211" s="29"/>
      <c r="L211" s="29"/>
      <c r="M211" s="23" t="s">
        <v>385</v>
      </c>
      <c r="N211" s="1752"/>
      <c r="O211" s="38" t="s">
        <v>369</v>
      </c>
      <c r="P211" s="3" t="s">
        <v>370</v>
      </c>
      <c r="Q211" s="38" t="s">
        <v>369</v>
      </c>
      <c r="R211" s="1784">
        <v>200393003028</v>
      </c>
      <c r="S211" s="1752"/>
      <c r="T211" s="31">
        <v>1</v>
      </c>
      <c r="U211" s="29">
        <f>T211</f>
        <v>1</v>
      </c>
      <c r="V211" s="29" t="s">
        <v>8</v>
      </c>
      <c r="W211" s="1750" t="s">
        <v>8</v>
      </c>
      <c r="X211" s="50"/>
      <c r="Y211" s="31"/>
    </row>
    <row r="212" spans="1:25" s="1771" customFormat="1" ht="13.95" customHeight="1" x14ac:dyDescent="0.3">
      <c r="A212" s="1800"/>
      <c r="B212" s="958"/>
      <c r="C212" s="958"/>
      <c r="D212" s="958"/>
      <c r="E212" s="1752"/>
      <c r="F212" s="23"/>
      <c r="G212" s="23"/>
      <c r="H212" s="23"/>
      <c r="I212" s="23"/>
      <c r="J212" s="23"/>
      <c r="K212" s="29"/>
      <c r="L212" s="29"/>
      <c r="M212" s="23"/>
      <c r="N212" s="1752"/>
      <c r="O212" s="38" t="s">
        <v>369</v>
      </c>
      <c r="P212" s="3" t="s">
        <v>1959</v>
      </c>
      <c r="Q212" s="38" t="s">
        <v>369</v>
      </c>
      <c r="R212" s="1784">
        <v>200393021028</v>
      </c>
      <c r="S212" s="1752"/>
      <c r="T212" s="31"/>
      <c r="U212" s="29"/>
      <c r="V212" s="29"/>
      <c r="W212" s="1750"/>
      <c r="X212" s="50"/>
      <c r="Y212" s="31"/>
    </row>
    <row r="213" spans="1:25" s="1771" customFormat="1" ht="13.95" customHeight="1" x14ac:dyDescent="0.3">
      <c r="A213" s="1800"/>
      <c r="B213" s="958"/>
      <c r="C213" s="958"/>
      <c r="D213" s="958"/>
      <c r="E213" s="1752"/>
      <c r="F213" s="23"/>
      <c r="G213" s="23"/>
      <c r="H213" s="23"/>
      <c r="I213" s="23"/>
      <c r="J213" s="23"/>
      <c r="K213" s="29"/>
      <c r="L213" s="29"/>
      <c r="M213" s="23"/>
      <c r="N213" s="1752"/>
      <c r="O213" s="38" t="s">
        <v>369</v>
      </c>
      <c r="P213" s="3" t="s">
        <v>373</v>
      </c>
      <c r="Q213" s="38" t="s">
        <v>369</v>
      </c>
      <c r="R213" s="1784">
        <v>200393033028</v>
      </c>
      <c r="S213" s="1752"/>
      <c r="T213" s="31"/>
      <c r="U213" s="29"/>
      <c r="V213" s="29"/>
      <c r="W213" s="1750"/>
      <c r="X213" s="50"/>
      <c r="Y213" s="31"/>
    </row>
    <row r="214" spans="1:25" s="1771" customFormat="1" ht="13.95" customHeight="1" x14ac:dyDescent="0.3">
      <c r="A214" s="1800"/>
      <c r="B214" s="958"/>
      <c r="C214" s="958"/>
      <c r="D214" s="958"/>
      <c r="E214" s="1752"/>
      <c r="F214" s="23"/>
      <c r="G214" s="23"/>
      <c r="H214" s="23"/>
      <c r="I214" s="23"/>
      <c r="J214" s="23"/>
      <c r="K214" s="29"/>
      <c r="L214" s="29"/>
      <c r="M214" s="23"/>
      <c r="N214" s="1752"/>
      <c r="O214" s="3" t="s">
        <v>2363</v>
      </c>
      <c r="P214" s="3" t="s">
        <v>370</v>
      </c>
      <c r="Q214" s="38" t="s">
        <v>369</v>
      </c>
      <c r="R214" s="1784">
        <v>200393127028</v>
      </c>
      <c r="S214" s="1752"/>
      <c r="T214" s="31"/>
      <c r="U214" s="29"/>
      <c r="V214" s="29"/>
      <c r="W214" s="1750"/>
      <c r="X214" s="50"/>
      <c r="Y214" s="31"/>
    </row>
    <row r="215" spans="1:25" s="1771" customFormat="1" ht="13.95" customHeight="1" x14ac:dyDescent="0.3">
      <c r="A215" s="1800"/>
      <c r="B215" s="958"/>
      <c r="C215" s="958"/>
      <c r="D215" s="958"/>
      <c r="E215" s="1752"/>
      <c r="F215" s="23"/>
      <c r="G215" s="23"/>
      <c r="H215" s="23"/>
      <c r="I215" s="23"/>
      <c r="J215" s="23"/>
      <c r="K215" s="29"/>
      <c r="L215" s="29"/>
      <c r="M215" s="23"/>
      <c r="N215" s="1752"/>
      <c r="O215" s="3" t="s">
        <v>2365</v>
      </c>
      <c r="P215" s="3" t="s">
        <v>370</v>
      </c>
      <c r="Q215" s="38" t="s">
        <v>369</v>
      </c>
      <c r="R215" s="1784">
        <v>200393180028</v>
      </c>
      <c r="S215" s="1752"/>
      <c r="T215" s="31"/>
      <c r="U215" s="29"/>
      <c r="V215" s="29"/>
      <c r="W215" s="1750"/>
      <c r="X215" s="50"/>
      <c r="Y215" s="31"/>
    </row>
    <row r="216" spans="1:25" s="1771" customFormat="1" ht="13.95" customHeight="1" x14ac:dyDescent="0.3">
      <c r="A216" s="1800"/>
      <c r="B216" s="958"/>
      <c r="C216" s="958"/>
      <c r="D216" s="958"/>
      <c r="E216" s="1752"/>
      <c r="F216" s="23"/>
      <c r="G216" s="23"/>
      <c r="H216" s="23"/>
      <c r="I216" s="23"/>
      <c r="J216" s="23"/>
      <c r="K216" s="29"/>
      <c r="L216" s="29"/>
      <c r="M216" s="23"/>
      <c r="N216" s="1752"/>
      <c r="O216" s="112" t="s">
        <v>2367</v>
      </c>
      <c r="P216" s="112" t="s">
        <v>370</v>
      </c>
      <c r="Q216" s="279" t="s">
        <v>369</v>
      </c>
      <c r="R216" s="1929">
        <v>200393152028</v>
      </c>
      <c r="S216" s="1752"/>
      <c r="T216" s="31"/>
      <c r="U216" s="29"/>
      <c r="V216" s="29"/>
      <c r="W216" s="1750"/>
      <c r="X216" s="50"/>
      <c r="Y216" s="31"/>
    </row>
    <row r="217" spans="1:25" s="1771" customFormat="1" ht="13.95" customHeight="1" thickBot="1" x14ac:dyDescent="0.35">
      <c r="A217" s="1800"/>
      <c r="B217" s="958"/>
      <c r="C217" s="958"/>
      <c r="D217" s="1104"/>
      <c r="E217" s="1775"/>
      <c r="F217" s="885"/>
      <c r="G217" s="885"/>
      <c r="H217" s="885"/>
      <c r="I217" s="885"/>
      <c r="J217" s="885"/>
      <c r="K217" s="890"/>
      <c r="L217" s="890"/>
      <c r="M217" s="885"/>
      <c r="N217" s="1775"/>
      <c r="O217" s="889" t="s">
        <v>2365</v>
      </c>
      <c r="P217" s="889" t="s">
        <v>370</v>
      </c>
      <c r="Q217" s="888" t="s">
        <v>2365</v>
      </c>
      <c r="R217" s="1785">
        <v>200393181028</v>
      </c>
      <c r="S217" s="1775"/>
      <c r="T217" s="893"/>
      <c r="U217" s="890"/>
      <c r="V217" s="890"/>
      <c r="W217" s="1823"/>
      <c r="X217" s="891"/>
      <c r="Y217" s="893"/>
    </row>
    <row r="218" spans="1:25" s="1771" customFormat="1" ht="13.95" customHeight="1" x14ac:dyDescent="0.3">
      <c r="A218" s="1800"/>
      <c r="B218" s="958"/>
      <c r="C218" s="958"/>
      <c r="D218" s="958" t="s">
        <v>1960</v>
      </c>
      <c r="E218" s="1752"/>
      <c r="F218" s="23"/>
      <c r="G218" s="23"/>
      <c r="H218" s="23"/>
      <c r="I218" s="23"/>
      <c r="J218" s="23"/>
      <c r="K218" s="29"/>
      <c r="L218" s="29"/>
      <c r="M218" s="23"/>
      <c r="N218" s="1752"/>
      <c r="O218" s="38" t="s">
        <v>369</v>
      </c>
      <c r="P218" s="3" t="s">
        <v>370</v>
      </c>
      <c r="Q218" s="38" t="s">
        <v>369</v>
      </c>
      <c r="R218" s="1784">
        <v>200393003030</v>
      </c>
      <c r="S218" s="1752"/>
      <c r="T218" s="31"/>
      <c r="U218" s="29"/>
      <c r="V218" s="29"/>
      <c r="W218" s="1750"/>
      <c r="X218" s="50"/>
      <c r="Y218" s="31"/>
    </row>
    <row r="219" spans="1:25" s="1771" customFormat="1" ht="13.95" customHeight="1" x14ac:dyDescent="0.3">
      <c r="A219" s="1800"/>
      <c r="B219" s="958"/>
      <c r="C219" s="958"/>
      <c r="D219" s="958"/>
      <c r="E219" s="1752"/>
      <c r="F219" s="23"/>
      <c r="G219" s="23"/>
      <c r="H219" s="23"/>
      <c r="I219" s="23"/>
      <c r="J219" s="23"/>
      <c r="K219" s="29"/>
      <c r="L219" s="29"/>
      <c r="M219" s="23"/>
      <c r="N219" s="1752"/>
      <c r="O219" s="38" t="s">
        <v>369</v>
      </c>
      <c r="P219" s="3" t="s">
        <v>1959</v>
      </c>
      <c r="Q219" s="38" t="s">
        <v>369</v>
      </c>
      <c r="R219" s="1784">
        <v>200393021030</v>
      </c>
      <c r="S219" s="1752"/>
      <c r="T219" s="31"/>
      <c r="U219" s="29"/>
      <c r="V219" s="29"/>
      <c r="W219" s="1750"/>
      <c r="X219" s="50"/>
      <c r="Y219" s="31"/>
    </row>
    <row r="220" spans="1:25" s="1771" customFormat="1" ht="13.95" customHeight="1" x14ac:dyDescent="0.3">
      <c r="A220" s="1800"/>
      <c r="B220" s="958"/>
      <c r="C220" s="958"/>
      <c r="D220" s="958"/>
      <c r="E220" s="1752"/>
      <c r="F220" s="23"/>
      <c r="G220" s="23"/>
      <c r="H220" s="23"/>
      <c r="I220" s="23"/>
      <c r="J220" s="23"/>
      <c r="K220" s="29"/>
      <c r="L220" s="29"/>
      <c r="M220" s="23"/>
      <c r="N220" s="1752"/>
      <c r="O220" s="38" t="s">
        <v>369</v>
      </c>
      <c r="P220" s="3" t="s">
        <v>373</v>
      </c>
      <c r="Q220" s="38" t="s">
        <v>369</v>
      </c>
      <c r="R220" s="1784">
        <v>200393033030</v>
      </c>
      <c r="S220" s="1752"/>
      <c r="T220" s="31"/>
      <c r="U220" s="29"/>
      <c r="V220" s="29"/>
      <c r="W220" s="1750"/>
      <c r="X220" s="50"/>
      <c r="Y220" s="31"/>
    </row>
    <row r="221" spans="1:25" s="1771" customFormat="1" ht="13.95" customHeight="1" x14ac:dyDescent="0.3">
      <c r="A221" s="1800"/>
      <c r="B221" s="958"/>
      <c r="C221" s="958"/>
      <c r="D221" s="958"/>
      <c r="E221" s="1752"/>
      <c r="F221" s="23"/>
      <c r="G221" s="23"/>
      <c r="H221" s="23"/>
      <c r="I221" s="23"/>
      <c r="J221" s="23"/>
      <c r="K221" s="29"/>
      <c r="L221" s="29"/>
      <c r="M221" s="23"/>
      <c r="N221" s="1752"/>
      <c r="O221" s="3" t="s">
        <v>2363</v>
      </c>
      <c r="P221" s="3" t="s">
        <v>370</v>
      </c>
      <c r="Q221" s="38" t="s">
        <v>369</v>
      </c>
      <c r="R221" s="1784">
        <v>200393127030</v>
      </c>
      <c r="S221" s="1752"/>
      <c r="T221" s="31"/>
      <c r="U221" s="29"/>
      <c r="V221" s="29"/>
      <c r="W221" s="1750"/>
      <c r="X221" s="50"/>
      <c r="Y221" s="31"/>
    </row>
    <row r="222" spans="1:25" s="1771" customFormat="1" ht="13.95" customHeight="1" x14ac:dyDescent="0.3">
      <c r="A222" s="1800"/>
      <c r="B222" s="958"/>
      <c r="C222" s="958"/>
      <c r="D222" s="958"/>
      <c r="E222" s="1752"/>
      <c r="F222" s="23"/>
      <c r="G222" s="23"/>
      <c r="H222" s="23"/>
      <c r="I222" s="23"/>
      <c r="J222" s="23"/>
      <c r="K222" s="29"/>
      <c r="L222" s="29"/>
      <c r="M222" s="23"/>
      <c r="N222" s="1752"/>
      <c r="O222" s="3" t="s">
        <v>2365</v>
      </c>
      <c r="P222" s="3" t="s">
        <v>370</v>
      </c>
      <c r="Q222" s="38" t="s">
        <v>369</v>
      </c>
      <c r="R222" s="1784">
        <v>200393180030</v>
      </c>
      <c r="S222" s="1752"/>
      <c r="T222" s="31"/>
      <c r="U222" s="29"/>
      <c r="V222" s="29"/>
      <c r="W222" s="1750"/>
      <c r="X222" s="50"/>
      <c r="Y222" s="31"/>
    </row>
    <row r="223" spans="1:25" s="1771" customFormat="1" ht="13.95" customHeight="1" x14ac:dyDescent="0.3">
      <c r="A223" s="1800"/>
      <c r="B223" s="958"/>
      <c r="C223" s="958"/>
      <c r="D223" s="958"/>
      <c r="E223" s="1752"/>
      <c r="F223" s="23"/>
      <c r="G223" s="23"/>
      <c r="H223" s="23"/>
      <c r="I223" s="23"/>
      <c r="J223" s="23"/>
      <c r="K223" s="29"/>
      <c r="L223" s="29"/>
      <c r="M223" s="23"/>
      <c r="N223" s="1752"/>
      <c r="O223" s="112" t="s">
        <v>2367</v>
      </c>
      <c r="P223" s="112" t="s">
        <v>370</v>
      </c>
      <c r="Q223" s="279" t="s">
        <v>369</v>
      </c>
      <c r="R223" s="1929">
        <v>200393152030</v>
      </c>
      <c r="S223" s="1752"/>
      <c r="T223" s="31"/>
      <c r="U223" s="29"/>
      <c r="V223" s="29"/>
      <c r="W223" s="1750"/>
      <c r="X223" s="50"/>
      <c r="Y223" s="31"/>
    </row>
    <row r="224" spans="1:25" s="1771" customFormat="1" ht="13.95" customHeight="1" thickBot="1" x14ac:dyDescent="0.35">
      <c r="A224" s="1800"/>
      <c r="B224" s="958"/>
      <c r="C224" s="958"/>
      <c r="D224" s="1104"/>
      <c r="E224" s="1775"/>
      <c r="F224" s="885"/>
      <c r="G224" s="885"/>
      <c r="H224" s="885"/>
      <c r="I224" s="885"/>
      <c r="J224" s="885"/>
      <c r="K224" s="890"/>
      <c r="L224" s="890"/>
      <c r="M224" s="885"/>
      <c r="N224" s="1775"/>
      <c r="O224" s="889" t="s">
        <v>2365</v>
      </c>
      <c r="P224" s="889" t="s">
        <v>370</v>
      </c>
      <c r="Q224" s="888" t="s">
        <v>2365</v>
      </c>
      <c r="R224" s="1785">
        <v>200393181030</v>
      </c>
      <c r="S224" s="1775"/>
      <c r="T224" s="893"/>
      <c r="U224" s="890"/>
      <c r="V224" s="890"/>
      <c r="W224" s="1823"/>
      <c r="X224" s="891"/>
      <c r="Y224" s="893"/>
    </row>
    <row r="225" spans="1:25" s="1771" customFormat="1" ht="13.95" customHeight="1" x14ac:dyDescent="0.3">
      <c r="A225" s="1800"/>
      <c r="B225" s="958"/>
      <c r="C225" s="958"/>
      <c r="D225" s="958" t="s">
        <v>1961</v>
      </c>
      <c r="E225" s="1752"/>
      <c r="F225" s="23"/>
      <c r="G225" s="23"/>
      <c r="H225" s="23"/>
      <c r="I225" s="23"/>
      <c r="J225" s="23"/>
      <c r="K225" s="29"/>
      <c r="L225" s="29"/>
      <c r="M225" s="23"/>
      <c r="N225" s="1752"/>
      <c r="O225" s="38" t="s">
        <v>369</v>
      </c>
      <c r="P225" s="3" t="s">
        <v>370</v>
      </c>
      <c r="Q225" s="38" t="s">
        <v>369</v>
      </c>
      <c r="R225" s="1784">
        <v>200393003034</v>
      </c>
      <c r="S225" s="1752"/>
      <c r="T225" s="31"/>
      <c r="U225" s="29"/>
      <c r="V225" s="29"/>
      <c r="W225" s="1750"/>
      <c r="X225" s="50"/>
      <c r="Y225" s="31"/>
    </row>
    <row r="226" spans="1:25" s="1771" customFormat="1" ht="13.95" customHeight="1" x14ac:dyDescent="0.3">
      <c r="A226" s="1800"/>
      <c r="B226" s="958"/>
      <c r="C226" s="958"/>
      <c r="D226" s="958"/>
      <c r="E226" s="1752"/>
      <c r="F226" s="23"/>
      <c r="G226" s="23"/>
      <c r="H226" s="23"/>
      <c r="I226" s="23"/>
      <c r="J226" s="23"/>
      <c r="K226" s="29"/>
      <c r="L226" s="29"/>
      <c r="M226" s="23"/>
      <c r="N226" s="1752"/>
      <c r="O226" s="38" t="s">
        <v>369</v>
      </c>
      <c r="P226" s="3" t="s">
        <v>1959</v>
      </c>
      <c r="Q226" s="38" t="s">
        <v>369</v>
      </c>
      <c r="R226" s="1784">
        <v>200393021034</v>
      </c>
      <c r="S226" s="1752"/>
      <c r="T226" s="31"/>
      <c r="U226" s="29"/>
      <c r="V226" s="29"/>
      <c r="W226" s="1750"/>
      <c r="X226" s="50"/>
      <c r="Y226" s="31"/>
    </row>
    <row r="227" spans="1:25" s="1771" customFormat="1" ht="13.95" customHeight="1" x14ac:dyDescent="0.3">
      <c r="A227" s="1800"/>
      <c r="B227" s="958"/>
      <c r="C227" s="958"/>
      <c r="D227" s="958"/>
      <c r="E227" s="1752"/>
      <c r="F227" s="23"/>
      <c r="G227" s="23"/>
      <c r="H227" s="23"/>
      <c r="I227" s="23"/>
      <c r="J227" s="23"/>
      <c r="K227" s="29"/>
      <c r="L227" s="29"/>
      <c r="M227" s="23"/>
      <c r="N227" s="1752"/>
      <c r="O227" s="38" t="s">
        <v>369</v>
      </c>
      <c r="P227" s="3" t="s">
        <v>373</v>
      </c>
      <c r="Q227" s="38" t="s">
        <v>369</v>
      </c>
      <c r="R227" s="1784">
        <v>200393033034</v>
      </c>
      <c r="S227" s="1752"/>
      <c r="T227" s="31"/>
      <c r="U227" s="29"/>
      <c r="V227" s="29"/>
      <c r="W227" s="1750"/>
      <c r="X227" s="50"/>
      <c r="Y227" s="31"/>
    </row>
    <row r="228" spans="1:25" s="1771" customFormat="1" ht="13.95" customHeight="1" x14ac:dyDescent="0.3">
      <c r="A228" s="1800"/>
      <c r="B228" s="958"/>
      <c r="C228" s="958"/>
      <c r="D228" s="958"/>
      <c r="E228" s="1752"/>
      <c r="F228" s="23"/>
      <c r="G228" s="23"/>
      <c r="H228" s="23"/>
      <c r="I228" s="23"/>
      <c r="J228" s="23"/>
      <c r="K228" s="29"/>
      <c r="L228" s="29"/>
      <c r="M228" s="23"/>
      <c r="N228" s="1752"/>
      <c r="O228" s="3" t="s">
        <v>2363</v>
      </c>
      <c r="P228" s="3" t="s">
        <v>370</v>
      </c>
      <c r="Q228" s="38" t="s">
        <v>369</v>
      </c>
      <c r="R228" s="1784">
        <v>200393127034</v>
      </c>
      <c r="S228" s="1752"/>
      <c r="T228" s="31"/>
      <c r="U228" s="29"/>
      <c r="V228" s="29"/>
      <c r="W228" s="1750"/>
      <c r="X228" s="50"/>
      <c r="Y228" s="31"/>
    </row>
    <row r="229" spans="1:25" s="1771" customFormat="1" ht="13.95" customHeight="1" x14ac:dyDescent="0.3">
      <c r="A229" s="1800"/>
      <c r="B229" s="958"/>
      <c r="C229" s="958"/>
      <c r="D229" s="958"/>
      <c r="E229" s="1752"/>
      <c r="F229" s="23"/>
      <c r="G229" s="23"/>
      <c r="H229" s="23"/>
      <c r="I229" s="23"/>
      <c r="J229" s="23"/>
      <c r="K229" s="29"/>
      <c r="L229" s="29"/>
      <c r="M229" s="23"/>
      <c r="N229" s="1752"/>
      <c r="O229" s="3" t="s">
        <v>2365</v>
      </c>
      <c r="P229" s="3" t="s">
        <v>370</v>
      </c>
      <c r="Q229" s="38" t="s">
        <v>369</v>
      </c>
      <c r="R229" s="1784">
        <v>200393180034</v>
      </c>
      <c r="S229" s="1752"/>
      <c r="T229" s="31"/>
      <c r="U229" s="29"/>
      <c r="V229" s="29"/>
      <c r="W229" s="1750"/>
      <c r="X229" s="50"/>
      <c r="Y229" s="31"/>
    </row>
    <row r="230" spans="1:25" s="1771" customFormat="1" ht="13.95" customHeight="1" x14ac:dyDescent="0.3">
      <c r="A230" s="1800"/>
      <c r="B230" s="958"/>
      <c r="C230" s="958"/>
      <c r="D230" s="958"/>
      <c r="E230" s="1752"/>
      <c r="F230" s="23"/>
      <c r="G230" s="23"/>
      <c r="H230" s="23"/>
      <c r="I230" s="23"/>
      <c r="J230" s="23"/>
      <c r="K230" s="29"/>
      <c r="L230" s="29"/>
      <c r="M230" s="23"/>
      <c r="N230" s="1752"/>
      <c r="O230" s="112" t="s">
        <v>2367</v>
      </c>
      <c r="P230" s="112" t="s">
        <v>370</v>
      </c>
      <c r="Q230" s="279" t="s">
        <v>369</v>
      </c>
      <c r="R230" s="1929">
        <v>200393152034</v>
      </c>
      <c r="S230" s="1752"/>
      <c r="T230" s="31"/>
      <c r="U230" s="29"/>
      <c r="V230" s="29"/>
      <c r="W230" s="1750"/>
      <c r="X230" s="50"/>
      <c r="Y230" s="31"/>
    </row>
    <row r="231" spans="1:25" s="1771" customFormat="1" ht="13.95" customHeight="1" thickBot="1" x14ac:dyDescent="0.35">
      <c r="A231" s="1800"/>
      <c r="B231" s="958"/>
      <c r="C231" s="958"/>
      <c r="D231" s="958"/>
      <c r="E231" s="1752"/>
      <c r="F231" s="23"/>
      <c r="G231" s="23"/>
      <c r="H231" s="23"/>
      <c r="I231" s="23"/>
      <c r="J231" s="23"/>
      <c r="K231" s="29"/>
      <c r="L231" s="29"/>
      <c r="M231" s="23"/>
      <c r="N231" s="1752"/>
      <c r="O231" s="889" t="s">
        <v>2365</v>
      </c>
      <c r="P231" s="889" t="s">
        <v>370</v>
      </c>
      <c r="Q231" s="888" t="s">
        <v>2365</v>
      </c>
      <c r="R231" s="1785">
        <v>200393181034</v>
      </c>
      <c r="S231" s="1752"/>
      <c r="T231" s="31"/>
      <c r="U231" s="29"/>
      <c r="V231" s="29"/>
      <c r="W231" s="1750"/>
      <c r="X231" s="50"/>
      <c r="Y231" s="31"/>
    </row>
    <row r="232" spans="1:25" ht="12" x14ac:dyDescent="0.25">
      <c r="A232" s="1699">
        <f>A210+1</f>
        <v>2</v>
      </c>
      <c r="B232" s="1703" t="s">
        <v>1650</v>
      </c>
      <c r="C232" s="1702"/>
      <c r="D232" s="1702"/>
      <c r="E232" s="1801"/>
      <c r="F232" s="1699"/>
      <c r="G232" s="1699"/>
      <c r="H232" s="1702"/>
      <c r="I232" s="1699"/>
      <c r="J232" s="1802"/>
      <c r="K232" s="1802"/>
      <c r="L232" s="1803"/>
      <c r="M232" s="1699" t="s">
        <v>367</v>
      </c>
      <c r="N232" s="1801"/>
      <c r="O232" s="1702"/>
      <c r="P232" s="1702"/>
      <c r="Q232" s="1702"/>
      <c r="R232" s="1699"/>
      <c r="S232" s="1801"/>
      <c r="T232" s="1699">
        <v>1</v>
      </c>
      <c r="U232" s="1803">
        <f>T232*L232</f>
        <v>0</v>
      </c>
      <c r="V232" s="1803">
        <v>0.127</v>
      </c>
      <c r="W232" s="1804">
        <f>V232*AtolbperftAccy</f>
        <v>7.9933799999999999E-2</v>
      </c>
      <c r="X232" s="1805">
        <f>W232*AccSScostperlb</f>
        <v>0.1199007</v>
      </c>
      <c r="Y232" s="1699"/>
    </row>
    <row r="233" spans="1:25" x14ac:dyDescent="0.2">
      <c r="D233" s="354" t="s">
        <v>1651</v>
      </c>
      <c r="F233" s="31"/>
      <c r="G233" s="31"/>
      <c r="I233" s="31"/>
      <c r="J233" s="1772"/>
      <c r="K233" s="1772"/>
      <c r="L233" s="1746"/>
      <c r="M233" s="31"/>
      <c r="O233" s="38" t="s">
        <v>369</v>
      </c>
      <c r="P233" s="3" t="s">
        <v>370</v>
      </c>
      <c r="Q233" s="38" t="s">
        <v>369</v>
      </c>
      <c r="R233" s="1574">
        <v>200158003</v>
      </c>
      <c r="U233" s="1746"/>
      <c r="W233" s="1773"/>
    </row>
    <row r="234" spans="1:25" x14ac:dyDescent="0.2">
      <c r="D234" s="354" t="s">
        <v>1652</v>
      </c>
      <c r="F234" s="31"/>
      <c r="G234" s="31"/>
      <c r="I234" s="31"/>
      <c r="J234" s="1772"/>
      <c r="K234" s="1772"/>
      <c r="L234" s="1746"/>
      <c r="M234" s="31"/>
      <c r="O234" s="38" t="s">
        <v>369</v>
      </c>
      <c r="P234" s="3" t="s">
        <v>372</v>
      </c>
      <c r="Q234" s="38" t="s">
        <v>369</v>
      </c>
      <c r="R234" s="1574">
        <v>200158021</v>
      </c>
      <c r="U234" s="1746"/>
      <c r="W234" s="1773"/>
    </row>
    <row r="235" spans="1:25" x14ac:dyDescent="0.2">
      <c r="D235" s="354" t="s">
        <v>1653</v>
      </c>
      <c r="F235" s="31"/>
      <c r="G235" s="31"/>
      <c r="I235" s="31"/>
      <c r="J235" s="1772"/>
      <c r="K235" s="1772"/>
      <c r="L235" s="1746"/>
      <c r="M235" s="31"/>
      <c r="O235" s="38" t="s">
        <v>369</v>
      </c>
      <c r="P235" s="3" t="s">
        <v>373</v>
      </c>
      <c r="Q235" s="38" t="s">
        <v>369</v>
      </c>
      <c r="R235" s="1574">
        <v>200158033</v>
      </c>
      <c r="U235" s="1746"/>
      <c r="W235" s="1773"/>
    </row>
    <row r="236" spans="1:25" x14ac:dyDescent="0.2">
      <c r="F236" s="31"/>
      <c r="G236" s="31"/>
      <c r="I236" s="31"/>
      <c r="J236" s="1772"/>
      <c r="K236" s="1772"/>
      <c r="L236" s="1746"/>
      <c r="M236" s="31"/>
      <c r="O236" s="279" t="s">
        <v>369</v>
      </c>
      <c r="P236" s="112" t="s">
        <v>1849</v>
      </c>
      <c r="Q236" s="279" t="s">
        <v>369</v>
      </c>
      <c r="R236" s="1924">
        <v>200158148</v>
      </c>
      <c r="U236" s="1746"/>
      <c r="W236" s="1773"/>
    </row>
    <row r="237" spans="1:25" ht="12" thickBot="1" x14ac:dyDescent="0.25">
      <c r="A237" s="893"/>
      <c r="B237" s="1102"/>
      <c r="C237" s="1102"/>
      <c r="D237" s="1102"/>
      <c r="E237" s="1775"/>
      <c r="F237" s="893"/>
      <c r="G237" s="893"/>
      <c r="H237" s="1102"/>
      <c r="I237" s="893"/>
      <c r="J237" s="1776"/>
      <c r="K237" s="1776"/>
      <c r="L237" s="1777"/>
      <c r="M237" s="893"/>
      <c r="N237" s="1775"/>
      <c r="O237" s="888"/>
      <c r="P237" s="889"/>
      <c r="Q237" s="888"/>
      <c r="R237" s="1444"/>
      <c r="S237" s="1775"/>
      <c r="T237" s="893"/>
      <c r="U237" s="1777"/>
      <c r="V237" s="1777"/>
      <c r="W237" s="1778"/>
      <c r="X237" s="1713"/>
      <c r="Y237" s="893"/>
    </row>
    <row r="238" spans="1:25" ht="12" x14ac:dyDescent="0.25">
      <c r="A238" s="31">
        <f>A232+1</f>
        <v>3</v>
      </c>
      <c r="B238" s="845" t="s">
        <v>1654</v>
      </c>
      <c r="F238" s="31"/>
      <c r="G238" s="31"/>
      <c r="I238" s="31"/>
      <c r="J238" s="1772"/>
      <c r="K238" s="1772"/>
      <c r="L238" s="1746"/>
      <c r="R238" s="1574"/>
      <c r="T238" s="354"/>
      <c r="V238" s="354"/>
      <c r="W238" s="354"/>
      <c r="X238" s="354"/>
    </row>
    <row r="239" spans="1:25" ht="12" x14ac:dyDescent="0.25">
      <c r="C239" s="845" t="s">
        <v>1655</v>
      </c>
      <c r="F239" s="1779" t="s">
        <v>1656</v>
      </c>
      <c r="G239" s="31"/>
      <c r="I239" s="31"/>
      <c r="J239" s="1772"/>
      <c r="K239" s="1772"/>
      <c r="L239" s="1746"/>
      <c r="M239" s="31" t="s">
        <v>367</v>
      </c>
      <c r="R239" s="1574"/>
      <c r="T239" s="31">
        <v>1</v>
      </c>
      <c r="U239" s="1746">
        <v>1</v>
      </c>
      <c r="V239" s="1746">
        <v>0.123</v>
      </c>
      <c r="W239" s="1773">
        <f>V239*AtolbperftAccy</f>
        <v>7.7416199999999991E-2</v>
      </c>
      <c r="X239" s="1774">
        <f>W239*AccSScostperlb</f>
        <v>0.11612429999999999</v>
      </c>
    </row>
    <row r="240" spans="1:25" x14ac:dyDescent="0.2">
      <c r="G240" s="31"/>
      <c r="I240" s="31"/>
      <c r="J240" s="1772"/>
      <c r="K240" s="1772"/>
      <c r="L240" s="1746"/>
      <c r="M240" s="31"/>
      <c r="O240" s="38" t="s">
        <v>369</v>
      </c>
      <c r="P240" s="3" t="s">
        <v>370</v>
      </c>
      <c r="Q240" s="38" t="s">
        <v>369</v>
      </c>
      <c r="R240" s="1574">
        <v>200186003</v>
      </c>
      <c r="U240" s="1746"/>
      <c r="W240" s="1773"/>
      <c r="X240" s="1692">
        <v>0.21199999999999999</v>
      </c>
    </row>
    <row r="241" spans="1:26" x14ac:dyDescent="0.2">
      <c r="F241" s="31"/>
      <c r="G241" s="31"/>
      <c r="I241" s="31"/>
      <c r="J241" s="1772"/>
      <c r="K241" s="1772"/>
      <c r="L241" s="1746"/>
      <c r="M241" s="31"/>
      <c r="O241" s="38" t="s">
        <v>369</v>
      </c>
      <c r="P241" s="3" t="s">
        <v>372</v>
      </c>
      <c r="Q241" s="38" t="s">
        <v>369</v>
      </c>
      <c r="R241" s="1574">
        <v>200186021</v>
      </c>
      <c r="U241" s="1746"/>
      <c r="W241" s="1773"/>
      <c r="X241" s="1692">
        <v>0.22789999999999999</v>
      </c>
    </row>
    <row r="242" spans="1:26" x14ac:dyDescent="0.2">
      <c r="F242" s="31"/>
      <c r="G242" s="31"/>
      <c r="I242" s="31"/>
      <c r="J242" s="1772"/>
      <c r="K242" s="1772"/>
      <c r="L242" s="1746"/>
      <c r="M242" s="31"/>
      <c r="O242" s="38" t="s">
        <v>369</v>
      </c>
      <c r="P242" s="3" t="s">
        <v>373</v>
      </c>
      <c r="Q242" s="38" t="s">
        <v>369</v>
      </c>
      <c r="R242" s="1574">
        <v>200186033</v>
      </c>
      <c r="U242" s="1746"/>
      <c r="W242" s="1773"/>
      <c r="X242" s="1692">
        <v>0.24010000000000001</v>
      </c>
    </row>
    <row r="243" spans="1:26" x14ac:dyDescent="0.2">
      <c r="F243" s="31"/>
      <c r="G243" s="31"/>
      <c r="I243" s="31"/>
      <c r="J243" s="1772"/>
      <c r="K243" s="1772"/>
      <c r="L243" s="1746"/>
      <c r="M243" s="31"/>
      <c r="O243" s="38" t="s">
        <v>369</v>
      </c>
      <c r="P243" s="3" t="s">
        <v>375</v>
      </c>
      <c r="Q243" s="38" t="s">
        <v>369</v>
      </c>
      <c r="R243" s="1574">
        <v>200186133</v>
      </c>
      <c r="U243" s="1746"/>
      <c r="W243" s="1773"/>
      <c r="X243" s="1774">
        <v>0</v>
      </c>
    </row>
    <row r="244" spans="1:26" x14ac:dyDescent="0.2">
      <c r="F244" s="31"/>
      <c r="G244" s="31"/>
      <c r="I244" s="31"/>
      <c r="J244" s="1772"/>
      <c r="K244" s="1772"/>
      <c r="L244" s="1746"/>
      <c r="M244" s="31"/>
      <c r="O244" s="38" t="s">
        <v>369</v>
      </c>
      <c r="P244" s="3" t="s">
        <v>374</v>
      </c>
      <c r="Q244" s="38" t="s">
        <v>369</v>
      </c>
      <c r="R244" s="1443">
        <v>200186090</v>
      </c>
      <c r="U244" s="1746"/>
      <c r="W244" s="1773"/>
      <c r="X244" s="1692">
        <v>0.26600000000000001</v>
      </c>
    </row>
    <row r="245" spans="1:26" ht="12" thickBot="1" x14ac:dyDescent="0.25">
      <c r="F245" s="893"/>
      <c r="G245" s="893"/>
      <c r="H245" s="1102"/>
      <c r="I245" s="893"/>
      <c r="J245" s="1776"/>
      <c r="K245" s="1776"/>
      <c r="L245" s="1777"/>
      <c r="M245" s="893"/>
      <c r="N245" s="1775"/>
      <c r="O245" s="1876" t="s">
        <v>369</v>
      </c>
      <c r="P245" s="1877" t="s">
        <v>1849</v>
      </c>
      <c r="Q245" s="1876" t="s">
        <v>369</v>
      </c>
      <c r="R245" s="1878">
        <v>200186148</v>
      </c>
      <c r="S245" s="1775"/>
      <c r="T245" s="893"/>
      <c r="U245" s="1777"/>
      <c r="V245" s="1777"/>
      <c r="W245" s="1778"/>
      <c r="X245" s="1713">
        <v>0</v>
      </c>
      <c r="Y245" s="893"/>
    </row>
    <row r="246" spans="1:26" x14ac:dyDescent="0.2">
      <c r="F246" s="1779" t="s">
        <v>1627</v>
      </c>
      <c r="G246" s="31"/>
      <c r="I246" s="31"/>
      <c r="J246" s="1772"/>
      <c r="K246" s="1772"/>
      <c r="L246" s="1746"/>
      <c r="M246" s="31" t="s">
        <v>385</v>
      </c>
      <c r="R246" s="31"/>
      <c r="T246" s="31">
        <v>1</v>
      </c>
      <c r="U246" s="1746">
        <v>0.25</v>
      </c>
      <c r="V246" s="1746">
        <v>0.123</v>
      </c>
      <c r="W246" s="1773">
        <f>V246*AtolbperftAccy</f>
        <v>7.7416199999999991E-2</v>
      </c>
      <c r="X246" s="1774">
        <f>W246*AccSScostperlb</f>
        <v>0.11612429999999999</v>
      </c>
    </row>
    <row r="247" spans="1:26" x14ac:dyDescent="0.2">
      <c r="G247" s="31"/>
      <c r="I247" s="31"/>
      <c r="J247" s="1772"/>
      <c r="K247" s="1772"/>
      <c r="L247" s="1746"/>
      <c r="M247" s="31"/>
      <c r="O247" s="38" t="s">
        <v>369</v>
      </c>
      <c r="P247" s="3" t="s">
        <v>370</v>
      </c>
      <c r="Q247" s="38" t="s">
        <v>369</v>
      </c>
      <c r="R247" s="1784">
        <v>200186003001</v>
      </c>
      <c r="U247" s="1746"/>
      <c r="W247" s="1773"/>
      <c r="X247" s="1692">
        <v>5.2999999999999999E-2</v>
      </c>
    </row>
    <row r="248" spans="1:26" x14ac:dyDescent="0.2">
      <c r="F248" s="31"/>
      <c r="G248" s="31"/>
      <c r="I248" s="31"/>
      <c r="J248" s="1772"/>
      <c r="K248" s="1772"/>
      <c r="L248" s="1746"/>
      <c r="M248" s="31"/>
      <c r="O248" s="38" t="s">
        <v>369</v>
      </c>
      <c r="P248" s="3" t="s">
        <v>372</v>
      </c>
      <c r="Q248" s="38" t="s">
        <v>369</v>
      </c>
      <c r="R248" s="1784">
        <v>200186021001</v>
      </c>
      <c r="U248" s="1746"/>
      <c r="W248" s="1773"/>
      <c r="X248" s="1692">
        <v>5.7000000000000002E-2</v>
      </c>
    </row>
    <row r="249" spans="1:26" x14ac:dyDescent="0.2">
      <c r="F249" s="31"/>
      <c r="G249" s="31"/>
      <c r="I249" s="31"/>
      <c r="J249" s="1772"/>
      <c r="K249" s="1772"/>
      <c r="L249" s="1746"/>
      <c r="M249" s="31"/>
      <c r="O249" s="38" t="s">
        <v>369</v>
      </c>
      <c r="P249" s="3" t="s">
        <v>373</v>
      </c>
      <c r="Q249" s="38" t="s">
        <v>369</v>
      </c>
      <c r="R249" s="1784">
        <v>200186033001</v>
      </c>
      <c r="U249" s="1746"/>
      <c r="W249" s="1773"/>
      <c r="X249" s="1692">
        <v>0.06</v>
      </c>
    </row>
    <row r="250" spans="1:26" x14ac:dyDescent="0.2">
      <c r="F250" s="31"/>
      <c r="G250" s="31"/>
      <c r="I250" s="31"/>
      <c r="J250" s="1772"/>
      <c r="K250" s="1772"/>
      <c r="L250" s="1746"/>
      <c r="M250" s="31"/>
      <c r="O250" s="38" t="s">
        <v>369</v>
      </c>
      <c r="P250" s="3" t="s">
        <v>375</v>
      </c>
      <c r="Q250" s="38" t="s">
        <v>369</v>
      </c>
      <c r="R250" s="1784">
        <v>200186133001</v>
      </c>
      <c r="U250" s="1746"/>
      <c r="W250" s="1773"/>
      <c r="X250" s="1774">
        <v>0</v>
      </c>
    </row>
    <row r="251" spans="1:26" x14ac:dyDescent="0.2">
      <c r="F251" s="31"/>
      <c r="G251" s="31"/>
      <c r="I251" s="31"/>
      <c r="J251" s="1772"/>
      <c r="K251" s="1772"/>
      <c r="L251" s="1746"/>
      <c r="M251" s="31"/>
      <c r="O251" s="38" t="s">
        <v>369</v>
      </c>
      <c r="P251" s="3" t="s">
        <v>374</v>
      </c>
      <c r="Q251" s="38" t="s">
        <v>369</v>
      </c>
      <c r="R251" s="1784">
        <v>200186090001</v>
      </c>
      <c r="U251" s="1746"/>
      <c r="W251" s="1773"/>
      <c r="X251" s="1692">
        <v>8.5000000000000006E-2</v>
      </c>
    </row>
    <row r="252" spans="1:26" ht="12" thickBot="1" x14ac:dyDescent="0.25">
      <c r="A252" s="893"/>
      <c r="B252" s="1102"/>
      <c r="C252" s="1102"/>
      <c r="D252" s="1102"/>
      <c r="E252" s="1775"/>
      <c r="F252" s="893"/>
      <c r="G252" s="893"/>
      <c r="H252" s="1102"/>
      <c r="I252" s="893"/>
      <c r="J252" s="1776"/>
      <c r="K252" s="1776"/>
      <c r="L252" s="1777"/>
      <c r="M252" s="893"/>
      <c r="N252" s="1775"/>
      <c r="O252" s="1876" t="s">
        <v>369</v>
      </c>
      <c r="P252" s="1877" t="s">
        <v>1849</v>
      </c>
      <c r="Q252" s="1876" t="s">
        <v>369</v>
      </c>
      <c r="R252" s="1925">
        <v>200186148001</v>
      </c>
      <c r="S252" s="1775"/>
      <c r="T252" s="893"/>
      <c r="U252" s="1777"/>
      <c r="V252" s="1777"/>
      <c r="W252" s="1778"/>
      <c r="X252" s="1713">
        <v>0</v>
      </c>
      <c r="Y252" s="893"/>
    </row>
    <row r="253" spans="1:26" ht="12" x14ac:dyDescent="0.25">
      <c r="A253" s="31">
        <f>A238+1</f>
        <v>4</v>
      </c>
      <c r="B253" s="845" t="s">
        <v>1657</v>
      </c>
      <c r="F253" s="31"/>
      <c r="G253" s="31"/>
      <c r="I253" s="31"/>
      <c r="J253" s="1772"/>
      <c r="K253" s="1772"/>
      <c r="L253" s="1746"/>
      <c r="M253" s="31" t="s">
        <v>385</v>
      </c>
      <c r="O253" s="38"/>
      <c r="P253" s="3"/>
      <c r="Q253" s="38"/>
      <c r="R253" s="982"/>
      <c r="U253" s="1746"/>
      <c r="W253" s="1773"/>
    </row>
    <row r="254" spans="1:26" x14ac:dyDescent="0.2">
      <c r="F254" s="31"/>
      <c r="G254" s="31"/>
      <c r="I254" s="31"/>
      <c r="J254" s="1772"/>
      <c r="K254" s="1772"/>
      <c r="L254" s="1746"/>
      <c r="M254" s="31"/>
      <c r="O254" s="38" t="s">
        <v>369</v>
      </c>
      <c r="P254" s="3" t="s">
        <v>370</v>
      </c>
      <c r="Q254" s="38" t="s">
        <v>369</v>
      </c>
      <c r="R254" s="982" t="s">
        <v>485</v>
      </c>
      <c r="U254" s="1746"/>
      <c r="W254" s="1773"/>
      <c r="Z254" s="354" t="s">
        <v>1658</v>
      </c>
    </row>
    <row r="255" spans="1:26" x14ac:dyDescent="0.2">
      <c r="F255" s="31"/>
      <c r="G255" s="31"/>
      <c r="I255" s="31"/>
      <c r="J255" s="1772"/>
      <c r="K255" s="1772"/>
      <c r="L255" s="1746"/>
      <c r="M255" s="31"/>
      <c r="O255" s="38" t="s">
        <v>369</v>
      </c>
      <c r="P255" s="3" t="s">
        <v>372</v>
      </c>
      <c r="Q255" s="38" t="s">
        <v>369</v>
      </c>
      <c r="R255" s="1574">
        <v>610010021</v>
      </c>
      <c r="U255" s="1746"/>
      <c r="W255" s="1773"/>
      <c r="Z255" s="354" t="s">
        <v>1659</v>
      </c>
    </row>
    <row r="256" spans="1:26" x14ac:dyDescent="0.2">
      <c r="F256" s="31"/>
      <c r="G256" s="31"/>
      <c r="I256" s="31"/>
      <c r="J256" s="1772"/>
      <c r="K256" s="1772"/>
      <c r="L256" s="1746"/>
      <c r="M256" s="31"/>
      <c r="O256" s="38" t="s">
        <v>369</v>
      </c>
      <c r="P256" s="3" t="s">
        <v>373</v>
      </c>
      <c r="Q256" s="38" t="s">
        <v>369</v>
      </c>
      <c r="R256" s="982" t="s">
        <v>492</v>
      </c>
      <c r="U256" s="1746"/>
      <c r="W256" s="1773"/>
      <c r="Z256" s="354" t="s">
        <v>1660</v>
      </c>
    </row>
    <row r="257" spans="1:26" x14ac:dyDescent="0.2">
      <c r="F257" s="31"/>
      <c r="G257" s="31"/>
      <c r="I257" s="31"/>
      <c r="J257" s="1772"/>
      <c r="K257" s="1772"/>
      <c r="L257" s="1746"/>
      <c r="M257" s="31"/>
      <c r="O257" s="38" t="s">
        <v>369</v>
      </c>
      <c r="P257" s="3" t="s">
        <v>375</v>
      </c>
      <c r="Q257" s="38" t="s">
        <v>369</v>
      </c>
      <c r="R257" s="1574">
        <v>610010133</v>
      </c>
      <c r="U257" s="1746"/>
      <c r="W257" s="1773"/>
    </row>
    <row r="258" spans="1:26" x14ac:dyDescent="0.2">
      <c r="F258" s="31"/>
      <c r="G258" s="31"/>
      <c r="I258" s="31"/>
      <c r="J258" s="1772"/>
      <c r="K258" s="1772"/>
      <c r="L258" s="1746"/>
      <c r="M258" s="31"/>
      <c r="O258" s="38" t="s">
        <v>369</v>
      </c>
      <c r="P258" s="3" t="s">
        <v>374</v>
      </c>
      <c r="Q258" s="38" t="s">
        <v>369</v>
      </c>
      <c r="R258" s="982" t="s">
        <v>1661</v>
      </c>
      <c r="U258" s="1746"/>
      <c r="W258" s="1773"/>
      <c r="Z258" s="354" t="s">
        <v>1662</v>
      </c>
    </row>
    <row r="259" spans="1:26" ht="12" thickBot="1" x14ac:dyDescent="0.25">
      <c r="A259" s="893"/>
      <c r="B259" s="1102"/>
      <c r="C259" s="1102"/>
      <c r="D259" s="1102"/>
      <c r="E259" s="1775"/>
      <c r="F259" s="893"/>
      <c r="G259" s="893"/>
      <c r="H259" s="1102"/>
      <c r="I259" s="893"/>
      <c r="J259" s="1776"/>
      <c r="K259" s="1776"/>
      <c r="L259" s="1777"/>
      <c r="M259" s="1806" t="s">
        <v>2084</v>
      </c>
      <c r="N259" s="1775"/>
      <c r="O259" s="888" t="s">
        <v>369</v>
      </c>
      <c r="P259" s="889"/>
      <c r="Q259" s="888" t="s">
        <v>369</v>
      </c>
      <c r="R259" s="1204">
        <v>30359</v>
      </c>
      <c r="S259" s="1775"/>
      <c r="T259" s="893"/>
      <c r="U259" s="1777"/>
      <c r="V259" s="1777"/>
      <c r="W259" s="1778"/>
      <c r="X259" s="1713"/>
      <c r="Y259" s="893"/>
      <c r="Z259" s="354" t="s">
        <v>2085</v>
      </c>
    </row>
    <row r="260" spans="1:26" ht="12" x14ac:dyDescent="0.25">
      <c r="A260" s="31">
        <f>A253+1</f>
        <v>5</v>
      </c>
      <c r="B260" s="845" t="s">
        <v>1663</v>
      </c>
      <c r="F260" s="31"/>
      <c r="G260" s="31"/>
      <c r="I260" s="31"/>
      <c r="J260" s="1772"/>
      <c r="K260" s="1772"/>
      <c r="L260" s="1746"/>
      <c r="M260" s="31" t="s">
        <v>367</v>
      </c>
      <c r="R260" s="31"/>
      <c r="T260" s="31">
        <v>1</v>
      </c>
      <c r="U260" s="1746">
        <f>T260*L260</f>
        <v>0</v>
      </c>
      <c r="V260" s="1746">
        <v>9.0999999999999998E-2</v>
      </c>
      <c r="W260" s="1773">
        <f>V260*AtolbperftAccy</f>
        <v>5.7275399999999997E-2</v>
      </c>
      <c r="X260" s="1774">
        <f>W260*AccSScostperlb</f>
        <v>8.5913099999999992E-2</v>
      </c>
    </row>
    <row r="261" spans="1:26" x14ac:dyDescent="0.2">
      <c r="F261" s="31"/>
      <c r="G261" s="31"/>
      <c r="I261" s="31"/>
      <c r="J261" s="1772"/>
      <c r="K261" s="1772"/>
      <c r="L261" s="1746"/>
      <c r="M261" s="31"/>
      <c r="O261" s="38" t="s">
        <v>369</v>
      </c>
      <c r="P261" s="3" t="s">
        <v>370</v>
      </c>
      <c r="Q261" s="38" t="s">
        <v>369</v>
      </c>
      <c r="R261" s="1574">
        <v>200144003</v>
      </c>
      <c r="U261" s="1746"/>
      <c r="W261" s="1773"/>
    </row>
    <row r="262" spans="1:26" x14ac:dyDescent="0.2">
      <c r="F262" s="31"/>
      <c r="G262" s="31"/>
      <c r="I262" s="31"/>
      <c r="J262" s="1772"/>
      <c r="K262" s="1772"/>
      <c r="L262" s="1746"/>
      <c r="M262" s="31"/>
      <c r="O262" s="38" t="s">
        <v>369</v>
      </c>
      <c r="P262" s="3" t="s">
        <v>372</v>
      </c>
      <c r="Q262" s="38" t="s">
        <v>369</v>
      </c>
      <c r="R262" s="1574">
        <v>200144021</v>
      </c>
      <c r="U262" s="1746"/>
      <c r="W262" s="1773"/>
    </row>
    <row r="263" spans="1:26" x14ac:dyDescent="0.2">
      <c r="F263" s="31"/>
      <c r="G263" s="31"/>
      <c r="I263" s="31"/>
      <c r="J263" s="1772"/>
      <c r="K263" s="1772"/>
      <c r="L263" s="1746"/>
      <c r="M263" s="31"/>
      <c r="O263" s="38" t="s">
        <v>369</v>
      </c>
      <c r="P263" s="3" t="s">
        <v>373</v>
      </c>
      <c r="Q263" s="38" t="s">
        <v>369</v>
      </c>
      <c r="R263" s="1574">
        <v>200144033</v>
      </c>
      <c r="U263" s="1746"/>
      <c r="W263" s="1773"/>
    </row>
    <row r="264" spans="1:26" x14ac:dyDescent="0.2">
      <c r="F264" s="31"/>
      <c r="G264" s="31"/>
      <c r="I264" s="31"/>
      <c r="J264" s="1772"/>
      <c r="K264" s="1772"/>
      <c r="L264" s="1746"/>
      <c r="M264" s="31"/>
      <c r="O264" s="38" t="s">
        <v>369</v>
      </c>
      <c r="P264" s="3" t="s">
        <v>375</v>
      </c>
      <c r="Q264" s="38" t="s">
        <v>369</v>
      </c>
      <c r="R264" s="1574">
        <v>200144133</v>
      </c>
      <c r="U264" s="1746"/>
      <c r="W264" s="1773"/>
    </row>
    <row r="265" spans="1:26" x14ac:dyDescent="0.2">
      <c r="F265" s="31"/>
      <c r="G265" s="31"/>
      <c r="I265" s="31"/>
      <c r="J265" s="1772"/>
      <c r="K265" s="1772"/>
      <c r="L265" s="1746"/>
      <c r="M265" s="31"/>
      <c r="O265" s="38" t="s">
        <v>369</v>
      </c>
      <c r="P265" s="3" t="s">
        <v>374</v>
      </c>
      <c r="Q265" s="38" t="s">
        <v>369</v>
      </c>
      <c r="R265" s="1574">
        <v>200144090</v>
      </c>
      <c r="U265" s="1746"/>
      <c r="W265" s="1773"/>
    </row>
    <row r="266" spans="1:26" ht="12" thickBot="1" x14ac:dyDescent="0.25">
      <c r="A266" s="893"/>
      <c r="B266" s="1102"/>
      <c r="C266" s="1102"/>
      <c r="D266" s="1102"/>
      <c r="E266" s="1775"/>
      <c r="F266" s="893"/>
      <c r="G266" s="893"/>
      <c r="H266" s="1102"/>
      <c r="I266" s="893"/>
      <c r="J266" s="1776"/>
      <c r="K266" s="1776"/>
      <c r="L266" s="1777"/>
      <c r="M266" s="893"/>
      <c r="N266" s="1775"/>
      <c r="O266" s="1876" t="s">
        <v>369</v>
      </c>
      <c r="P266" s="1930" t="s">
        <v>1849</v>
      </c>
      <c r="Q266" s="1876" t="s">
        <v>369</v>
      </c>
      <c r="R266" s="1926">
        <v>200144148</v>
      </c>
      <c r="S266" s="1775"/>
      <c r="T266" s="893"/>
      <c r="U266" s="1777"/>
      <c r="V266" s="1777"/>
      <c r="W266" s="1778"/>
      <c r="X266" s="1713"/>
      <c r="Y266" s="893"/>
    </row>
    <row r="267" spans="1:26" ht="12" x14ac:dyDescent="0.25">
      <c r="A267" s="31">
        <f>A260+1</f>
        <v>6</v>
      </c>
      <c r="B267" s="845" t="s">
        <v>1664</v>
      </c>
      <c r="F267" s="31"/>
      <c r="G267" s="31"/>
      <c r="I267" s="31"/>
      <c r="J267" s="1772"/>
      <c r="K267" s="1772"/>
      <c r="L267" s="1746"/>
      <c r="M267" s="31"/>
      <c r="O267" s="38"/>
      <c r="P267" s="3"/>
      <c r="Q267" s="38"/>
      <c r="R267" s="31"/>
      <c r="T267" s="31">
        <v>1</v>
      </c>
      <c r="U267" s="1746"/>
      <c r="W267" s="1773"/>
    </row>
    <row r="268" spans="1:26" x14ac:dyDescent="0.2">
      <c r="F268" s="31"/>
      <c r="G268" s="31"/>
      <c r="I268" s="31"/>
      <c r="J268" s="1772"/>
      <c r="K268" s="1772"/>
      <c r="L268" s="1746"/>
      <c r="M268" s="31"/>
      <c r="O268" s="38" t="s">
        <v>369</v>
      </c>
      <c r="P268" s="3" t="s">
        <v>370</v>
      </c>
      <c r="Q268" s="38" t="s">
        <v>369</v>
      </c>
      <c r="R268" s="1784">
        <v>200144003000</v>
      </c>
      <c r="U268" s="1746"/>
      <c r="W268" s="1773"/>
    </row>
    <row r="269" spans="1:26" x14ac:dyDescent="0.2">
      <c r="F269" s="31"/>
      <c r="G269" s="31"/>
      <c r="I269" s="31"/>
      <c r="J269" s="1772"/>
      <c r="K269" s="1772"/>
      <c r="L269" s="1746"/>
      <c r="M269" s="31"/>
      <c r="O269" s="38" t="s">
        <v>369</v>
      </c>
      <c r="P269" s="3" t="s">
        <v>372</v>
      </c>
      <c r="Q269" s="38" t="s">
        <v>369</v>
      </c>
      <c r="R269" s="1784">
        <v>200144021000</v>
      </c>
      <c r="U269" s="1746"/>
      <c r="W269" s="1773"/>
    </row>
    <row r="270" spans="1:26" x14ac:dyDescent="0.2">
      <c r="F270" s="31"/>
      <c r="G270" s="31"/>
      <c r="I270" s="31"/>
      <c r="J270" s="1772"/>
      <c r="K270" s="1772"/>
      <c r="L270" s="1746"/>
      <c r="M270" s="31"/>
      <c r="O270" s="38" t="s">
        <v>369</v>
      </c>
      <c r="P270" s="3" t="s">
        <v>373</v>
      </c>
      <c r="Q270" s="38" t="s">
        <v>369</v>
      </c>
      <c r="R270" s="1784">
        <v>200144033000</v>
      </c>
      <c r="U270" s="1746"/>
      <c r="W270" s="1773"/>
    </row>
    <row r="271" spans="1:26" x14ac:dyDescent="0.2">
      <c r="F271" s="31"/>
      <c r="G271" s="31"/>
      <c r="I271" s="31"/>
      <c r="J271" s="1772"/>
      <c r="K271" s="1772"/>
      <c r="L271" s="1746"/>
      <c r="M271" s="31"/>
      <c r="O271" s="38" t="s">
        <v>369</v>
      </c>
      <c r="P271" s="3" t="s">
        <v>375</v>
      </c>
      <c r="Q271" s="38" t="s">
        <v>369</v>
      </c>
      <c r="R271" s="1784">
        <v>200144133000</v>
      </c>
      <c r="U271" s="1746"/>
      <c r="W271" s="1773"/>
    </row>
    <row r="272" spans="1:26" x14ac:dyDescent="0.2">
      <c r="F272" s="31"/>
      <c r="G272" s="31"/>
      <c r="I272" s="31"/>
      <c r="J272" s="1772"/>
      <c r="K272" s="1772"/>
      <c r="L272" s="1746"/>
      <c r="M272" s="31"/>
      <c r="O272" s="38" t="s">
        <v>369</v>
      </c>
      <c r="P272" s="3" t="s">
        <v>374</v>
      </c>
      <c r="Q272" s="38" t="s">
        <v>369</v>
      </c>
      <c r="R272" s="1445">
        <v>200144090000</v>
      </c>
      <c r="U272" s="1746"/>
      <c r="W272" s="1773"/>
    </row>
    <row r="273" spans="1:25" ht="12" thickBot="1" x14ac:dyDescent="0.25">
      <c r="A273" s="893"/>
      <c r="B273" s="1102"/>
      <c r="C273" s="1102"/>
      <c r="D273" s="1102"/>
      <c r="E273" s="1775"/>
      <c r="F273" s="893"/>
      <c r="G273" s="893"/>
      <c r="H273" s="1102"/>
      <c r="I273" s="893"/>
      <c r="J273" s="1776"/>
      <c r="K273" s="1776"/>
      <c r="L273" s="1777"/>
      <c r="M273" s="893"/>
      <c r="N273" s="1775"/>
      <c r="O273" s="1876" t="s">
        <v>369</v>
      </c>
      <c r="P273" s="1930" t="s">
        <v>1849</v>
      </c>
      <c r="Q273" s="1876" t="s">
        <v>369</v>
      </c>
      <c r="R273" s="1927">
        <v>200144148000</v>
      </c>
      <c r="S273" s="1775"/>
      <c r="T273" s="893"/>
      <c r="U273" s="1777"/>
      <c r="V273" s="1777"/>
      <c r="W273" s="1778"/>
      <c r="X273" s="1713"/>
      <c r="Y273" s="893"/>
    </row>
    <row r="274" spans="1:25" ht="12" x14ac:dyDescent="0.25">
      <c r="A274" s="31">
        <f>A267+1</f>
        <v>7</v>
      </c>
      <c r="B274" s="845" t="s">
        <v>1665</v>
      </c>
      <c r="F274" s="31"/>
      <c r="G274" s="31"/>
      <c r="I274" s="31"/>
      <c r="J274" s="1772"/>
      <c r="K274" s="1772"/>
      <c r="L274" s="1746"/>
      <c r="M274" s="31" t="s">
        <v>367</v>
      </c>
      <c r="R274" s="31"/>
      <c r="T274" s="31">
        <v>1</v>
      </c>
      <c r="U274" s="1746">
        <f>T274*L274</f>
        <v>0</v>
      </c>
      <c r="V274" s="1746">
        <v>0.21099999999999999</v>
      </c>
      <c r="W274" s="1773">
        <f>V274*AtolbperftAccy</f>
        <v>0.13280339999999999</v>
      </c>
      <c r="X274" s="1774">
        <f>W274*AccSScostperlb</f>
        <v>0.19920509999999997</v>
      </c>
    </row>
    <row r="275" spans="1:25" x14ac:dyDescent="0.2">
      <c r="F275" s="31"/>
      <c r="G275" s="31"/>
      <c r="I275" s="31"/>
      <c r="J275" s="1772"/>
      <c r="K275" s="1772"/>
      <c r="L275" s="1746"/>
      <c r="M275" s="31"/>
      <c r="O275" s="38" t="s">
        <v>369</v>
      </c>
      <c r="P275" s="3" t="s">
        <v>370</v>
      </c>
      <c r="Q275" s="38" t="s">
        <v>369</v>
      </c>
      <c r="R275" s="1574">
        <v>200159003</v>
      </c>
      <c r="U275" s="1746"/>
      <c r="W275" s="1773"/>
    </row>
    <row r="276" spans="1:25" x14ac:dyDescent="0.2">
      <c r="F276" s="31"/>
      <c r="G276" s="31"/>
      <c r="I276" s="31"/>
      <c r="J276" s="1772"/>
      <c r="K276" s="1772"/>
      <c r="L276" s="1746"/>
      <c r="M276" s="31"/>
      <c r="O276" s="38" t="s">
        <v>369</v>
      </c>
      <c r="P276" s="3" t="s">
        <v>372</v>
      </c>
      <c r="Q276" s="38" t="s">
        <v>369</v>
      </c>
      <c r="R276" s="1574">
        <v>200159021</v>
      </c>
      <c r="U276" s="1746"/>
      <c r="W276" s="1773"/>
    </row>
    <row r="277" spans="1:25" x14ac:dyDescent="0.2">
      <c r="F277" s="31"/>
      <c r="G277" s="31"/>
      <c r="I277" s="31"/>
      <c r="J277" s="1772"/>
      <c r="K277" s="1772"/>
      <c r="L277" s="1746"/>
      <c r="M277" s="31"/>
      <c r="O277" s="38" t="s">
        <v>369</v>
      </c>
      <c r="P277" s="3" t="s">
        <v>373</v>
      </c>
      <c r="Q277" s="38" t="s">
        <v>369</v>
      </c>
      <c r="R277" s="1574">
        <v>200159033</v>
      </c>
      <c r="U277" s="1746"/>
      <c r="W277" s="1773"/>
    </row>
    <row r="278" spans="1:25" x14ac:dyDescent="0.2">
      <c r="F278" s="31"/>
      <c r="G278" s="31"/>
      <c r="I278" s="31"/>
      <c r="J278" s="1772"/>
      <c r="K278" s="1772"/>
      <c r="L278" s="1746"/>
      <c r="M278" s="31"/>
      <c r="O278" s="38" t="s">
        <v>369</v>
      </c>
      <c r="P278" s="3" t="s">
        <v>375</v>
      </c>
      <c r="Q278" s="38" t="s">
        <v>369</v>
      </c>
      <c r="R278" s="1574">
        <v>200159133</v>
      </c>
      <c r="U278" s="1746"/>
      <c r="W278" s="1773"/>
    </row>
    <row r="279" spans="1:25" x14ac:dyDescent="0.2">
      <c r="F279" s="31"/>
      <c r="G279" s="31"/>
      <c r="I279" s="31"/>
      <c r="J279" s="1772"/>
      <c r="K279" s="1772"/>
      <c r="L279" s="1746"/>
      <c r="M279" s="31"/>
      <c r="O279" s="38" t="s">
        <v>369</v>
      </c>
      <c r="P279" s="3" t="s">
        <v>374</v>
      </c>
      <c r="Q279" s="38" t="s">
        <v>369</v>
      </c>
      <c r="R279" s="1574">
        <v>200159090</v>
      </c>
      <c r="U279" s="1746"/>
      <c r="W279" s="1773"/>
    </row>
    <row r="280" spans="1:25" ht="12" thickBot="1" x14ac:dyDescent="0.25">
      <c r="A280" s="893"/>
      <c r="B280" s="1102"/>
      <c r="C280" s="1102"/>
      <c r="D280" s="1102"/>
      <c r="E280" s="1775"/>
      <c r="F280" s="893"/>
      <c r="G280" s="893"/>
      <c r="H280" s="1102"/>
      <c r="I280" s="893"/>
      <c r="J280" s="1776"/>
      <c r="K280" s="1776"/>
      <c r="L280" s="1777"/>
      <c r="M280" s="893"/>
      <c r="N280" s="1775"/>
      <c r="O280" s="1876" t="s">
        <v>369</v>
      </c>
      <c r="P280" s="1877" t="s">
        <v>1849</v>
      </c>
      <c r="Q280" s="1876" t="s">
        <v>369</v>
      </c>
      <c r="R280" s="1926">
        <v>200159148</v>
      </c>
      <c r="S280" s="1775"/>
      <c r="T280" s="893"/>
      <c r="U280" s="1777"/>
      <c r="V280" s="1777"/>
      <c r="W280" s="1778"/>
      <c r="X280" s="1713"/>
      <c r="Y280" s="893"/>
    </row>
    <row r="281" spans="1:25" ht="12" x14ac:dyDescent="0.25">
      <c r="A281" s="31">
        <f>A274+1</f>
        <v>8</v>
      </c>
      <c r="B281" s="845" t="s">
        <v>1666</v>
      </c>
      <c r="F281" s="31"/>
      <c r="G281" s="31"/>
      <c r="I281" s="31"/>
      <c r="J281" s="1772"/>
      <c r="K281" s="1772"/>
      <c r="L281" s="1746"/>
      <c r="M281" s="31" t="s">
        <v>367</v>
      </c>
      <c r="R281" s="1574"/>
      <c r="T281" s="31">
        <v>1</v>
      </c>
      <c r="U281" s="1746">
        <f>T281*L281</f>
        <v>0</v>
      </c>
      <c r="V281" s="1746">
        <v>0.48799999999999999</v>
      </c>
      <c r="W281" s="1773">
        <f>V281*AtolbperftAccy</f>
        <v>0.30714719999999995</v>
      </c>
      <c r="X281" s="1774">
        <f>W281*AccSScostperlb</f>
        <v>0.46072079999999993</v>
      </c>
    </row>
    <row r="282" spans="1:25" x14ac:dyDescent="0.2">
      <c r="F282" s="31"/>
      <c r="G282" s="31"/>
      <c r="I282" s="31"/>
      <c r="J282" s="1772"/>
      <c r="K282" s="1772"/>
      <c r="L282" s="1746"/>
      <c r="M282" s="31"/>
      <c r="O282" s="38" t="s">
        <v>369</v>
      </c>
      <c r="P282" s="3" t="s">
        <v>370</v>
      </c>
      <c r="Q282" s="38" t="s">
        <v>369</v>
      </c>
      <c r="R282" s="1574">
        <v>200160003</v>
      </c>
      <c r="U282" s="1746"/>
      <c r="W282" s="1773"/>
    </row>
    <row r="283" spans="1:25" x14ac:dyDescent="0.2">
      <c r="F283" s="31"/>
      <c r="G283" s="31"/>
      <c r="I283" s="31"/>
      <c r="J283" s="1772"/>
      <c r="K283" s="1772"/>
      <c r="L283" s="1746"/>
      <c r="M283" s="31"/>
      <c r="O283" s="38" t="s">
        <v>369</v>
      </c>
      <c r="P283" s="3" t="s">
        <v>372</v>
      </c>
      <c r="Q283" s="38" t="s">
        <v>369</v>
      </c>
      <c r="R283" s="1574">
        <v>200160021</v>
      </c>
      <c r="U283" s="1746"/>
      <c r="W283" s="1773"/>
    </row>
    <row r="284" spans="1:25" x14ac:dyDescent="0.2">
      <c r="F284" s="31"/>
      <c r="G284" s="31"/>
      <c r="I284" s="31"/>
      <c r="J284" s="1772"/>
      <c r="K284" s="1772"/>
      <c r="L284" s="1746"/>
      <c r="M284" s="31"/>
      <c r="O284" s="38" t="s">
        <v>369</v>
      </c>
      <c r="P284" s="3" t="s">
        <v>373</v>
      </c>
      <c r="Q284" s="38" t="s">
        <v>369</v>
      </c>
      <c r="R284" s="1574">
        <v>200160033</v>
      </c>
      <c r="U284" s="1746"/>
      <c r="W284" s="1773"/>
    </row>
    <row r="285" spans="1:25" x14ac:dyDescent="0.2">
      <c r="F285" s="31"/>
      <c r="G285" s="31"/>
      <c r="I285" s="31"/>
      <c r="J285" s="1772"/>
      <c r="K285" s="1772"/>
      <c r="L285" s="1746"/>
      <c r="M285" s="31"/>
      <c r="O285" s="38" t="s">
        <v>369</v>
      </c>
      <c r="P285" s="3" t="s">
        <v>375</v>
      </c>
      <c r="Q285" s="38" t="s">
        <v>369</v>
      </c>
      <c r="R285" s="1574">
        <v>200160133</v>
      </c>
      <c r="U285" s="1746"/>
      <c r="W285" s="1773"/>
    </row>
    <row r="286" spans="1:25" x14ac:dyDescent="0.2">
      <c r="F286" s="31"/>
      <c r="G286" s="31"/>
      <c r="I286" s="31"/>
      <c r="J286" s="1772"/>
      <c r="K286" s="1772"/>
      <c r="L286" s="1746"/>
      <c r="M286" s="31"/>
      <c r="O286" s="38" t="s">
        <v>369</v>
      </c>
      <c r="P286" s="3" t="s">
        <v>374</v>
      </c>
      <c r="Q286" s="38" t="s">
        <v>369</v>
      </c>
      <c r="R286" s="1443">
        <v>200160090</v>
      </c>
      <c r="U286" s="1746"/>
      <c r="W286" s="1773"/>
    </row>
    <row r="287" spans="1:25" ht="12" thickBot="1" x14ac:dyDescent="0.25">
      <c r="A287" s="893"/>
      <c r="B287" s="1102"/>
      <c r="C287" s="1102"/>
      <c r="D287" s="1102"/>
      <c r="E287" s="1775"/>
      <c r="F287" s="893"/>
      <c r="G287" s="893"/>
      <c r="H287" s="1102"/>
      <c r="I287" s="893"/>
      <c r="J287" s="1776"/>
      <c r="K287" s="1776"/>
      <c r="L287" s="1777"/>
      <c r="M287" s="893"/>
      <c r="N287" s="1775"/>
      <c r="O287" s="1876" t="s">
        <v>369</v>
      </c>
      <c r="P287" s="1930" t="s">
        <v>1849</v>
      </c>
      <c r="Q287" s="1876" t="s">
        <v>369</v>
      </c>
      <c r="R287" s="1878">
        <v>200160148</v>
      </c>
      <c r="S287" s="1775"/>
      <c r="T287" s="893"/>
      <c r="U287" s="1777"/>
      <c r="V287" s="1777"/>
      <c r="W287" s="1778"/>
      <c r="X287" s="1713"/>
      <c r="Y287" s="893"/>
    </row>
    <row r="288" spans="1:25" ht="12" x14ac:dyDescent="0.25">
      <c r="A288" s="31">
        <f>A281+1</f>
        <v>9</v>
      </c>
      <c r="B288" s="845" t="s">
        <v>1667</v>
      </c>
      <c r="F288" s="31"/>
      <c r="G288" s="31"/>
      <c r="I288" s="31"/>
      <c r="J288" s="1772"/>
      <c r="K288" s="1772"/>
      <c r="L288" s="1746"/>
      <c r="M288" s="31" t="s">
        <v>367</v>
      </c>
      <c r="R288" s="1574"/>
      <c r="T288" s="31">
        <v>1</v>
      </c>
      <c r="U288" s="1746">
        <f>T288*L288</f>
        <v>0</v>
      </c>
      <c r="V288" s="1746">
        <v>9.0999999999999998E-2</v>
      </c>
      <c r="W288" s="1773">
        <f>V288*AtolbperftAccy</f>
        <v>5.7275399999999997E-2</v>
      </c>
      <c r="X288" s="1774">
        <f>W288*AccSScostperlb</f>
        <v>8.5913099999999992E-2</v>
      </c>
    </row>
    <row r="289" spans="1:25" x14ac:dyDescent="0.2">
      <c r="F289" s="31"/>
      <c r="G289" s="31"/>
      <c r="I289" s="31"/>
      <c r="J289" s="1772"/>
      <c r="K289" s="1772"/>
      <c r="L289" s="1746"/>
      <c r="M289" s="31"/>
      <c r="O289" s="38" t="s">
        <v>369</v>
      </c>
      <c r="P289" s="3" t="s">
        <v>370</v>
      </c>
      <c r="Q289" s="38" t="s">
        <v>369</v>
      </c>
      <c r="R289" s="1443">
        <v>200166003</v>
      </c>
      <c r="U289" s="1746"/>
      <c r="W289" s="1773"/>
    </row>
    <row r="290" spans="1:25" x14ac:dyDescent="0.2">
      <c r="F290" s="31"/>
      <c r="G290" s="31"/>
      <c r="I290" s="31"/>
      <c r="J290" s="1772"/>
      <c r="K290" s="1772"/>
      <c r="L290" s="1746"/>
      <c r="M290" s="31"/>
      <c r="O290" s="38" t="s">
        <v>369</v>
      </c>
      <c r="P290" s="3" t="s">
        <v>372</v>
      </c>
      <c r="Q290" s="38" t="s">
        <v>369</v>
      </c>
      <c r="R290" s="1443">
        <v>200166021</v>
      </c>
      <c r="U290" s="1746"/>
      <c r="W290" s="1773"/>
    </row>
    <row r="291" spans="1:25" x14ac:dyDescent="0.2">
      <c r="F291" s="31"/>
      <c r="G291" s="31"/>
      <c r="I291" s="31"/>
      <c r="J291" s="1772"/>
      <c r="K291" s="1772"/>
      <c r="L291" s="1746"/>
      <c r="M291" s="31"/>
      <c r="O291" s="38" t="s">
        <v>369</v>
      </c>
      <c r="P291" s="3" t="s">
        <v>373</v>
      </c>
      <c r="Q291" s="38" t="s">
        <v>369</v>
      </c>
      <c r="R291" s="1443">
        <v>200166033</v>
      </c>
      <c r="U291" s="1746"/>
      <c r="W291" s="1773"/>
    </row>
    <row r="292" spans="1:25" ht="12" thickBot="1" x14ac:dyDescent="0.25">
      <c r="A292" s="893"/>
      <c r="B292" s="1102"/>
      <c r="C292" s="1102"/>
      <c r="D292" s="1102"/>
      <c r="E292" s="1775"/>
      <c r="F292" s="893"/>
      <c r="G292" s="893"/>
      <c r="H292" s="1102"/>
      <c r="I292" s="893"/>
      <c r="J292" s="1776"/>
      <c r="K292" s="1776"/>
      <c r="L292" s="1777"/>
      <c r="M292" s="893"/>
      <c r="N292" s="1775"/>
      <c r="O292" s="888" t="s">
        <v>1252</v>
      </c>
      <c r="P292" s="889" t="s">
        <v>375</v>
      </c>
      <c r="Q292" s="888" t="s">
        <v>1252</v>
      </c>
      <c r="R292" s="1444">
        <v>200166133</v>
      </c>
      <c r="S292" s="1775"/>
      <c r="T292" s="893"/>
      <c r="U292" s="1777"/>
      <c r="V292" s="1777"/>
      <c r="W292" s="1778"/>
      <c r="X292" s="1713"/>
      <c r="Y292" s="893"/>
    </row>
    <row r="293" spans="1:25" ht="12" x14ac:dyDescent="0.25">
      <c r="A293" s="31">
        <f>A288+1</f>
        <v>10</v>
      </c>
      <c r="B293" s="845" t="s">
        <v>1668</v>
      </c>
      <c r="F293" s="31"/>
      <c r="G293" s="31"/>
      <c r="I293" s="31"/>
      <c r="J293" s="1772"/>
      <c r="K293" s="1772"/>
      <c r="L293" s="1746"/>
      <c r="M293" s="31" t="s">
        <v>367</v>
      </c>
      <c r="R293" s="1574"/>
      <c r="T293" s="31">
        <v>1</v>
      </c>
      <c r="U293" s="1746">
        <f>T293*L293</f>
        <v>0</v>
      </c>
      <c r="V293" s="1746">
        <v>0.215</v>
      </c>
      <c r="W293" s="1773">
        <f>V293*AtolbperftAccy</f>
        <v>0.135321</v>
      </c>
      <c r="X293" s="1774">
        <f>W293*AccSScostperlb</f>
        <v>0.20298149999999998</v>
      </c>
      <c r="Y293" s="1783" t="s">
        <v>1670</v>
      </c>
    </row>
    <row r="294" spans="1:25" x14ac:dyDescent="0.2">
      <c r="F294" s="31"/>
      <c r="G294" s="31"/>
      <c r="I294" s="31"/>
      <c r="J294" s="1772"/>
      <c r="K294" s="1772"/>
      <c r="L294" s="1746"/>
      <c r="M294" s="31"/>
      <c r="O294" s="38" t="s">
        <v>369</v>
      </c>
      <c r="P294" s="3" t="s">
        <v>370</v>
      </c>
      <c r="Q294" s="38" t="s">
        <v>369</v>
      </c>
      <c r="R294" s="1443">
        <v>200173003</v>
      </c>
      <c r="U294" s="1746"/>
      <c r="W294" s="1773"/>
      <c r="Y294" s="1783"/>
    </row>
    <row r="295" spans="1:25" x14ac:dyDescent="0.2">
      <c r="F295" s="31"/>
      <c r="G295" s="31"/>
      <c r="I295" s="31"/>
      <c r="J295" s="1772"/>
      <c r="K295" s="1772"/>
      <c r="L295" s="1746"/>
      <c r="M295" s="31"/>
      <c r="O295" s="38" t="s">
        <v>369</v>
      </c>
      <c r="P295" s="3" t="s">
        <v>372</v>
      </c>
      <c r="Q295" s="38" t="s">
        <v>369</v>
      </c>
      <c r="R295" s="1443">
        <v>200173021</v>
      </c>
      <c r="U295" s="1746"/>
      <c r="W295" s="1773"/>
      <c r="Y295" s="1783"/>
    </row>
    <row r="296" spans="1:25" ht="12" thickBot="1" x14ac:dyDescent="0.25">
      <c r="A296" s="893"/>
      <c r="B296" s="1102"/>
      <c r="C296" s="1102"/>
      <c r="D296" s="1102"/>
      <c r="E296" s="1775"/>
      <c r="F296" s="893"/>
      <c r="G296" s="893"/>
      <c r="H296" s="1102"/>
      <c r="I296" s="893"/>
      <c r="J296" s="1776"/>
      <c r="K296" s="1776"/>
      <c r="L296" s="1777"/>
      <c r="M296" s="893"/>
      <c r="N296" s="1775"/>
      <c r="O296" s="888" t="s">
        <v>369</v>
      </c>
      <c r="P296" s="889" t="s">
        <v>373</v>
      </c>
      <c r="Q296" s="888" t="s">
        <v>369</v>
      </c>
      <c r="R296" s="1444">
        <v>200173033</v>
      </c>
      <c r="S296" s="1775"/>
      <c r="T296" s="893"/>
      <c r="U296" s="1777"/>
      <c r="V296" s="1777"/>
      <c r="W296" s="1778"/>
      <c r="X296" s="1713"/>
      <c r="Y296" s="1807"/>
    </row>
    <row r="297" spans="1:25" ht="12" x14ac:dyDescent="0.25">
      <c r="A297" s="31">
        <f>A293+1</f>
        <v>11</v>
      </c>
      <c r="B297" s="845" t="s">
        <v>1669</v>
      </c>
      <c r="F297" s="31"/>
      <c r="G297" s="31"/>
      <c r="I297" s="31"/>
      <c r="J297" s="1772"/>
      <c r="K297" s="1772"/>
      <c r="L297" s="1746"/>
      <c r="M297" s="31" t="s">
        <v>367</v>
      </c>
      <c r="R297" s="1574"/>
      <c r="T297" s="31">
        <v>1</v>
      </c>
      <c r="U297" s="1746">
        <f>T297*L297</f>
        <v>0</v>
      </c>
      <c r="V297" s="1746">
        <v>0.23</v>
      </c>
      <c r="W297" s="1773">
        <f>V297*AtolbperftAccy</f>
        <v>0.144762</v>
      </c>
      <c r="X297" s="1774">
        <f>W297*AccSScostperlb</f>
        <v>0.217143</v>
      </c>
      <c r="Y297" s="1783" t="s">
        <v>1670</v>
      </c>
    </row>
    <row r="298" spans="1:25" x14ac:dyDescent="0.2">
      <c r="F298" s="31"/>
      <c r="G298" s="31"/>
      <c r="I298" s="31"/>
      <c r="J298" s="1772"/>
      <c r="K298" s="1772"/>
      <c r="L298" s="1746"/>
      <c r="M298" s="31"/>
      <c r="O298" s="38" t="s">
        <v>369</v>
      </c>
      <c r="P298" s="3" t="s">
        <v>370</v>
      </c>
      <c r="Q298" s="38" t="s">
        <v>369</v>
      </c>
      <c r="R298" s="1443">
        <v>200172003</v>
      </c>
      <c r="U298" s="1746"/>
      <c r="W298" s="1773"/>
    </row>
    <row r="299" spans="1:25" x14ac:dyDescent="0.2">
      <c r="F299" s="31"/>
      <c r="G299" s="31"/>
      <c r="I299" s="31"/>
      <c r="J299" s="1772"/>
      <c r="K299" s="1772"/>
      <c r="L299" s="1746"/>
      <c r="M299" s="31"/>
      <c r="O299" s="38" t="s">
        <v>369</v>
      </c>
      <c r="P299" s="3" t="s">
        <v>372</v>
      </c>
      <c r="Q299" s="38" t="s">
        <v>369</v>
      </c>
      <c r="R299" s="1443">
        <v>200172021</v>
      </c>
      <c r="U299" s="1746"/>
      <c r="W299" s="1773"/>
    </row>
    <row r="300" spans="1:25" ht="12" thickBot="1" x14ac:dyDescent="0.25">
      <c r="A300" s="893"/>
      <c r="B300" s="1102"/>
      <c r="C300" s="1102"/>
      <c r="D300" s="1102"/>
      <c r="E300" s="1775"/>
      <c r="F300" s="893"/>
      <c r="G300" s="893"/>
      <c r="H300" s="1102"/>
      <c r="I300" s="893"/>
      <c r="J300" s="1776"/>
      <c r="K300" s="1776"/>
      <c r="L300" s="1777"/>
      <c r="M300" s="893"/>
      <c r="N300" s="1775"/>
      <c r="O300" s="888" t="s">
        <v>369</v>
      </c>
      <c r="P300" s="889" t="s">
        <v>373</v>
      </c>
      <c r="Q300" s="888" t="s">
        <v>369</v>
      </c>
      <c r="R300" s="1444">
        <v>200172033</v>
      </c>
      <c r="S300" s="1775"/>
      <c r="T300" s="893"/>
      <c r="U300" s="1777"/>
      <c r="V300" s="1777"/>
      <c r="W300" s="1778"/>
      <c r="X300" s="1713"/>
      <c r="Y300" s="893"/>
    </row>
    <row r="301" spans="1:25" ht="12" x14ac:dyDescent="0.25">
      <c r="A301" s="31">
        <f>A297+1</f>
        <v>12</v>
      </c>
      <c r="B301" s="845" t="s">
        <v>1671</v>
      </c>
      <c r="F301" s="31"/>
      <c r="G301" s="31"/>
      <c r="I301" s="31"/>
      <c r="J301" s="1772"/>
      <c r="K301" s="1772"/>
      <c r="L301" s="1746"/>
      <c r="M301" s="31" t="s">
        <v>367</v>
      </c>
      <c r="R301" s="1574"/>
      <c r="T301" s="31">
        <v>1</v>
      </c>
      <c r="U301" s="1746">
        <f>T301*L301</f>
        <v>0</v>
      </c>
      <c r="V301" s="1746">
        <v>0.318</v>
      </c>
      <c r="W301" s="1773">
        <f>V301*AtolbperftAccy</f>
        <v>0.2001492</v>
      </c>
      <c r="X301" s="1774">
        <f>W301*AccSScostperlb</f>
        <v>0.30022379999999999</v>
      </c>
    </row>
    <row r="302" spans="1:25" x14ac:dyDescent="0.2">
      <c r="F302" s="31"/>
      <c r="G302" s="31"/>
      <c r="I302" s="31"/>
      <c r="J302" s="1772"/>
      <c r="K302" s="1772"/>
      <c r="L302" s="1746"/>
      <c r="M302" s="31"/>
      <c r="O302" s="38" t="s">
        <v>369</v>
      </c>
      <c r="P302" s="3" t="s">
        <v>370</v>
      </c>
      <c r="Q302" s="38" t="s">
        <v>369</v>
      </c>
      <c r="R302" s="1443">
        <v>200188003</v>
      </c>
      <c r="U302" s="1746"/>
      <c r="W302" s="1773"/>
    </row>
    <row r="303" spans="1:25" x14ac:dyDescent="0.2">
      <c r="F303" s="31"/>
      <c r="G303" s="31"/>
      <c r="I303" s="31"/>
      <c r="J303" s="1772"/>
      <c r="K303" s="1772"/>
      <c r="L303" s="1746"/>
      <c r="M303" s="31"/>
      <c r="O303" s="38" t="s">
        <v>369</v>
      </c>
      <c r="P303" s="3" t="s">
        <v>372</v>
      </c>
      <c r="Q303" s="38" t="s">
        <v>369</v>
      </c>
      <c r="R303" s="1443">
        <v>200188021</v>
      </c>
      <c r="U303" s="1746"/>
      <c r="W303" s="1773"/>
    </row>
    <row r="304" spans="1:25" x14ac:dyDescent="0.2">
      <c r="F304" s="31"/>
      <c r="G304" s="31"/>
      <c r="I304" s="31"/>
      <c r="J304" s="1772"/>
      <c r="K304" s="1772"/>
      <c r="L304" s="1746"/>
      <c r="M304" s="31"/>
      <c r="O304" s="38" t="s">
        <v>369</v>
      </c>
      <c r="P304" s="3" t="s">
        <v>373</v>
      </c>
      <c r="Q304" s="38" t="s">
        <v>369</v>
      </c>
      <c r="R304" s="1443">
        <v>200188033</v>
      </c>
      <c r="U304" s="1746"/>
      <c r="W304" s="1773"/>
    </row>
    <row r="305" spans="1:25" ht="12" thickBot="1" x14ac:dyDescent="0.25">
      <c r="A305" s="893"/>
      <c r="B305" s="1102"/>
      <c r="C305" s="1102"/>
      <c r="D305" s="1102"/>
      <c r="E305" s="1775"/>
      <c r="F305" s="893"/>
      <c r="G305" s="893"/>
      <c r="H305" s="1102"/>
      <c r="I305" s="893"/>
      <c r="J305" s="1776"/>
      <c r="K305" s="1776"/>
      <c r="L305" s="1777"/>
      <c r="M305" s="893"/>
      <c r="N305" s="1775"/>
      <c r="O305" s="888"/>
      <c r="P305" s="889"/>
      <c r="Q305" s="888"/>
      <c r="R305" s="1444"/>
      <c r="S305" s="1775"/>
      <c r="T305" s="893"/>
      <c r="U305" s="1777"/>
      <c r="V305" s="1777"/>
      <c r="W305" s="1778"/>
      <c r="X305" s="1713"/>
      <c r="Y305" s="893"/>
    </row>
    <row r="306" spans="1:25" ht="12" x14ac:dyDescent="0.25">
      <c r="A306" s="31">
        <f>A301+1</f>
        <v>13</v>
      </c>
      <c r="B306" s="845" t="s">
        <v>1672</v>
      </c>
      <c r="F306" s="31"/>
      <c r="G306" s="31"/>
      <c r="I306" s="31"/>
      <c r="J306" s="1772"/>
      <c r="K306" s="1772"/>
      <c r="L306" s="1746"/>
      <c r="M306" s="31" t="s">
        <v>367</v>
      </c>
      <c r="R306" s="1574"/>
      <c r="T306" s="31">
        <v>1</v>
      </c>
      <c r="U306" s="1746">
        <f>T306*L306</f>
        <v>0</v>
      </c>
      <c r="V306" s="1746">
        <v>0.44800000000000001</v>
      </c>
      <c r="W306" s="1773">
        <f>V306*AtolbperftAccy</f>
        <v>0.28197119999999998</v>
      </c>
      <c r="X306" s="1774">
        <f>W306*AccSScostperlb</f>
        <v>0.42295679999999997</v>
      </c>
    </row>
    <row r="307" spans="1:25" x14ac:dyDescent="0.2">
      <c r="F307" s="31"/>
      <c r="G307" s="31"/>
      <c r="I307" s="31"/>
      <c r="J307" s="1772"/>
      <c r="K307" s="1772"/>
      <c r="L307" s="1746"/>
      <c r="M307" s="31"/>
      <c r="O307" s="38" t="s">
        <v>369</v>
      </c>
      <c r="P307" s="3" t="s">
        <v>370</v>
      </c>
      <c r="Q307" s="38" t="s">
        <v>369</v>
      </c>
      <c r="R307" s="1574">
        <v>200189003</v>
      </c>
      <c r="U307" s="1746"/>
      <c r="W307" s="1773"/>
    </row>
    <row r="308" spans="1:25" x14ac:dyDescent="0.2">
      <c r="F308" s="31"/>
      <c r="G308" s="31"/>
      <c r="I308" s="31"/>
      <c r="J308" s="1772"/>
      <c r="K308" s="1772"/>
      <c r="L308" s="1746"/>
      <c r="M308" s="31"/>
      <c r="O308" s="38" t="s">
        <v>369</v>
      </c>
      <c r="P308" s="3" t="s">
        <v>372</v>
      </c>
      <c r="Q308" s="38" t="s">
        <v>369</v>
      </c>
      <c r="R308" s="1574">
        <v>200189021</v>
      </c>
      <c r="U308" s="1746"/>
      <c r="W308" s="1773"/>
    </row>
    <row r="309" spans="1:25" x14ac:dyDescent="0.2">
      <c r="F309" s="31"/>
      <c r="G309" s="31"/>
      <c r="I309" s="31"/>
      <c r="J309" s="1772"/>
      <c r="K309" s="1772"/>
      <c r="L309" s="1746"/>
      <c r="M309" s="31"/>
      <c r="O309" s="38" t="s">
        <v>369</v>
      </c>
      <c r="P309" s="3" t="s">
        <v>373</v>
      </c>
      <c r="Q309" s="38" t="s">
        <v>369</v>
      </c>
      <c r="R309" s="1574">
        <v>200189033</v>
      </c>
      <c r="U309" s="1746"/>
      <c r="W309" s="1773"/>
    </row>
    <row r="310" spans="1:25" ht="12" thickBot="1" x14ac:dyDescent="0.25">
      <c r="A310" s="893"/>
      <c r="B310" s="1102"/>
      <c r="C310" s="1102"/>
      <c r="D310" s="1102"/>
      <c r="E310" s="1775"/>
      <c r="F310" s="893"/>
      <c r="G310" s="893"/>
      <c r="H310" s="1102"/>
      <c r="I310" s="893"/>
      <c r="J310" s="1776"/>
      <c r="K310" s="1776"/>
      <c r="L310" s="1777"/>
      <c r="M310" s="893"/>
      <c r="N310" s="1775"/>
      <c r="O310" s="888"/>
      <c r="P310" s="889"/>
      <c r="Q310" s="888"/>
      <c r="R310" s="1661"/>
      <c r="S310" s="1775"/>
      <c r="T310" s="893"/>
      <c r="U310" s="1777"/>
      <c r="V310" s="1777"/>
      <c r="W310" s="1778"/>
      <c r="X310" s="1713"/>
      <c r="Y310" s="893"/>
    </row>
    <row r="311" spans="1:25" ht="12" x14ac:dyDescent="0.25">
      <c r="A311" s="31">
        <f>A306+1</f>
        <v>14</v>
      </c>
      <c r="B311" s="845" t="s">
        <v>1673</v>
      </c>
      <c r="F311" s="31"/>
      <c r="G311" s="31"/>
      <c r="I311" s="31"/>
      <c r="J311" s="1772"/>
      <c r="K311" s="1772"/>
      <c r="L311" s="1746"/>
      <c r="M311" s="31" t="s">
        <v>367</v>
      </c>
      <c r="R311" s="1574"/>
      <c r="T311" s="31">
        <v>1</v>
      </c>
      <c r="U311" s="1746">
        <f>T311*L311</f>
        <v>0</v>
      </c>
      <c r="V311" s="1746">
        <v>0.318</v>
      </c>
      <c r="W311" s="1773">
        <f>V311*AtolbperftAccy</f>
        <v>0.2001492</v>
      </c>
      <c r="X311" s="1774">
        <f>W311*AccSScostperlb</f>
        <v>0.30022379999999999</v>
      </c>
    </row>
    <row r="312" spans="1:25" x14ac:dyDescent="0.2">
      <c r="F312" s="31"/>
      <c r="G312" s="31"/>
      <c r="I312" s="31"/>
      <c r="J312" s="1772"/>
      <c r="K312" s="1772"/>
      <c r="L312" s="1746"/>
      <c r="M312" s="31"/>
      <c r="O312" s="38" t="s">
        <v>369</v>
      </c>
      <c r="P312" s="3" t="s">
        <v>370</v>
      </c>
      <c r="Q312" s="38" t="s">
        <v>369</v>
      </c>
      <c r="R312" s="1574">
        <v>200193003</v>
      </c>
      <c r="U312" s="1746"/>
      <c r="W312" s="1773"/>
    </row>
    <row r="313" spans="1:25" x14ac:dyDescent="0.2">
      <c r="F313" s="31"/>
      <c r="G313" s="31"/>
      <c r="I313" s="31"/>
      <c r="J313" s="1772"/>
      <c r="K313" s="1772"/>
      <c r="L313" s="1746"/>
      <c r="M313" s="31"/>
      <c r="O313" s="38" t="s">
        <v>369</v>
      </c>
      <c r="P313" s="3" t="s">
        <v>372</v>
      </c>
      <c r="Q313" s="38" t="s">
        <v>369</v>
      </c>
      <c r="R313" s="1574">
        <v>200193021</v>
      </c>
      <c r="U313" s="1746"/>
      <c r="W313" s="1773"/>
    </row>
    <row r="314" spans="1:25" x14ac:dyDescent="0.2">
      <c r="F314" s="31"/>
      <c r="G314" s="31"/>
      <c r="I314" s="31"/>
      <c r="J314" s="1772"/>
      <c r="K314" s="1772"/>
      <c r="L314" s="1746"/>
      <c r="M314" s="31"/>
      <c r="O314" s="38" t="s">
        <v>369</v>
      </c>
      <c r="P314" s="3" t="s">
        <v>373</v>
      </c>
      <c r="Q314" s="38" t="s">
        <v>369</v>
      </c>
      <c r="R314" s="1574">
        <v>200193033</v>
      </c>
      <c r="U314" s="1746"/>
      <c r="W314" s="1773"/>
    </row>
    <row r="315" spans="1:25" ht="12" thickBot="1" x14ac:dyDescent="0.25">
      <c r="A315" s="893"/>
      <c r="B315" s="1102"/>
      <c r="C315" s="1102"/>
      <c r="D315" s="1102"/>
      <c r="E315" s="1775"/>
      <c r="F315" s="893"/>
      <c r="G315" s="893"/>
      <c r="H315" s="1102"/>
      <c r="I315" s="893"/>
      <c r="J315" s="1776"/>
      <c r="K315" s="1776"/>
      <c r="L315" s="1777"/>
      <c r="M315" s="893"/>
      <c r="N315" s="1775"/>
      <c r="O315" s="888"/>
      <c r="P315" s="889"/>
      <c r="Q315" s="888"/>
      <c r="R315" s="1661"/>
      <c r="S315" s="1775"/>
      <c r="T315" s="893"/>
      <c r="U315" s="1777"/>
      <c r="V315" s="1777"/>
      <c r="W315" s="1778"/>
      <c r="X315" s="1713"/>
      <c r="Y315" s="893"/>
    </row>
    <row r="316" spans="1:25" ht="12" x14ac:dyDescent="0.25">
      <c r="A316" s="31">
        <f>A311+1</f>
        <v>15</v>
      </c>
      <c r="B316" s="845" t="s">
        <v>1674</v>
      </c>
      <c r="F316" s="31"/>
      <c r="G316" s="31"/>
      <c r="I316" s="31"/>
      <c r="J316" s="1772"/>
      <c r="K316" s="1772"/>
      <c r="L316" s="1746"/>
      <c r="M316" s="31" t="s">
        <v>367</v>
      </c>
      <c r="R316" s="1574"/>
      <c r="T316" s="31">
        <v>1</v>
      </c>
      <c r="U316" s="1746">
        <f>T316*L316</f>
        <v>0</v>
      </c>
      <c r="V316" s="1746">
        <v>0.44800000000000001</v>
      </c>
      <c r="W316" s="1773">
        <f>V316*AtolbperftAccy</f>
        <v>0.28197119999999998</v>
      </c>
      <c r="X316" s="1774">
        <f>W316*AccSScostperlb</f>
        <v>0.42295679999999997</v>
      </c>
    </row>
    <row r="317" spans="1:25" x14ac:dyDescent="0.2">
      <c r="F317" s="31"/>
      <c r="G317" s="31"/>
      <c r="I317" s="31"/>
      <c r="J317" s="1772"/>
      <c r="K317" s="1772"/>
      <c r="L317" s="1746"/>
      <c r="M317" s="31"/>
      <c r="O317" s="38" t="s">
        <v>369</v>
      </c>
      <c r="P317" s="3" t="s">
        <v>370</v>
      </c>
      <c r="Q317" s="38" t="s">
        <v>369</v>
      </c>
      <c r="R317" s="1574">
        <v>200194003</v>
      </c>
      <c r="U317" s="1746"/>
      <c r="W317" s="1773"/>
    </row>
    <row r="318" spans="1:25" x14ac:dyDescent="0.2">
      <c r="F318" s="31"/>
      <c r="G318" s="31"/>
      <c r="I318" s="31"/>
      <c r="J318" s="1772"/>
      <c r="K318" s="1772"/>
      <c r="L318" s="1746"/>
      <c r="M318" s="31"/>
      <c r="O318" s="38" t="s">
        <v>369</v>
      </c>
      <c r="P318" s="3" t="s">
        <v>372</v>
      </c>
      <c r="Q318" s="38" t="s">
        <v>369</v>
      </c>
      <c r="R318" s="1574">
        <v>200194021</v>
      </c>
      <c r="U318" s="1746"/>
      <c r="W318" s="1773"/>
    </row>
    <row r="319" spans="1:25" x14ac:dyDescent="0.2">
      <c r="F319" s="31"/>
      <c r="G319" s="31"/>
      <c r="I319" s="31"/>
      <c r="J319" s="1772"/>
      <c r="K319" s="1772"/>
      <c r="L319" s="1746"/>
      <c r="M319" s="31"/>
      <c r="O319" s="38" t="s">
        <v>369</v>
      </c>
      <c r="P319" s="3" t="s">
        <v>373</v>
      </c>
      <c r="Q319" s="38" t="s">
        <v>369</v>
      </c>
      <c r="R319" s="1574">
        <v>200194033</v>
      </c>
      <c r="U319" s="1746"/>
      <c r="W319" s="1773"/>
    </row>
    <row r="320" spans="1:25" ht="12" thickBot="1" x14ac:dyDescent="0.25">
      <c r="A320" s="893"/>
      <c r="B320" s="1102"/>
      <c r="C320" s="1102"/>
      <c r="D320" s="1102"/>
      <c r="E320" s="1775"/>
      <c r="F320" s="893"/>
      <c r="G320" s="893"/>
      <c r="H320" s="1102"/>
      <c r="I320" s="893"/>
      <c r="J320" s="1776"/>
      <c r="K320" s="1776"/>
      <c r="L320" s="1777"/>
      <c r="M320" s="893"/>
      <c r="N320" s="1775"/>
      <c r="O320" s="888"/>
      <c r="P320" s="889"/>
      <c r="Q320" s="888"/>
      <c r="R320" s="1661"/>
      <c r="S320" s="1775"/>
      <c r="T320" s="893"/>
      <c r="U320" s="1777"/>
      <c r="V320" s="1777"/>
      <c r="W320" s="1778"/>
      <c r="X320" s="1713"/>
      <c r="Y320" s="893"/>
    </row>
    <row r="321" spans="1:25" ht="12" x14ac:dyDescent="0.25">
      <c r="A321" s="31">
        <f>A316+1</f>
        <v>16</v>
      </c>
      <c r="B321" s="845" t="s">
        <v>1675</v>
      </c>
      <c r="F321" s="31"/>
      <c r="G321" s="31"/>
      <c r="I321" s="31"/>
      <c r="J321" s="1772"/>
      <c r="K321" s="1772"/>
      <c r="L321" s="1746"/>
      <c r="M321" s="31" t="s">
        <v>367</v>
      </c>
      <c r="R321" s="1574"/>
      <c r="T321" s="31">
        <v>1</v>
      </c>
      <c r="U321" s="1746">
        <f>T321*L321</f>
        <v>0</v>
      </c>
      <c r="V321" s="1789" t="s">
        <v>8</v>
      </c>
      <c r="W321" s="1789" t="s">
        <v>8</v>
      </c>
    </row>
    <row r="322" spans="1:25" x14ac:dyDescent="0.2">
      <c r="F322" s="31"/>
      <c r="G322" s="31"/>
      <c r="I322" s="31"/>
      <c r="J322" s="1772"/>
      <c r="K322" s="1772"/>
      <c r="L322" s="1746"/>
      <c r="M322" s="31"/>
      <c r="O322" s="38" t="s">
        <v>369</v>
      </c>
      <c r="P322" s="3" t="s">
        <v>370</v>
      </c>
      <c r="Q322" s="38" t="s">
        <v>369</v>
      </c>
      <c r="R322" s="1574">
        <v>220015003</v>
      </c>
      <c r="U322" s="1746"/>
      <c r="W322" s="1773"/>
    </row>
    <row r="323" spans="1:25" x14ac:dyDescent="0.2">
      <c r="F323" s="31"/>
      <c r="G323" s="31"/>
      <c r="I323" s="31"/>
      <c r="J323" s="1772"/>
      <c r="K323" s="1772"/>
      <c r="L323" s="1746"/>
      <c r="M323" s="31"/>
      <c r="O323" s="38" t="s">
        <v>369</v>
      </c>
      <c r="P323" s="3" t="s">
        <v>372</v>
      </c>
      <c r="Q323" s="38" t="s">
        <v>369</v>
      </c>
      <c r="R323" s="1574">
        <v>220015021</v>
      </c>
      <c r="U323" s="1746"/>
      <c r="W323" s="1773"/>
    </row>
    <row r="324" spans="1:25" x14ac:dyDescent="0.2">
      <c r="F324" s="31"/>
      <c r="G324" s="31"/>
      <c r="I324" s="31"/>
      <c r="J324" s="1772"/>
      <c r="K324" s="1772"/>
      <c r="L324" s="1746"/>
      <c r="M324" s="31"/>
      <c r="O324" s="38" t="s">
        <v>369</v>
      </c>
      <c r="P324" s="3" t="s">
        <v>373</v>
      </c>
      <c r="Q324" s="38" t="s">
        <v>369</v>
      </c>
      <c r="R324" s="1574">
        <v>220015033</v>
      </c>
      <c r="U324" s="1746"/>
      <c r="W324" s="1773"/>
    </row>
    <row r="325" spans="1:25" x14ac:dyDescent="0.2">
      <c r="F325" s="31"/>
      <c r="G325" s="31"/>
      <c r="I325" s="31"/>
      <c r="J325" s="1772"/>
      <c r="K325" s="1772"/>
      <c r="L325" s="1746"/>
      <c r="M325" s="31"/>
      <c r="O325" s="38" t="s">
        <v>369</v>
      </c>
      <c r="P325" s="3" t="s">
        <v>374</v>
      </c>
      <c r="Q325" s="38" t="s">
        <v>369</v>
      </c>
      <c r="R325" s="1443">
        <v>220015090</v>
      </c>
      <c r="U325" s="1746"/>
      <c r="W325" s="1773"/>
    </row>
    <row r="326" spans="1:25" x14ac:dyDescent="0.2">
      <c r="F326" s="31"/>
      <c r="G326" s="31"/>
      <c r="I326" s="31"/>
      <c r="J326" s="1772"/>
      <c r="K326" s="1772"/>
      <c r="L326" s="1746"/>
      <c r="M326" s="31"/>
      <c r="O326" s="38" t="s">
        <v>369</v>
      </c>
      <c r="P326" s="3" t="s">
        <v>375</v>
      </c>
      <c r="Q326" s="38" t="s">
        <v>369</v>
      </c>
      <c r="R326" s="1574">
        <v>220015133</v>
      </c>
      <c r="U326" s="1746"/>
      <c r="W326" s="1773"/>
    </row>
    <row r="327" spans="1:25" ht="12" thickBot="1" x14ac:dyDescent="0.25">
      <c r="A327" s="893"/>
      <c r="B327" s="1102"/>
      <c r="C327" s="1102"/>
      <c r="D327" s="1102"/>
      <c r="E327" s="1775"/>
      <c r="F327" s="893"/>
      <c r="G327" s="893"/>
      <c r="H327" s="1102"/>
      <c r="I327" s="893"/>
      <c r="J327" s="1776"/>
      <c r="K327" s="1776"/>
      <c r="L327" s="1777"/>
      <c r="M327" s="893"/>
      <c r="N327" s="1775"/>
      <c r="O327" s="1876" t="s">
        <v>369</v>
      </c>
      <c r="P327" s="1877" t="s">
        <v>1849</v>
      </c>
      <c r="Q327" s="1876" t="s">
        <v>369</v>
      </c>
      <c r="R327" s="1878">
        <v>220015148</v>
      </c>
      <c r="S327" s="1775"/>
      <c r="T327" s="893"/>
      <c r="U327" s="1777"/>
      <c r="V327" s="1777"/>
      <c r="W327" s="1778"/>
      <c r="X327" s="1713"/>
      <c r="Y327" s="893"/>
    </row>
    <row r="328" spans="1:25" ht="12" x14ac:dyDescent="0.25">
      <c r="A328" s="31">
        <f>A321+1</f>
        <v>17</v>
      </c>
      <c r="B328" s="845" t="s">
        <v>1676</v>
      </c>
      <c r="F328" s="31"/>
      <c r="G328" s="31"/>
      <c r="I328" s="31"/>
      <c r="J328" s="1772"/>
      <c r="K328" s="1772"/>
      <c r="L328" s="1746"/>
      <c r="M328" s="31" t="s">
        <v>367</v>
      </c>
      <c r="O328" s="38"/>
      <c r="P328" s="3"/>
      <c r="Q328" s="38"/>
      <c r="T328" s="31">
        <v>1</v>
      </c>
      <c r="U328" s="1746">
        <f>T328*L328</f>
        <v>0</v>
      </c>
      <c r="V328" s="1789" t="s">
        <v>8</v>
      </c>
      <c r="W328" s="1789" t="s">
        <v>8</v>
      </c>
    </row>
    <row r="329" spans="1:25" ht="12.6" thickBot="1" x14ac:dyDescent="0.3">
      <c r="A329" s="893"/>
      <c r="B329" s="1782"/>
      <c r="C329" s="1102"/>
      <c r="D329" s="1102"/>
      <c r="E329" s="1775"/>
      <c r="F329" s="893"/>
      <c r="G329" s="893"/>
      <c r="H329" s="1102"/>
      <c r="I329" s="893"/>
      <c r="J329" s="1776"/>
      <c r="K329" s="1776"/>
      <c r="L329" s="1777"/>
      <c r="M329" s="893"/>
      <c r="N329" s="1775"/>
      <c r="O329" s="888" t="s">
        <v>369</v>
      </c>
      <c r="P329" s="889" t="s">
        <v>1680</v>
      </c>
      <c r="Q329" s="888" t="s">
        <v>369</v>
      </c>
      <c r="R329" s="1444">
        <v>610019010</v>
      </c>
      <c r="S329" s="1775"/>
      <c r="T329" s="893"/>
      <c r="U329" s="1777"/>
      <c r="V329" s="1808"/>
      <c r="W329" s="1808"/>
      <c r="X329" s="1713"/>
      <c r="Y329" s="893"/>
    </row>
    <row r="330" spans="1:25" ht="12" x14ac:dyDescent="0.25">
      <c r="A330" s="31">
        <f>A328+1</f>
        <v>18</v>
      </c>
      <c r="B330" s="845" t="s">
        <v>1677</v>
      </c>
      <c r="F330" s="31"/>
      <c r="G330" s="31"/>
      <c r="I330" s="31"/>
      <c r="J330" s="1772"/>
      <c r="K330" s="1772"/>
      <c r="L330" s="1746"/>
      <c r="M330" s="31" t="s">
        <v>367</v>
      </c>
      <c r="R330" s="1574"/>
      <c r="T330" s="31">
        <v>1</v>
      </c>
      <c r="U330" s="1746">
        <f>T330*L330</f>
        <v>0</v>
      </c>
      <c r="V330" s="1789" t="s">
        <v>8</v>
      </c>
      <c r="W330" s="1789" t="s">
        <v>8</v>
      </c>
    </row>
    <row r="331" spans="1:25" x14ac:dyDescent="0.2">
      <c r="F331" s="31"/>
      <c r="G331" s="31"/>
      <c r="I331" s="31"/>
      <c r="J331" s="1772"/>
      <c r="K331" s="1772"/>
      <c r="L331" s="1746"/>
      <c r="M331" s="31"/>
      <c r="O331" s="38" t="s">
        <v>369</v>
      </c>
      <c r="P331" s="3" t="s">
        <v>370</v>
      </c>
      <c r="Q331" s="38" t="s">
        <v>369</v>
      </c>
      <c r="R331" s="1574">
        <v>220016003</v>
      </c>
      <c r="U331" s="1746"/>
      <c r="W331" s="1773"/>
    </row>
    <row r="332" spans="1:25" x14ac:dyDescent="0.2">
      <c r="F332" s="31"/>
      <c r="G332" s="31"/>
      <c r="I332" s="31"/>
      <c r="J332" s="1772"/>
      <c r="K332" s="1772"/>
      <c r="L332" s="1746"/>
      <c r="M332" s="31"/>
      <c r="O332" s="38" t="s">
        <v>369</v>
      </c>
      <c r="P332" s="3" t="s">
        <v>372</v>
      </c>
      <c r="Q332" s="38" t="s">
        <v>369</v>
      </c>
      <c r="R332" s="1574">
        <v>220016021</v>
      </c>
      <c r="U332" s="1746"/>
      <c r="W332" s="1773"/>
    </row>
    <row r="333" spans="1:25" x14ac:dyDescent="0.2">
      <c r="F333" s="31"/>
      <c r="G333" s="31"/>
      <c r="I333" s="31"/>
      <c r="J333" s="1772"/>
      <c r="K333" s="1772"/>
      <c r="L333" s="1746"/>
      <c r="M333" s="31"/>
      <c r="O333" s="38" t="s">
        <v>369</v>
      </c>
      <c r="P333" s="3" t="s">
        <v>373</v>
      </c>
      <c r="Q333" s="38" t="s">
        <v>369</v>
      </c>
      <c r="R333" s="1574">
        <v>220016033</v>
      </c>
      <c r="U333" s="1746"/>
      <c r="W333" s="1773"/>
    </row>
    <row r="334" spans="1:25" x14ac:dyDescent="0.2">
      <c r="F334" s="31"/>
      <c r="G334" s="31"/>
      <c r="I334" s="31"/>
      <c r="J334" s="1772"/>
      <c r="K334" s="1772"/>
      <c r="L334" s="1746"/>
      <c r="M334" s="31"/>
      <c r="O334" s="38" t="s">
        <v>369</v>
      </c>
      <c r="P334" s="3" t="s">
        <v>374</v>
      </c>
      <c r="Q334" s="38" t="s">
        <v>369</v>
      </c>
      <c r="R334" s="1443">
        <v>220016090</v>
      </c>
      <c r="U334" s="1746"/>
      <c r="W334" s="1773"/>
    </row>
    <row r="335" spans="1:25" x14ac:dyDescent="0.2">
      <c r="F335" s="31"/>
      <c r="G335" s="31"/>
      <c r="I335" s="31"/>
      <c r="J335" s="1772"/>
      <c r="K335" s="1772"/>
      <c r="L335" s="1746"/>
      <c r="M335" s="31"/>
      <c r="O335" s="38" t="s">
        <v>369</v>
      </c>
      <c r="P335" s="3" t="s">
        <v>375</v>
      </c>
      <c r="Q335" s="38" t="s">
        <v>369</v>
      </c>
      <c r="R335" s="1574">
        <v>220016133</v>
      </c>
      <c r="U335" s="1746"/>
      <c r="W335" s="1773"/>
    </row>
    <row r="336" spans="1:25" ht="12" thickBot="1" x14ac:dyDescent="0.25">
      <c r="A336" s="893"/>
      <c r="B336" s="1102"/>
      <c r="C336" s="1102"/>
      <c r="D336" s="1102"/>
      <c r="E336" s="1775"/>
      <c r="F336" s="893"/>
      <c r="G336" s="893"/>
      <c r="H336" s="1102"/>
      <c r="I336" s="893"/>
      <c r="J336" s="1776"/>
      <c r="K336" s="1776"/>
      <c r="L336" s="1777"/>
      <c r="M336" s="893"/>
      <c r="N336" s="1775"/>
      <c r="O336" s="1876" t="s">
        <v>369</v>
      </c>
      <c r="P336" s="1877" t="s">
        <v>1849</v>
      </c>
      <c r="Q336" s="1876" t="s">
        <v>369</v>
      </c>
      <c r="R336" s="1878">
        <v>220016148</v>
      </c>
      <c r="S336" s="1775"/>
      <c r="T336" s="893"/>
      <c r="U336" s="1777"/>
      <c r="V336" s="1777"/>
      <c r="W336" s="1778"/>
      <c r="X336" s="1713"/>
      <c r="Y336" s="893"/>
    </row>
    <row r="337" spans="1:25" ht="12" x14ac:dyDescent="0.25">
      <c r="A337" s="31">
        <f>A330+1</f>
        <v>19</v>
      </c>
      <c r="B337" s="845" t="s">
        <v>1678</v>
      </c>
      <c r="F337" s="31"/>
      <c r="G337" s="31"/>
      <c r="I337" s="31"/>
      <c r="J337" s="1772"/>
      <c r="K337" s="1772"/>
      <c r="L337" s="1746"/>
      <c r="M337" s="31" t="s">
        <v>367</v>
      </c>
      <c r="R337" s="1574"/>
      <c r="T337" s="31">
        <v>1</v>
      </c>
      <c r="U337" s="1746">
        <f>T337*L337</f>
        <v>0</v>
      </c>
      <c r="V337" s="1789" t="s">
        <v>8</v>
      </c>
      <c r="W337" s="1789" t="s">
        <v>8</v>
      </c>
    </row>
    <row r="338" spans="1:25" x14ac:dyDescent="0.2">
      <c r="F338" s="31"/>
      <c r="G338" s="31"/>
      <c r="I338" s="31"/>
      <c r="J338" s="1772"/>
      <c r="K338" s="1772"/>
      <c r="L338" s="1746"/>
      <c r="M338" s="31"/>
      <c r="O338" s="38" t="s">
        <v>369</v>
      </c>
      <c r="P338" s="3" t="s">
        <v>370</v>
      </c>
      <c r="Q338" s="38" t="s">
        <v>369</v>
      </c>
      <c r="R338" s="1574">
        <v>220029003</v>
      </c>
      <c r="U338" s="1746"/>
      <c r="W338" s="1773"/>
    </row>
    <row r="339" spans="1:25" x14ac:dyDescent="0.2">
      <c r="F339" s="31"/>
      <c r="G339" s="31"/>
      <c r="I339" s="31"/>
      <c r="J339" s="1772"/>
      <c r="K339" s="1772"/>
      <c r="L339" s="1746"/>
      <c r="M339" s="31"/>
      <c r="O339" s="38" t="s">
        <v>369</v>
      </c>
      <c r="P339" s="3" t="s">
        <v>372</v>
      </c>
      <c r="Q339" s="38" t="s">
        <v>369</v>
      </c>
      <c r="R339" s="1574">
        <v>220029021</v>
      </c>
      <c r="U339" s="1746"/>
      <c r="W339" s="1773"/>
    </row>
    <row r="340" spans="1:25" x14ac:dyDescent="0.2">
      <c r="F340" s="31"/>
      <c r="G340" s="31"/>
      <c r="I340" s="31"/>
      <c r="J340" s="1772"/>
      <c r="K340" s="1772"/>
      <c r="L340" s="1746"/>
      <c r="M340" s="31"/>
      <c r="O340" s="38" t="s">
        <v>369</v>
      </c>
      <c r="P340" s="3" t="s">
        <v>373</v>
      </c>
      <c r="Q340" s="38" t="s">
        <v>369</v>
      </c>
      <c r="R340" s="1574">
        <v>220029033</v>
      </c>
      <c r="U340" s="1746"/>
      <c r="W340" s="1773"/>
    </row>
    <row r="341" spans="1:25" x14ac:dyDescent="0.2">
      <c r="F341" s="31"/>
      <c r="G341" s="31"/>
      <c r="I341" s="31"/>
      <c r="J341" s="1772"/>
      <c r="K341" s="1772"/>
      <c r="L341" s="1746"/>
      <c r="M341" s="31"/>
      <c r="O341" s="38" t="s">
        <v>369</v>
      </c>
      <c r="P341" s="3" t="s">
        <v>374</v>
      </c>
      <c r="Q341" s="38" t="s">
        <v>369</v>
      </c>
      <c r="R341" s="1443">
        <v>220029090</v>
      </c>
      <c r="U341" s="1746"/>
      <c r="W341" s="1773"/>
    </row>
    <row r="342" spans="1:25" x14ac:dyDescent="0.2">
      <c r="F342" s="31"/>
      <c r="G342" s="31"/>
      <c r="I342" s="31"/>
      <c r="J342" s="1772"/>
      <c r="K342" s="1772"/>
      <c r="L342" s="1746"/>
      <c r="M342" s="31"/>
      <c r="O342" s="38" t="s">
        <v>369</v>
      </c>
      <c r="P342" s="3" t="s">
        <v>375</v>
      </c>
      <c r="Q342" s="38" t="s">
        <v>369</v>
      </c>
      <c r="R342" s="1574">
        <v>220029133</v>
      </c>
      <c r="U342" s="1746"/>
      <c r="W342" s="1773"/>
    </row>
    <row r="343" spans="1:25" ht="12" thickBot="1" x14ac:dyDescent="0.25">
      <c r="A343" s="893"/>
      <c r="B343" s="1102"/>
      <c r="C343" s="1102"/>
      <c r="D343" s="1102"/>
      <c r="E343" s="1775"/>
      <c r="F343" s="893"/>
      <c r="G343" s="893"/>
      <c r="H343" s="1102"/>
      <c r="I343" s="893"/>
      <c r="J343" s="1776"/>
      <c r="K343" s="1776"/>
      <c r="L343" s="1777"/>
      <c r="M343" s="893"/>
      <c r="N343" s="1775"/>
      <c r="O343" s="1876" t="s">
        <v>369</v>
      </c>
      <c r="P343" s="1877" t="s">
        <v>1849</v>
      </c>
      <c r="Q343" s="1876" t="s">
        <v>369</v>
      </c>
      <c r="R343" s="1878">
        <v>220029148</v>
      </c>
      <c r="S343" s="1775"/>
      <c r="T343" s="893"/>
      <c r="U343" s="1777"/>
      <c r="V343" s="1777"/>
      <c r="W343" s="1778"/>
      <c r="X343" s="1713"/>
      <c r="Y343" s="893"/>
    </row>
    <row r="344" spans="1:25" ht="12" x14ac:dyDescent="0.25">
      <c r="A344" s="1699">
        <f>A337+1</f>
        <v>20</v>
      </c>
      <c r="B344" s="1703" t="s">
        <v>1679</v>
      </c>
      <c r="C344" s="1702"/>
      <c r="D344" s="1702"/>
      <c r="E344" s="1801"/>
      <c r="F344" s="1699"/>
      <c r="G344" s="1699"/>
      <c r="H344" s="1702"/>
      <c r="I344" s="1699"/>
      <c r="J344" s="1802"/>
      <c r="K344" s="1802"/>
      <c r="L344" s="1803"/>
      <c r="M344" s="1699" t="s">
        <v>367</v>
      </c>
      <c r="N344" s="1801"/>
      <c r="R344" s="1702"/>
      <c r="S344" s="1801"/>
      <c r="T344" s="1699">
        <v>1</v>
      </c>
      <c r="U344" s="1803">
        <f>T344*L344</f>
        <v>0</v>
      </c>
      <c r="V344" s="1809" t="s">
        <v>8</v>
      </c>
      <c r="W344" s="1809" t="s">
        <v>8</v>
      </c>
      <c r="X344" s="1810"/>
      <c r="Y344" s="1699"/>
    </row>
    <row r="345" spans="1:25" ht="12.6" thickBot="1" x14ac:dyDescent="0.3">
      <c r="A345" s="893"/>
      <c r="B345" s="1782"/>
      <c r="C345" s="1102"/>
      <c r="D345" s="1102"/>
      <c r="E345" s="1775"/>
      <c r="F345" s="893"/>
      <c r="G345" s="893"/>
      <c r="H345" s="1102"/>
      <c r="I345" s="893"/>
      <c r="J345" s="1776"/>
      <c r="K345" s="1776"/>
      <c r="L345" s="1777"/>
      <c r="M345" s="893"/>
      <c r="N345" s="1775"/>
      <c r="O345" s="888" t="s">
        <v>369</v>
      </c>
      <c r="P345" s="889" t="s">
        <v>1680</v>
      </c>
      <c r="Q345" s="888" t="s">
        <v>369</v>
      </c>
      <c r="R345" s="1444">
        <v>610020010</v>
      </c>
      <c r="S345" s="1775"/>
      <c r="T345" s="893"/>
      <c r="U345" s="1777"/>
      <c r="V345" s="1808"/>
      <c r="W345" s="1808"/>
      <c r="X345" s="1713"/>
      <c r="Y345" s="1811"/>
    </row>
    <row r="346" spans="1:25" ht="12" x14ac:dyDescent="0.25">
      <c r="A346" s="31">
        <f>A344+1</f>
        <v>21</v>
      </c>
      <c r="B346" s="845" t="s">
        <v>1681</v>
      </c>
      <c r="F346" s="31"/>
      <c r="G346" s="31"/>
      <c r="I346" s="31"/>
      <c r="J346" s="1772"/>
      <c r="K346" s="1772"/>
      <c r="L346" s="1746"/>
      <c r="M346" s="31" t="s">
        <v>367</v>
      </c>
      <c r="R346" s="1574"/>
      <c r="T346" s="31">
        <v>1</v>
      </c>
      <c r="U346" s="1746">
        <f>T346*L346</f>
        <v>0</v>
      </c>
      <c r="V346" s="1789" t="s">
        <v>8</v>
      </c>
      <c r="W346" s="1789" t="s">
        <v>8</v>
      </c>
    </row>
    <row r="347" spans="1:25" x14ac:dyDescent="0.2">
      <c r="F347" s="31"/>
      <c r="G347" s="31"/>
      <c r="I347" s="31"/>
      <c r="J347" s="1772"/>
      <c r="K347" s="1772"/>
      <c r="L347" s="1746"/>
      <c r="M347" s="31"/>
      <c r="O347" s="38" t="s">
        <v>369</v>
      </c>
      <c r="P347" s="3" t="s">
        <v>370</v>
      </c>
      <c r="Q347" s="38" t="s">
        <v>369</v>
      </c>
      <c r="R347" s="1574">
        <v>220030003</v>
      </c>
      <c r="U347" s="1746"/>
      <c r="W347" s="1773"/>
    </row>
    <row r="348" spans="1:25" x14ac:dyDescent="0.2">
      <c r="F348" s="31"/>
      <c r="G348" s="31"/>
      <c r="I348" s="31"/>
      <c r="J348" s="1772"/>
      <c r="K348" s="1772"/>
      <c r="L348" s="1746"/>
      <c r="M348" s="31"/>
      <c r="O348" s="38" t="s">
        <v>369</v>
      </c>
      <c r="P348" s="3" t="s">
        <v>372</v>
      </c>
      <c r="Q348" s="38" t="s">
        <v>369</v>
      </c>
      <c r="R348" s="1574">
        <v>220030021</v>
      </c>
      <c r="U348" s="1746"/>
      <c r="W348" s="1773"/>
    </row>
    <row r="349" spans="1:25" x14ac:dyDescent="0.2">
      <c r="F349" s="31"/>
      <c r="G349" s="31"/>
      <c r="I349" s="31"/>
      <c r="J349" s="1772"/>
      <c r="K349" s="1772"/>
      <c r="L349" s="1746"/>
      <c r="M349" s="31"/>
      <c r="O349" s="38" t="s">
        <v>369</v>
      </c>
      <c r="P349" s="3" t="s">
        <v>373</v>
      </c>
      <c r="Q349" s="38" t="s">
        <v>369</v>
      </c>
      <c r="R349" s="1574">
        <v>220030033</v>
      </c>
      <c r="U349" s="1746"/>
      <c r="W349" s="1773"/>
    </row>
    <row r="350" spans="1:25" x14ac:dyDescent="0.2">
      <c r="F350" s="31"/>
      <c r="G350" s="31"/>
      <c r="I350" s="31"/>
      <c r="J350" s="1772"/>
      <c r="K350" s="1772"/>
      <c r="L350" s="1746"/>
      <c r="M350" s="31"/>
      <c r="O350" s="38" t="s">
        <v>369</v>
      </c>
      <c r="P350" s="3" t="s">
        <v>374</v>
      </c>
      <c r="Q350" s="38" t="s">
        <v>369</v>
      </c>
      <c r="R350" s="1443">
        <v>220030090</v>
      </c>
      <c r="U350" s="1746"/>
      <c r="W350" s="1773"/>
    </row>
    <row r="351" spans="1:25" x14ac:dyDescent="0.2">
      <c r="F351" s="31"/>
      <c r="G351" s="31"/>
      <c r="I351" s="31"/>
      <c r="J351" s="1772"/>
      <c r="K351" s="1772"/>
      <c r="L351" s="1746"/>
      <c r="M351" s="31"/>
      <c r="O351" s="38" t="s">
        <v>369</v>
      </c>
      <c r="P351" s="3" t="s">
        <v>375</v>
      </c>
      <c r="Q351" s="38" t="s">
        <v>369</v>
      </c>
      <c r="R351" s="1574">
        <v>220030133</v>
      </c>
      <c r="U351" s="1746"/>
      <c r="W351" s="1773"/>
    </row>
    <row r="352" spans="1:25" ht="12" thickBot="1" x14ac:dyDescent="0.25">
      <c r="A352" s="893"/>
      <c r="B352" s="1102"/>
      <c r="C352" s="1102"/>
      <c r="D352" s="1102"/>
      <c r="E352" s="1775"/>
      <c r="F352" s="893"/>
      <c r="G352" s="893"/>
      <c r="H352" s="1102"/>
      <c r="I352" s="893"/>
      <c r="J352" s="1776"/>
      <c r="K352" s="1776"/>
      <c r="L352" s="1777"/>
      <c r="M352" s="893"/>
      <c r="N352" s="1775"/>
      <c r="O352" s="1876" t="s">
        <v>369</v>
      </c>
      <c r="P352" s="1877" t="s">
        <v>1849</v>
      </c>
      <c r="Q352" s="1876" t="s">
        <v>369</v>
      </c>
      <c r="R352" s="1878">
        <v>220030148</v>
      </c>
      <c r="S352" s="1775"/>
      <c r="T352" s="893"/>
      <c r="U352" s="1777"/>
      <c r="V352" s="1777"/>
      <c r="W352" s="1778"/>
      <c r="X352" s="1713"/>
      <c r="Y352" s="893"/>
    </row>
    <row r="353" spans="1:25" ht="12" x14ac:dyDescent="0.25">
      <c r="A353" s="1699">
        <f>A346+1</f>
        <v>22</v>
      </c>
      <c r="B353" s="1703" t="s">
        <v>2402</v>
      </c>
      <c r="C353" s="1702"/>
      <c r="D353" s="1702"/>
      <c r="E353" s="1801"/>
      <c r="F353" s="1699"/>
      <c r="G353" s="1699"/>
      <c r="H353" s="1702"/>
      <c r="I353" s="1699"/>
      <c r="J353" s="1802"/>
      <c r="K353" s="1802"/>
      <c r="L353" s="1803"/>
      <c r="M353" s="1699" t="s">
        <v>367</v>
      </c>
      <c r="N353" s="1801"/>
      <c r="O353" s="179"/>
      <c r="P353" s="116"/>
      <c r="Q353" s="179"/>
      <c r="R353" s="1449"/>
      <c r="S353" s="1801"/>
      <c r="T353" s="1699">
        <v>1</v>
      </c>
      <c r="U353" s="1803">
        <f>T353*L353</f>
        <v>0</v>
      </c>
      <c r="V353" s="1809" t="s">
        <v>8</v>
      </c>
      <c r="W353" s="1809" t="s">
        <v>8</v>
      </c>
      <c r="X353" s="1810"/>
      <c r="Y353" s="1699"/>
    </row>
    <row r="354" spans="1:25" ht="12.6" thickBot="1" x14ac:dyDescent="0.3">
      <c r="A354" s="893"/>
      <c r="B354" s="1782"/>
      <c r="C354" s="1102"/>
      <c r="D354" s="1102"/>
      <c r="E354" s="1775"/>
      <c r="F354" s="893"/>
      <c r="G354" s="893"/>
      <c r="H354" s="1102"/>
      <c r="I354" s="893"/>
      <c r="J354" s="1776"/>
      <c r="K354" s="1776"/>
      <c r="L354" s="1777"/>
      <c r="M354" s="893"/>
      <c r="N354" s="1775"/>
      <c r="O354" s="888" t="s">
        <v>369</v>
      </c>
      <c r="P354" s="889" t="s">
        <v>1680</v>
      </c>
      <c r="Q354" s="888" t="s">
        <v>369</v>
      </c>
      <c r="R354" s="1444">
        <v>610021010</v>
      </c>
      <c r="S354" s="1775"/>
      <c r="T354" s="893"/>
      <c r="U354" s="1777"/>
      <c r="V354" s="1808"/>
      <c r="W354" s="1808"/>
      <c r="X354" s="1713"/>
      <c r="Y354" s="893"/>
    </row>
    <row r="355" spans="1:25" ht="12" x14ac:dyDescent="0.25">
      <c r="A355" s="31">
        <f>A353+1</f>
        <v>23</v>
      </c>
      <c r="B355" s="845" t="s">
        <v>1682</v>
      </c>
      <c r="F355" s="31"/>
      <c r="G355" s="31"/>
      <c r="I355" s="31"/>
      <c r="J355" s="1772"/>
      <c r="K355" s="1772"/>
      <c r="L355" s="1746"/>
      <c r="M355" s="31" t="s">
        <v>367</v>
      </c>
      <c r="R355" s="1574"/>
      <c r="T355" s="31">
        <v>1</v>
      </c>
      <c r="U355" s="1746">
        <f>T355*L355</f>
        <v>0</v>
      </c>
      <c r="V355" s="1789" t="s">
        <v>8</v>
      </c>
      <c r="W355" s="1789" t="s">
        <v>8</v>
      </c>
    </row>
    <row r="356" spans="1:25" x14ac:dyDescent="0.2">
      <c r="F356" s="31"/>
      <c r="G356" s="31"/>
      <c r="I356" s="31"/>
      <c r="J356" s="1772"/>
      <c r="K356" s="1772"/>
      <c r="L356" s="1746"/>
      <c r="M356" s="31"/>
      <c r="O356" s="38" t="s">
        <v>369</v>
      </c>
      <c r="P356" s="3" t="s">
        <v>370</v>
      </c>
      <c r="Q356" s="38" t="s">
        <v>369</v>
      </c>
      <c r="R356" s="1574">
        <v>220031003</v>
      </c>
      <c r="U356" s="1746"/>
      <c r="W356" s="1773"/>
    </row>
    <row r="357" spans="1:25" x14ac:dyDescent="0.2">
      <c r="F357" s="31"/>
      <c r="G357" s="31"/>
      <c r="I357" s="31"/>
      <c r="J357" s="1772"/>
      <c r="K357" s="1772"/>
      <c r="L357" s="1746"/>
      <c r="M357" s="31"/>
      <c r="O357" s="38" t="s">
        <v>369</v>
      </c>
      <c r="P357" s="3" t="s">
        <v>372</v>
      </c>
      <c r="Q357" s="38" t="s">
        <v>369</v>
      </c>
      <c r="R357" s="1574">
        <v>220031021</v>
      </c>
      <c r="U357" s="1746"/>
      <c r="W357" s="1773"/>
    </row>
    <row r="358" spans="1:25" x14ac:dyDescent="0.2">
      <c r="F358" s="31"/>
      <c r="G358" s="31"/>
      <c r="I358" s="31"/>
      <c r="J358" s="1772"/>
      <c r="K358" s="1772"/>
      <c r="L358" s="1746"/>
      <c r="M358" s="31"/>
      <c r="O358" s="38" t="s">
        <v>369</v>
      </c>
      <c r="P358" s="3" t="s">
        <v>373</v>
      </c>
      <c r="Q358" s="38" t="s">
        <v>369</v>
      </c>
      <c r="R358" s="1574">
        <v>220031033</v>
      </c>
      <c r="U358" s="1746"/>
      <c r="W358" s="1773"/>
    </row>
    <row r="359" spans="1:25" x14ac:dyDescent="0.2">
      <c r="F359" s="31"/>
      <c r="G359" s="31"/>
      <c r="I359" s="31"/>
      <c r="J359" s="1772"/>
      <c r="K359" s="1772"/>
      <c r="L359" s="1746"/>
      <c r="M359" s="31"/>
      <c r="O359" s="38" t="s">
        <v>369</v>
      </c>
      <c r="P359" s="3" t="s">
        <v>374</v>
      </c>
      <c r="Q359" s="38" t="s">
        <v>369</v>
      </c>
      <c r="R359" s="1443">
        <v>220031090</v>
      </c>
      <c r="U359" s="1746"/>
      <c r="W359" s="1773"/>
    </row>
    <row r="360" spans="1:25" x14ac:dyDescent="0.2">
      <c r="F360" s="31"/>
      <c r="G360" s="31"/>
      <c r="I360" s="31"/>
      <c r="J360" s="1772"/>
      <c r="K360" s="1772"/>
      <c r="L360" s="1746"/>
      <c r="M360" s="31"/>
      <c r="O360" s="38" t="s">
        <v>369</v>
      </c>
      <c r="P360" s="3" t="s">
        <v>375</v>
      </c>
      <c r="Q360" s="38" t="s">
        <v>369</v>
      </c>
      <c r="R360" s="1574">
        <v>220031133</v>
      </c>
      <c r="U360" s="1746"/>
      <c r="W360" s="1773"/>
    </row>
    <row r="361" spans="1:25" ht="12" thickBot="1" x14ac:dyDescent="0.25">
      <c r="A361" s="893"/>
      <c r="B361" s="1102"/>
      <c r="C361" s="1102"/>
      <c r="D361" s="1102"/>
      <c r="E361" s="1775"/>
      <c r="F361" s="893"/>
      <c r="G361" s="893"/>
      <c r="H361" s="1102"/>
      <c r="I361" s="893"/>
      <c r="J361" s="1776"/>
      <c r="K361" s="1776"/>
      <c r="L361" s="1777"/>
      <c r="M361" s="893"/>
      <c r="N361" s="1775"/>
      <c r="O361" s="1876" t="s">
        <v>369</v>
      </c>
      <c r="P361" s="1877" t="s">
        <v>1849</v>
      </c>
      <c r="Q361" s="1876" t="s">
        <v>369</v>
      </c>
      <c r="R361" s="1878">
        <v>220031148</v>
      </c>
      <c r="S361" s="1775"/>
      <c r="T361" s="893"/>
      <c r="U361" s="1777"/>
      <c r="V361" s="1777"/>
      <c r="W361" s="1778"/>
      <c r="X361" s="1713"/>
      <c r="Y361" s="893"/>
    </row>
    <row r="362" spans="1:25" ht="12" x14ac:dyDescent="0.25">
      <c r="A362" s="31">
        <f>A355+1</f>
        <v>24</v>
      </c>
      <c r="B362" s="845" t="s">
        <v>1952</v>
      </c>
      <c r="F362" s="31"/>
      <c r="G362" s="31"/>
      <c r="I362" s="31"/>
      <c r="J362" s="1772"/>
      <c r="K362" s="1772"/>
      <c r="L362" s="1746"/>
      <c r="M362" s="31" t="s">
        <v>367</v>
      </c>
      <c r="R362" s="1574"/>
      <c r="T362" s="31">
        <v>1</v>
      </c>
      <c r="U362" s="1746">
        <f>T362*L362</f>
        <v>0</v>
      </c>
      <c r="V362" s="1789" t="s">
        <v>8</v>
      </c>
      <c r="W362" s="1789" t="s">
        <v>8</v>
      </c>
    </row>
    <row r="363" spans="1:25" x14ac:dyDescent="0.2">
      <c r="F363" s="31"/>
      <c r="G363" s="31"/>
      <c r="I363" s="31"/>
      <c r="J363" s="1772"/>
      <c r="K363" s="1772"/>
      <c r="L363" s="1746"/>
      <c r="M363" s="31"/>
      <c r="O363" s="38" t="s">
        <v>369</v>
      </c>
      <c r="P363" s="3" t="s">
        <v>375</v>
      </c>
      <c r="Q363" s="38" t="s">
        <v>369</v>
      </c>
      <c r="R363" s="1574">
        <v>230160133</v>
      </c>
      <c r="U363" s="1746"/>
      <c r="W363" s="1773"/>
    </row>
    <row r="364" spans="1:25" x14ac:dyDescent="0.2">
      <c r="F364" s="31"/>
      <c r="G364" s="31"/>
      <c r="I364" s="31"/>
      <c r="J364" s="1772"/>
      <c r="K364" s="1772"/>
      <c r="L364" s="1746"/>
      <c r="M364" s="31"/>
      <c r="O364" s="38"/>
      <c r="P364" s="3"/>
      <c r="Q364" s="38"/>
      <c r="R364" s="1443"/>
      <c r="U364" s="1746"/>
      <c r="W364" s="1773"/>
    </row>
    <row r="365" spans="1:25" ht="12" thickBot="1" x14ac:dyDescent="0.25">
      <c r="A365" s="893"/>
      <c r="B365" s="1102"/>
      <c r="C365" s="1102"/>
      <c r="D365" s="1102"/>
      <c r="E365" s="1775"/>
      <c r="F365" s="893"/>
      <c r="G365" s="893"/>
      <c r="H365" s="1102"/>
      <c r="I365" s="893"/>
      <c r="J365" s="1776"/>
      <c r="K365" s="1776"/>
      <c r="L365" s="1777"/>
      <c r="M365" s="893"/>
      <c r="N365" s="1775"/>
      <c r="O365" s="888"/>
      <c r="P365" s="889"/>
      <c r="Q365" s="888"/>
      <c r="R365" s="1444"/>
      <c r="S365" s="1775"/>
      <c r="T365" s="893"/>
      <c r="U365" s="1777"/>
      <c r="V365" s="1777"/>
      <c r="W365" s="1778"/>
      <c r="X365" s="1713"/>
      <c r="Y365" s="893"/>
    </row>
    <row r="366" spans="1:25" ht="12" x14ac:dyDescent="0.25">
      <c r="A366" s="31">
        <f>A362+1</f>
        <v>25</v>
      </c>
      <c r="B366" s="845" t="s">
        <v>1953</v>
      </c>
      <c r="F366" s="31"/>
      <c r="G366" s="31"/>
      <c r="I366" s="31"/>
      <c r="J366" s="1772"/>
      <c r="K366" s="1772"/>
      <c r="L366" s="1746"/>
      <c r="M366" s="31" t="s">
        <v>367</v>
      </c>
      <c r="R366" s="1574"/>
      <c r="T366" s="31">
        <v>1</v>
      </c>
      <c r="U366" s="1746">
        <f>T366*L366</f>
        <v>0</v>
      </c>
      <c r="V366" s="1789" t="s">
        <v>8</v>
      </c>
      <c r="W366" s="1789" t="s">
        <v>8</v>
      </c>
    </row>
    <row r="367" spans="1:25" x14ac:dyDescent="0.2">
      <c r="F367" s="31"/>
      <c r="G367" s="31"/>
      <c r="I367" s="31"/>
      <c r="J367" s="1772"/>
      <c r="K367" s="1772"/>
      <c r="L367" s="1746"/>
      <c r="M367" s="31"/>
      <c r="O367" s="38" t="s">
        <v>369</v>
      </c>
      <c r="P367" s="3" t="s">
        <v>375</v>
      </c>
      <c r="Q367" s="38" t="s">
        <v>369</v>
      </c>
      <c r="R367" s="1574">
        <v>230161133</v>
      </c>
      <c r="U367" s="1746"/>
      <c r="W367" s="1773"/>
    </row>
    <row r="368" spans="1:25" x14ac:dyDescent="0.2">
      <c r="F368" s="31"/>
      <c r="G368" s="31"/>
      <c r="I368" s="31"/>
      <c r="J368" s="1772"/>
      <c r="K368" s="1772"/>
      <c r="L368" s="1746"/>
      <c r="M368" s="31"/>
      <c r="O368" s="38"/>
      <c r="P368" s="3"/>
      <c r="Q368" s="38"/>
      <c r="R368" s="1443"/>
      <c r="U368" s="1746"/>
      <c r="W368" s="1773"/>
    </row>
    <row r="369" spans="1:25" ht="12" thickBot="1" x14ac:dyDescent="0.25">
      <c r="A369" s="893"/>
      <c r="B369" s="1102"/>
      <c r="C369" s="1102"/>
      <c r="D369" s="1102"/>
      <c r="E369" s="1775"/>
      <c r="F369" s="893"/>
      <c r="G369" s="893"/>
      <c r="H369" s="1102"/>
      <c r="I369" s="893"/>
      <c r="J369" s="1776"/>
      <c r="K369" s="1776"/>
      <c r="L369" s="1777"/>
      <c r="M369" s="893"/>
      <c r="N369" s="1775"/>
      <c r="O369" s="888"/>
      <c r="P369" s="889"/>
      <c r="Q369" s="888"/>
      <c r="R369" s="1444"/>
      <c r="S369" s="1775"/>
      <c r="T369" s="893"/>
      <c r="U369" s="1777"/>
      <c r="V369" s="1777"/>
      <c r="W369" s="1778"/>
      <c r="X369" s="1713"/>
      <c r="Y369" s="893"/>
    </row>
    <row r="370" spans="1:25" ht="12" x14ac:dyDescent="0.25">
      <c r="A370" s="31">
        <f>A366+1</f>
        <v>26</v>
      </c>
      <c r="B370" s="845" t="s">
        <v>1954</v>
      </c>
      <c r="F370" s="31"/>
      <c r="G370" s="31"/>
      <c r="I370" s="31"/>
      <c r="J370" s="1772"/>
      <c r="K370" s="1772"/>
      <c r="L370" s="1746"/>
      <c r="M370" s="31" t="s">
        <v>367</v>
      </c>
      <c r="R370" s="1574"/>
      <c r="T370" s="31">
        <v>1</v>
      </c>
      <c r="U370" s="1746">
        <f>T370*L370</f>
        <v>0</v>
      </c>
      <c r="V370" s="1789" t="s">
        <v>8</v>
      </c>
      <c r="W370" s="1789" t="s">
        <v>8</v>
      </c>
    </row>
    <row r="371" spans="1:25" x14ac:dyDescent="0.2">
      <c r="F371" s="31"/>
      <c r="G371" s="31"/>
      <c r="I371" s="31"/>
      <c r="J371" s="1772"/>
      <c r="K371" s="1772"/>
      <c r="L371" s="1746"/>
      <c r="M371" s="31"/>
      <c r="O371" s="38" t="s">
        <v>369</v>
      </c>
      <c r="P371" s="3" t="s">
        <v>375</v>
      </c>
      <c r="Q371" s="38" t="s">
        <v>369</v>
      </c>
      <c r="R371" s="1574">
        <v>230162133</v>
      </c>
      <c r="U371" s="1746"/>
      <c r="W371" s="1773"/>
    </row>
    <row r="372" spans="1:25" x14ac:dyDescent="0.2">
      <c r="F372" s="31"/>
      <c r="G372" s="31"/>
      <c r="I372" s="31"/>
      <c r="J372" s="1772"/>
      <c r="K372" s="1772"/>
      <c r="L372" s="1746"/>
      <c r="M372" s="31"/>
      <c r="O372" s="38"/>
      <c r="P372" s="3"/>
      <c r="Q372" s="38"/>
      <c r="R372" s="1443"/>
      <c r="U372" s="1746"/>
      <c r="W372" s="1773"/>
    </row>
    <row r="373" spans="1:25" ht="12" thickBot="1" x14ac:dyDescent="0.25">
      <c r="A373" s="893"/>
      <c r="B373" s="1102"/>
      <c r="C373" s="1102"/>
      <c r="D373" s="1102"/>
      <c r="E373" s="1775"/>
      <c r="F373" s="893"/>
      <c r="G373" s="893"/>
      <c r="H373" s="1102"/>
      <c r="I373" s="893"/>
      <c r="J373" s="1776"/>
      <c r="K373" s="1776"/>
      <c r="L373" s="1777"/>
      <c r="M373" s="893"/>
      <c r="N373" s="1775"/>
      <c r="O373" s="888"/>
      <c r="P373" s="889"/>
      <c r="Q373" s="888"/>
      <c r="R373" s="1444"/>
      <c r="S373" s="1775"/>
      <c r="T373" s="893"/>
      <c r="U373" s="1777"/>
      <c r="V373" s="1777"/>
      <c r="W373" s="1778"/>
      <c r="X373" s="1713"/>
      <c r="Y373" s="893"/>
    </row>
    <row r="374" spans="1:25" ht="12" x14ac:dyDescent="0.25">
      <c r="A374" s="31">
        <f>A370+1</f>
        <v>27</v>
      </c>
      <c r="B374" s="845" t="s">
        <v>1955</v>
      </c>
      <c r="F374" s="31"/>
      <c r="G374" s="31"/>
      <c r="I374" s="31"/>
      <c r="J374" s="1772"/>
      <c r="K374" s="1772"/>
      <c r="L374" s="1746"/>
      <c r="M374" s="31" t="s">
        <v>367</v>
      </c>
      <c r="R374" s="1574"/>
      <c r="T374" s="31">
        <v>1</v>
      </c>
      <c r="U374" s="1746">
        <f>T374*L374</f>
        <v>0</v>
      </c>
      <c r="V374" s="1789" t="s">
        <v>8</v>
      </c>
      <c r="W374" s="1789" t="s">
        <v>8</v>
      </c>
    </row>
    <row r="375" spans="1:25" x14ac:dyDescent="0.2">
      <c r="F375" s="31"/>
      <c r="G375" s="31"/>
      <c r="I375" s="31"/>
      <c r="J375" s="1772"/>
      <c r="K375" s="1772"/>
      <c r="L375" s="1746"/>
      <c r="M375" s="31"/>
      <c r="O375" s="38" t="s">
        <v>369</v>
      </c>
      <c r="P375" s="3" t="s">
        <v>375</v>
      </c>
      <c r="Q375" s="38" t="s">
        <v>369</v>
      </c>
      <c r="R375" s="1574">
        <v>230163133</v>
      </c>
      <c r="U375" s="1746"/>
      <c r="W375" s="1773"/>
    </row>
    <row r="376" spans="1:25" x14ac:dyDescent="0.2">
      <c r="F376" s="31"/>
      <c r="G376" s="31"/>
      <c r="I376" s="31"/>
      <c r="J376" s="1772"/>
      <c r="K376" s="1772"/>
      <c r="L376" s="1746"/>
      <c r="M376" s="31"/>
      <c r="O376" s="38"/>
      <c r="P376" s="3"/>
      <c r="Q376" s="38"/>
      <c r="R376" s="1443"/>
      <c r="U376" s="1746"/>
      <c r="W376" s="1773"/>
    </row>
    <row r="377" spans="1:25" ht="12" thickBot="1" x14ac:dyDescent="0.25">
      <c r="A377" s="893"/>
      <c r="B377" s="1102"/>
      <c r="C377" s="1102"/>
      <c r="D377" s="1102"/>
      <c r="E377" s="1775"/>
      <c r="F377" s="893"/>
      <c r="G377" s="893"/>
      <c r="H377" s="1102"/>
      <c r="I377" s="893"/>
      <c r="J377" s="1776"/>
      <c r="K377" s="1776"/>
      <c r="L377" s="1777"/>
      <c r="M377" s="893"/>
      <c r="N377" s="1775"/>
      <c r="O377" s="888"/>
      <c r="P377" s="889"/>
      <c r="Q377" s="888"/>
      <c r="R377" s="1444"/>
      <c r="S377" s="1775"/>
      <c r="T377" s="893"/>
      <c r="U377" s="1777"/>
      <c r="V377" s="1777"/>
      <c r="W377" s="1778"/>
      <c r="X377" s="1713"/>
      <c r="Y377" s="893"/>
    </row>
    <row r="378" spans="1:25" ht="12" x14ac:dyDescent="0.25">
      <c r="A378" s="31">
        <f>A374+1</f>
        <v>28</v>
      </c>
      <c r="B378" s="845" t="s">
        <v>1956</v>
      </c>
      <c r="F378" s="31"/>
      <c r="G378" s="31"/>
      <c r="I378" s="31"/>
      <c r="J378" s="1772"/>
      <c r="K378" s="1772"/>
      <c r="L378" s="1746"/>
      <c r="M378" s="31" t="s">
        <v>367</v>
      </c>
      <c r="R378" s="1574"/>
      <c r="T378" s="31">
        <v>1</v>
      </c>
      <c r="U378" s="1746">
        <f>T378*L378</f>
        <v>0</v>
      </c>
      <c r="V378" s="1789" t="s">
        <v>8</v>
      </c>
      <c r="W378" s="1789" t="s">
        <v>8</v>
      </c>
    </row>
    <row r="379" spans="1:25" x14ac:dyDescent="0.2">
      <c r="F379" s="31"/>
      <c r="G379" s="31"/>
      <c r="I379" s="31"/>
      <c r="J379" s="1772"/>
      <c r="K379" s="1772"/>
      <c r="L379" s="1746"/>
      <c r="M379" s="31"/>
      <c r="O379" s="38" t="s">
        <v>369</v>
      </c>
      <c r="P379" s="3" t="s">
        <v>375</v>
      </c>
      <c r="Q379" s="38" t="s">
        <v>369</v>
      </c>
      <c r="R379" s="1574">
        <v>230164133</v>
      </c>
      <c r="U379" s="1746"/>
      <c r="W379" s="1773"/>
    </row>
    <row r="380" spans="1:25" x14ac:dyDescent="0.2">
      <c r="F380" s="31"/>
      <c r="G380" s="31"/>
      <c r="I380" s="31"/>
      <c r="J380" s="1772"/>
      <c r="K380" s="1772"/>
      <c r="L380" s="1746"/>
      <c r="M380" s="31"/>
      <c r="O380" s="38"/>
      <c r="P380" s="3"/>
      <c r="Q380" s="38"/>
      <c r="R380" s="1443"/>
      <c r="U380" s="1746"/>
      <c r="W380" s="1773"/>
    </row>
    <row r="381" spans="1:25" ht="12" thickBot="1" x14ac:dyDescent="0.25">
      <c r="A381" s="893"/>
      <c r="B381" s="1102"/>
      <c r="C381" s="1102"/>
      <c r="D381" s="1102"/>
      <c r="E381" s="1775"/>
      <c r="F381" s="893"/>
      <c r="G381" s="893"/>
      <c r="H381" s="1102"/>
      <c r="I381" s="893"/>
      <c r="J381" s="1776"/>
      <c r="K381" s="1776"/>
      <c r="L381" s="1777"/>
      <c r="M381" s="893"/>
      <c r="N381" s="1775"/>
      <c r="O381" s="888"/>
      <c r="P381" s="889"/>
      <c r="Q381" s="888"/>
      <c r="R381" s="1444"/>
      <c r="S381" s="1775"/>
      <c r="T381" s="893"/>
      <c r="U381" s="1777"/>
      <c r="V381" s="1777"/>
      <c r="W381" s="1778"/>
      <c r="X381" s="1713"/>
      <c r="Y381" s="893"/>
    </row>
    <row r="382" spans="1:25" ht="12" x14ac:dyDescent="0.25">
      <c r="A382" s="31">
        <f>A378+1</f>
        <v>29</v>
      </c>
      <c r="B382" s="845" t="s">
        <v>1683</v>
      </c>
      <c r="L382" s="354"/>
      <c r="M382" s="31" t="s">
        <v>385</v>
      </c>
      <c r="O382" s="38"/>
      <c r="P382" s="3"/>
      <c r="Q382" s="38"/>
      <c r="R382" s="982"/>
      <c r="T382" s="31">
        <v>1</v>
      </c>
      <c r="U382" s="1746">
        <v>0.33300000000000002</v>
      </c>
      <c r="V382" s="1746">
        <v>8.7999999999999995E-2</v>
      </c>
      <c r="W382" s="1773">
        <f>V382*AtolbperftAccy</f>
        <v>5.5387199999999991E-2</v>
      </c>
      <c r="X382" s="1774">
        <f>U382*W382*AccSScostperlb</f>
        <v>2.7665906399999995E-2</v>
      </c>
    </row>
    <row r="383" spans="1:25" ht="12" x14ac:dyDescent="0.25">
      <c r="B383" s="845"/>
      <c r="F383" s="1779" t="s">
        <v>1619</v>
      </c>
      <c r="G383" s="31"/>
      <c r="I383" s="31"/>
      <c r="J383" s="1772"/>
      <c r="K383" s="1772"/>
      <c r="L383" s="1746"/>
      <c r="M383" s="31"/>
      <c r="O383" s="38" t="s">
        <v>369</v>
      </c>
      <c r="P383" s="3" t="s">
        <v>386</v>
      </c>
      <c r="Q383" s="38" t="s">
        <v>369</v>
      </c>
      <c r="R383" s="1784">
        <v>200056008001</v>
      </c>
      <c r="U383" s="1746"/>
      <c r="W383" s="1773"/>
      <c r="X383" s="1692">
        <v>3.7400000000000003E-2</v>
      </c>
    </row>
    <row r="384" spans="1:25" ht="12" x14ac:dyDescent="0.25">
      <c r="B384" s="845"/>
      <c r="F384" s="31"/>
      <c r="G384" s="31"/>
      <c r="I384" s="31"/>
      <c r="J384" s="1772"/>
      <c r="K384" s="1772"/>
      <c r="L384" s="1746"/>
      <c r="M384" s="31"/>
      <c r="O384" s="38"/>
      <c r="P384" s="3"/>
      <c r="Q384" s="38"/>
      <c r="R384" s="982"/>
      <c r="U384" s="1746"/>
      <c r="W384" s="1773"/>
    </row>
    <row r="385" spans="1:25" ht="12.6" thickBot="1" x14ac:dyDescent="0.3">
      <c r="A385" s="893"/>
      <c r="B385" s="1782"/>
      <c r="C385" s="1102"/>
      <c r="D385" s="1102"/>
      <c r="E385" s="1775"/>
      <c r="F385" s="893"/>
      <c r="G385" s="893"/>
      <c r="H385" s="1102"/>
      <c r="I385" s="893"/>
      <c r="J385" s="1776"/>
      <c r="K385" s="1776"/>
      <c r="L385" s="1777"/>
      <c r="M385" s="893"/>
      <c r="N385" s="1775"/>
      <c r="O385" s="888"/>
      <c r="P385" s="889"/>
      <c r="Q385" s="888"/>
      <c r="R385" s="1204"/>
      <c r="S385" s="1775"/>
      <c r="T385" s="893"/>
      <c r="U385" s="1777"/>
      <c r="V385" s="1777"/>
      <c r="W385" s="1778"/>
      <c r="X385" s="1713"/>
      <c r="Y385" s="893"/>
    </row>
    <row r="386" spans="1:25" ht="12" x14ac:dyDescent="0.25">
      <c r="A386" s="31">
        <f>A382+1</f>
        <v>30</v>
      </c>
      <c r="B386" s="845" t="s">
        <v>1684</v>
      </c>
      <c r="F386" s="31"/>
      <c r="G386" s="31"/>
      <c r="I386" s="31"/>
      <c r="J386" s="1772"/>
      <c r="K386" s="1772"/>
      <c r="L386" s="1746"/>
      <c r="M386" s="31" t="s">
        <v>367</v>
      </c>
      <c r="R386" s="31"/>
      <c r="T386" s="31">
        <v>1</v>
      </c>
      <c r="U386" s="1746">
        <f>T386*L386</f>
        <v>0</v>
      </c>
      <c r="V386" s="1746">
        <v>0.104</v>
      </c>
      <c r="W386" s="1773">
        <f>V386*AtolbperftAccy</f>
        <v>6.5457599999999991E-2</v>
      </c>
      <c r="X386" s="1774">
        <f>W386*AccSScostperlb</f>
        <v>9.8186399999999979E-2</v>
      </c>
    </row>
    <row r="387" spans="1:25" x14ac:dyDescent="0.2">
      <c r="F387" s="31"/>
      <c r="G387" s="31"/>
      <c r="I387" s="31"/>
      <c r="J387" s="1772"/>
      <c r="K387" s="1772"/>
      <c r="L387" s="1746"/>
      <c r="M387" s="31"/>
      <c r="O387" s="38" t="s">
        <v>369</v>
      </c>
      <c r="P387" s="3" t="s">
        <v>370</v>
      </c>
      <c r="Q387" s="38" t="s">
        <v>369</v>
      </c>
      <c r="R387" s="1574">
        <v>200046003</v>
      </c>
      <c r="U387" s="1746"/>
      <c r="W387" s="1773"/>
      <c r="X387" s="1692">
        <v>0.1235</v>
      </c>
    </row>
    <row r="388" spans="1:25" x14ac:dyDescent="0.2">
      <c r="F388" s="31"/>
      <c r="G388" s="31"/>
      <c r="I388" s="31"/>
      <c r="J388" s="1772"/>
      <c r="K388" s="1772"/>
      <c r="L388" s="1746"/>
      <c r="M388" s="31"/>
      <c r="O388" s="38" t="s">
        <v>369</v>
      </c>
      <c r="P388" s="3" t="s">
        <v>372</v>
      </c>
      <c r="Q388" s="38" t="s">
        <v>369</v>
      </c>
      <c r="R388" s="1574">
        <v>200046021</v>
      </c>
      <c r="U388" s="1746"/>
      <c r="W388" s="1773"/>
      <c r="X388" s="1692">
        <v>0.14410000000000001</v>
      </c>
    </row>
    <row r="389" spans="1:25" x14ac:dyDescent="0.2">
      <c r="F389" s="31"/>
      <c r="G389" s="31"/>
      <c r="I389" s="31"/>
      <c r="J389" s="1772"/>
      <c r="K389" s="1772"/>
      <c r="L389" s="1746"/>
      <c r="M389" s="31"/>
      <c r="O389" s="38" t="s">
        <v>369</v>
      </c>
      <c r="P389" s="3" t="s">
        <v>373</v>
      </c>
      <c r="Q389" s="38" t="s">
        <v>369</v>
      </c>
      <c r="R389" s="1574">
        <v>200046033</v>
      </c>
      <c r="U389" s="1746"/>
      <c r="W389" s="1773"/>
    </row>
    <row r="390" spans="1:25" x14ac:dyDescent="0.2">
      <c r="F390" s="31"/>
      <c r="G390" s="31"/>
      <c r="I390" s="31"/>
      <c r="J390" s="1772"/>
      <c r="K390" s="1772"/>
      <c r="L390" s="1746"/>
      <c r="M390" s="31"/>
      <c r="O390" s="38" t="s">
        <v>369</v>
      </c>
      <c r="P390" s="3" t="s">
        <v>375</v>
      </c>
      <c r="Q390" s="38" t="s">
        <v>369</v>
      </c>
      <c r="R390" s="1574">
        <v>200046133</v>
      </c>
      <c r="U390" s="1746"/>
      <c r="W390" s="1773"/>
    </row>
    <row r="391" spans="1:25" x14ac:dyDescent="0.2">
      <c r="F391" s="31"/>
      <c r="G391" s="31"/>
      <c r="I391" s="31"/>
      <c r="J391" s="1772"/>
      <c r="K391" s="1772"/>
      <c r="L391" s="1746"/>
      <c r="M391" s="31"/>
      <c r="O391" s="38" t="s">
        <v>369</v>
      </c>
      <c r="P391" s="3" t="s">
        <v>374</v>
      </c>
      <c r="Q391" s="38" t="s">
        <v>369</v>
      </c>
      <c r="R391" s="1443">
        <v>200046127</v>
      </c>
      <c r="U391" s="1746"/>
      <c r="W391" s="1773"/>
    </row>
    <row r="392" spans="1:25" ht="12" thickBot="1" x14ac:dyDescent="0.25">
      <c r="A392" s="893"/>
      <c r="B392" s="1102"/>
      <c r="C392" s="1102"/>
      <c r="D392" s="1102"/>
      <c r="E392" s="1775"/>
      <c r="F392" s="893"/>
      <c r="G392" s="893"/>
      <c r="H392" s="1102"/>
      <c r="I392" s="893"/>
      <c r="J392" s="1776"/>
      <c r="K392" s="1776"/>
      <c r="L392" s="1777"/>
      <c r="M392" s="893"/>
      <c r="N392" s="1775"/>
      <c r="O392" s="1876" t="s">
        <v>369</v>
      </c>
      <c r="P392" s="1877" t="s">
        <v>1849</v>
      </c>
      <c r="Q392" s="1876" t="s">
        <v>369</v>
      </c>
      <c r="R392" s="1878">
        <v>200046152</v>
      </c>
      <c r="S392" s="1775"/>
      <c r="T392" s="893"/>
      <c r="U392" s="1777"/>
      <c r="V392" s="1777"/>
      <c r="W392" s="1778"/>
      <c r="X392" s="1713"/>
      <c r="Y392" s="893"/>
    </row>
    <row r="393" spans="1:25" ht="12" x14ac:dyDescent="0.25">
      <c r="A393" s="31">
        <f>A386+1</f>
        <v>31</v>
      </c>
      <c r="B393" s="354" t="s">
        <v>2329</v>
      </c>
      <c r="F393" s="31"/>
      <c r="G393" s="31"/>
      <c r="H393" s="31"/>
      <c r="I393" s="31"/>
      <c r="J393" s="1772"/>
      <c r="K393" s="1772"/>
      <c r="M393" s="31" t="s">
        <v>385</v>
      </c>
      <c r="R393" s="1574"/>
      <c r="T393" s="31">
        <v>1</v>
      </c>
    </row>
    <row r="394" spans="1:25" x14ac:dyDescent="0.2">
      <c r="F394" s="31"/>
      <c r="G394" s="31"/>
      <c r="H394" s="31"/>
      <c r="I394" s="31"/>
      <c r="J394" s="1772"/>
      <c r="K394" s="1772"/>
      <c r="M394" s="31"/>
      <c r="O394" s="38" t="s">
        <v>369</v>
      </c>
      <c r="P394" s="3" t="s">
        <v>370</v>
      </c>
      <c r="Q394" s="38" t="s">
        <v>369</v>
      </c>
      <c r="R394" s="1574">
        <v>430030003</v>
      </c>
    </row>
    <row r="395" spans="1:25" x14ac:dyDescent="0.2">
      <c r="F395" s="31"/>
      <c r="G395" s="31"/>
      <c r="H395" s="31"/>
      <c r="I395" s="31"/>
      <c r="J395" s="1772"/>
      <c r="K395" s="1772"/>
      <c r="M395" s="31"/>
      <c r="O395" s="38" t="s">
        <v>369</v>
      </c>
      <c r="P395" s="3" t="s">
        <v>372</v>
      </c>
      <c r="Q395" s="38" t="s">
        <v>369</v>
      </c>
      <c r="R395" s="1574">
        <v>430030021</v>
      </c>
    </row>
    <row r="396" spans="1:25" x14ac:dyDescent="0.2">
      <c r="F396" s="31"/>
      <c r="G396" s="31"/>
      <c r="H396" s="31"/>
      <c r="I396" s="31"/>
      <c r="J396" s="1772"/>
      <c r="K396" s="1772"/>
      <c r="M396" s="31"/>
      <c r="O396" s="38" t="s">
        <v>369</v>
      </c>
      <c r="P396" s="3" t="s">
        <v>373</v>
      </c>
      <c r="Q396" s="38" t="s">
        <v>369</v>
      </c>
      <c r="R396" s="1574">
        <v>430030033</v>
      </c>
    </row>
    <row r="397" spans="1:25" ht="12" thickBot="1" x14ac:dyDescent="0.25">
      <c r="A397" s="893"/>
      <c r="B397" s="1102"/>
      <c r="C397" s="1102"/>
      <c r="D397" s="1102"/>
      <c r="E397" s="1775"/>
      <c r="F397" s="893"/>
      <c r="G397" s="893"/>
      <c r="H397" s="893"/>
      <c r="I397" s="893"/>
      <c r="J397" s="1776"/>
      <c r="K397" s="1776"/>
      <c r="L397" s="893"/>
      <c r="M397" s="893"/>
      <c r="N397" s="1775"/>
      <c r="O397" s="888" t="s">
        <v>1252</v>
      </c>
      <c r="P397" s="889" t="s">
        <v>375</v>
      </c>
      <c r="Q397" s="888" t="s">
        <v>1252</v>
      </c>
      <c r="R397" s="1661">
        <v>430030012</v>
      </c>
      <c r="S397" s="1775"/>
      <c r="T397" s="893"/>
      <c r="U397" s="1102"/>
      <c r="V397" s="1777"/>
      <c r="W397" s="1812"/>
      <c r="X397" s="1713"/>
      <c r="Y397" s="893"/>
    </row>
    <row r="398" spans="1:25" ht="12" x14ac:dyDescent="0.25">
      <c r="A398" s="31">
        <f>A393+1</f>
        <v>32</v>
      </c>
      <c r="B398" s="354" t="s">
        <v>2330</v>
      </c>
      <c r="F398" s="31"/>
      <c r="G398" s="31"/>
      <c r="H398" s="31"/>
      <c r="I398" s="31"/>
      <c r="J398" s="1772"/>
      <c r="K398" s="1772"/>
      <c r="M398" s="31" t="s">
        <v>385</v>
      </c>
      <c r="R398" s="1574"/>
      <c r="T398" s="31">
        <v>1</v>
      </c>
    </row>
    <row r="399" spans="1:25" x14ac:dyDescent="0.2">
      <c r="D399" s="1743" t="s">
        <v>1685</v>
      </c>
      <c r="F399" s="31"/>
      <c r="G399" s="31"/>
      <c r="H399" s="31"/>
      <c r="I399" s="31"/>
      <c r="J399" s="1772"/>
      <c r="K399" s="1772"/>
      <c r="M399" s="31"/>
      <c r="O399" s="38" t="s">
        <v>369</v>
      </c>
      <c r="P399" s="3" t="s">
        <v>370</v>
      </c>
      <c r="Q399" s="38" t="s">
        <v>369</v>
      </c>
      <c r="R399" s="1574">
        <v>460054003</v>
      </c>
    </row>
    <row r="400" spans="1:25" x14ac:dyDescent="0.2">
      <c r="F400" s="31"/>
      <c r="G400" s="31"/>
      <c r="H400" s="31"/>
      <c r="I400" s="31"/>
      <c r="J400" s="1772"/>
      <c r="K400" s="1772"/>
      <c r="M400" s="31"/>
      <c r="O400" s="38" t="s">
        <v>369</v>
      </c>
      <c r="P400" s="3" t="s">
        <v>372</v>
      </c>
      <c r="Q400" s="38" t="s">
        <v>369</v>
      </c>
      <c r="R400" s="1574">
        <v>460054021</v>
      </c>
    </row>
    <row r="401" spans="1:25" x14ac:dyDescent="0.2">
      <c r="F401" s="31"/>
      <c r="G401" s="31"/>
      <c r="H401" s="31"/>
      <c r="I401" s="31"/>
      <c r="J401" s="1772"/>
      <c r="K401" s="1772"/>
      <c r="M401" s="31"/>
      <c r="O401" s="38" t="s">
        <v>369</v>
      </c>
      <c r="P401" s="3" t="s">
        <v>373</v>
      </c>
      <c r="Q401" s="38" t="s">
        <v>369</v>
      </c>
      <c r="R401" s="1574">
        <v>460054033</v>
      </c>
    </row>
    <row r="402" spans="1:25" ht="12" thickBot="1" x14ac:dyDescent="0.25">
      <c r="A402" s="893"/>
      <c r="B402" s="1102"/>
      <c r="C402" s="1102"/>
      <c r="D402" s="1102"/>
      <c r="E402" s="1775"/>
      <c r="F402" s="893"/>
      <c r="G402" s="893"/>
      <c r="H402" s="893"/>
      <c r="I402" s="893"/>
      <c r="J402" s="1776"/>
      <c r="K402" s="1776"/>
      <c r="L402" s="893"/>
      <c r="M402" s="893"/>
      <c r="N402" s="1775"/>
      <c r="O402" s="888" t="s">
        <v>1252</v>
      </c>
      <c r="P402" s="889" t="s">
        <v>375</v>
      </c>
      <c r="Q402" s="888" t="s">
        <v>1252</v>
      </c>
      <c r="R402" s="1661">
        <v>460054012</v>
      </c>
      <c r="S402" s="1775"/>
      <c r="T402" s="893"/>
      <c r="U402" s="1102"/>
      <c r="V402" s="1777"/>
      <c r="W402" s="1812"/>
      <c r="X402" s="1713"/>
      <c r="Y402" s="893"/>
    </row>
    <row r="403" spans="1:25" ht="12" x14ac:dyDescent="0.25">
      <c r="A403" s="31">
        <f>A398+1</f>
        <v>33</v>
      </c>
      <c r="B403" s="845" t="s">
        <v>1686</v>
      </c>
      <c r="F403" s="31"/>
      <c r="G403" s="31"/>
      <c r="H403" s="31"/>
      <c r="I403" s="31"/>
      <c r="J403" s="1772"/>
      <c r="K403" s="1772"/>
      <c r="M403" s="31" t="s">
        <v>367</v>
      </c>
      <c r="R403" s="1574"/>
      <c r="T403" s="31">
        <v>1</v>
      </c>
      <c r="U403" s="1746">
        <f>T403*L403</f>
        <v>0</v>
      </c>
      <c r="V403" s="1746">
        <v>0.17499999999999999</v>
      </c>
      <c r="W403" s="1773">
        <f>V403*AtolbperftAccy</f>
        <v>0.11014499999999998</v>
      </c>
      <c r="X403" s="1774"/>
    </row>
    <row r="404" spans="1:25" x14ac:dyDescent="0.2">
      <c r="F404" s="31"/>
      <c r="G404" s="31"/>
      <c r="H404" s="31"/>
      <c r="I404" s="31"/>
      <c r="J404" s="1772"/>
      <c r="K404" s="1772"/>
      <c r="M404" s="31"/>
      <c r="O404" s="38" t="s">
        <v>369</v>
      </c>
      <c r="P404" s="3" t="s">
        <v>370</v>
      </c>
      <c r="Q404" s="38" t="s">
        <v>369</v>
      </c>
      <c r="R404" s="1574">
        <v>200145003</v>
      </c>
      <c r="X404" s="1692">
        <v>0.28739999999999999</v>
      </c>
    </row>
    <row r="405" spans="1:25" x14ac:dyDescent="0.2">
      <c r="F405" s="31"/>
      <c r="G405" s="31"/>
      <c r="H405" s="31"/>
      <c r="I405" s="31"/>
      <c r="J405" s="1772"/>
      <c r="K405" s="1772"/>
      <c r="M405" s="31"/>
      <c r="O405" s="38" t="s">
        <v>369</v>
      </c>
      <c r="P405" s="3" t="s">
        <v>372</v>
      </c>
      <c r="Q405" s="38" t="s">
        <v>369</v>
      </c>
      <c r="R405" s="1574">
        <v>200145021</v>
      </c>
      <c r="X405" s="1692">
        <v>0.28739999999999999</v>
      </c>
    </row>
    <row r="406" spans="1:25" x14ac:dyDescent="0.2">
      <c r="F406" s="31"/>
      <c r="G406" s="31"/>
      <c r="H406" s="31"/>
      <c r="I406" s="31"/>
      <c r="J406" s="1772"/>
      <c r="K406" s="1772"/>
      <c r="M406" s="31"/>
      <c r="O406" s="38" t="s">
        <v>369</v>
      </c>
      <c r="P406" s="3" t="s">
        <v>373</v>
      </c>
      <c r="Q406" s="38" t="s">
        <v>369</v>
      </c>
      <c r="R406" s="1574">
        <v>200145033</v>
      </c>
      <c r="X406" s="1692">
        <v>0.28739999999999999</v>
      </c>
    </row>
    <row r="407" spans="1:25" x14ac:dyDescent="0.2">
      <c r="F407" s="31"/>
      <c r="G407" s="31"/>
      <c r="I407" s="31"/>
      <c r="J407" s="1772"/>
      <c r="K407" s="1772"/>
      <c r="L407" s="1746"/>
      <c r="M407" s="31"/>
      <c r="O407" s="38" t="s">
        <v>369</v>
      </c>
      <c r="P407" s="3" t="s">
        <v>374</v>
      </c>
      <c r="Q407" s="38" t="s">
        <v>369</v>
      </c>
      <c r="R407" s="1443">
        <v>200145090</v>
      </c>
      <c r="U407" s="1746"/>
      <c r="W407" s="1773"/>
    </row>
    <row r="408" spans="1:25" x14ac:dyDescent="0.2">
      <c r="F408" s="31"/>
      <c r="G408" s="31"/>
      <c r="H408" s="31"/>
      <c r="I408" s="31"/>
      <c r="J408" s="1772"/>
      <c r="K408" s="1772"/>
      <c r="M408" s="31"/>
      <c r="O408" s="38" t="s">
        <v>369</v>
      </c>
      <c r="P408" s="3" t="s">
        <v>375</v>
      </c>
      <c r="Q408" s="38" t="s">
        <v>369</v>
      </c>
      <c r="R408" s="1574">
        <v>200145133</v>
      </c>
      <c r="X408" s="1774">
        <v>0</v>
      </c>
    </row>
    <row r="409" spans="1:25" ht="12" thickBot="1" x14ac:dyDescent="0.25">
      <c r="A409" s="893"/>
      <c r="B409" s="1102"/>
      <c r="C409" s="1102"/>
      <c r="D409" s="1102"/>
      <c r="E409" s="1775"/>
      <c r="F409" s="893"/>
      <c r="G409" s="893"/>
      <c r="H409" s="1102"/>
      <c r="I409" s="893"/>
      <c r="J409" s="1776"/>
      <c r="K409" s="1776"/>
      <c r="L409" s="1777"/>
      <c r="M409" s="893"/>
      <c r="N409" s="1775"/>
      <c r="O409" s="1876" t="s">
        <v>369</v>
      </c>
      <c r="P409" s="1877" t="s">
        <v>1849</v>
      </c>
      <c r="Q409" s="1876" t="s">
        <v>369</v>
      </c>
      <c r="R409" s="1878">
        <v>200145148</v>
      </c>
      <c r="S409" s="1775"/>
      <c r="T409" s="893"/>
      <c r="U409" s="1777"/>
      <c r="V409" s="1777"/>
      <c r="W409" s="1778"/>
      <c r="X409" s="1713">
        <v>0</v>
      </c>
      <c r="Y409" s="893"/>
    </row>
    <row r="410" spans="1:25" ht="12" x14ac:dyDescent="0.25">
      <c r="A410" s="31">
        <f>A403+1</f>
        <v>34</v>
      </c>
      <c r="B410" s="845" t="s">
        <v>1687</v>
      </c>
      <c r="F410" s="31"/>
      <c r="G410" s="31"/>
      <c r="H410" s="31"/>
      <c r="I410" s="31"/>
      <c r="J410" s="1772"/>
      <c r="K410" s="1772"/>
      <c r="M410" s="31" t="s">
        <v>385</v>
      </c>
      <c r="R410" s="1574"/>
      <c r="T410" s="31">
        <v>1</v>
      </c>
      <c r="U410" s="1746">
        <f>T410*L410</f>
        <v>0</v>
      </c>
      <c r="V410" s="1789" t="s">
        <v>8</v>
      </c>
      <c r="W410" s="1789" t="s">
        <v>8</v>
      </c>
      <c r="X410" s="1692">
        <v>8.2000000000000003E-2</v>
      </c>
    </row>
    <row r="411" spans="1:25" x14ac:dyDescent="0.2">
      <c r="C411" s="354" t="s">
        <v>1688</v>
      </c>
      <c r="F411" s="31"/>
      <c r="G411" s="31"/>
      <c r="H411" s="31"/>
      <c r="I411" s="31"/>
      <c r="J411" s="1772"/>
      <c r="K411" s="1772"/>
      <c r="O411" s="38" t="s">
        <v>369</v>
      </c>
      <c r="P411" s="3" t="s">
        <v>1689</v>
      </c>
      <c r="Q411" s="38" t="s">
        <v>369</v>
      </c>
      <c r="R411" s="1574">
        <v>460044000</v>
      </c>
    </row>
    <row r="412" spans="1:25" x14ac:dyDescent="0.2">
      <c r="C412" s="354" t="s">
        <v>1690</v>
      </c>
      <c r="F412" s="31"/>
      <c r="G412" s="31"/>
      <c r="H412" s="31"/>
      <c r="I412" s="31"/>
      <c r="J412" s="1772"/>
      <c r="K412" s="1772"/>
      <c r="O412" s="38"/>
      <c r="P412" s="3"/>
      <c r="Q412" s="38"/>
      <c r="R412" s="1574"/>
    </row>
    <row r="413" spans="1:25" ht="12" thickBot="1" x14ac:dyDescent="0.25">
      <c r="A413" s="893"/>
      <c r="B413" s="1102"/>
      <c r="C413" s="1102"/>
      <c r="D413" s="1102"/>
      <c r="E413" s="1775"/>
      <c r="F413" s="893"/>
      <c r="G413" s="893"/>
      <c r="H413" s="893"/>
      <c r="I413" s="893"/>
      <c r="J413" s="1776"/>
      <c r="K413" s="1776"/>
      <c r="L413" s="893"/>
      <c r="M413" s="1102"/>
      <c r="N413" s="1775"/>
      <c r="O413" s="888"/>
      <c r="P413" s="889"/>
      <c r="Q413" s="888"/>
      <c r="R413" s="1661"/>
      <c r="S413" s="1775"/>
      <c r="T413" s="893"/>
      <c r="U413" s="1102"/>
      <c r="V413" s="1777"/>
      <c r="W413" s="1812"/>
      <c r="X413" s="1713"/>
      <c r="Y413" s="893"/>
    </row>
    <row r="414" spans="1:25" ht="12" x14ac:dyDescent="0.25">
      <c r="A414" s="31">
        <f>A410+1</f>
        <v>35</v>
      </c>
      <c r="B414" s="845" t="s">
        <v>1691</v>
      </c>
      <c r="F414" s="31"/>
      <c r="G414" s="31"/>
      <c r="H414" s="31"/>
      <c r="I414" s="31"/>
      <c r="J414" s="1772"/>
      <c r="K414" s="1772"/>
      <c r="M414" s="31" t="s">
        <v>367</v>
      </c>
      <c r="R414" s="1574"/>
      <c r="T414" s="31">
        <v>1</v>
      </c>
      <c r="U414" s="1746">
        <f>T414*L414</f>
        <v>0</v>
      </c>
      <c r="V414" s="1746">
        <v>3.9E-2</v>
      </c>
      <c r="W414" s="1773">
        <f>V414*AtolbperftAccy</f>
        <v>2.4546599999999998E-2</v>
      </c>
      <c r="X414" s="1774">
        <f>W414*AccSScostperlb</f>
        <v>3.6819899999999996E-2</v>
      </c>
    </row>
    <row r="415" spans="1:25" x14ac:dyDescent="0.2">
      <c r="F415" s="1779" t="s">
        <v>1692</v>
      </c>
      <c r="G415" s="31"/>
      <c r="H415" s="31"/>
      <c r="I415" s="31"/>
      <c r="J415" s="1772"/>
      <c r="K415" s="1772"/>
      <c r="M415" s="31"/>
      <c r="O415" s="38" t="s">
        <v>369</v>
      </c>
      <c r="P415" s="3" t="s">
        <v>370</v>
      </c>
      <c r="Q415" s="38" t="s">
        <v>369</v>
      </c>
      <c r="R415" s="1574">
        <v>200126003</v>
      </c>
      <c r="X415" s="1692">
        <v>6.08E-2</v>
      </c>
    </row>
    <row r="416" spans="1:25" x14ac:dyDescent="0.2">
      <c r="F416" s="31"/>
      <c r="G416" s="31"/>
      <c r="H416" s="31"/>
      <c r="I416" s="31"/>
      <c r="J416" s="1772"/>
      <c r="K416" s="1772"/>
      <c r="M416" s="31"/>
      <c r="O416" s="38" t="s">
        <v>369</v>
      </c>
      <c r="P416" s="3" t="s">
        <v>372</v>
      </c>
      <c r="Q416" s="38" t="s">
        <v>369</v>
      </c>
      <c r="R416" s="1574">
        <v>200126021</v>
      </c>
    </row>
    <row r="417" spans="1:25" x14ac:dyDescent="0.2">
      <c r="F417" s="31"/>
      <c r="G417" s="31"/>
      <c r="H417" s="31"/>
      <c r="I417" s="31"/>
      <c r="J417" s="1772"/>
      <c r="K417" s="1772"/>
      <c r="M417" s="31"/>
      <c r="O417" s="38" t="s">
        <v>369</v>
      </c>
      <c r="P417" s="3" t="s">
        <v>373</v>
      </c>
      <c r="Q417" s="38" t="s">
        <v>369</v>
      </c>
      <c r="R417" s="1574">
        <v>200126033</v>
      </c>
    </row>
    <row r="418" spans="1:25" x14ac:dyDescent="0.2">
      <c r="F418" s="31"/>
      <c r="G418" s="31"/>
      <c r="H418" s="31"/>
      <c r="I418" s="31"/>
      <c r="J418" s="1772"/>
      <c r="K418" s="1772"/>
      <c r="M418" s="31"/>
      <c r="O418" s="38" t="s">
        <v>369</v>
      </c>
      <c r="P418" s="3" t="s">
        <v>374</v>
      </c>
      <c r="Q418" s="38" t="s">
        <v>369</v>
      </c>
      <c r="R418" s="1443">
        <v>200126090</v>
      </c>
    </row>
    <row r="419" spans="1:25" x14ac:dyDescent="0.2">
      <c r="F419" s="31"/>
      <c r="G419" s="31"/>
      <c r="H419" s="31"/>
      <c r="I419" s="31"/>
      <c r="J419" s="1772"/>
      <c r="K419" s="1772"/>
      <c r="M419" s="31"/>
      <c r="O419" s="38" t="s">
        <v>369</v>
      </c>
      <c r="P419" s="3" t="s">
        <v>375</v>
      </c>
      <c r="Q419" s="38" t="s">
        <v>369</v>
      </c>
      <c r="R419" s="1574">
        <v>200126133</v>
      </c>
    </row>
    <row r="420" spans="1:25" ht="12" thickBot="1" x14ac:dyDescent="0.25">
      <c r="A420" s="893"/>
      <c r="B420" s="1102"/>
      <c r="C420" s="1102"/>
      <c r="D420" s="1102"/>
      <c r="E420" s="1775"/>
      <c r="F420" s="893"/>
      <c r="G420" s="893"/>
      <c r="H420" s="1102"/>
      <c r="I420" s="893"/>
      <c r="J420" s="1776"/>
      <c r="K420" s="1776"/>
      <c r="L420" s="1777"/>
      <c r="M420" s="893"/>
      <c r="N420" s="1775"/>
      <c r="O420" s="1876" t="s">
        <v>369</v>
      </c>
      <c r="P420" s="1877" t="s">
        <v>1849</v>
      </c>
      <c r="Q420" s="1876" t="s">
        <v>369</v>
      </c>
      <c r="R420" s="1878">
        <v>200126148</v>
      </c>
      <c r="S420" s="1775"/>
      <c r="T420" s="893"/>
      <c r="U420" s="1777"/>
      <c r="V420" s="1777"/>
      <c r="W420" s="1778"/>
      <c r="X420" s="1713"/>
      <c r="Y420" s="893"/>
    </row>
    <row r="421" spans="1:25" ht="12" x14ac:dyDescent="0.2">
      <c r="A421" s="31">
        <f>A414+1</f>
        <v>36</v>
      </c>
      <c r="B421" s="36" t="s">
        <v>1288</v>
      </c>
      <c r="F421" s="31"/>
      <c r="G421" s="31"/>
      <c r="I421" s="31"/>
      <c r="J421" s="1772"/>
      <c r="K421" s="1772"/>
      <c r="L421" s="1746"/>
      <c r="M421" s="31" t="s">
        <v>385</v>
      </c>
      <c r="O421" s="38"/>
      <c r="P421" s="3"/>
      <c r="Q421" s="38"/>
      <c r="R421" s="1443"/>
      <c r="T421" s="31">
        <v>1</v>
      </c>
      <c r="U421" s="1746">
        <f>T421*L421</f>
        <v>0</v>
      </c>
      <c r="V421" s="1789" t="s">
        <v>8</v>
      </c>
      <c r="W421" s="1789" t="s">
        <v>8</v>
      </c>
    </row>
    <row r="422" spans="1:25" x14ac:dyDescent="0.2">
      <c r="F422" s="31"/>
      <c r="G422" s="31"/>
      <c r="I422" s="31"/>
      <c r="J422" s="1772"/>
      <c r="K422" s="1772"/>
      <c r="L422" s="1746"/>
      <c r="M422" s="31"/>
      <c r="O422" s="38" t="s">
        <v>369</v>
      </c>
      <c r="P422" s="3" t="s">
        <v>372</v>
      </c>
      <c r="Q422" s="38" t="s">
        <v>369</v>
      </c>
      <c r="R422" s="1443">
        <v>630007021</v>
      </c>
      <c r="U422" s="1746"/>
      <c r="W422" s="1773"/>
      <c r="X422" s="51">
        <v>11.03</v>
      </c>
    </row>
    <row r="423" spans="1:25" x14ac:dyDescent="0.2">
      <c r="F423" s="31"/>
      <c r="G423" s="31"/>
      <c r="I423" s="31"/>
      <c r="J423" s="1772"/>
      <c r="K423" s="1772"/>
      <c r="L423" s="1746"/>
      <c r="M423" s="31"/>
      <c r="O423" s="38" t="s">
        <v>369</v>
      </c>
      <c r="P423" s="3" t="s">
        <v>373</v>
      </c>
      <c r="Q423" s="38" t="s">
        <v>369</v>
      </c>
      <c r="R423" s="1443">
        <v>630007033</v>
      </c>
      <c r="U423" s="1746"/>
      <c r="W423" s="1773"/>
      <c r="X423" s="844">
        <v>1E-3</v>
      </c>
    </row>
    <row r="424" spans="1:25" x14ac:dyDescent="0.2">
      <c r="F424" s="31"/>
      <c r="G424" s="31"/>
      <c r="I424" s="31"/>
      <c r="J424" s="1772"/>
      <c r="K424" s="1772"/>
      <c r="L424" s="1746"/>
      <c r="M424" s="31"/>
      <c r="O424" s="38" t="s">
        <v>369</v>
      </c>
      <c r="P424" s="3" t="s">
        <v>374</v>
      </c>
      <c r="Q424" s="38" t="s">
        <v>369</v>
      </c>
      <c r="R424" s="1443">
        <v>630007090</v>
      </c>
      <c r="U424" s="1746"/>
      <c r="W424" s="1773"/>
      <c r="X424" s="844">
        <v>1E-3</v>
      </c>
    </row>
    <row r="425" spans="1:25" x14ac:dyDescent="0.2">
      <c r="F425" s="31"/>
      <c r="G425" s="31"/>
      <c r="I425" s="31"/>
      <c r="J425" s="1772"/>
      <c r="K425" s="1772"/>
      <c r="L425" s="1746"/>
      <c r="M425" s="31"/>
      <c r="O425" s="38" t="s">
        <v>369</v>
      </c>
      <c r="P425" s="3" t="s">
        <v>375</v>
      </c>
      <c r="Q425" s="38" t="s">
        <v>369</v>
      </c>
      <c r="R425" s="1443">
        <v>630007133</v>
      </c>
      <c r="U425" s="1746"/>
      <c r="W425" s="1773"/>
      <c r="X425" s="844">
        <v>0</v>
      </c>
    </row>
    <row r="426" spans="1:25" ht="12" thickBot="1" x14ac:dyDescent="0.25">
      <c r="A426" s="893"/>
      <c r="B426" s="1102"/>
      <c r="C426" s="1102"/>
      <c r="D426" s="1102"/>
      <c r="E426" s="1775"/>
      <c r="F426" s="893"/>
      <c r="G426" s="893"/>
      <c r="H426" s="1102"/>
      <c r="I426" s="893"/>
      <c r="J426" s="1776"/>
      <c r="K426" s="1776"/>
      <c r="L426" s="1777"/>
      <c r="M426" s="893"/>
      <c r="N426" s="1775"/>
      <c r="O426" s="1876" t="s">
        <v>369</v>
      </c>
      <c r="P426" s="1877" t="s">
        <v>1849</v>
      </c>
      <c r="Q426" s="1876" t="s">
        <v>369</v>
      </c>
      <c r="R426" s="1878">
        <v>630007148</v>
      </c>
      <c r="S426" s="1775"/>
      <c r="T426" s="893"/>
      <c r="U426" s="1777"/>
      <c r="V426" s="1777"/>
      <c r="W426" s="1778"/>
      <c r="X426" s="998">
        <v>0</v>
      </c>
      <c r="Y426" s="893"/>
    </row>
    <row r="427" spans="1:25" ht="12" x14ac:dyDescent="0.2">
      <c r="A427" s="31">
        <f>A421+1</f>
        <v>37</v>
      </c>
      <c r="B427" s="36" t="s">
        <v>1289</v>
      </c>
      <c r="F427" s="31"/>
      <c r="G427" s="31"/>
      <c r="I427" s="31"/>
      <c r="J427" s="1772"/>
      <c r="K427" s="1772"/>
      <c r="L427" s="1746"/>
      <c r="M427" s="31" t="s">
        <v>385</v>
      </c>
      <c r="O427" s="38"/>
      <c r="P427" s="3"/>
      <c r="Q427" s="38"/>
      <c r="R427" s="1443"/>
      <c r="T427" s="31">
        <v>1</v>
      </c>
      <c r="U427" s="1746">
        <f>T427*L427</f>
        <v>0</v>
      </c>
      <c r="V427" s="1789" t="s">
        <v>8</v>
      </c>
      <c r="W427" s="1789" t="s">
        <v>8</v>
      </c>
    </row>
    <row r="428" spans="1:25" x14ac:dyDescent="0.2">
      <c r="F428" s="31"/>
      <c r="G428" s="31"/>
      <c r="I428" s="31"/>
      <c r="J428" s="1772"/>
      <c r="K428" s="1772"/>
      <c r="L428" s="1746"/>
      <c r="M428" s="31"/>
      <c r="O428" s="38" t="s">
        <v>369</v>
      </c>
      <c r="P428" s="3" t="s">
        <v>372</v>
      </c>
      <c r="Q428" s="38" t="s">
        <v>369</v>
      </c>
      <c r="R428" s="1443">
        <v>630022021</v>
      </c>
      <c r="U428" s="1746"/>
      <c r="W428" s="1773"/>
      <c r="X428" s="844">
        <v>1E-3</v>
      </c>
    </row>
    <row r="429" spans="1:25" x14ac:dyDescent="0.2">
      <c r="F429" s="31"/>
      <c r="G429" s="31"/>
      <c r="I429" s="31"/>
      <c r="J429" s="1772"/>
      <c r="K429" s="1772"/>
      <c r="L429" s="1746"/>
      <c r="M429" s="31"/>
      <c r="O429" s="38" t="s">
        <v>369</v>
      </c>
      <c r="P429" s="3" t="s">
        <v>373</v>
      </c>
      <c r="Q429" s="38" t="s">
        <v>369</v>
      </c>
      <c r="R429" s="1443">
        <v>630022033</v>
      </c>
      <c r="U429" s="1746"/>
      <c r="W429" s="1773"/>
      <c r="X429" s="844">
        <v>1E-3</v>
      </c>
    </row>
    <row r="430" spans="1:25" x14ac:dyDescent="0.2">
      <c r="F430" s="31"/>
      <c r="G430" s="31"/>
      <c r="I430" s="31"/>
      <c r="J430" s="1772"/>
      <c r="K430" s="1772"/>
      <c r="L430" s="1746"/>
      <c r="M430" s="31"/>
      <c r="O430" s="38" t="s">
        <v>369</v>
      </c>
      <c r="P430" s="3" t="s">
        <v>374</v>
      </c>
      <c r="Q430" s="38" t="s">
        <v>369</v>
      </c>
      <c r="R430" s="1443">
        <v>630022090</v>
      </c>
      <c r="U430" s="1746"/>
      <c r="W430" s="1773"/>
      <c r="X430" s="844">
        <v>1E-3</v>
      </c>
    </row>
    <row r="431" spans="1:25" x14ac:dyDescent="0.2">
      <c r="F431" s="31"/>
      <c r="G431" s="31"/>
      <c r="I431" s="31"/>
      <c r="J431" s="1772"/>
      <c r="K431" s="1772"/>
      <c r="L431" s="1746"/>
      <c r="M431" s="31"/>
      <c r="O431" s="38" t="s">
        <v>369</v>
      </c>
      <c r="P431" s="3" t="s">
        <v>375</v>
      </c>
      <c r="Q431" s="38" t="s">
        <v>369</v>
      </c>
      <c r="R431" s="1443">
        <v>630022133</v>
      </c>
      <c r="U431" s="1746"/>
      <c r="W431" s="1773"/>
      <c r="X431" s="844">
        <v>0</v>
      </c>
    </row>
    <row r="432" spans="1:25" ht="12" thickBot="1" x14ac:dyDescent="0.25">
      <c r="A432" s="893"/>
      <c r="B432" s="1102"/>
      <c r="C432" s="1102"/>
      <c r="D432" s="1102"/>
      <c r="E432" s="1775"/>
      <c r="F432" s="893"/>
      <c r="G432" s="893"/>
      <c r="H432" s="1102"/>
      <c r="I432" s="893"/>
      <c r="J432" s="1776"/>
      <c r="K432" s="1776"/>
      <c r="L432" s="1777"/>
      <c r="M432" s="893"/>
      <c r="N432" s="1775"/>
      <c r="O432" s="1876" t="s">
        <v>369</v>
      </c>
      <c r="P432" s="1877" t="s">
        <v>1849</v>
      </c>
      <c r="Q432" s="1876" t="s">
        <v>369</v>
      </c>
      <c r="R432" s="1878">
        <v>630022148</v>
      </c>
      <c r="S432" s="1775"/>
      <c r="T432" s="893"/>
      <c r="U432" s="1777"/>
      <c r="V432" s="1777"/>
      <c r="W432" s="1778"/>
      <c r="X432" s="998">
        <v>0</v>
      </c>
      <c r="Y432" s="893"/>
    </row>
    <row r="433" spans="1:25" ht="12" x14ac:dyDescent="0.25">
      <c r="A433" s="31">
        <f>A427+1</f>
        <v>38</v>
      </c>
      <c r="B433" s="845" t="s">
        <v>1693</v>
      </c>
      <c r="F433" s="31"/>
      <c r="G433" s="31"/>
      <c r="I433" s="31"/>
      <c r="J433" s="1772"/>
      <c r="K433" s="1772"/>
      <c r="L433" s="1746"/>
      <c r="M433" s="31" t="s">
        <v>385</v>
      </c>
      <c r="R433" s="1574"/>
      <c r="T433" s="31">
        <v>1</v>
      </c>
      <c r="U433" s="1746">
        <f>T433*L433</f>
        <v>0</v>
      </c>
      <c r="V433" s="1789" t="s">
        <v>8</v>
      </c>
      <c r="W433" s="1789" t="s">
        <v>8</v>
      </c>
      <c r="X433" s="1692">
        <v>0</v>
      </c>
    </row>
    <row r="434" spans="1:25" ht="63" customHeight="1" thickBot="1" x14ac:dyDescent="0.25">
      <c r="F434" s="31"/>
      <c r="G434" s="31"/>
      <c r="I434" s="31"/>
      <c r="J434" s="1772"/>
      <c r="K434" s="1772"/>
      <c r="L434" s="1746"/>
      <c r="M434" s="31"/>
      <c r="O434" s="38" t="s">
        <v>369</v>
      </c>
      <c r="P434" s="3" t="s">
        <v>1689</v>
      </c>
      <c r="Q434" s="38" t="s">
        <v>369</v>
      </c>
      <c r="R434" s="1443">
        <v>600062000</v>
      </c>
    </row>
    <row r="435" spans="1:25" ht="12" x14ac:dyDescent="0.25">
      <c r="A435" s="1699">
        <f>A433+1</f>
        <v>39</v>
      </c>
      <c r="B435" s="1703" t="s">
        <v>1892</v>
      </c>
      <c r="C435" s="1702"/>
      <c r="D435" s="1702"/>
      <c r="E435" s="1801"/>
      <c r="F435" s="1813"/>
      <c r="G435" s="1699"/>
      <c r="H435" s="1702"/>
      <c r="I435" s="1699"/>
      <c r="J435" s="1802"/>
      <c r="K435" s="1802"/>
      <c r="L435" s="1803"/>
      <c r="M435" s="1699" t="s">
        <v>1848</v>
      </c>
      <c r="N435" s="1801"/>
      <c r="O435" s="1702"/>
      <c r="P435" s="1702"/>
      <c r="Q435" s="1702"/>
      <c r="R435" s="1670"/>
      <c r="S435" s="1801"/>
      <c r="T435" s="1699">
        <v>1</v>
      </c>
      <c r="U435" s="1803">
        <f>T435*L435</f>
        <v>0</v>
      </c>
      <c r="V435" s="1809" t="s">
        <v>8</v>
      </c>
      <c r="W435" s="1809" t="s">
        <v>8</v>
      </c>
      <c r="X435" s="1810"/>
      <c r="Y435" s="1699" t="s">
        <v>1520</v>
      </c>
    </row>
    <row r="436" spans="1:25" ht="12.6" thickBot="1" x14ac:dyDescent="0.3">
      <c r="A436" s="893"/>
      <c r="B436" s="1782"/>
      <c r="C436" s="1102"/>
      <c r="D436" s="1102"/>
      <c r="E436" s="1775"/>
      <c r="F436" s="1814"/>
      <c r="G436" s="893"/>
      <c r="H436" s="1102"/>
      <c r="I436" s="893"/>
      <c r="J436" s="1776"/>
      <c r="K436" s="1776"/>
      <c r="L436" s="1777"/>
      <c r="M436" s="893"/>
      <c r="N436" s="1775"/>
      <c r="O436" s="888" t="s">
        <v>369</v>
      </c>
      <c r="P436" s="889" t="s">
        <v>1689</v>
      </c>
      <c r="Q436" s="888" t="s">
        <v>369</v>
      </c>
      <c r="R436" s="1661">
        <v>630021021</v>
      </c>
      <c r="S436" s="1775"/>
      <c r="T436" s="893"/>
      <c r="U436" s="1102"/>
      <c r="V436" s="1777"/>
      <c r="W436" s="1812"/>
      <c r="X436" s="1713"/>
      <c r="Y436" s="893"/>
    </row>
    <row r="437" spans="1:25" ht="12" x14ac:dyDescent="0.25">
      <c r="A437" s="1699">
        <f>A435+1</f>
        <v>40</v>
      </c>
      <c r="B437" s="1703" t="s">
        <v>1893</v>
      </c>
      <c r="C437" s="1702"/>
      <c r="D437" s="1702"/>
      <c r="E437" s="1801"/>
      <c r="F437" s="1813"/>
      <c r="G437" s="1699"/>
      <c r="H437" s="1702"/>
      <c r="I437" s="1699"/>
      <c r="J437" s="1802"/>
      <c r="K437" s="1802"/>
      <c r="L437" s="1803"/>
      <c r="M437" s="1699" t="s">
        <v>1848</v>
      </c>
      <c r="N437" s="1801"/>
      <c r="O437" s="1702"/>
      <c r="P437" s="1702"/>
      <c r="Q437" s="1702"/>
      <c r="R437" s="1670"/>
      <c r="S437" s="1801"/>
      <c r="T437" s="1699">
        <v>1</v>
      </c>
      <c r="U437" s="1803">
        <f>T437*L437</f>
        <v>0</v>
      </c>
      <c r="V437" s="1809" t="s">
        <v>8</v>
      </c>
      <c r="W437" s="1809" t="s">
        <v>8</v>
      </c>
      <c r="X437" s="1810"/>
      <c r="Y437" s="1699" t="s">
        <v>1520</v>
      </c>
    </row>
    <row r="438" spans="1:25" ht="12.6" thickBot="1" x14ac:dyDescent="0.3">
      <c r="A438" s="893"/>
      <c r="B438" s="1782"/>
      <c r="C438" s="1102"/>
      <c r="D438" s="1102"/>
      <c r="E438" s="1775"/>
      <c r="F438" s="1814"/>
      <c r="G438" s="893"/>
      <c r="H438" s="1102"/>
      <c r="I438" s="893"/>
      <c r="J438" s="1776"/>
      <c r="K438" s="1776"/>
      <c r="L438" s="1777"/>
      <c r="M438" s="893"/>
      <c r="N438" s="1775"/>
      <c r="O438" s="888" t="s">
        <v>369</v>
      </c>
      <c r="P438" s="889" t="s">
        <v>1689</v>
      </c>
      <c r="Q438" s="888" t="s">
        <v>369</v>
      </c>
      <c r="R438" s="1661">
        <v>630021033</v>
      </c>
      <c r="S438" s="1775"/>
      <c r="T438" s="893"/>
      <c r="U438" s="1102"/>
      <c r="V438" s="1777"/>
      <c r="W438" s="1812"/>
      <c r="X438" s="1713"/>
      <c r="Y438" s="893"/>
    </row>
    <row r="439" spans="1:25" ht="12" x14ac:dyDescent="0.25">
      <c r="A439" s="1699">
        <f>A437+1</f>
        <v>41</v>
      </c>
      <c r="B439" s="1703" t="s">
        <v>1694</v>
      </c>
      <c r="C439" s="1702"/>
      <c r="D439" s="1702"/>
      <c r="E439" s="1801"/>
      <c r="F439" s="1699"/>
      <c r="G439" s="1699"/>
      <c r="H439" s="1702"/>
      <c r="I439" s="1699"/>
      <c r="J439" s="1802"/>
      <c r="K439" s="1802"/>
      <c r="L439" s="1803"/>
      <c r="M439" s="1699" t="s">
        <v>385</v>
      </c>
      <c r="N439" s="1801"/>
      <c r="O439" s="1702"/>
      <c r="P439" s="1702"/>
      <c r="Q439" s="1702"/>
      <c r="R439" s="1670"/>
      <c r="S439" s="1801"/>
      <c r="T439" s="1699">
        <v>1</v>
      </c>
      <c r="U439" s="1803">
        <f>T439*L439</f>
        <v>0</v>
      </c>
      <c r="V439" s="1809" t="s">
        <v>8</v>
      </c>
      <c r="W439" s="1809" t="s">
        <v>8</v>
      </c>
      <c r="X439" s="1810">
        <v>0</v>
      </c>
      <c r="Y439" s="1699"/>
    </row>
    <row r="440" spans="1:25" ht="12.6" thickBot="1" x14ac:dyDescent="0.3">
      <c r="A440" s="893"/>
      <c r="B440" s="1782"/>
      <c r="C440" s="1102"/>
      <c r="D440" s="1102"/>
      <c r="E440" s="1775"/>
      <c r="F440" s="893"/>
      <c r="G440" s="893"/>
      <c r="H440" s="1102"/>
      <c r="I440" s="893"/>
      <c r="J440" s="1776"/>
      <c r="K440" s="1776"/>
      <c r="L440" s="1777"/>
      <c r="M440" s="893"/>
      <c r="N440" s="1775"/>
      <c r="O440" s="888" t="s">
        <v>369</v>
      </c>
      <c r="P440" s="889" t="s">
        <v>1689</v>
      </c>
      <c r="Q440" s="888" t="s">
        <v>369</v>
      </c>
      <c r="R440" s="1661">
        <v>610018000</v>
      </c>
      <c r="S440" s="1775"/>
      <c r="T440" s="893"/>
      <c r="U440" s="1102"/>
      <c r="V440" s="1777"/>
      <c r="W440" s="1812"/>
      <c r="X440" s="1713"/>
      <c r="Y440" s="893"/>
    </row>
    <row r="441" spans="1:25" ht="12" x14ac:dyDescent="0.25">
      <c r="A441" s="1699">
        <f>A439+1</f>
        <v>42</v>
      </c>
      <c r="B441" s="845" t="s">
        <v>1695</v>
      </c>
      <c r="F441" s="1779" t="s">
        <v>1696</v>
      </c>
      <c r="G441" s="31"/>
      <c r="I441" s="31"/>
      <c r="J441" s="1772"/>
      <c r="K441" s="1772"/>
      <c r="L441" s="1746"/>
      <c r="M441" s="31" t="s">
        <v>811</v>
      </c>
      <c r="O441" s="1702"/>
      <c r="P441" s="1702"/>
      <c r="Q441" s="1702"/>
      <c r="R441" s="1670"/>
      <c r="S441" s="1801"/>
      <c r="T441" s="1699">
        <v>1</v>
      </c>
      <c r="U441" s="1803">
        <f>T441*L441</f>
        <v>0</v>
      </c>
      <c r="V441" s="1809" t="s">
        <v>8</v>
      </c>
      <c r="W441" s="1809" t="s">
        <v>8</v>
      </c>
      <c r="X441" s="1810">
        <v>2.5499999999999998</v>
      </c>
      <c r="Y441" s="31" t="s">
        <v>1520</v>
      </c>
    </row>
    <row r="442" spans="1:25" ht="12.6" thickBot="1" x14ac:dyDescent="0.3">
      <c r="A442" s="893"/>
      <c r="B442" s="1782"/>
      <c r="C442" s="1102"/>
      <c r="D442" s="1102"/>
      <c r="E442" s="1815"/>
      <c r="F442" s="1814" t="s">
        <v>1697</v>
      </c>
      <c r="G442" s="893"/>
      <c r="H442" s="1102"/>
      <c r="I442" s="893"/>
      <c r="J442" s="1776"/>
      <c r="K442" s="1776"/>
      <c r="L442" s="1777"/>
      <c r="M442" s="893"/>
      <c r="N442" s="1775"/>
      <c r="O442" s="888" t="s">
        <v>369</v>
      </c>
      <c r="P442" s="889" t="s">
        <v>1689</v>
      </c>
      <c r="Q442" s="888" t="s">
        <v>369</v>
      </c>
      <c r="R442" s="1661">
        <v>680002000</v>
      </c>
      <c r="S442" s="1775"/>
      <c r="T442" s="893"/>
      <c r="U442" s="1102"/>
      <c r="V442" s="1777"/>
      <c r="W442" s="1812"/>
      <c r="X442" s="1713"/>
      <c r="Y442" s="893"/>
    </row>
    <row r="443" spans="1:25" ht="12" x14ac:dyDescent="0.2">
      <c r="A443" s="1699">
        <f>A441+1</f>
        <v>43</v>
      </c>
      <c r="B443" s="7" t="s">
        <v>2170</v>
      </c>
      <c r="C443" s="173"/>
      <c r="D443" s="116"/>
      <c r="E443" s="193"/>
      <c r="F443" s="173"/>
      <c r="G443" s="173"/>
      <c r="I443" s="114"/>
      <c r="J443" s="116"/>
      <c r="K443" s="116"/>
      <c r="L443" s="116"/>
      <c r="M443" s="177"/>
      <c r="N443" s="193"/>
      <c r="O443" s="177"/>
      <c r="P443" s="177"/>
      <c r="Q443" s="177"/>
      <c r="R443" s="1449"/>
      <c r="S443" s="193"/>
      <c r="T443" s="116">
        <v>1</v>
      </c>
      <c r="U443" s="116"/>
      <c r="V443" s="116"/>
      <c r="W443" s="116"/>
      <c r="X443" s="116"/>
      <c r="Y443" s="1449"/>
    </row>
    <row r="444" spans="1:25" ht="12" x14ac:dyDescent="0.2">
      <c r="B444" s="7"/>
      <c r="C444" s="7"/>
      <c r="D444" s="7" t="s">
        <v>2090</v>
      </c>
      <c r="E444" s="14"/>
      <c r="F444" s="7"/>
      <c r="G444" s="7"/>
      <c r="I444" s="8"/>
      <c r="J444" s="3"/>
      <c r="K444" s="3"/>
      <c r="L444" s="3"/>
      <c r="M444" s="5"/>
      <c r="N444" s="14"/>
      <c r="O444" s="38" t="s">
        <v>369</v>
      </c>
      <c r="P444" s="3" t="s">
        <v>370</v>
      </c>
      <c r="Q444" s="38" t="s">
        <v>369</v>
      </c>
      <c r="R444" s="1443" t="s">
        <v>2017</v>
      </c>
      <c r="S444" s="14"/>
      <c r="T444" s="3"/>
      <c r="U444" s="3"/>
      <c r="V444" s="38" t="s">
        <v>369</v>
      </c>
      <c r="W444" s="354"/>
      <c r="X444" s="1692">
        <v>0.70199999999999996</v>
      </c>
      <c r="Y444" s="354"/>
    </row>
    <row r="445" spans="1:25" ht="12" x14ac:dyDescent="0.2">
      <c r="B445" s="7"/>
      <c r="C445" s="7"/>
      <c r="D445" s="7" t="s">
        <v>2171</v>
      </c>
      <c r="E445" s="14"/>
      <c r="F445" s="7"/>
      <c r="G445" s="7"/>
      <c r="I445" s="8"/>
      <c r="J445" s="3"/>
      <c r="K445" s="3"/>
      <c r="L445" s="3"/>
      <c r="M445" s="5"/>
      <c r="N445" s="14"/>
      <c r="O445" s="38" t="s">
        <v>369</v>
      </c>
      <c r="P445" s="3" t="s">
        <v>1959</v>
      </c>
      <c r="Q445" s="38" t="s">
        <v>369</v>
      </c>
      <c r="R445" s="1443" t="s">
        <v>2015</v>
      </c>
      <c r="S445" s="14"/>
      <c r="T445" s="3"/>
      <c r="U445" s="3"/>
      <c r="V445" s="38" t="s">
        <v>369</v>
      </c>
      <c r="W445" s="354"/>
      <c r="X445" s="1692">
        <v>0.70199999999999996</v>
      </c>
      <c r="Y445" s="354"/>
    </row>
    <row r="446" spans="1:25" ht="12.6" thickBot="1" x14ac:dyDescent="0.25">
      <c r="A446" s="893"/>
      <c r="B446" s="924"/>
      <c r="C446" s="924"/>
      <c r="D446" s="889"/>
      <c r="E446" s="948"/>
      <c r="F446" s="924"/>
      <c r="G446" s="924"/>
      <c r="H446" s="1102"/>
      <c r="I446" s="949"/>
      <c r="J446" s="889"/>
      <c r="K446" s="889"/>
      <c r="L446" s="889"/>
      <c r="M446" s="945"/>
      <c r="N446" s="948"/>
      <c r="O446" s="888" t="s">
        <v>369</v>
      </c>
      <c r="P446" s="889" t="s">
        <v>373</v>
      </c>
      <c r="Q446" s="888" t="s">
        <v>369</v>
      </c>
      <c r="R446" s="1444" t="s">
        <v>2016</v>
      </c>
      <c r="S446" s="948"/>
      <c r="T446" s="889"/>
      <c r="U446" s="889"/>
      <c r="V446" s="888" t="s">
        <v>369</v>
      </c>
      <c r="W446" s="1102"/>
      <c r="X446" s="1713">
        <v>0.70199999999999996</v>
      </c>
      <c r="Y446" s="1102"/>
    </row>
    <row r="447" spans="1:25" ht="13.95" customHeight="1" x14ac:dyDescent="0.2">
      <c r="A447" s="31">
        <f>A443+1</f>
        <v>44</v>
      </c>
      <c r="B447" s="509" t="s">
        <v>2169</v>
      </c>
      <c r="C447" s="4"/>
      <c r="D447" s="4"/>
      <c r="F447" s="7"/>
      <c r="G447" s="31"/>
      <c r="I447" s="31"/>
      <c r="J447" s="1772"/>
      <c r="K447" s="1772"/>
      <c r="L447" s="1746"/>
      <c r="M447" s="31" t="s">
        <v>385</v>
      </c>
      <c r="O447" s="38"/>
      <c r="P447" s="3"/>
      <c r="Q447" s="38"/>
      <c r="R447" s="1574"/>
      <c r="T447" s="31">
        <v>1</v>
      </c>
      <c r="V447" s="1789"/>
      <c r="W447" s="1789"/>
      <c r="Y447" s="31" t="s">
        <v>1520</v>
      </c>
    </row>
    <row r="448" spans="1:25" ht="12" x14ac:dyDescent="0.2">
      <c r="A448" s="3"/>
      <c r="B448" s="4"/>
      <c r="C448" s="4"/>
      <c r="D448" s="4"/>
      <c r="F448" s="7"/>
      <c r="G448" s="31"/>
      <c r="I448" s="31"/>
      <c r="J448" s="1772"/>
      <c r="K448" s="1772"/>
      <c r="L448" s="1746"/>
      <c r="M448" s="31"/>
      <c r="O448" s="38" t="s">
        <v>369</v>
      </c>
      <c r="P448" s="3" t="s">
        <v>370</v>
      </c>
      <c r="Q448" s="38" t="s">
        <v>369</v>
      </c>
      <c r="R448" s="1443">
        <v>420034006</v>
      </c>
      <c r="X448" s="1692">
        <v>0.18010000000000001</v>
      </c>
    </row>
    <row r="449" spans="1:25" ht="12" x14ac:dyDescent="0.2">
      <c r="A449" s="3"/>
      <c r="B449" s="4"/>
      <c r="C449" s="4"/>
      <c r="D449" s="4"/>
      <c r="F449" s="7"/>
      <c r="G449" s="31"/>
      <c r="I449" s="31"/>
      <c r="J449" s="1772"/>
      <c r="K449" s="1772"/>
      <c r="L449" s="1746"/>
      <c r="M449" s="31"/>
      <c r="O449" s="38" t="s">
        <v>369</v>
      </c>
      <c r="P449" s="3" t="s">
        <v>372</v>
      </c>
      <c r="Q449" s="38" t="s">
        <v>369</v>
      </c>
      <c r="R449" s="1443">
        <v>420034021</v>
      </c>
      <c r="X449" s="1692">
        <v>0.17319999999999999</v>
      </c>
    </row>
    <row r="450" spans="1:25" ht="12.6" thickBot="1" x14ac:dyDescent="0.25">
      <c r="A450" s="889"/>
      <c r="B450" s="4"/>
      <c r="C450" s="4"/>
      <c r="D450" s="4"/>
      <c r="F450" s="7"/>
      <c r="G450" s="31"/>
      <c r="I450" s="31"/>
      <c r="J450" s="1772"/>
      <c r="K450" s="1772"/>
      <c r="L450" s="1746"/>
      <c r="M450" s="31"/>
      <c r="O450" s="888" t="s">
        <v>369</v>
      </c>
      <c r="P450" s="889" t="s">
        <v>373</v>
      </c>
      <c r="Q450" s="888" t="s">
        <v>369</v>
      </c>
      <c r="R450" s="1444">
        <v>420034034</v>
      </c>
      <c r="X450" s="1692">
        <v>0.89090000000000003</v>
      </c>
    </row>
    <row r="451" spans="1:25" ht="12" x14ac:dyDescent="0.2">
      <c r="A451" s="31">
        <f>A447+1</f>
        <v>45</v>
      </c>
      <c r="B451" s="476" t="s">
        <v>1945</v>
      </c>
      <c r="C451" s="138"/>
      <c r="D451" s="138"/>
      <c r="E451" s="1801"/>
      <c r="F451" s="173"/>
      <c r="G451" s="1699"/>
      <c r="H451" s="1702"/>
      <c r="I451" s="1699"/>
      <c r="J451" s="1802"/>
      <c r="K451" s="1802"/>
      <c r="L451" s="1803"/>
      <c r="M451" s="1699" t="s">
        <v>385</v>
      </c>
      <c r="N451" s="1801"/>
      <c r="S451" s="1801"/>
      <c r="T451" s="1699">
        <v>1</v>
      </c>
      <c r="U451" s="1803">
        <f>T451*L451</f>
        <v>0</v>
      </c>
      <c r="V451" s="1809" t="s">
        <v>8</v>
      </c>
      <c r="W451" s="1809" t="s">
        <v>8</v>
      </c>
      <c r="X451" s="1810"/>
      <c r="Y451" s="1816" t="s">
        <v>1520</v>
      </c>
    </row>
    <row r="452" spans="1:25" ht="12" x14ac:dyDescent="0.2">
      <c r="A452" s="780"/>
      <c r="B452" s="4"/>
      <c r="C452" s="4"/>
      <c r="D452" s="4"/>
      <c r="F452" s="7"/>
      <c r="G452" s="31"/>
      <c r="I452" s="31"/>
      <c r="J452" s="1772"/>
      <c r="K452" s="1772"/>
      <c r="L452" s="1746"/>
      <c r="M452" s="31"/>
      <c r="O452" s="38" t="s">
        <v>369</v>
      </c>
      <c r="P452" s="3" t="s">
        <v>370</v>
      </c>
      <c r="Q452" s="38" t="s">
        <v>369</v>
      </c>
      <c r="R452" s="1443">
        <v>420547003</v>
      </c>
      <c r="Y452" s="1817"/>
    </row>
    <row r="453" spans="1:25" ht="12" x14ac:dyDescent="0.2">
      <c r="A453" s="780"/>
      <c r="B453" s="4"/>
      <c r="C453" s="4"/>
      <c r="D453" s="4"/>
      <c r="F453" s="7"/>
      <c r="G453" s="31"/>
      <c r="I453" s="31"/>
      <c r="J453" s="1772"/>
      <c r="K453" s="1772"/>
      <c r="L453" s="1746"/>
      <c r="M453" s="31"/>
      <c r="O453" s="38"/>
      <c r="P453" s="3"/>
      <c r="Q453" s="38"/>
      <c r="R453" s="1443"/>
      <c r="Y453" s="1817"/>
    </row>
    <row r="454" spans="1:25" ht="12.6" thickBot="1" x14ac:dyDescent="0.3">
      <c r="A454" s="1818"/>
      <c r="B454" s="1782"/>
      <c r="C454" s="1102"/>
      <c r="D454" s="1102"/>
      <c r="E454" s="1775"/>
      <c r="F454" s="893"/>
      <c r="G454" s="893"/>
      <c r="H454" s="1102"/>
      <c r="I454" s="893"/>
      <c r="J454" s="1776"/>
      <c r="K454" s="1776"/>
      <c r="L454" s="1777"/>
      <c r="M454" s="893"/>
      <c r="N454" s="1775"/>
      <c r="O454" s="888"/>
      <c r="P454" s="889"/>
      <c r="Q454" s="888"/>
      <c r="R454" s="1661"/>
      <c r="S454" s="1775"/>
      <c r="T454" s="893"/>
      <c r="U454" s="1102"/>
      <c r="V454" s="1777"/>
      <c r="W454" s="1812"/>
      <c r="X454" s="1713"/>
      <c r="Y454" s="1819"/>
    </row>
    <row r="455" spans="1:25" ht="12" x14ac:dyDescent="0.2">
      <c r="A455" s="1699">
        <f>A451+1</f>
        <v>46</v>
      </c>
      <c r="B455" s="7" t="s">
        <v>2170</v>
      </c>
      <c r="C455" s="173"/>
      <c r="D455" s="116"/>
      <c r="E455" s="193"/>
      <c r="F455" s="173"/>
      <c r="G455" s="173"/>
      <c r="I455" s="114"/>
      <c r="J455" s="116"/>
      <c r="K455" s="116"/>
      <c r="L455" s="116"/>
      <c r="M455" s="177"/>
      <c r="N455" s="193"/>
      <c r="O455" s="177"/>
      <c r="P455" s="177"/>
      <c r="Q455" s="177"/>
      <c r="R455" s="1449"/>
      <c r="S455" s="193"/>
      <c r="T455" s="116">
        <v>1</v>
      </c>
      <c r="U455" s="116"/>
      <c r="V455" s="116"/>
      <c r="W455" s="116"/>
      <c r="X455" s="116"/>
      <c r="Y455" s="1449"/>
    </row>
    <row r="456" spans="1:25" ht="12" x14ac:dyDescent="0.2">
      <c r="B456" s="7"/>
      <c r="C456" s="7"/>
      <c r="D456" s="7" t="s">
        <v>2090</v>
      </c>
      <c r="E456" s="14"/>
      <c r="F456" s="7"/>
      <c r="G456" s="7"/>
      <c r="I456" s="8"/>
      <c r="J456" s="3"/>
      <c r="K456" s="3"/>
      <c r="L456" s="3"/>
      <c r="M456" s="5"/>
      <c r="N456" s="14"/>
      <c r="O456" s="38" t="s">
        <v>369</v>
      </c>
      <c r="P456" s="3" t="s">
        <v>370</v>
      </c>
      <c r="Q456" s="38" t="s">
        <v>369</v>
      </c>
      <c r="R456" s="1443" t="s">
        <v>2370</v>
      </c>
      <c r="S456" s="14"/>
      <c r="T456" s="3"/>
      <c r="U456" s="3"/>
      <c r="V456" s="38" t="s">
        <v>369</v>
      </c>
      <c r="W456" s="354"/>
      <c r="Y456" s="354"/>
    </row>
    <row r="457" spans="1:25" ht="12" x14ac:dyDescent="0.2">
      <c r="B457" s="7"/>
      <c r="C457" s="7"/>
      <c r="D457" s="7" t="s">
        <v>2171</v>
      </c>
      <c r="E457" s="14"/>
      <c r="F457" s="7"/>
      <c r="G457" s="7"/>
      <c r="I457" s="8"/>
      <c r="J457" s="3"/>
      <c r="K457" s="3"/>
      <c r="L457" s="3"/>
      <c r="M457" s="5"/>
      <c r="N457" s="14"/>
      <c r="O457" s="38" t="s">
        <v>369</v>
      </c>
      <c r="P457" s="3" t="s">
        <v>1959</v>
      </c>
      <c r="Q457" s="38" t="s">
        <v>369</v>
      </c>
      <c r="R457" s="1443" t="s">
        <v>2391</v>
      </c>
      <c r="S457" s="14"/>
      <c r="T457" s="3"/>
      <c r="U457" s="3"/>
      <c r="V457" s="38" t="s">
        <v>369</v>
      </c>
      <c r="W457" s="354"/>
      <c r="Y457" s="354"/>
    </row>
    <row r="458" spans="1:25" ht="12" x14ac:dyDescent="0.2">
      <c r="B458" s="7"/>
      <c r="C458" s="7"/>
      <c r="D458" s="3"/>
      <c r="E458" s="14"/>
      <c r="F458" s="7"/>
      <c r="G458" s="7"/>
      <c r="I458" s="8"/>
      <c r="J458" s="3"/>
      <c r="K458" s="3"/>
      <c r="L458" s="3"/>
      <c r="M458" s="5"/>
      <c r="N458" s="14"/>
      <c r="O458" s="38" t="s">
        <v>369</v>
      </c>
      <c r="P458" s="3" t="s">
        <v>373</v>
      </c>
      <c r="Q458" s="38" t="s">
        <v>369</v>
      </c>
      <c r="R458" s="1443" t="s">
        <v>2371</v>
      </c>
      <c r="S458" s="14"/>
      <c r="T458" s="3"/>
      <c r="U458" s="3"/>
      <c r="V458" s="38" t="s">
        <v>369</v>
      </c>
      <c r="W458" s="354"/>
      <c r="Y458" s="354"/>
    </row>
    <row r="459" spans="1:25" ht="12.6" thickBot="1" x14ac:dyDescent="0.25">
      <c r="A459" s="893"/>
      <c r="B459" s="924"/>
      <c r="C459" s="924"/>
      <c r="D459" s="889"/>
      <c r="E459" s="948"/>
      <c r="F459" s="924"/>
      <c r="G459" s="924"/>
      <c r="H459" s="1102"/>
      <c r="I459" s="949"/>
      <c r="J459" s="889"/>
      <c r="K459" s="889"/>
      <c r="L459" s="889"/>
      <c r="M459" s="945"/>
      <c r="N459" s="948"/>
      <c r="O459" s="888" t="s">
        <v>1252</v>
      </c>
      <c r="P459" s="889" t="s">
        <v>375</v>
      </c>
      <c r="Q459" s="888" t="s">
        <v>1252</v>
      </c>
      <c r="R459" s="1444">
        <v>420717133</v>
      </c>
      <c r="S459" s="948"/>
      <c r="T459" s="889"/>
      <c r="U459" s="889"/>
      <c r="V459" s="888" t="s">
        <v>369</v>
      </c>
      <c r="W459" s="1102"/>
      <c r="X459" s="1713"/>
      <c r="Y459" s="1102"/>
    </row>
    <row r="460" spans="1:25" ht="12" x14ac:dyDescent="0.25">
      <c r="B460" s="845"/>
      <c r="F460" s="31"/>
      <c r="G460" s="31"/>
      <c r="I460" s="31"/>
      <c r="J460" s="1772"/>
      <c r="K460" s="1772"/>
      <c r="L460" s="1746"/>
      <c r="M460" s="31"/>
      <c r="O460" s="38"/>
      <c r="P460" s="3"/>
      <c r="Q460" s="38"/>
      <c r="R460" s="1574"/>
    </row>
    <row r="461" spans="1:25" x14ac:dyDescent="0.2">
      <c r="A461" s="31">
        <f>COUNTA(B210:B460)</f>
        <v>46</v>
      </c>
      <c r="B461" s="1706" t="s">
        <v>1698</v>
      </c>
      <c r="F461" s="31"/>
      <c r="G461" s="31"/>
      <c r="H461" s="31"/>
      <c r="I461" s="31"/>
      <c r="J461" s="1772"/>
      <c r="K461" s="1772"/>
      <c r="M461" s="31"/>
      <c r="R461" s="1574"/>
    </row>
    <row r="462" spans="1:25" x14ac:dyDescent="0.2">
      <c r="F462" s="31"/>
      <c r="G462" s="31"/>
      <c r="H462" s="31"/>
      <c r="I462" s="31"/>
      <c r="J462" s="1772"/>
      <c r="K462" s="1772"/>
      <c r="M462" s="31"/>
      <c r="R462" s="1574"/>
    </row>
    <row r="463" spans="1:25" x14ac:dyDescent="0.2">
      <c r="F463" s="31"/>
      <c r="G463" s="31"/>
      <c r="H463" s="31"/>
      <c r="I463" s="31"/>
      <c r="J463" s="1772"/>
      <c r="K463" s="1772"/>
      <c r="M463" s="31"/>
      <c r="R463" s="31"/>
    </row>
  </sheetData>
  <sheetProtection algorithmName="SHA-512" hashValue="esCiJeLR8jFrg9FECvs++ezxjDysbnBujxCfHpJZPbpELV4lj50GFoUUGEKEKfFTfYDAKPC+cGqy9SImLqVvMw==" saltValue="wW3pMlpdNVlCf6hlnNX3+w==" spinCount="100000" sheet="1" objects="1" scenarios="1"/>
  <mergeCells count="3">
    <mergeCell ref="A6:D6"/>
    <mergeCell ref="F4:J4"/>
    <mergeCell ref="O4:R4"/>
  </mergeCells>
  <phoneticPr fontId="27" type="noConversion"/>
  <pageMargins left="0.25" right="0.25" top="0.5" bottom="0.5" header="0" footer="0"/>
  <pageSetup scale="74" fitToHeight="3" orientation="landscape" r:id="rId1"/>
  <headerFooter alignWithMargins="0">
    <oddFooter>&amp;L&amp;Z&amp;F&amp;RPrinted: &amp;D</oddFooter>
  </headerFooter>
  <rowBreaks count="1" manualBreakCount="1">
    <brk id="84" max="24" man="1"/>
  </rowBreaks>
  <ignoredErrors>
    <ignoredError sqref="R16:R21 R267:R268 R403:R404 R461:R463 R171:R173 R187:R188 R244 R410:R415 R30:R35 R42:R43 R56:R57 R70:R71 R85 R92:R93 R103 R110:R111 R117 R124:R125 R131:R132 R237:R240 R260:R261 R274 R281 R288 R330 R337 R346 R382:R387 R421 R427 R393:R394 R90 R14 R136 R138:R142 R148:R154 R159:R166 R207:R209 R232 R293 R297 R301 R306:R307 R23 R45 R59 R73 R95:R96 R113 R127 R134 R156 R168 R175 R190 R242 R263 R270 R311:R312 R316:R317 R321 R389 R396 R406 R417 R423 R429 R314 R309 R319" numberStoredAsText="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I826"/>
  <sheetViews>
    <sheetView workbookViewId="0">
      <selection activeCell="A82" sqref="A82"/>
    </sheetView>
  </sheetViews>
  <sheetFormatPr defaultColWidth="9" defaultRowHeight="13.2" x14ac:dyDescent="0.25"/>
  <cols>
    <col min="1" max="1" width="9" style="86"/>
    <col min="2" max="2" width="38.69921875" style="86" customWidth="1"/>
    <col min="3" max="3" width="12.09765625" style="86" bestFit="1" customWidth="1"/>
    <col min="4" max="4" width="9" style="86"/>
    <col min="5" max="5" width="10.09765625" style="86" bestFit="1" customWidth="1"/>
    <col min="6" max="6" width="16" style="86" customWidth="1"/>
    <col min="7" max="7" width="40.59765625" style="86" customWidth="1"/>
    <col min="8" max="8" width="2.59765625" style="86" customWidth="1"/>
    <col min="9" max="9" width="24.5" style="86" customWidth="1"/>
    <col min="10" max="10" width="6.09765625" style="86" bestFit="1" customWidth="1"/>
    <col min="11" max="11" width="8" style="86" customWidth="1"/>
    <col min="12" max="12" width="10.5" style="86" customWidth="1"/>
    <col min="13" max="13" width="9" style="86"/>
    <col min="14" max="14" width="12.09765625" style="86" customWidth="1"/>
    <col min="15" max="15" width="9" style="88"/>
    <col min="16" max="16" width="1.8984375" style="86" bestFit="1" customWidth="1"/>
    <col min="17" max="17" width="6.09765625" style="245" bestFit="1" customWidth="1"/>
    <col min="18" max="18" width="1.8984375" style="245" bestFit="1" customWidth="1"/>
    <col min="19" max="19" width="5.59765625" style="245" bestFit="1" customWidth="1"/>
    <col min="20" max="20" width="1.8984375" style="245" bestFit="1" customWidth="1"/>
    <col min="21" max="21" width="4.8984375" style="245" bestFit="1" customWidth="1"/>
    <col min="22" max="16384" width="9" style="86"/>
  </cols>
  <sheetData>
    <row r="1" spans="2:21" ht="50.25" customHeight="1" x14ac:dyDescent="0.4">
      <c r="B1" s="238" t="s">
        <v>1699</v>
      </c>
      <c r="C1" s="290"/>
      <c r="D1" s="290"/>
      <c r="E1" s="290"/>
      <c r="F1" s="290"/>
      <c r="G1" s="290"/>
      <c r="H1" s="1332"/>
      <c r="I1" s="290"/>
      <c r="J1" s="290"/>
      <c r="K1" s="290"/>
      <c r="L1" s="290"/>
      <c r="M1" s="290"/>
      <c r="N1" s="290"/>
      <c r="O1" s="289"/>
      <c r="P1" s="290"/>
      <c r="Q1" s="322"/>
      <c r="R1" s="322"/>
      <c r="S1" s="322"/>
      <c r="T1" s="322"/>
      <c r="U1" s="322"/>
    </row>
    <row r="2" spans="2:21" ht="13.8" thickBot="1" x14ac:dyDescent="0.3">
      <c r="B2" s="244" t="s">
        <v>1700</v>
      </c>
      <c r="C2" s="1333"/>
      <c r="D2" s="1333"/>
      <c r="E2" s="1333"/>
      <c r="F2" s="1333"/>
      <c r="G2" s="1333"/>
      <c r="H2" s="1332"/>
      <c r="I2" s="290"/>
      <c r="J2" s="290"/>
      <c r="K2" s="290"/>
      <c r="L2" s="290"/>
      <c r="M2" s="290"/>
      <c r="N2" s="290"/>
      <c r="O2" s="289"/>
      <c r="P2" s="290"/>
      <c r="Q2" s="322"/>
      <c r="R2" s="322"/>
      <c r="S2" s="322"/>
      <c r="T2" s="322"/>
      <c r="U2" s="322"/>
    </row>
    <row r="3" spans="2:21" ht="13.8" thickTop="1" x14ac:dyDescent="0.25">
      <c r="B3" s="875" t="s">
        <v>1701</v>
      </c>
      <c r="C3" s="322">
        <f>'Single Hung'!SHWidth</f>
        <v>38.5625</v>
      </c>
      <c r="D3" s="290"/>
      <c r="E3" s="290"/>
      <c r="F3" s="290"/>
      <c r="G3" s="290"/>
      <c r="H3" s="1332"/>
      <c r="I3" s="290"/>
      <c r="J3" s="290"/>
      <c r="K3" s="290"/>
      <c r="L3" s="290"/>
      <c r="M3" s="290"/>
      <c r="N3" s="290"/>
      <c r="O3" s="289"/>
      <c r="P3" s="290"/>
      <c r="Q3" s="322"/>
      <c r="R3" s="322"/>
      <c r="S3" s="322"/>
      <c r="T3" s="322"/>
      <c r="U3" s="322"/>
    </row>
    <row r="4" spans="2:21" x14ac:dyDescent="0.25">
      <c r="B4" s="875" t="s">
        <v>1702</v>
      </c>
      <c r="C4" s="322">
        <f>'Single Hung'!SHHeight</f>
        <v>74</v>
      </c>
      <c r="D4" s="290"/>
      <c r="E4" s="1334"/>
      <c r="F4" s="876" t="s">
        <v>1703</v>
      </c>
      <c r="G4" s="290"/>
      <c r="H4" s="1332"/>
      <c r="I4" s="289"/>
      <c r="J4" s="289"/>
      <c r="K4" s="1312"/>
      <c r="L4" s="1312"/>
      <c r="M4" s="290"/>
      <c r="N4" s="290"/>
      <c r="O4" s="289"/>
      <c r="P4" s="290"/>
      <c r="Q4" s="322"/>
      <c r="R4" s="322"/>
      <c r="S4" s="322"/>
      <c r="T4" s="322"/>
      <c r="U4" s="322"/>
    </row>
    <row r="5" spans="2:21" x14ac:dyDescent="0.25">
      <c r="B5" s="875" t="s">
        <v>1704</v>
      </c>
      <c r="C5" s="322">
        <f>'Single Hung'!SHCORnd</f>
        <v>0</v>
      </c>
      <c r="D5" s="290"/>
      <c r="E5" s="1335"/>
      <c r="F5" s="876" t="s">
        <v>1705</v>
      </c>
      <c r="G5" s="290"/>
      <c r="H5" s="1332"/>
      <c r="I5" s="896" t="s">
        <v>1706</v>
      </c>
      <c r="J5" s="290"/>
      <c r="K5" s="290"/>
      <c r="L5" s="290"/>
      <c r="M5" s="1332"/>
      <c r="N5" s="896" t="s">
        <v>1707</v>
      </c>
      <c r="O5" s="289"/>
      <c r="P5" s="290"/>
      <c r="Q5" s="322"/>
      <c r="R5" s="322"/>
      <c r="S5" s="322"/>
      <c r="T5" s="322"/>
      <c r="U5" s="322"/>
    </row>
    <row r="6" spans="2:21" x14ac:dyDescent="0.25">
      <c r="B6" s="875" t="s">
        <v>1708</v>
      </c>
      <c r="C6" s="322">
        <f>SHSashW</f>
        <v>36</v>
      </c>
      <c r="D6" s="876" t="s">
        <v>1709</v>
      </c>
      <c r="E6" s="290"/>
      <c r="F6" s="290"/>
      <c r="G6" s="290"/>
      <c r="H6" s="1332"/>
      <c r="I6" s="290"/>
      <c r="J6" s="290"/>
      <c r="K6" s="396" t="s">
        <v>1710</v>
      </c>
      <c r="L6" s="290"/>
      <c r="M6" s="1332"/>
      <c r="N6" s="290"/>
      <c r="O6" s="289"/>
      <c r="P6" s="290"/>
      <c r="Q6" s="322"/>
      <c r="R6" s="322"/>
      <c r="S6" s="322"/>
      <c r="T6" s="322"/>
      <c r="U6" s="322"/>
    </row>
    <row r="7" spans="2:21" x14ac:dyDescent="0.25">
      <c r="B7" s="875" t="s">
        <v>1711</v>
      </c>
      <c r="C7" s="322">
        <f>SHSashH</f>
        <v>36</v>
      </c>
      <c r="D7" s="876" t="s">
        <v>1712</v>
      </c>
      <c r="E7" s="290"/>
      <c r="F7" s="290"/>
      <c r="G7" s="290"/>
      <c r="H7" s="1332"/>
      <c r="I7" s="896" t="s">
        <v>1713</v>
      </c>
      <c r="J7" s="246" t="s">
        <v>1714</v>
      </c>
      <c r="K7" s="246" t="s">
        <v>1715</v>
      </c>
      <c r="L7" s="246" t="s">
        <v>1716</v>
      </c>
      <c r="M7" s="1332"/>
      <c r="N7" s="922" t="s">
        <v>1717</v>
      </c>
      <c r="O7" s="322">
        <f>SUM(Q7:U7)</f>
        <v>40.410001085069446</v>
      </c>
      <c r="P7" s="876" t="s">
        <v>352</v>
      </c>
      <c r="Q7" s="322">
        <f>L18</f>
        <v>20.926784939236111</v>
      </c>
      <c r="R7" s="409" t="s">
        <v>348</v>
      </c>
      <c r="S7" s="322">
        <f>C39</f>
        <v>19.483216145833335</v>
      </c>
      <c r="T7" s="322"/>
      <c r="U7" s="322"/>
    </row>
    <row r="8" spans="2:21" x14ac:dyDescent="0.25">
      <c r="B8" s="875" t="s">
        <v>1718</v>
      </c>
      <c r="C8" s="922" t="str">
        <f>'Single Hung'!E6</f>
        <v>01-Double: 2.5mm &amp; 2.5mm</v>
      </c>
      <c r="D8" s="290"/>
      <c r="E8" s="290"/>
      <c r="F8" s="290"/>
      <c r="G8" s="290"/>
      <c r="H8" s="1332"/>
      <c r="I8" s="897" t="s">
        <v>403</v>
      </c>
      <c r="J8" s="1336">
        <f>'Single Hung'!S319/12</f>
        <v>3.234375</v>
      </c>
      <c r="K8" s="1336">
        <f>'Single Hung'!AH318</f>
        <v>0.61225999999999992</v>
      </c>
      <c r="L8" s="322">
        <f t="shared" ref="L8:L14" si="0">J8*K8</f>
        <v>1.9802784374999998</v>
      </c>
      <c r="M8" s="1332"/>
      <c r="N8" s="922" t="s">
        <v>1719</v>
      </c>
      <c r="O8" s="322">
        <f>SUM(Q8:U8)</f>
        <v>17.150883335208331</v>
      </c>
      <c r="P8" s="876" t="s">
        <v>352</v>
      </c>
      <c r="Q8" s="322">
        <f>SUM(L8:L13)</f>
        <v>13.638573517708332</v>
      </c>
      <c r="R8" s="409" t="s">
        <v>348</v>
      </c>
      <c r="S8" s="322">
        <f>F22</f>
        <v>3.5123098174999998</v>
      </c>
      <c r="T8" s="322"/>
      <c r="U8" s="322"/>
    </row>
    <row r="9" spans="2:21" x14ac:dyDescent="0.25">
      <c r="B9" s="875" t="s">
        <v>1309</v>
      </c>
      <c r="C9" s="322">
        <f>SHSashGW</f>
        <v>33.499499999999998</v>
      </c>
      <c r="D9" s="876" t="s">
        <v>1720</v>
      </c>
      <c r="E9" s="290"/>
      <c r="F9" s="290"/>
      <c r="G9" s="290"/>
      <c r="H9" s="1332"/>
      <c r="I9" s="897" t="s">
        <v>390</v>
      </c>
      <c r="J9" s="1336">
        <f>'Single Hung'!S265/12</f>
        <v>3.234375</v>
      </c>
      <c r="K9" s="1336">
        <f>'Single Hung'!AH264</f>
        <v>0.6786724999999999</v>
      </c>
      <c r="L9" s="322">
        <f t="shared" si="0"/>
        <v>2.1950813671874996</v>
      </c>
      <c r="M9" s="1332"/>
      <c r="N9" s="922" t="s">
        <v>1721</v>
      </c>
      <c r="O9" s="322">
        <f>SUM(Q9:U9)</f>
        <v>0.5907</v>
      </c>
      <c r="P9" s="876" t="s">
        <v>352</v>
      </c>
      <c r="Q9" s="322">
        <f>L14</f>
        <v>0.5907</v>
      </c>
      <c r="R9" s="322"/>
      <c r="S9" s="322"/>
      <c r="T9" s="322"/>
      <c r="U9" s="322"/>
    </row>
    <row r="10" spans="2:21" x14ac:dyDescent="0.25">
      <c r="B10" s="875" t="s">
        <v>1311</v>
      </c>
      <c r="C10" s="322">
        <f>SHSashGH</f>
        <v>33.5</v>
      </c>
      <c r="D10" s="876" t="s">
        <v>1722</v>
      </c>
      <c r="E10" s="290"/>
      <c r="F10" s="290"/>
      <c r="G10" s="290"/>
      <c r="H10" s="1332"/>
      <c r="I10" s="897" t="s">
        <v>1723</v>
      </c>
      <c r="J10" s="1336">
        <f>('Single Hung'!S220/12)*2</f>
        <v>12.375</v>
      </c>
      <c r="K10" s="1336">
        <f>'Single Hung'!AH219</f>
        <v>0.6786724999999999</v>
      </c>
      <c r="L10" s="322">
        <f t="shared" si="0"/>
        <v>8.3985721874999992</v>
      </c>
      <c r="M10" s="1332"/>
      <c r="N10" s="290" t="s">
        <v>1724</v>
      </c>
      <c r="O10" s="877">
        <f>SUM(Q10:U10)</f>
        <v>3.3588666666666667</v>
      </c>
      <c r="P10" s="876" t="s">
        <v>352</v>
      </c>
      <c r="Q10" s="322">
        <f>L15</f>
        <v>1.375</v>
      </c>
      <c r="R10" s="409" t="s">
        <v>348</v>
      </c>
      <c r="S10" s="322">
        <f>E32</f>
        <v>1.3860000000000001</v>
      </c>
      <c r="T10" s="409" t="s">
        <v>348</v>
      </c>
      <c r="U10" s="322">
        <f>L26</f>
        <v>0.59786666666666677</v>
      </c>
    </row>
    <row r="11" spans="2:21" x14ac:dyDescent="0.25">
      <c r="B11" s="1337" t="s">
        <v>1725</v>
      </c>
      <c r="C11" s="1312">
        <f>'Single Hung'!AtolbperftSH</f>
        <v>0.63249999999999995</v>
      </c>
      <c r="D11" s="876" t="s">
        <v>2336</v>
      </c>
      <c r="E11" s="290"/>
      <c r="F11" s="290"/>
      <c r="G11" s="290"/>
      <c r="H11" s="1332"/>
      <c r="I11" s="897" t="s">
        <v>1726</v>
      </c>
      <c r="J11" s="1336">
        <f>'Single Hung'!S396/12</f>
        <v>2.9167083333333337</v>
      </c>
      <c r="K11" s="1336">
        <f>'Single Hung'!AH396</f>
        <v>0.2941125</v>
      </c>
      <c r="L11" s="322">
        <f t="shared" si="0"/>
        <v>0.85784037968750015</v>
      </c>
      <c r="M11" s="1332"/>
      <c r="N11" s="322"/>
      <c r="O11" s="322">
        <f>SUM(O7:O10)</f>
        <v>61.510451086944435</v>
      </c>
      <c r="P11" s="922"/>
      <c r="Q11" s="322"/>
      <c r="R11" s="322"/>
      <c r="S11" s="322"/>
      <c r="T11" s="322"/>
      <c r="U11" s="322"/>
    </row>
    <row r="12" spans="2:21" ht="16.5" customHeight="1" thickBot="1" x14ac:dyDescent="0.3">
      <c r="B12" s="1337" t="s">
        <v>1727</v>
      </c>
      <c r="C12" s="1312">
        <f>C11/12</f>
        <v>5.2708333333333329E-2</v>
      </c>
      <c r="D12" s="876" t="s">
        <v>2335</v>
      </c>
      <c r="E12" s="1338"/>
      <c r="F12" s="290"/>
      <c r="G12" s="290"/>
      <c r="H12" s="1332"/>
      <c r="I12" s="897" t="s">
        <v>1728</v>
      </c>
      <c r="J12" s="1336">
        <f>('Single Hung'!S409/12)*2</f>
        <v>5.8542500000000004</v>
      </c>
      <c r="K12" s="1336">
        <f>'Single Hung'!AH409</f>
        <v>1.771E-2</v>
      </c>
      <c r="L12" s="322">
        <f t="shared" si="0"/>
        <v>0.1036787675</v>
      </c>
      <c r="M12" s="1332"/>
      <c r="N12" s="923" t="s">
        <v>1729</v>
      </c>
      <c r="O12" s="894">
        <v>1</v>
      </c>
      <c r="P12" s="290"/>
      <c r="Q12" s="322"/>
      <c r="R12" s="322"/>
      <c r="S12" s="322"/>
      <c r="T12" s="322"/>
      <c r="U12" s="322"/>
    </row>
    <row r="13" spans="2:21" ht="16.5" customHeight="1" x14ac:dyDescent="0.25">
      <c r="B13" s="1337"/>
      <c r="C13" s="322"/>
      <c r="D13" s="290"/>
      <c r="E13" s="1338"/>
      <c r="F13" s="290"/>
      <c r="G13" s="290"/>
      <c r="H13" s="1332"/>
      <c r="I13" s="897" t="s">
        <v>1730</v>
      </c>
      <c r="J13" s="1336">
        <f>('Single Hung'!S427/12)*2</f>
        <v>5.8228333333333326</v>
      </c>
      <c r="K13" s="1336">
        <f>'Single Hung'!AH427</f>
        <v>1.771E-2</v>
      </c>
      <c r="L13" s="322">
        <f t="shared" si="0"/>
        <v>0.10312237833333332</v>
      </c>
      <c r="M13" s="1332"/>
      <c r="N13" s="322"/>
      <c r="O13" s="322">
        <f>SUM(O11:O12)</f>
        <v>62.510451086944435</v>
      </c>
      <c r="P13" s="922"/>
      <c r="Q13" s="322" t="s">
        <v>1731</v>
      </c>
      <c r="R13" s="322"/>
      <c r="S13" s="322"/>
      <c r="T13" s="322"/>
      <c r="U13" s="322"/>
    </row>
    <row r="14" spans="2:21" ht="16.5" customHeight="1" thickBot="1" x14ac:dyDescent="0.3">
      <c r="B14" s="244" t="s">
        <v>1732</v>
      </c>
      <c r="C14" s="1333"/>
      <c r="D14" s="1333"/>
      <c r="E14" s="1333"/>
      <c r="F14" s="1333"/>
      <c r="G14" s="1333"/>
      <c r="H14" s="1332"/>
      <c r="I14" s="897" t="s">
        <v>1733</v>
      </c>
      <c r="J14" s="1336">
        <f>'Single Hung'!S465/12</f>
        <v>2.75</v>
      </c>
      <c r="K14" s="1339">
        <f>'Single Hung'!AH465</f>
        <v>0.21479999999999999</v>
      </c>
      <c r="L14" s="322">
        <f t="shared" si="0"/>
        <v>0.5907</v>
      </c>
      <c r="M14" s="1332"/>
      <c r="N14" s="290"/>
      <c r="O14" s="289"/>
      <c r="P14" s="290"/>
      <c r="Q14" s="322"/>
      <c r="R14" s="322"/>
      <c r="S14" s="322"/>
      <c r="T14" s="322"/>
      <c r="U14" s="322"/>
    </row>
    <row r="15" spans="2:21" ht="13.8" thickTop="1" x14ac:dyDescent="0.25">
      <c r="B15" s="290"/>
      <c r="C15" s="246" t="s">
        <v>1714</v>
      </c>
      <c r="D15" s="246" t="s">
        <v>1715</v>
      </c>
      <c r="E15" s="247" t="s">
        <v>1734</v>
      </c>
      <c r="F15" s="246" t="s">
        <v>1735</v>
      </c>
      <c r="G15" s="290"/>
      <c r="H15" s="1332"/>
      <c r="I15" s="897" t="s">
        <v>1736</v>
      </c>
      <c r="J15" s="290"/>
      <c r="K15" s="290"/>
      <c r="L15" s="899">
        <v>1.375</v>
      </c>
      <c r="M15" s="1332"/>
      <c r="N15" s="322"/>
      <c r="O15" s="322"/>
      <c r="P15" s="922"/>
      <c r="Q15" s="322"/>
      <c r="R15" s="322"/>
      <c r="S15" s="322"/>
      <c r="T15" s="322"/>
      <c r="U15" s="322"/>
    </row>
    <row r="16" spans="2:21" x14ac:dyDescent="0.25">
      <c r="B16" s="290" t="s">
        <v>851</v>
      </c>
      <c r="C16" s="322">
        <f>'Single Hung'!S843/12</f>
        <v>3.0208333333333335</v>
      </c>
      <c r="D16" s="322">
        <f>E16*$C$11</f>
        <v>0.30106999999999995</v>
      </c>
      <c r="E16" s="1340">
        <v>0.47599999999999998</v>
      </c>
      <c r="F16" s="322">
        <f t="shared" ref="F16:F21" si="1">D16*C16</f>
        <v>0.90948229166666661</v>
      </c>
      <c r="G16" s="290"/>
      <c r="H16" s="1332"/>
      <c r="I16" s="897"/>
      <c r="J16" s="322"/>
      <c r="K16" s="898" t="s">
        <v>1737</v>
      </c>
      <c r="L16" s="322">
        <f>SUM(L8:L15)</f>
        <v>15.604273517708332</v>
      </c>
      <c r="M16" s="1332"/>
      <c r="N16" s="322"/>
      <c r="O16" s="322"/>
      <c r="P16" s="922"/>
      <c r="Q16" s="322"/>
      <c r="R16" s="322"/>
      <c r="S16" s="322"/>
      <c r="T16" s="322"/>
      <c r="U16" s="322"/>
    </row>
    <row r="17" spans="2:16" x14ac:dyDescent="0.25">
      <c r="B17" s="290" t="s">
        <v>847</v>
      </c>
      <c r="C17" s="322">
        <f>C16</f>
        <v>3.0208333333333335</v>
      </c>
      <c r="D17" s="322">
        <f t="shared" ref="D17:D21" si="2">E17*$C$11</f>
        <v>0.31118999999999997</v>
      </c>
      <c r="E17" s="1340">
        <v>0.49199999999999999</v>
      </c>
      <c r="F17" s="322">
        <f t="shared" si="1"/>
        <v>0.94005312499999993</v>
      </c>
      <c r="G17" s="290"/>
      <c r="H17" s="1332"/>
      <c r="I17" s="290"/>
      <c r="J17" s="290"/>
      <c r="K17" s="290"/>
      <c r="L17" s="290"/>
      <c r="M17" s="1332"/>
      <c r="N17" s="322"/>
      <c r="O17" s="322"/>
      <c r="P17" s="922"/>
    </row>
    <row r="18" spans="2:16" x14ac:dyDescent="0.25">
      <c r="B18" s="290" t="s">
        <v>841</v>
      </c>
      <c r="C18" s="322">
        <f>'Single Hung'!S802/12*2</f>
        <v>6.041666666666667</v>
      </c>
      <c r="D18" s="322">
        <f t="shared" si="2"/>
        <v>0.25046999999999997</v>
      </c>
      <c r="E18" s="1340">
        <v>0.39600000000000002</v>
      </c>
      <c r="F18" s="322">
        <f t="shared" si="1"/>
        <v>1.51325625</v>
      </c>
      <c r="G18" s="290"/>
      <c r="H18" s="1332"/>
      <c r="I18" s="896" t="s">
        <v>1738</v>
      </c>
      <c r="J18" s="290"/>
      <c r="K18" s="290"/>
      <c r="L18" s="877">
        <f>SHTGW*SHTGH*_SHSGlbpersqin</f>
        <v>20.926784939236111</v>
      </c>
      <c r="M18" s="1332"/>
      <c r="N18" s="290"/>
      <c r="O18" s="289"/>
      <c r="P18" s="290"/>
    </row>
    <row r="19" spans="2:16" x14ac:dyDescent="0.25">
      <c r="B19" s="290" t="s">
        <v>1739</v>
      </c>
      <c r="C19" s="322">
        <f>'Single Hung'!S866/12</f>
        <v>2.8124583333333333</v>
      </c>
      <c r="D19" s="322">
        <f t="shared" si="2"/>
        <v>1.771E-2</v>
      </c>
      <c r="E19" s="1340">
        <v>2.8000000000000001E-2</v>
      </c>
      <c r="F19" s="322">
        <f t="shared" si="1"/>
        <v>4.9808637083333329E-2</v>
      </c>
      <c r="G19" s="290"/>
      <c r="H19" s="1332"/>
      <c r="I19" s="290"/>
      <c r="J19" s="290"/>
      <c r="K19" s="290"/>
      <c r="L19" s="290"/>
      <c r="M19" s="1332"/>
      <c r="N19" s="290"/>
      <c r="O19" s="289"/>
      <c r="P19" s="290"/>
    </row>
    <row r="20" spans="2:16" x14ac:dyDescent="0.25">
      <c r="B20" s="290" t="s">
        <v>1740</v>
      </c>
      <c r="C20" s="322">
        <f>C19</f>
        <v>2.8124583333333333</v>
      </c>
      <c r="D20" s="322">
        <f t="shared" si="2"/>
        <v>1.771E-2</v>
      </c>
      <c r="E20" s="1340">
        <f>E19</f>
        <v>2.8000000000000001E-2</v>
      </c>
      <c r="F20" s="322">
        <f t="shared" si="1"/>
        <v>4.9808637083333329E-2</v>
      </c>
      <c r="G20" s="290"/>
      <c r="H20" s="1332"/>
      <c r="I20" s="290"/>
      <c r="J20" s="290"/>
      <c r="K20" s="898" t="s">
        <v>1741</v>
      </c>
      <c r="L20" s="322">
        <f>L16+L18</f>
        <v>36.531058456944443</v>
      </c>
      <c r="M20" s="1332"/>
      <c r="N20" s="290"/>
      <c r="O20" s="289"/>
      <c r="P20" s="290"/>
    </row>
    <row r="21" spans="2:16" x14ac:dyDescent="0.25">
      <c r="B21" s="290" t="s">
        <v>1742</v>
      </c>
      <c r="C21" s="322">
        <f>'Single Hung'!S887/12</f>
        <v>2.8176666666666663</v>
      </c>
      <c r="D21" s="322">
        <f t="shared" si="2"/>
        <v>1.771E-2</v>
      </c>
      <c r="E21" s="1340">
        <f>E19</f>
        <v>2.8000000000000001E-2</v>
      </c>
      <c r="F21" s="877">
        <f t="shared" si="1"/>
        <v>4.9900876666666663E-2</v>
      </c>
      <c r="G21" s="290"/>
      <c r="H21" s="1332"/>
      <c r="I21" s="290"/>
      <c r="J21" s="290"/>
      <c r="K21" s="290"/>
      <c r="L21" s="290"/>
      <c r="M21" s="1332"/>
      <c r="N21" s="290"/>
      <c r="O21" s="289"/>
      <c r="P21" s="290"/>
    </row>
    <row r="22" spans="2:16" x14ac:dyDescent="0.25">
      <c r="B22" s="290"/>
      <c r="C22" s="290"/>
      <c r="D22" s="290"/>
      <c r="E22" s="898" t="s">
        <v>1743</v>
      </c>
      <c r="F22" s="1341">
        <f>SUM(F16:F21)</f>
        <v>3.5123098174999998</v>
      </c>
      <c r="G22" s="290"/>
      <c r="H22" s="1332"/>
      <c r="I22" s="896" t="s">
        <v>1744</v>
      </c>
      <c r="J22" s="290"/>
      <c r="K22" s="290"/>
      <c r="L22" s="322">
        <f>D47</f>
        <v>27.153525963333337</v>
      </c>
      <c r="M22" s="1332"/>
      <c r="N22" s="290"/>
      <c r="O22" s="289"/>
      <c r="P22" s="290"/>
    </row>
    <row r="23" spans="2:16" x14ac:dyDescent="0.25">
      <c r="B23" s="290"/>
      <c r="C23" s="290"/>
      <c r="D23" s="290"/>
      <c r="E23" s="898"/>
      <c r="F23" s="324"/>
      <c r="G23" s="290"/>
      <c r="H23" s="1332"/>
      <c r="I23" s="290"/>
      <c r="J23" s="290"/>
      <c r="K23" s="290"/>
      <c r="L23" s="290"/>
      <c r="M23" s="1332"/>
      <c r="N23" s="290"/>
      <c r="O23" s="289"/>
      <c r="P23" s="290"/>
    </row>
    <row r="24" spans="2:16" ht="13.8" thickBot="1" x14ac:dyDescent="0.3">
      <c r="B24" s="244" t="s">
        <v>1745</v>
      </c>
      <c r="C24" s="249" t="s">
        <v>1357</v>
      </c>
      <c r="D24" s="249" t="s">
        <v>841</v>
      </c>
      <c r="E24" s="1333"/>
      <c r="F24" s="1333"/>
      <c r="G24" s="1333"/>
      <c r="H24" s="1332"/>
      <c r="I24" s="896" t="s">
        <v>1746</v>
      </c>
      <c r="J24" s="1336">
        <f>('Single Hung'!S1037/12)*2</f>
        <v>5.760416666666667</v>
      </c>
      <c r="K24" s="289">
        <v>5.1200000000000002E-2</v>
      </c>
      <c r="L24" s="322">
        <f>J24*K24</f>
        <v>0.29493333333333338</v>
      </c>
      <c r="M24" s="1332"/>
      <c r="N24" s="290"/>
      <c r="O24" s="289"/>
      <c r="P24" s="290"/>
    </row>
    <row r="25" spans="2:16" ht="13.8" thickTop="1" x14ac:dyDescent="0.25">
      <c r="B25" s="290" t="s">
        <v>1747</v>
      </c>
      <c r="C25" s="1342">
        <f>(F16+F17+F19+F20)/SHSashW</f>
        <v>5.4143130300925914E-2</v>
      </c>
      <c r="D25" s="1342">
        <f>(F18+F21)/SHSashH</f>
        <v>4.3421031296296292E-2</v>
      </c>
      <c r="E25" s="290" t="s">
        <v>1748</v>
      </c>
      <c r="F25" s="290"/>
      <c r="G25" s="290"/>
      <c r="H25" s="1332"/>
      <c r="I25" s="896" t="s">
        <v>1749</v>
      </c>
      <c r="J25" s="1336">
        <f>('Single Hung'!S1038/12)*2</f>
        <v>5.916666666666667</v>
      </c>
      <c r="K25" s="289">
        <v>5.1200000000000002E-2</v>
      </c>
      <c r="L25" s="877">
        <f>J25*K25</f>
        <v>0.30293333333333339</v>
      </c>
      <c r="M25" s="1343"/>
      <c r="N25" s="290"/>
      <c r="O25" s="289"/>
      <c r="P25" s="290"/>
    </row>
    <row r="26" spans="2:16" x14ac:dyDescent="0.25">
      <c r="B26" s="290" t="s">
        <v>1750</v>
      </c>
      <c r="C26" s="1312">
        <f>C25*SHSashW</f>
        <v>1.949152690833333</v>
      </c>
      <c r="D26" s="1312">
        <f>D25*SHSashH</f>
        <v>1.5631571266666664</v>
      </c>
      <c r="E26" s="290" t="s">
        <v>874</v>
      </c>
      <c r="F26" s="290"/>
      <c r="G26" s="290"/>
      <c r="H26" s="1332"/>
      <c r="I26" s="290"/>
      <c r="J26" s="290"/>
      <c r="K26" s="898" t="s">
        <v>1751</v>
      </c>
      <c r="L26" s="322">
        <f>SUM(L24:L25)</f>
        <v>0.59786666666666677</v>
      </c>
      <c r="M26" s="1343"/>
      <c r="N26" s="290"/>
      <c r="O26" s="289"/>
      <c r="P26" s="290"/>
    </row>
    <row r="27" spans="2:16" x14ac:dyDescent="0.25">
      <c r="B27" s="290"/>
      <c r="C27" s="290"/>
      <c r="D27" s="290"/>
      <c r="E27" s="290"/>
      <c r="F27" s="290"/>
      <c r="G27" s="290"/>
      <c r="H27" s="1332"/>
      <c r="I27" s="290"/>
      <c r="J27" s="290"/>
      <c r="K27" s="290"/>
      <c r="L27" s="290"/>
      <c r="M27" s="1343"/>
      <c r="N27" s="290"/>
      <c r="O27" s="289"/>
      <c r="P27" s="290"/>
    </row>
    <row r="28" spans="2:16" x14ac:dyDescent="0.25">
      <c r="B28" s="290" t="s">
        <v>1752</v>
      </c>
      <c r="C28" s="1341">
        <f>C26+D26</f>
        <v>3.5123098174999994</v>
      </c>
      <c r="D28" s="290" t="s">
        <v>874</v>
      </c>
      <c r="E28" s="290"/>
      <c r="F28" s="250" t="str">
        <f>"Vinyl Parts = (SHBSW*"&amp;FIXED(C25,3)&amp;")+(SHBSH*"&amp;FIXED(D25,3)&amp;")"</f>
        <v>Vinyl Parts = (SHBSW*0.054)+(SHBSH*0.043)</v>
      </c>
      <c r="G28" s="290"/>
      <c r="H28" s="1332"/>
      <c r="I28" s="290"/>
      <c r="J28" s="290"/>
      <c r="K28" s="203" t="str">
        <f>"Total Weight for "&amp;C3&amp;" x "&amp;C4&amp;" SH ="</f>
        <v>Total Weight for 38.5625 x 74 SH =</v>
      </c>
      <c r="L28" s="900">
        <f>L20+L22+L26</f>
        <v>64.282451086944448</v>
      </c>
      <c r="M28" s="1332"/>
      <c r="N28" s="290"/>
      <c r="O28" s="289"/>
      <c r="P28" s="290"/>
    </row>
    <row r="29" spans="2:16" x14ac:dyDescent="0.25">
      <c r="B29" s="290" t="s">
        <v>1753</v>
      </c>
      <c r="C29" s="1344">
        <f>(F22-C28)/F22</f>
        <v>1.2643793768915222E-16</v>
      </c>
      <c r="D29" s="290"/>
      <c r="E29" s="290"/>
      <c r="F29" s="322"/>
      <c r="G29" s="290"/>
      <c r="H29" s="1345"/>
      <c r="I29" s="290"/>
      <c r="J29" s="290"/>
      <c r="K29" s="290"/>
      <c r="L29" s="290"/>
      <c r="M29" s="290"/>
      <c r="N29" s="290"/>
      <c r="O29" s="289"/>
      <c r="P29" s="290"/>
    </row>
    <row r="30" spans="2:16" x14ac:dyDescent="0.25">
      <c r="B30" s="290"/>
      <c r="C30" s="290"/>
      <c r="D30" s="290"/>
      <c r="E30" s="290"/>
      <c r="F30" s="289"/>
      <c r="G30" s="290"/>
      <c r="H30" s="1345"/>
      <c r="I30" s="290"/>
      <c r="J30" s="290"/>
      <c r="K30" s="290"/>
      <c r="L30" s="290"/>
      <c r="M30" s="290"/>
      <c r="N30" s="290"/>
      <c r="O30" s="289"/>
      <c r="P30" s="290"/>
    </row>
    <row r="31" spans="2:16" ht="13.8" thickBot="1" x14ac:dyDescent="0.3">
      <c r="B31" s="244" t="s">
        <v>1754</v>
      </c>
      <c r="C31" s="878" t="s">
        <v>1755</v>
      </c>
      <c r="D31" s="878" t="s">
        <v>1715</v>
      </c>
      <c r="E31" s="878" t="s">
        <v>1735</v>
      </c>
      <c r="F31" s="1333"/>
      <c r="G31" s="1333"/>
      <c r="H31" s="1346"/>
      <c r="I31" s="290"/>
      <c r="J31" s="290"/>
      <c r="K31" s="290"/>
      <c r="L31" s="290"/>
      <c r="M31" s="290"/>
      <c r="N31" s="290"/>
      <c r="O31" s="289"/>
      <c r="P31" s="290"/>
    </row>
    <row r="32" spans="2:16" ht="13.8" thickTop="1" x14ac:dyDescent="0.25">
      <c r="B32" s="4" t="s">
        <v>1756</v>
      </c>
      <c r="C32" s="882">
        <f>'Single Hung'!AE913</f>
        <v>2.75</v>
      </c>
      <c r="D32" s="322">
        <f>'Single Hung'!G929</f>
        <v>0.504</v>
      </c>
      <c r="E32" s="322">
        <f>'Single Hung'!W913</f>
        <v>1.3860000000000001</v>
      </c>
      <c r="F32" s="2133" t="s">
        <v>1757</v>
      </c>
      <c r="G32" s="2133"/>
      <c r="H32" s="1346"/>
      <c r="I32" s="290"/>
      <c r="J32" s="290"/>
      <c r="K32" s="290"/>
      <c r="L32" s="290"/>
      <c r="M32" s="290"/>
      <c r="N32" s="290"/>
      <c r="O32" s="289"/>
      <c r="P32" s="290"/>
    </row>
    <row r="33" spans="2:13" x14ac:dyDescent="0.25">
      <c r="B33" s="4" t="s">
        <v>1758</v>
      </c>
      <c r="C33" s="879">
        <f>'Single Hung'!AE926</f>
        <v>5.5</v>
      </c>
      <c r="D33" s="322">
        <f>'Single Hung'!G929</f>
        <v>0.504</v>
      </c>
      <c r="E33" s="322">
        <f>'Single Hung'!W926</f>
        <v>2.7720000000000002</v>
      </c>
      <c r="F33" s="2134"/>
      <c r="G33" s="2134"/>
      <c r="H33" s="1332"/>
      <c r="I33" s="290"/>
      <c r="J33" s="290"/>
      <c r="K33" s="290"/>
      <c r="L33" s="290"/>
      <c r="M33" s="290"/>
    </row>
    <row r="34" spans="2:13" x14ac:dyDescent="0.25">
      <c r="B34" s="290" t="s">
        <v>1759</v>
      </c>
      <c r="C34" s="879">
        <f>'Single Hung'!AE915</f>
        <v>0.24826041666666665</v>
      </c>
      <c r="D34" s="289">
        <f>'Single Hung'!G916</f>
        <v>0.129</v>
      </c>
      <c r="E34" s="322">
        <f>D34*C34</f>
        <v>3.2025593749999998E-2</v>
      </c>
      <c r="F34" s="324" t="s">
        <v>1760</v>
      </c>
      <c r="G34" s="289"/>
      <c r="H34" s="1345"/>
      <c r="I34" s="247" t="s">
        <v>1761</v>
      </c>
      <c r="J34" s="290"/>
      <c r="K34" s="290"/>
      <c r="L34" s="290"/>
      <c r="M34" s="290"/>
    </row>
    <row r="35" spans="2:13" x14ac:dyDescent="0.25">
      <c r="B35" s="290" t="s">
        <v>1762</v>
      </c>
      <c r="C35" s="289">
        <v>0</v>
      </c>
      <c r="D35" s="289">
        <v>0</v>
      </c>
      <c r="E35" s="322">
        <f>5/16</f>
        <v>0.3125</v>
      </c>
      <c r="F35" s="324" t="s">
        <v>1760</v>
      </c>
      <c r="G35" s="289"/>
      <c r="H35" s="1345"/>
      <c r="I35" s="290" t="s">
        <v>1713</v>
      </c>
      <c r="J35" s="246" t="s">
        <v>1714</v>
      </c>
      <c r="K35" s="246" t="s">
        <v>1715</v>
      </c>
      <c r="L35" s="247" t="s">
        <v>1734</v>
      </c>
      <c r="M35" s="248" t="s">
        <v>1735</v>
      </c>
    </row>
    <row r="36" spans="2:13" x14ac:dyDescent="0.25">
      <c r="B36" s="290" t="s">
        <v>1763</v>
      </c>
      <c r="C36" s="879">
        <f>'Single Hung'!AE918</f>
        <v>2.9374583333333333</v>
      </c>
      <c r="D36" s="289">
        <v>0.13100000000000001</v>
      </c>
      <c r="E36" s="322">
        <f>D36*C36</f>
        <v>0.38480704166666668</v>
      </c>
      <c r="F36" s="324" t="s">
        <v>1760</v>
      </c>
      <c r="G36" s="289"/>
      <c r="H36" s="1345"/>
      <c r="I36" s="290" t="s">
        <v>403</v>
      </c>
      <c r="J36" s="322"/>
      <c r="K36" s="322">
        <f t="shared" ref="K36:K41" si="3">L36*$C$11</f>
        <v>0.30106999999999995</v>
      </c>
      <c r="L36" s="1340">
        <v>0.47599999999999998</v>
      </c>
      <c r="M36" s="922">
        <f t="shared" ref="M36:M41" si="4">K36*J36</f>
        <v>0</v>
      </c>
    </row>
    <row r="37" spans="2:13" x14ac:dyDescent="0.25">
      <c r="B37" s="290"/>
      <c r="C37" s="290"/>
      <c r="D37" s="289"/>
      <c r="E37" s="322"/>
      <c r="F37" s="1312"/>
      <c r="G37" s="289"/>
      <c r="H37" s="1345"/>
      <c r="I37" s="290" t="s">
        <v>1764</v>
      </c>
      <c r="J37" s="322">
        <f>J36</f>
        <v>0</v>
      </c>
      <c r="K37" s="322">
        <f t="shared" si="3"/>
        <v>0.31118999999999997</v>
      </c>
      <c r="L37" s="1340">
        <v>0.49199999999999999</v>
      </c>
      <c r="M37" s="922">
        <f t="shared" si="4"/>
        <v>0</v>
      </c>
    </row>
    <row r="38" spans="2:13" ht="13.8" thickBot="1" x14ac:dyDescent="0.3">
      <c r="B38" s="244" t="s">
        <v>1765</v>
      </c>
      <c r="C38" s="878" t="s">
        <v>874</v>
      </c>
      <c r="D38" s="1333"/>
      <c r="E38" s="1333"/>
      <c r="F38" s="1333"/>
      <c r="G38" s="1333"/>
      <c r="H38" s="1347"/>
      <c r="I38" s="290" t="s">
        <v>1766</v>
      </c>
      <c r="J38" s="322">
        <f>'Single Hung'!AB821/12</f>
        <v>0</v>
      </c>
      <c r="K38" s="322">
        <f t="shared" si="3"/>
        <v>0.25046999999999997</v>
      </c>
      <c r="L38" s="1340">
        <v>0.39600000000000002</v>
      </c>
      <c r="M38" s="922">
        <f t="shared" si="4"/>
        <v>0</v>
      </c>
    </row>
    <row r="39" spans="2:13" ht="13.8" thickTop="1" x14ac:dyDescent="0.25">
      <c r="B39" s="4" t="s">
        <v>1767</v>
      </c>
      <c r="C39" s="879">
        <f>SHSashGW*SHSashGH*_SHSGlbpersqin</f>
        <v>19.483216145833335</v>
      </c>
      <c r="D39" s="252" t="s">
        <v>1768</v>
      </c>
      <c r="E39" s="290"/>
      <c r="F39" s="251"/>
      <c r="G39" s="289"/>
      <c r="H39" s="1347"/>
      <c r="I39" s="290" t="s">
        <v>1739</v>
      </c>
      <c r="J39" s="322">
        <f>'Single Hung'!AB873/12</f>
        <v>0</v>
      </c>
      <c r="K39" s="322">
        <f t="shared" si="3"/>
        <v>1.771E-2</v>
      </c>
      <c r="L39" s="1340">
        <v>2.8000000000000001E-2</v>
      </c>
      <c r="M39" s="922">
        <f t="shared" si="4"/>
        <v>0</v>
      </c>
    </row>
    <row r="40" spans="2:13" x14ac:dyDescent="0.25">
      <c r="B40" s="4"/>
      <c r="C40" s="879"/>
      <c r="D40" s="252"/>
      <c r="E40" s="290"/>
      <c r="F40" s="251"/>
      <c r="G40" s="289"/>
      <c r="H40" s="1347"/>
      <c r="I40" s="290" t="s">
        <v>1740</v>
      </c>
      <c r="J40" s="322">
        <f>J39</f>
        <v>0</v>
      </c>
      <c r="K40" s="322">
        <f t="shared" si="3"/>
        <v>1.771E-2</v>
      </c>
      <c r="L40" s="1340">
        <f>L39</f>
        <v>2.8000000000000001E-2</v>
      </c>
      <c r="M40" s="922">
        <f t="shared" si="4"/>
        <v>0</v>
      </c>
    </row>
    <row r="41" spans="2:13" ht="13.8" thickBot="1" x14ac:dyDescent="0.3">
      <c r="B41" s="244" t="s">
        <v>574</v>
      </c>
      <c r="C41" s="878" t="s">
        <v>1714</v>
      </c>
      <c r="D41" s="878" t="s">
        <v>1715</v>
      </c>
      <c r="E41" s="878" t="s">
        <v>1735</v>
      </c>
      <c r="F41" s="1333"/>
      <c r="G41" s="878"/>
      <c r="H41" s="1332"/>
      <c r="I41" s="290" t="s">
        <v>1742</v>
      </c>
      <c r="J41" s="322">
        <f>'Single Hung'!AB894/12</f>
        <v>0</v>
      </c>
      <c r="K41" s="322">
        <f t="shared" si="3"/>
        <v>1.771E-2</v>
      </c>
      <c r="L41" s="1340">
        <f>L39</f>
        <v>2.8000000000000001E-2</v>
      </c>
      <c r="M41" s="922">
        <f t="shared" si="4"/>
        <v>0</v>
      </c>
    </row>
    <row r="42" spans="2:13" ht="13.8" thickTop="1" x14ac:dyDescent="0.25">
      <c r="B42" s="323" t="s">
        <v>1769</v>
      </c>
      <c r="C42" s="323"/>
      <c r="D42" s="1348">
        <v>6.9000000000000006E-2</v>
      </c>
      <c r="E42" s="323"/>
      <c r="F42" s="324" t="s">
        <v>1760</v>
      </c>
      <c r="G42" s="1348"/>
      <c r="H42" s="1332"/>
      <c r="I42" s="290"/>
      <c r="J42" s="290"/>
      <c r="K42" s="290"/>
      <c r="L42" s="290"/>
      <c r="M42" s="290"/>
    </row>
    <row r="43" spans="2:13" x14ac:dyDescent="0.25">
      <c r="B43" s="87"/>
      <c r="C43" s="290"/>
      <c r="D43" s="290"/>
      <c r="E43" s="290"/>
      <c r="F43" s="290"/>
      <c r="G43" s="289"/>
      <c r="H43" s="290"/>
      <c r="I43" s="290"/>
      <c r="J43" s="290"/>
      <c r="K43" s="290"/>
      <c r="L43" s="290"/>
      <c r="M43" s="290"/>
    </row>
    <row r="44" spans="2:13" ht="13.8" thickBot="1" x14ac:dyDescent="0.3">
      <c r="B44" s="244" t="s">
        <v>1770</v>
      </c>
      <c r="C44" s="1333"/>
      <c r="D44" s="1333"/>
      <c r="E44" s="1333"/>
      <c r="F44" s="1333"/>
      <c r="G44" s="1333"/>
      <c r="H44" s="290"/>
      <c r="I44" s="289"/>
      <c r="J44" s="290"/>
      <c r="K44" s="290"/>
      <c r="L44" s="290"/>
      <c r="M44" s="290"/>
    </row>
    <row r="45" spans="2:13" ht="13.8" thickTop="1" x14ac:dyDescent="0.25">
      <c r="B45" s="253"/>
      <c r="C45" s="254" t="s">
        <v>1771</v>
      </c>
      <c r="D45" s="901">
        <f>C28+C39</f>
        <v>22.995525963333336</v>
      </c>
      <c r="E45" s="253" t="s">
        <v>874</v>
      </c>
      <c r="F45" s="255" t="str">
        <f>"Base Sash = (SHBGW*SHBGH*SHGW) + (SHBSW*"&amp;FIXED(C25,3)&amp;") + (SHBSH*"&amp;FIXED(D25,3)&amp;")"</f>
        <v>Base Sash = (SHBGW*SHBGH*SHGW) + (SHBSW*0.054) + (SHBSH*0.043)</v>
      </c>
      <c r="G45" s="1349"/>
      <c r="H45" s="290"/>
      <c r="I45" s="289"/>
      <c r="J45" s="290"/>
      <c r="K45" s="290"/>
      <c r="L45" s="290"/>
      <c r="M45" s="290"/>
    </row>
    <row r="46" spans="2:13" x14ac:dyDescent="0.25">
      <c r="B46" s="253"/>
      <c r="C46" s="254" t="s">
        <v>1772</v>
      </c>
      <c r="D46" s="902">
        <f>D45+E32</f>
        <v>24.381525963333335</v>
      </c>
      <c r="E46" s="253" t="s">
        <v>874</v>
      </c>
      <c r="F46" s="256" t="s">
        <v>1773</v>
      </c>
      <c r="G46" s="1350"/>
      <c r="H46" s="290"/>
      <c r="I46" s="289"/>
      <c r="J46" s="290"/>
      <c r="K46" s="290"/>
      <c r="L46" s="290"/>
      <c r="M46" s="290"/>
    </row>
    <row r="47" spans="2:13" ht="13.8" thickBot="1" x14ac:dyDescent="0.3">
      <c r="B47" s="253"/>
      <c r="C47" s="254" t="s">
        <v>1774</v>
      </c>
      <c r="D47" s="903">
        <f>(D45+E32)+E33</f>
        <v>27.153525963333337</v>
      </c>
      <c r="E47" s="253" t="s">
        <v>874</v>
      </c>
      <c r="F47" s="257" t="s">
        <v>1775</v>
      </c>
      <c r="G47" s="1351"/>
      <c r="H47" s="290"/>
      <c r="I47" s="289"/>
      <c r="J47" s="290"/>
      <c r="K47" s="290"/>
      <c r="L47" s="290"/>
      <c r="M47" s="290"/>
    </row>
    <row r="48" spans="2:13" x14ac:dyDescent="0.25">
      <c r="B48" s="290"/>
      <c r="C48" s="290"/>
      <c r="D48" s="322"/>
      <c r="E48" s="290"/>
      <c r="F48" s="290"/>
      <c r="G48" s="290"/>
      <c r="H48" s="290"/>
      <c r="I48" s="322"/>
      <c r="J48" s="290"/>
      <c r="K48" s="290"/>
      <c r="L48" s="290"/>
      <c r="M48" s="290"/>
    </row>
    <row r="49" spans="1:10" ht="13.8" thickBot="1" x14ac:dyDescent="0.3">
      <c r="B49" s="244" t="s">
        <v>1776</v>
      </c>
      <c r="C49" s="1333"/>
      <c r="D49" s="1333"/>
      <c r="E49" s="240"/>
      <c r="F49" s="1333"/>
      <c r="G49" s="1333"/>
      <c r="H49" s="290"/>
      <c r="I49" s="322"/>
    </row>
    <row r="50" spans="1:10" ht="13.8" thickTop="1" x14ac:dyDescent="0.25">
      <c r="B50" s="87"/>
      <c r="C50" s="203" t="s">
        <v>2337</v>
      </c>
      <c r="D50" s="336">
        <f>(SHSashH*2)*0.015</f>
        <v>1.08</v>
      </c>
      <c r="E50" s="337" t="s">
        <v>1777</v>
      </c>
      <c r="F50" s="290"/>
      <c r="G50" s="290"/>
      <c r="H50" s="290"/>
      <c r="I50" s="322"/>
    </row>
    <row r="51" spans="1:10" x14ac:dyDescent="0.25">
      <c r="B51" s="290"/>
      <c r="C51" s="205" t="s">
        <v>2339</v>
      </c>
      <c r="D51" s="336">
        <v>0.9</v>
      </c>
      <c r="E51" s="315" t="s">
        <v>1778</v>
      </c>
      <c r="F51" s="290"/>
      <c r="G51" s="290"/>
      <c r="H51" s="290"/>
      <c r="I51" s="322"/>
    </row>
    <row r="52" spans="1:10" x14ac:dyDescent="0.25">
      <c r="B52" s="290"/>
      <c r="C52" s="204" t="s">
        <v>2338</v>
      </c>
      <c r="D52" s="1352">
        <v>0.5</v>
      </c>
      <c r="E52" s="315" t="s">
        <v>874</v>
      </c>
      <c r="F52" s="290"/>
      <c r="G52" s="290"/>
      <c r="H52" s="290"/>
      <c r="I52" s="290"/>
    </row>
    <row r="53" spans="1:10" x14ac:dyDescent="0.25">
      <c r="B53" s="290"/>
      <c r="C53" s="204" t="s">
        <v>2340</v>
      </c>
      <c r="D53" s="1352">
        <v>-3.1880000000000002</v>
      </c>
      <c r="E53" s="315" t="s">
        <v>1779</v>
      </c>
      <c r="F53" s="290"/>
      <c r="G53" s="290"/>
      <c r="H53" s="290"/>
      <c r="I53" s="290"/>
    </row>
    <row r="54" spans="1:10" x14ac:dyDescent="0.25">
      <c r="B54" s="290"/>
      <c r="C54" s="204" t="s">
        <v>2341</v>
      </c>
      <c r="D54" s="1352">
        <v>-1.1879999999999999</v>
      </c>
      <c r="E54" s="290" t="s">
        <v>1780</v>
      </c>
      <c r="F54" s="290"/>
      <c r="G54" s="290"/>
      <c r="H54" s="290"/>
      <c r="I54" s="290"/>
    </row>
    <row r="55" spans="1:10" x14ac:dyDescent="0.25">
      <c r="B55" s="290"/>
      <c r="C55" s="290"/>
      <c r="D55" s="884">
        <f>D47*_BT_WtScalar+_BT_WtOffset</f>
        <v>24.938173367000005</v>
      </c>
      <c r="E55" s="290" t="s">
        <v>1781</v>
      </c>
      <c r="F55" s="290"/>
      <c r="G55" s="290"/>
      <c r="H55" s="290"/>
      <c r="I55" s="290"/>
    </row>
    <row r="56" spans="1:10" x14ac:dyDescent="0.25">
      <c r="B56" s="290"/>
      <c r="C56" s="290"/>
      <c r="D56" s="883"/>
      <c r="E56" s="290"/>
      <c r="F56" s="1353"/>
      <c r="G56" s="290"/>
      <c r="H56" s="290"/>
      <c r="I56" s="290"/>
    </row>
    <row r="57" spans="1:10" x14ac:dyDescent="0.25">
      <c r="B57" s="290"/>
      <c r="C57" s="290"/>
      <c r="D57" s="884">
        <f>D47+_Coil_WtAdder</f>
        <v>28.233525963333335</v>
      </c>
      <c r="E57" s="290" t="s">
        <v>1782</v>
      </c>
      <c r="F57" s="1353"/>
      <c r="G57" s="290"/>
      <c r="H57" s="290"/>
      <c r="I57" s="290"/>
    </row>
    <row r="58" spans="1:10" x14ac:dyDescent="0.25">
      <c r="B58" s="1528" t="s">
        <v>1783</v>
      </c>
      <c r="C58" s="290"/>
      <c r="D58" s="883"/>
      <c r="E58" s="876"/>
      <c r="F58" s="1353"/>
      <c r="G58" s="290"/>
      <c r="H58" s="290"/>
      <c r="I58" s="290"/>
    </row>
    <row r="59" spans="1:10" ht="13.8" thickBot="1" x14ac:dyDescent="0.3">
      <c r="B59" s="1333" t="s">
        <v>2096</v>
      </c>
      <c r="C59" s="1526" t="s">
        <v>2095</v>
      </c>
      <c r="D59" s="1526" t="s">
        <v>2102</v>
      </c>
      <c r="E59" s="1526" t="s">
        <v>2094</v>
      </c>
      <c r="F59" s="239" t="s">
        <v>2097</v>
      </c>
      <c r="G59" s="1333"/>
      <c r="H59" s="290"/>
      <c r="I59" s="290" t="s">
        <v>2109</v>
      </c>
    </row>
    <row r="60" spans="1:10" ht="13.8" thickTop="1" x14ac:dyDescent="0.25">
      <c r="A60" s="899"/>
      <c r="B60" s="241" t="s">
        <v>328</v>
      </c>
      <c r="C60" s="242" t="s">
        <v>1784</v>
      </c>
      <c r="D60" s="242" t="s">
        <v>1785</v>
      </c>
      <c r="E60" s="242" t="s">
        <v>1786</v>
      </c>
      <c r="F60" s="243" t="s">
        <v>1787</v>
      </c>
      <c r="G60" s="1527"/>
      <c r="H60" s="290"/>
      <c r="I60" s="1539" t="s">
        <v>2110</v>
      </c>
    </row>
    <row r="61" spans="1:10" x14ac:dyDescent="0.25">
      <c r="A61" s="1525">
        <v>1</v>
      </c>
      <c r="B61" s="1532" t="s">
        <v>1788</v>
      </c>
      <c r="C61" s="1533">
        <f>_2.5mm+_2.5mm</f>
        <v>2.5</v>
      </c>
      <c r="D61" s="1534">
        <f>C61/144</f>
        <v>1.7361111111111112E-2</v>
      </c>
      <c r="E61" s="1535" t="s">
        <v>1789</v>
      </c>
      <c r="F61" s="1536" t="str">
        <f>E61&amp;"-"&amp;B61</f>
        <v>01-Double: 2.5mm &amp; 2.5mm</v>
      </c>
      <c r="G61" s="1354"/>
      <c r="H61" s="290"/>
      <c r="I61" s="1545">
        <f>F87+F87</f>
        <v>2.262</v>
      </c>
      <c r="J61" s="290" t="s">
        <v>2130</v>
      </c>
    </row>
    <row r="62" spans="1:10" x14ac:dyDescent="0.25">
      <c r="A62" s="1525">
        <v>2</v>
      </c>
      <c r="B62" s="1532" t="s">
        <v>1790</v>
      </c>
      <c r="C62" s="1533">
        <f>_3mm+_3mm</f>
        <v>3.34</v>
      </c>
      <c r="D62" s="1534">
        <f t="shared" ref="D62:D80" si="5">C62/144</f>
        <v>2.3194444444444445E-2</v>
      </c>
      <c r="E62" s="1535" t="s">
        <v>1791</v>
      </c>
      <c r="F62" s="1536" t="str">
        <f t="shared" ref="F62:F80" si="6">E62&amp;"-"&amp;B62</f>
        <v>02-Double: 3mm &amp; 3mm</v>
      </c>
      <c r="G62" s="1354"/>
      <c r="H62" s="290"/>
      <c r="I62" s="1545">
        <f>F89+F89</f>
        <v>3.0419999999999998</v>
      </c>
    </row>
    <row r="63" spans="1:10" x14ac:dyDescent="0.25">
      <c r="A63" s="1525">
        <v>3</v>
      </c>
      <c r="B63" s="1532" t="s">
        <v>2104</v>
      </c>
      <c r="C63" s="1533">
        <f>_3mm+_4mm</f>
        <v>3.78</v>
      </c>
      <c r="D63" s="1534">
        <f t="shared" ref="D63" si="7">C63/144</f>
        <v>2.6249999999999999E-2</v>
      </c>
      <c r="E63" s="1535" t="s">
        <v>1792</v>
      </c>
      <c r="F63" s="1536" t="str">
        <f t="shared" ref="F63" si="8">E63&amp;"-"&amp;B63</f>
        <v>03-Double: 3mm &amp; 4mm</v>
      </c>
      <c r="G63" s="1354"/>
      <c r="H63" s="290"/>
      <c r="I63" s="1545">
        <f>F89+F90</f>
        <v>3.5489999999999999</v>
      </c>
    </row>
    <row r="64" spans="1:10" x14ac:dyDescent="0.25">
      <c r="A64" s="1525">
        <v>4</v>
      </c>
      <c r="B64" s="1532" t="s">
        <v>2119</v>
      </c>
      <c r="C64" s="1533">
        <f>_3mm+_5mm</f>
        <v>4.17</v>
      </c>
      <c r="D64" s="1534">
        <f t="shared" si="5"/>
        <v>2.8958333333333332E-2</v>
      </c>
      <c r="E64" s="1535" t="s">
        <v>1793</v>
      </c>
      <c r="F64" s="1536" t="str">
        <f t="shared" si="6"/>
        <v>04-Double: 3mm &amp; 5mm - Regal</v>
      </c>
      <c r="G64" s="1354"/>
      <c r="H64" s="290"/>
      <c r="I64" s="1545">
        <f>F89+F91</f>
        <v>3.952</v>
      </c>
    </row>
    <row r="65" spans="1:10" x14ac:dyDescent="0.25">
      <c r="A65" s="1525">
        <v>5</v>
      </c>
      <c r="B65" s="1532" t="s">
        <v>2117</v>
      </c>
      <c r="C65" s="1533">
        <f>_3mm+_5mm</f>
        <v>4.17</v>
      </c>
      <c r="D65" s="1534">
        <f t="shared" si="5"/>
        <v>2.8958333333333332E-2</v>
      </c>
      <c r="E65" s="1535" t="s">
        <v>1794</v>
      </c>
      <c r="F65" s="1536" t="str">
        <f t="shared" si="6"/>
        <v>05-Double: 3mm &amp; 5mm - Sound</v>
      </c>
      <c r="G65" s="1354"/>
      <c r="H65" s="290"/>
      <c r="I65" s="1545">
        <f>F89+F91</f>
        <v>3.952</v>
      </c>
    </row>
    <row r="66" spans="1:10" x14ac:dyDescent="0.25">
      <c r="A66" s="1525">
        <v>6</v>
      </c>
      <c r="B66" s="1532" t="s">
        <v>2120</v>
      </c>
      <c r="C66" s="1533">
        <f>_2.5mm+_6mm</f>
        <v>4.1400000000000006</v>
      </c>
      <c r="D66" s="1534">
        <f t="shared" si="5"/>
        <v>2.8750000000000005E-2</v>
      </c>
      <c r="E66" s="1535" t="s">
        <v>1795</v>
      </c>
      <c r="F66" s="1536" t="str">
        <f t="shared" si="6"/>
        <v>06-Double: 2.5mm &amp; 6mm - Spandrel</v>
      </c>
      <c r="G66" s="1354"/>
      <c r="H66" s="290"/>
      <c r="I66" s="1545">
        <f>F88+F92</f>
        <v>4.1470000000000002</v>
      </c>
      <c r="J66" s="290" t="s">
        <v>2131</v>
      </c>
    </row>
    <row r="67" spans="1:10" x14ac:dyDescent="0.25">
      <c r="A67" s="1525">
        <v>7</v>
      </c>
      <c r="B67" s="1532" t="s">
        <v>2118</v>
      </c>
      <c r="C67" s="1533">
        <f>_3mm+_6mmLami</f>
        <v>4.6180000000000003</v>
      </c>
      <c r="D67" s="1534">
        <f t="shared" si="5"/>
        <v>3.2069444444444449E-2</v>
      </c>
      <c r="E67" s="1535" t="s">
        <v>1797</v>
      </c>
      <c r="F67" s="1536" t="str">
        <f t="shared" si="6"/>
        <v>07-Double: 3mm &amp; 6mm Lami - Sound</v>
      </c>
      <c r="G67" s="1354"/>
      <c r="I67" s="1545">
        <f>F89+F94</f>
        <v>4.4689999999999994</v>
      </c>
    </row>
    <row r="68" spans="1:10" x14ac:dyDescent="0.25">
      <c r="A68" s="1525">
        <v>8</v>
      </c>
      <c r="B68" s="1532" t="s">
        <v>2122</v>
      </c>
      <c r="C68" s="1533">
        <f>_3mm+_8.5mmLami</f>
        <v>5.75</v>
      </c>
      <c r="D68" s="1534">
        <f t="shared" si="5"/>
        <v>3.9930555555555552E-2</v>
      </c>
      <c r="E68" s="1535" t="s">
        <v>1799</v>
      </c>
      <c r="F68" s="1536" t="str">
        <f t="shared" si="6"/>
        <v>08-Double: 3mm &amp; 8.5mm Lami - IMPACT</v>
      </c>
      <c r="G68" s="1354"/>
      <c r="I68" s="1545">
        <f>F89+F96</f>
        <v>5.165</v>
      </c>
    </row>
    <row r="69" spans="1:10" x14ac:dyDescent="0.25">
      <c r="A69" s="1525">
        <v>9</v>
      </c>
      <c r="B69" s="1532" t="s">
        <v>1796</v>
      </c>
      <c r="C69" s="1533">
        <f>_4mm+_4mm</f>
        <v>4.22</v>
      </c>
      <c r="D69" s="1534">
        <f t="shared" si="5"/>
        <v>2.9305555555555553E-2</v>
      </c>
      <c r="E69" s="1535" t="s">
        <v>1801</v>
      </c>
      <c r="F69" s="1536" t="str">
        <f t="shared" si="6"/>
        <v>09-Double: 4mm &amp; 4mm</v>
      </c>
      <c r="G69" s="1354"/>
      <c r="I69" s="1545">
        <f>F90+F90</f>
        <v>4.056</v>
      </c>
    </row>
    <row r="70" spans="1:10" x14ac:dyDescent="0.25">
      <c r="A70" s="1525">
        <v>10</v>
      </c>
      <c r="B70" s="1532" t="s">
        <v>1798</v>
      </c>
      <c r="C70" s="1533">
        <f>_5mm+_5mm</f>
        <v>5</v>
      </c>
      <c r="D70" s="1534">
        <f t="shared" si="5"/>
        <v>3.4722222222222224E-2</v>
      </c>
      <c r="E70" s="1535" t="s">
        <v>1802</v>
      </c>
      <c r="F70" s="1536" t="str">
        <f t="shared" si="6"/>
        <v>10-Double: 5mm &amp; 5mm</v>
      </c>
      <c r="G70" s="1354"/>
      <c r="I70" s="1545">
        <f>F91+F91</f>
        <v>4.8620000000000001</v>
      </c>
    </row>
    <row r="71" spans="1:10" x14ac:dyDescent="0.25">
      <c r="A71" s="1525">
        <v>11</v>
      </c>
      <c r="B71" s="1532" t="s">
        <v>1800</v>
      </c>
      <c r="C71" s="1533">
        <f>_5mm+_5mm</f>
        <v>5</v>
      </c>
      <c r="D71" s="1534">
        <f t="shared" si="5"/>
        <v>3.4722222222222224E-2</v>
      </c>
      <c r="E71" s="1535" t="s">
        <v>1803</v>
      </c>
      <c r="F71" s="1536" t="str">
        <f t="shared" si="6"/>
        <v>11-Double: 5mm &amp; 5mm (Regal)</v>
      </c>
      <c r="G71" s="1354"/>
      <c r="I71" s="1545">
        <f>F91+F91</f>
        <v>4.8620000000000001</v>
      </c>
    </row>
    <row r="72" spans="1:10" x14ac:dyDescent="0.25">
      <c r="A72" s="1525">
        <v>12</v>
      </c>
      <c r="B72" s="1532" t="s">
        <v>2121</v>
      </c>
      <c r="C72" s="1533">
        <f>_5mm+_6mmLami</f>
        <v>5.4480000000000004</v>
      </c>
      <c r="D72" s="1534">
        <f t="shared" si="5"/>
        <v>3.7833333333333337E-2</v>
      </c>
      <c r="E72" s="1535" t="s">
        <v>1805</v>
      </c>
      <c r="F72" s="1536" t="str">
        <f t="shared" si="6"/>
        <v>12-Double: 5mm &amp; 6mm Lami - Sound</v>
      </c>
      <c r="G72" s="1354"/>
      <c r="I72" s="1545">
        <f>F91+F94</f>
        <v>5.3789999999999996</v>
      </c>
      <c r="J72" s="290" t="s">
        <v>2133</v>
      </c>
    </row>
    <row r="73" spans="1:10" x14ac:dyDescent="0.25">
      <c r="A73" s="1525">
        <v>13</v>
      </c>
      <c r="B73" s="1532" t="s">
        <v>2114</v>
      </c>
      <c r="C73" s="1533">
        <f>_5mm +_2.3mm +_3mm +_1mmPVB*2</f>
        <v>5.8059999999999992</v>
      </c>
      <c r="D73" s="1534">
        <f t="shared" ref="D73" si="9">C73/144</f>
        <v>4.0319444444444436E-2</v>
      </c>
      <c r="E73" s="1535" t="s">
        <v>1806</v>
      </c>
      <c r="F73" s="1536" t="str">
        <f t="shared" ref="F73" si="10">E73&amp;"-"&amp;B73</f>
        <v>13-Double: 5mm &amp; 6mm Offset 2.3+3.0 Lami - Sound</v>
      </c>
      <c r="G73" s="1354"/>
      <c r="I73" s="1545">
        <f>F91+F93</f>
        <v>5.2490000000000006</v>
      </c>
      <c r="J73" s="290" t="s">
        <v>2132</v>
      </c>
    </row>
    <row r="74" spans="1:10" x14ac:dyDescent="0.25">
      <c r="A74" s="1525">
        <v>14</v>
      </c>
      <c r="B74" s="1532" t="s">
        <v>1804</v>
      </c>
      <c r="C74" s="1533">
        <f>_2.5mm+_2.5mm+_2.5mm</f>
        <v>3.75</v>
      </c>
      <c r="D74" s="1534">
        <f t="shared" si="5"/>
        <v>2.6041666666666668E-2</v>
      </c>
      <c r="E74" s="1535" t="s">
        <v>1808</v>
      </c>
      <c r="F74" s="1536" t="str">
        <f t="shared" si="6"/>
        <v>14-Triple:   2.5mm &amp; 2.5mm &amp; 2.5mm</v>
      </c>
      <c r="G74" s="1354"/>
      <c r="I74" s="1545">
        <f>F88+F88+F88</f>
        <v>3.6270000000000002</v>
      </c>
    </row>
    <row r="75" spans="1:10" x14ac:dyDescent="0.25">
      <c r="A75" s="1525">
        <v>15</v>
      </c>
      <c r="B75" s="1532" t="s">
        <v>2115</v>
      </c>
      <c r="C75" s="1533">
        <f>_2.5mm+_2.5mm+_6mmLami</f>
        <v>5.4480000000000004</v>
      </c>
      <c r="D75" s="1534">
        <f t="shared" si="5"/>
        <v>3.7833333333333337E-2</v>
      </c>
      <c r="E75" s="1535" t="s">
        <v>1810</v>
      </c>
      <c r="F75" s="1536" t="str">
        <f t="shared" si="6"/>
        <v>15-Triple:   2.5mm &amp; 2.5mm &amp; 6mm Lami - Sound</v>
      </c>
      <c r="G75" s="1354"/>
      <c r="I75" s="1545">
        <f>F88+F88+F94</f>
        <v>5.3659999999999997</v>
      </c>
    </row>
    <row r="76" spans="1:10" x14ac:dyDescent="0.25">
      <c r="A76" s="1525">
        <v>16</v>
      </c>
      <c r="B76" s="1532" t="s">
        <v>1807</v>
      </c>
      <c r="C76" s="1533">
        <f>_3mm+_2.5mm+_3mm</f>
        <v>4.59</v>
      </c>
      <c r="D76" s="1534">
        <f t="shared" si="5"/>
        <v>3.1875000000000001E-2</v>
      </c>
      <c r="E76" s="1535" t="s">
        <v>1812</v>
      </c>
      <c r="F76" s="1536" t="str">
        <f t="shared" si="6"/>
        <v>16-Triple:   3mm &amp; 2.5mm &amp; 3mm</v>
      </c>
      <c r="G76" s="1354"/>
      <c r="I76" s="1545">
        <f>F89+F88+F89</f>
        <v>4.2509999999999994</v>
      </c>
    </row>
    <row r="77" spans="1:10" x14ac:dyDescent="0.25">
      <c r="A77" s="1525">
        <v>17</v>
      </c>
      <c r="B77" s="1537" t="s">
        <v>1809</v>
      </c>
      <c r="C77" s="1538">
        <f>_3mm+_3mm+_3mm</f>
        <v>5.01</v>
      </c>
      <c r="D77" s="1534">
        <f t="shared" si="5"/>
        <v>3.4791666666666665E-2</v>
      </c>
      <c r="E77" s="1535" t="s">
        <v>1813</v>
      </c>
      <c r="F77" s="1536" t="str">
        <f t="shared" si="6"/>
        <v>17-Triple:   3mm &amp; 3mm &amp; 3mm</v>
      </c>
      <c r="G77" s="1354"/>
      <c r="I77" s="1545">
        <f>F89+F89+F89</f>
        <v>4.5629999999999997</v>
      </c>
    </row>
    <row r="78" spans="1:10" x14ac:dyDescent="0.25">
      <c r="A78" s="1525">
        <v>18</v>
      </c>
      <c r="B78" s="1537" t="s">
        <v>1811</v>
      </c>
      <c r="C78" s="1538">
        <f>_3mm+_5mm+_3mm</f>
        <v>5.84</v>
      </c>
      <c r="D78" s="1534">
        <f t="shared" si="5"/>
        <v>4.0555555555555553E-2</v>
      </c>
      <c r="E78" s="1535" t="s">
        <v>1815</v>
      </c>
      <c r="F78" s="1536" t="str">
        <f t="shared" si="6"/>
        <v>18-Triple:   3mm &amp; 5mm &amp; 3mm</v>
      </c>
      <c r="G78" s="1354"/>
      <c r="I78" s="1545">
        <f>F89+F91+F89</f>
        <v>5.4729999999999999</v>
      </c>
    </row>
    <row r="79" spans="1:10" x14ac:dyDescent="0.25">
      <c r="A79" s="1525">
        <v>19</v>
      </c>
      <c r="B79" s="1537" t="s">
        <v>2116</v>
      </c>
      <c r="C79" s="1538">
        <f>_3mm+_3mm+_6mmLami</f>
        <v>6.2880000000000003</v>
      </c>
      <c r="D79" s="1534">
        <f t="shared" si="5"/>
        <v>4.3666666666666666E-2</v>
      </c>
      <c r="E79" s="1535" t="s">
        <v>1908</v>
      </c>
      <c r="F79" s="1536" t="str">
        <f t="shared" si="6"/>
        <v>19-Triple:   3mm &amp; 3mm &amp; 6mm Lami - Sound</v>
      </c>
      <c r="G79" s="1354"/>
      <c r="I79" s="1545">
        <f>F89+F89+F94</f>
        <v>5.99</v>
      </c>
    </row>
    <row r="80" spans="1:10" ht="13.8" thickBot="1" x14ac:dyDescent="0.3">
      <c r="A80" s="1525">
        <v>20</v>
      </c>
      <c r="B80" s="1537" t="s">
        <v>1814</v>
      </c>
      <c r="C80" s="1538">
        <v>6.1</v>
      </c>
      <c r="D80" s="1534">
        <f t="shared" si="5"/>
        <v>4.2361111111111106E-2</v>
      </c>
      <c r="E80" s="1535" t="s">
        <v>2103</v>
      </c>
      <c r="F80" s="1536" t="str">
        <f t="shared" si="6"/>
        <v>20-Bevel Leaded - Designer</v>
      </c>
      <c r="G80" s="1354"/>
      <c r="I80" s="1546">
        <f>C80</f>
        <v>6.1</v>
      </c>
    </row>
    <row r="81" spans="2:7" ht="14.4" thickTop="1" thickBot="1" x14ac:dyDescent="0.3">
      <c r="B81" s="1393" t="s">
        <v>2108</v>
      </c>
      <c r="C81" s="1394">
        <f>LOOKUP(C8,F61:F80,C61:C80)</f>
        <v>2.5</v>
      </c>
      <c r="D81" s="1395">
        <f>LOOKUP(C8,F61:F80,D61:D80)</f>
        <v>1.7361111111111112E-2</v>
      </c>
      <c r="E81" s="290"/>
      <c r="F81" s="290"/>
      <c r="G81" s="290"/>
    </row>
    <row r="82" spans="2:7" ht="13.8" thickTop="1" x14ac:dyDescent="0.25">
      <c r="B82" s="290"/>
      <c r="C82" s="290"/>
      <c r="D82" s="290"/>
      <c r="E82" s="290"/>
      <c r="F82" s="290"/>
      <c r="G82" s="290"/>
    </row>
    <row r="84" spans="2:7" x14ac:dyDescent="0.25">
      <c r="B84" s="87" t="s">
        <v>1816</v>
      </c>
      <c r="F84" s="290" t="s">
        <v>2105</v>
      </c>
    </row>
    <row r="85" spans="2:7" ht="13.8" thickBot="1" x14ac:dyDescent="0.3">
      <c r="B85" s="290"/>
      <c r="C85" s="289" t="s">
        <v>2124</v>
      </c>
      <c r="F85" s="289" t="s">
        <v>2098</v>
      </c>
    </row>
    <row r="86" spans="2:7" x14ac:dyDescent="0.25">
      <c r="B86" s="307" t="s">
        <v>1817</v>
      </c>
      <c r="C86" s="308" t="s">
        <v>1784</v>
      </c>
      <c r="F86" s="1540" t="s">
        <v>1784</v>
      </c>
      <c r="G86" s="1539"/>
    </row>
    <row r="87" spans="2:7" x14ac:dyDescent="0.25">
      <c r="B87" s="971" t="s">
        <v>2123</v>
      </c>
      <c r="C87" s="1530">
        <v>1.1399999999999999</v>
      </c>
      <c r="F87" s="1541">
        <v>1.131</v>
      </c>
      <c r="G87" s="1542" t="s">
        <v>1818</v>
      </c>
    </row>
    <row r="88" spans="2:7" x14ac:dyDescent="0.25">
      <c r="B88" s="309" t="s">
        <v>2126</v>
      </c>
      <c r="C88" s="1355">
        <v>1.25</v>
      </c>
      <c r="F88" s="1543">
        <v>1.2090000000000001</v>
      </c>
      <c r="G88" s="1544" t="s">
        <v>1819</v>
      </c>
    </row>
    <row r="89" spans="2:7" x14ac:dyDescent="0.25">
      <c r="B89" s="309" t="s">
        <v>2127</v>
      </c>
      <c r="C89" s="1355">
        <v>1.67</v>
      </c>
      <c r="F89" s="1543">
        <v>1.5209999999999999</v>
      </c>
      <c r="G89" s="1544" t="s">
        <v>1820</v>
      </c>
    </row>
    <row r="90" spans="2:7" x14ac:dyDescent="0.25">
      <c r="B90" s="309" t="s">
        <v>2128</v>
      </c>
      <c r="C90" s="1355">
        <v>2.11</v>
      </c>
      <c r="F90" s="1543">
        <v>2.028</v>
      </c>
      <c r="G90" s="1544" t="s">
        <v>1821</v>
      </c>
    </row>
    <row r="91" spans="2:7" x14ac:dyDescent="0.25">
      <c r="B91" s="309" t="s">
        <v>2129</v>
      </c>
      <c r="C91" s="1355">
        <v>2.5</v>
      </c>
      <c r="F91" s="1543">
        <v>2.431</v>
      </c>
      <c r="G91" s="1544" t="s">
        <v>1822</v>
      </c>
    </row>
    <row r="92" spans="2:7" x14ac:dyDescent="0.25">
      <c r="B92" s="309" t="s">
        <v>1909</v>
      </c>
      <c r="C92" s="1355">
        <v>2.89</v>
      </c>
      <c r="F92" s="1543">
        <v>2.9380000000000002</v>
      </c>
      <c r="G92" s="1544" t="s">
        <v>1909</v>
      </c>
    </row>
    <row r="93" spans="2:7" x14ac:dyDescent="0.25">
      <c r="B93" s="1529" t="s">
        <v>2111</v>
      </c>
      <c r="C93" s="1531">
        <v>2.8180000000000001</v>
      </c>
      <c r="F93" s="1543">
        <v>2.8180000000000001</v>
      </c>
      <c r="G93" s="1544" t="s">
        <v>2101</v>
      </c>
    </row>
    <row r="94" spans="2:7" x14ac:dyDescent="0.25">
      <c r="B94" s="309" t="s">
        <v>2099</v>
      </c>
      <c r="C94" s="1355">
        <v>2.948</v>
      </c>
      <c r="F94" s="1543">
        <v>2.948</v>
      </c>
      <c r="G94" s="1544" t="s">
        <v>2106</v>
      </c>
    </row>
    <row r="95" spans="2:7" x14ac:dyDescent="0.25">
      <c r="B95" s="309" t="s">
        <v>2100</v>
      </c>
      <c r="C95" s="1355">
        <v>4.08</v>
      </c>
      <c r="F95" s="1543">
        <v>3.2080000000000002</v>
      </c>
      <c r="G95" s="1544" t="s">
        <v>2125</v>
      </c>
    </row>
    <row r="96" spans="2:7" ht="13.8" thickBot="1" x14ac:dyDescent="0.3">
      <c r="B96" s="1356" t="s">
        <v>1823</v>
      </c>
      <c r="C96" s="1357">
        <f>(_6mmLami-_2.5mm/2.5*2.7*2)</f>
        <v>0.24799999999999978</v>
      </c>
      <c r="F96" s="1543">
        <v>3.6440000000000001</v>
      </c>
      <c r="G96" s="1544" t="s">
        <v>2107</v>
      </c>
    </row>
    <row r="316" spans="28:33" x14ac:dyDescent="0.25">
      <c r="AB316" s="290"/>
      <c r="AC316" s="290"/>
      <c r="AD316" s="290"/>
      <c r="AE316" s="290"/>
      <c r="AF316" s="290"/>
      <c r="AG316" s="290"/>
    </row>
    <row r="317" spans="28:33" x14ac:dyDescent="0.25">
      <c r="AB317" s="290"/>
      <c r="AC317" s="290"/>
      <c r="AD317" s="290"/>
      <c r="AE317" s="290"/>
      <c r="AF317" s="290"/>
      <c r="AG317" s="290"/>
    </row>
    <row r="318" spans="28:33" x14ac:dyDescent="0.25">
      <c r="AB318" s="290"/>
      <c r="AC318" s="290"/>
      <c r="AD318" s="290"/>
      <c r="AE318" s="290"/>
      <c r="AF318" s="290"/>
      <c r="AG318" s="290"/>
    </row>
    <row r="807" spans="3:35" x14ac:dyDescent="0.25">
      <c r="C807" s="290" t="s">
        <v>1429</v>
      </c>
      <c r="D807" s="290"/>
      <c r="E807" s="290"/>
      <c r="F807" s="290"/>
      <c r="G807" s="290"/>
      <c r="H807" s="290"/>
      <c r="I807" s="290"/>
      <c r="J807" s="290"/>
      <c r="K807" s="290"/>
      <c r="L807" s="290"/>
      <c r="M807" s="290"/>
      <c r="N807" s="290"/>
      <c r="O807" s="289"/>
      <c r="P807" s="290"/>
      <c r="Q807" s="322"/>
      <c r="R807" s="322"/>
      <c r="S807" s="322"/>
      <c r="T807" s="322"/>
      <c r="U807" s="322"/>
      <c r="V807" s="290"/>
      <c r="W807" s="290"/>
      <c r="X807" s="290"/>
      <c r="Y807" s="290"/>
      <c r="Z807" s="290"/>
      <c r="AA807" s="290"/>
      <c r="AB807" s="290"/>
      <c r="AC807" s="290"/>
      <c r="AD807" s="290"/>
      <c r="AE807" s="290"/>
      <c r="AF807" s="290"/>
      <c r="AG807" s="290"/>
      <c r="AH807" s="290"/>
      <c r="AI807" s="290"/>
    </row>
    <row r="808" spans="3:35" x14ac:dyDescent="0.25">
      <c r="C808" s="290" t="s">
        <v>1430</v>
      </c>
      <c r="D808" s="290"/>
      <c r="E808" s="290"/>
      <c r="F808" s="290"/>
      <c r="G808" s="290"/>
      <c r="H808" s="290"/>
      <c r="I808" s="290"/>
      <c r="J808" s="290"/>
      <c r="K808" s="290"/>
      <c r="L808" s="290"/>
      <c r="M808" s="290"/>
      <c r="N808" s="290"/>
      <c r="O808" s="289"/>
      <c r="P808" s="290"/>
      <c r="Q808" s="322"/>
      <c r="R808" s="322"/>
      <c r="S808" s="322"/>
      <c r="T808" s="322"/>
      <c r="U808" s="322"/>
      <c r="V808" s="290"/>
      <c r="W808" s="290"/>
      <c r="X808" s="290"/>
      <c r="Y808" s="290"/>
      <c r="Z808" s="290"/>
      <c r="AA808" s="290"/>
      <c r="AB808" s="290"/>
      <c r="AC808" s="290"/>
      <c r="AD808" s="290"/>
      <c r="AE808" s="290"/>
      <c r="AF808" s="290"/>
      <c r="AG808" s="290"/>
      <c r="AH808" s="290"/>
      <c r="AI808" s="1358">
        <v>0.13539999999999999</v>
      </c>
    </row>
    <row r="812" spans="3:35" x14ac:dyDescent="0.25">
      <c r="C812" s="354"/>
      <c r="D812" s="290"/>
      <c r="E812" s="290"/>
      <c r="F812" s="290"/>
      <c r="G812" s="290"/>
      <c r="H812" s="290"/>
      <c r="I812" s="290"/>
      <c r="J812" s="290"/>
      <c r="K812" s="290"/>
      <c r="L812" s="290"/>
      <c r="M812" s="290"/>
      <c r="N812" s="290"/>
      <c r="O812" s="289"/>
      <c r="P812" s="290"/>
      <c r="Q812" s="322"/>
      <c r="R812" s="322"/>
      <c r="S812" s="322"/>
      <c r="T812" s="322"/>
      <c r="U812" s="322"/>
      <c r="V812" s="290"/>
      <c r="W812" s="290"/>
      <c r="X812" s="290"/>
      <c r="Y812" s="290"/>
      <c r="Z812" s="290"/>
      <c r="AA812" s="290"/>
      <c r="AB812" s="290"/>
      <c r="AC812" s="290"/>
      <c r="AD812" s="290"/>
      <c r="AE812" s="290"/>
      <c r="AF812" s="290"/>
      <c r="AG812" s="290"/>
      <c r="AH812" s="290"/>
      <c r="AI812" s="290"/>
    </row>
    <row r="813" spans="3:35" x14ac:dyDescent="0.25">
      <c r="C813" s="354"/>
      <c r="D813" s="290"/>
      <c r="E813" s="290"/>
      <c r="F813" s="290"/>
      <c r="G813" s="290"/>
      <c r="H813" s="290"/>
      <c r="I813" s="290"/>
      <c r="J813" s="290"/>
      <c r="K813" s="290"/>
      <c r="L813" s="290"/>
      <c r="M813" s="290"/>
      <c r="N813" s="290"/>
      <c r="O813" s="289"/>
      <c r="P813" s="290"/>
      <c r="Q813" s="322"/>
      <c r="R813" s="322"/>
      <c r="S813" s="322"/>
      <c r="T813" s="322"/>
      <c r="U813" s="322"/>
      <c r="V813" s="290"/>
      <c r="W813" s="290"/>
      <c r="X813" s="290"/>
      <c r="Y813" s="290"/>
      <c r="Z813" s="290"/>
      <c r="AA813" s="290"/>
      <c r="AB813" s="290"/>
      <c r="AC813" s="290"/>
      <c r="AD813" s="290"/>
      <c r="AE813" s="290"/>
      <c r="AF813" s="290"/>
      <c r="AG813" s="290"/>
      <c r="AH813" s="290"/>
      <c r="AI813" s="290"/>
    </row>
    <row r="814" spans="3:35" x14ac:dyDescent="0.25">
      <c r="C814" s="354"/>
      <c r="D814" s="290"/>
      <c r="E814" s="290"/>
      <c r="F814" s="290"/>
      <c r="G814" s="290"/>
      <c r="H814" s="290"/>
      <c r="I814" s="290"/>
      <c r="J814" s="290"/>
      <c r="K814" s="290"/>
      <c r="L814" s="290"/>
      <c r="M814" s="290"/>
      <c r="N814" s="290"/>
      <c r="O814" s="289"/>
      <c r="P814" s="290"/>
      <c r="Q814" s="322"/>
      <c r="R814" s="322"/>
      <c r="S814" s="322"/>
      <c r="T814" s="322"/>
      <c r="U814" s="322"/>
      <c r="V814" s="290"/>
      <c r="W814" s="290"/>
      <c r="X814" s="290"/>
      <c r="Y814" s="290"/>
      <c r="Z814" s="290"/>
      <c r="AA814" s="290"/>
      <c r="AB814" s="290"/>
      <c r="AC814" s="290"/>
      <c r="AD814" s="290"/>
      <c r="AE814" s="290"/>
      <c r="AF814" s="290"/>
      <c r="AG814" s="290"/>
      <c r="AH814" s="290"/>
      <c r="AI814" s="290"/>
    </row>
    <row r="815" spans="3:35" x14ac:dyDescent="0.25">
      <c r="C815" s="354"/>
      <c r="D815" s="290"/>
      <c r="E815" s="290"/>
      <c r="F815" s="290"/>
      <c r="G815" s="290"/>
      <c r="H815" s="290"/>
      <c r="I815" s="290"/>
      <c r="J815" s="290"/>
      <c r="K815" s="290"/>
      <c r="L815" s="290"/>
      <c r="M815" s="290"/>
      <c r="N815" s="290"/>
      <c r="O815" s="289"/>
      <c r="P815" s="290"/>
      <c r="Q815" s="322"/>
      <c r="R815" s="322"/>
      <c r="S815" s="322"/>
      <c r="T815" s="322"/>
      <c r="U815" s="322"/>
      <c r="V815" s="290"/>
      <c r="W815" s="290"/>
      <c r="X815" s="290"/>
      <c r="Y815" s="290"/>
      <c r="Z815" s="290"/>
      <c r="AA815" s="290"/>
      <c r="AB815" s="290"/>
      <c r="AC815" s="290"/>
      <c r="AD815" s="290"/>
      <c r="AE815" s="290"/>
      <c r="AF815" s="290"/>
      <c r="AG815" s="290"/>
      <c r="AH815" s="290"/>
      <c r="AI815" s="290"/>
    </row>
    <row r="816" spans="3:35" x14ac:dyDescent="0.25">
      <c r="C816" s="354"/>
      <c r="D816" s="290"/>
      <c r="E816" s="290"/>
      <c r="F816" s="290"/>
      <c r="G816" s="290"/>
      <c r="H816" s="290"/>
      <c r="I816" s="290"/>
      <c r="J816" s="290"/>
      <c r="K816" s="290"/>
      <c r="L816" s="290"/>
      <c r="M816" s="290"/>
      <c r="N816" s="290"/>
      <c r="O816" s="289"/>
      <c r="P816" s="290"/>
      <c r="Q816" s="322"/>
      <c r="R816" s="322"/>
      <c r="S816" s="322"/>
      <c r="T816" s="322"/>
      <c r="U816" s="322"/>
      <c r="V816" s="290"/>
      <c r="W816" s="290"/>
      <c r="X816" s="290"/>
      <c r="Y816" s="290"/>
      <c r="Z816" s="290"/>
      <c r="AA816" s="290"/>
      <c r="AB816" s="290"/>
      <c r="AC816" s="290"/>
      <c r="AD816" s="290"/>
      <c r="AE816" s="290"/>
      <c r="AF816" s="290"/>
      <c r="AG816" s="290"/>
      <c r="AH816" s="290"/>
      <c r="AI816" s="290"/>
    </row>
    <row r="817" spans="3:35" x14ac:dyDescent="0.25">
      <c r="C817" s="354"/>
      <c r="D817" s="290"/>
      <c r="E817" s="290"/>
      <c r="F817" s="290"/>
      <c r="G817" s="290"/>
      <c r="H817" s="290"/>
      <c r="I817" s="290"/>
      <c r="J817" s="290"/>
      <c r="K817" s="290"/>
      <c r="L817" s="290"/>
      <c r="M817" s="290"/>
      <c r="N817" s="290"/>
      <c r="O817" s="289"/>
      <c r="P817" s="290"/>
      <c r="Q817" s="322"/>
      <c r="R817" s="322"/>
      <c r="S817" s="322"/>
      <c r="T817" s="322"/>
      <c r="U817" s="322"/>
      <c r="V817" s="290"/>
      <c r="W817" s="290"/>
      <c r="X817" s="290"/>
      <c r="Y817" s="290"/>
      <c r="Z817" s="290"/>
      <c r="AA817" s="290"/>
      <c r="AB817" s="290"/>
      <c r="AC817" s="290"/>
      <c r="AD817" s="290"/>
      <c r="AE817" s="290"/>
      <c r="AF817" s="290"/>
      <c r="AG817" s="290"/>
      <c r="AH817" s="290"/>
      <c r="AI817" s="290"/>
    </row>
    <row r="818" spans="3:35" x14ac:dyDescent="0.25">
      <c r="C818" s="354"/>
      <c r="D818" s="290"/>
      <c r="E818" s="290"/>
      <c r="F818" s="290"/>
      <c r="G818" s="290"/>
      <c r="H818" s="290"/>
      <c r="I818" s="290"/>
      <c r="J818" s="290"/>
      <c r="K818" s="290"/>
      <c r="L818" s="290"/>
      <c r="M818" s="290"/>
      <c r="N818" s="290"/>
      <c r="O818" s="289"/>
      <c r="P818" s="290"/>
      <c r="Q818" s="322"/>
      <c r="R818" s="322"/>
      <c r="S818" s="322"/>
      <c r="T818" s="322"/>
      <c r="U818" s="322"/>
      <c r="V818" s="290"/>
      <c r="W818" s="290"/>
      <c r="X818" s="290"/>
      <c r="Y818" s="290"/>
      <c r="Z818" s="290"/>
      <c r="AA818" s="290"/>
      <c r="AB818" s="290"/>
      <c r="AC818" s="290"/>
      <c r="AD818" s="290"/>
      <c r="AE818" s="290"/>
      <c r="AF818" s="290"/>
      <c r="AG818" s="290"/>
      <c r="AH818" s="290"/>
      <c r="AI818" s="290"/>
    </row>
    <row r="819" spans="3:35" x14ac:dyDescent="0.25">
      <c r="C819" s="354"/>
      <c r="D819" s="290"/>
      <c r="E819" s="290"/>
      <c r="F819" s="290"/>
      <c r="G819" s="290"/>
      <c r="H819" s="290"/>
      <c r="I819" s="290"/>
      <c r="J819" s="290"/>
      <c r="K819" s="290"/>
      <c r="L819" s="290"/>
      <c r="M819" s="290"/>
      <c r="N819" s="290"/>
      <c r="O819" s="289"/>
      <c r="P819" s="290"/>
      <c r="Q819" s="322"/>
      <c r="R819" s="322"/>
      <c r="S819" s="322"/>
      <c r="T819" s="322"/>
      <c r="U819" s="322"/>
      <c r="V819" s="290"/>
      <c r="W819" s="290"/>
      <c r="X819" s="290"/>
      <c r="Y819" s="290"/>
      <c r="Z819" s="290"/>
      <c r="AA819" s="290"/>
      <c r="AB819" s="290"/>
      <c r="AC819" s="290"/>
      <c r="AD819" s="290"/>
      <c r="AE819" s="290"/>
      <c r="AF819" s="290"/>
      <c r="AG819" s="290"/>
      <c r="AH819" s="290"/>
      <c r="AI819" s="290"/>
    </row>
    <row r="820" spans="3:35" x14ac:dyDescent="0.25">
      <c r="C820" s="354"/>
      <c r="D820" s="290"/>
      <c r="E820" s="290"/>
      <c r="F820" s="290"/>
      <c r="G820" s="290"/>
      <c r="H820" s="290"/>
      <c r="I820" s="290"/>
      <c r="J820" s="290"/>
      <c r="K820" s="290"/>
      <c r="L820" s="290"/>
      <c r="M820" s="290"/>
      <c r="N820" s="290"/>
      <c r="O820" s="289"/>
      <c r="P820" s="290"/>
      <c r="Q820" s="322"/>
      <c r="R820" s="322"/>
      <c r="S820" s="322"/>
      <c r="T820" s="322"/>
      <c r="U820" s="322"/>
      <c r="V820" s="290"/>
      <c r="W820" s="290"/>
      <c r="X820" s="290"/>
      <c r="Y820" s="290"/>
      <c r="Z820" s="290"/>
      <c r="AA820" s="290"/>
      <c r="AB820" s="290"/>
      <c r="AC820" s="290"/>
      <c r="AD820" s="290"/>
      <c r="AE820" s="290"/>
      <c r="AF820" s="290"/>
      <c r="AG820" s="290"/>
      <c r="AH820" s="290"/>
      <c r="AI820" s="290"/>
    </row>
    <row r="821" spans="3:35" x14ac:dyDescent="0.25">
      <c r="C821" s="354"/>
    </row>
    <row r="822" spans="3:35" x14ac:dyDescent="0.25">
      <c r="C822" s="354"/>
    </row>
    <row r="823" spans="3:35" x14ac:dyDescent="0.25">
      <c r="C823" s="354"/>
    </row>
    <row r="824" spans="3:35" x14ac:dyDescent="0.25">
      <c r="C824" s="354"/>
    </row>
    <row r="825" spans="3:35" x14ac:dyDescent="0.25">
      <c r="C825" s="354"/>
    </row>
    <row r="826" spans="3:35" x14ac:dyDescent="0.25">
      <c r="C826" s="354"/>
    </row>
  </sheetData>
  <sheetProtection algorithmName="SHA-512" hashValue="nG71mpusXi0xsJ0+T1KGKYGbHCo5xr5exMROZZ7cResSN6QYqmvvMxWy3A4iJ9KMH/EzmLThOo02hfe8ndCUEg==" saltValue="7zWCILZ9Ul6P75jSZ0hJxg==" spinCount="100000" sheet="1" objects="1" scenarios="1"/>
  <mergeCells count="1">
    <mergeCell ref="F32:G33"/>
  </mergeCells>
  <phoneticPr fontId="27" type="noConversion"/>
  <pageMargins left="0.75" right="0.75" top="1" bottom="1" header="0.5" footer="0.5"/>
  <pageSetup orientation="portrait" r:id="rId1"/>
  <headerFooter alignWithMargins="0"/>
  <ignoredErrors>
    <ignoredError sqref="E61:E62 E63:E80" numberStoredAsText="1"/>
    <ignoredError sqref="D20" 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0000"/>
  </sheetPr>
  <dimension ref="A1:BG799"/>
  <sheetViews>
    <sheetView showGridLines="0" showOutlineSymbols="0" view="pageBreakPreview" zoomScale="85" zoomScaleSheetLayoutView="100" workbookViewId="0">
      <pane xSplit="7" ySplit="11" topLeftCell="H119" activePane="bottomRight" state="frozen"/>
      <selection pane="topRight" activeCell="AH668" sqref="AH668"/>
      <selection pane="bottomLeft" activeCell="AH668" sqref="AH668"/>
      <selection pane="bottomRight" activeCell="AK134" sqref="AK134"/>
    </sheetView>
  </sheetViews>
  <sheetFormatPr defaultColWidth="20.59765625" defaultRowHeight="15" customHeight="1" x14ac:dyDescent="0.4"/>
  <cols>
    <col min="1" max="1" width="15.59765625" style="3" bestFit="1" customWidth="1"/>
    <col min="2" max="2" width="7.59765625" style="4" customWidth="1"/>
    <col min="3" max="3" width="4.09765625" style="8" customWidth="1"/>
    <col min="4" max="4" width="3.59765625" style="4" customWidth="1"/>
    <col min="5" max="5" width="10.59765625" style="4" customWidth="1"/>
    <col min="6" max="6" width="12.09765625" style="4" customWidth="1"/>
    <col min="7" max="7" width="9" style="4" customWidth="1"/>
    <col min="8" max="8" width="3.09765625" style="14" customWidth="1"/>
    <col min="9" max="9" width="5.59765625" style="3" customWidth="1"/>
    <col min="10" max="10" width="4.5" style="3" customWidth="1"/>
    <col min="11" max="11" width="5.3984375" style="3" customWidth="1"/>
    <col min="12" max="12" width="5.09765625" style="3" customWidth="1"/>
    <col min="13" max="13" width="5.59765625" style="5" customWidth="1"/>
    <col min="14" max="14" width="5.5" style="5" customWidth="1"/>
    <col min="15" max="15" width="5.59765625" style="5" bestFit="1" customWidth="1"/>
    <col min="16" max="16" width="3.09765625" style="5" customWidth="1"/>
    <col min="17" max="17" width="5.59765625" style="5" customWidth="1"/>
    <col min="18" max="18" width="5.3984375" style="3" customWidth="1"/>
    <col min="19" max="19" width="6.09765625" style="5" customWidth="1"/>
    <col min="20" max="20" width="5.59765625" style="3" customWidth="1"/>
    <col min="21" max="21" width="0.8984375" style="14" customWidth="1"/>
    <col min="22" max="22" width="6.09765625" style="3" customWidth="1"/>
    <col min="23" max="23" width="5.09765625" style="3" customWidth="1"/>
    <col min="24" max="24" width="5.8984375" style="3" customWidth="1"/>
    <col min="25" max="25" width="12.59765625" style="3" customWidth="1"/>
    <col min="26" max="26" width="0.8984375" style="14" customWidth="1"/>
    <col min="27" max="27" width="7.3984375" style="3" customWidth="1"/>
    <col min="28" max="28" width="6.3984375" style="3" customWidth="1"/>
    <col min="29" max="29" width="7.59765625" style="5" customWidth="1"/>
    <col min="30" max="30" width="4.59765625" style="5" customWidth="1"/>
    <col min="31" max="31" width="6.59765625" style="5" customWidth="1"/>
    <col min="32" max="32" width="9.09765625" style="5" customWidth="1"/>
    <col min="33" max="36" width="11" style="51" customWidth="1"/>
    <col min="37" max="37" width="7.09765625" style="39" customWidth="1"/>
    <col min="38" max="38" width="6.09765625" style="3" customWidth="1"/>
    <col min="39" max="40" width="5.59765625" style="3" customWidth="1"/>
    <col min="41" max="47" width="5.3984375" style="3" customWidth="1"/>
    <col min="48" max="57" width="5.5" style="3" customWidth="1"/>
    <col min="58" max="16384" width="20.59765625" style="3"/>
  </cols>
  <sheetData>
    <row r="1" spans="1:58" customFormat="1" ht="36" thickBot="1" x14ac:dyDescent="0.45">
      <c r="A1" s="218" t="s">
        <v>1824</v>
      </c>
      <c r="B1" s="129"/>
      <c r="K1" s="3"/>
      <c r="P1" s="8"/>
      <c r="AB1" s="115"/>
      <c r="AC1" s="115"/>
      <c r="AD1" s="115"/>
      <c r="AE1" s="115"/>
      <c r="AF1" s="115"/>
      <c r="AG1" s="115"/>
      <c r="AH1" s="290"/>
      <c r="AI1" s="290"/>
      <c r="AJ1" s="290"/>
      <c r="AK1" s="115"/>
    </row>
    <row r="2" spans="1:58" s="2" customFormat="1" ht="23.4" thickBot="1" x14ac:dyDescent="0.45">
      <c r="B2" s="2143" t="s">
        <v>297</v>
      </c>
      <c r="C2" s="2144"/>
      <c r="D2" s="2144"/>
      <c r="E2" s="2144"/>
      <c r="F2" s="2144"/>
      <c r="G2" s="2145"/>
      <c r="H2" s="500"/>
      <c r="I2" s="1"/>
      <c r="J2" s="232"/>
      <c r="K2" s="233"/>
      <c r="L2" s="234"/>
      <c r="M2" s="235" t="s">
        <v>298</v>
      </c>
      <c r="N2" s="233"/>
      <c r="O2" s="233"/>
      <c r="P2" s="236"/>
      <c r="Q2" s="237"/>
      <c r="R2" s="3"/>
      <c r="S2" s="228"/>
      <c r="T2" s="229"/>
      <c r="U2" s="229"/>
      <c r="V2" s="230" t="s">
        <v>1825</v>
      </c>
      <c r="W2" s="229"/>
      <c r="X2" s="231"/>
      <c r="Y2" s="3"/>
      <c r="Z2" s="3"/>
      <c r="AA2" s="3"/>
      <c r="AB2" s="5"/>
      <c r="AE2" s="3"/>
      <c r="AF2" s="131"/>
      <c r="AK2" s="3"/>
      <c r="AN2" s="452" t="s">
        <v>299</v>
      </c>
      <c r="AO2" s="118">
        <f>MATCH(E4,AM3:AM6,0)</f>
        <v>1</v>
      </c>
    </row>
    <row r="3" spans="1:58" s="2" customFormat="1" ht="20.25" customHeight="1" thickBot="1" x14ac:dyDescent="0.45">
      <c r="B3" s="208"/>
      <c r="C3" s="209"/>
      <c r="D3" s="209" t="s">
        <v>299</v>
      </c>
      <c r="E3" s="2153" t="s">
        <v>1826</v>
      </c>
      <c r="F3" s="2154"/>
      <c r="G3" s="2155"/>
      <c r="H3" s="500"/>
      <c r="J3" s="1959" t="s">
        <v>300</v>
      </c>
      <c r="K3" s="2016"/>
      <c r="L3" s="2016"/>
      <c r="M3" s="2016" t="s">
        <v>300</v>
      </c>
      <c r="N3" s="2137" t="str">
        <f>FIXED(FWWidth,3)&amp;" W x "&amp;FIXED(FWHeight,3)&amp;" H"</f>
        <v>47.500 W x 47.500 H</v>
      </c>
      <c r="O3" s="2137"/>
      <c r="P3" s="2137"/>
      <c r="Q3" s="2138"/>
      <c r="R3" s="3"/>
      <c r="S3" s="305"/>
      <c r="T3" s="306"/>
      <c r="U3" s="306"/>
      <c r="V3" s="1359" t="s">
        <v>1117</v>
      </c>
      <c r="W3" s="2156">
        <v>30</v>
      </c>
      <c r="X3" s="2157"/>
      <c r="Y3" s="155"/>
      <c r="Z3" s="1360"/>
      <c r="AA3" s="500"/>
      <c r="AB3" s="3"/>
      <c r="AC3" s="5"/>
      <c r="AD3" s="5"/>
      <c r="AE3" s="5"/>
      <c r="AF3" s="131"/>
      <c r="AK3" s="3"/>
      <c r="AM3" s="119" t="s">
        <v>302</v>
      </c>
      <c r="AN3" s="116"/>
      <c r="AO3" s="66"/>
    </row>
    <row r="4" spans="1:58" s="2" customFormat="1" ht="20.25" customHeight="1" thickBot="1" x14ac:dyDescent="0.45">
      <c r="B4" s="2146" t="s">
        <v>304</v>
      </c>
      <c r="C4" s="2147"/>
      <c r="D4" s="2147"/>
      <c r="E4" s="2161" t="s">
        <v>302</v>
      </c>
      <c r="F4" s="2162"/>
      <c r="G4" s="210"/>
      <c r="H4" s="500"/>
      <c r="I4" s="36"/>
      <c r="J4" s="1959" t="s">
        <v>1827</v>
      </c>
      <c r="K4" s="2016"/>
      <c r="L4" s="2016"/>
      <c r="M4" s="2016"/>
      <c r="N4" s="2067" t="str">
        <f>FIXED(S158,3)&amp;" W x "&amp;FIXED(S159,3)&amp;" H"</f>
        <v>44.250 W x 44.250 H</v>
      </c>
      <c r="O4" s="2067"/>
      <c r="P4" s="2067"/>
      <c r="Q4" s="2140"/>
      <c r="R4" s="1360"/>
      <c r="S4" s="226"/>
      <c r="T4" s="227"/>
      <c r="U4" s="227"/>
      <c r="V4" s="1361" t="s">
        <v>1119</v>
      </c>
      <c r="W4" s="2156">
        <v>40</v>
      </c>
      <c r="X4" s="2157"/>
      <c r="Y4" s="224"/>
      <c r="Z4" s="3"/>
      <c r="AA4" s="1144"/>
      <c r="AC4" s="5"/>
      <c r="AD4" s="5"/>
      <c r="AE4" s="461"/>
      <c r="AF4" s="132"/>
      <c r="AG4" s="132"/>
      <c r="AH4" s="132"/>
      <c r="AI4" s="132"/>
      <c r="AJ4" s="132"/>
      <c r="AK4" s="3"/>
      <c r="AM4" s="120" t="s">
        <v>1828</v>
      </c>
      <c r="AN4" s="3"/>
      <c r="AO4" s="64"/>
    </row>
    <row r="5" spans="1:58" ht="20.25" customHeight="1" thickBot="1" x14ac:dyDescent="0.45">
      <c r="B5" s="2151" t="s">
        <v>308</v>
      </c>
      <c r="C5" s="2152"/>
      <c r="D5" s="2152"/>
      <c r="E5" s="1362">
        <v>36</v>
      </c>
      <c r="F5" s="1363" t="s">
        <v>309</v>
      </c>
      <c r="G5" s="207">
        <v>36</v>
      </c>
      <c r="H5" s="500"/>
      <c r="J5" s="211"/>
      <c r="K5" s="212"/>
      <c r="L5" s="212"/>
      <c r="M5" s="121" t="s">
        <v>1829</v>
      </c>
      <c r="N5" s="2067" t="str">
        <f>FIXED(S160,3)&amp;" W x "&amp;FIXED(S161,3)&amp;" H"</f>
        <v>43.375 W x 43.375 H</v>
      </c>
      <c r="O5" s="2067"/>
      <c r="P5" s="2067"/>
      <c r="Q5" s="2140"/>
      <c r="R5" s="1360"/>
      <c r="S5" s="226"/>
      <c r="T5" s="227"/>
      <c r="U5" s="227"/>
      <c r="V5" s="1361" t="s">
        <v>1830</v>
      </c>
      <c r="W5" s="2135">
        <f>FWDLWidInput-M160</f>
        <v>35.5</v>
      </c>
      <c r="X5" s="2136"/>
      <c r="Y5" s="155"/>
      <c r="Z5" s="91"/>
      <c r="AA5" s="291"/>
      <c r="AB5" s="461"/>
      <c r="AE5" s="461"/>
      <c r="AF5" s="131"/>
      <c r="AG5" s="132"/>
      <c r="AH5" s="132"/>
      <c r="AI5" s="132"/>
      <c r="AJ5" s="132"/>
      <c r="AK5" s="3"/>
      <c r="AM5" s="117" t="s">
        <v>1831</v>
      </c>
      <c r="AO5" s="64"/>
    </row>
    <row r="6" spans="1:58" ht="20.25" customHeight="1" thickBot="1" x14ac:dyDescent="0.45">
      <c r="E6" s="138"/>
      <c r="F6" s="138"/>
      <c r="G6" s="138"/>
      <c r="H6" s="500"/>
      <c r="J6" s="2165"/>
      <c r="K6" s="2166"/>
      <c r="L6" s="2166"/>
      <c r="M6" s="2166"/>
      <c r="N6" s="2141"/>
      <c r="O6" s="2141"/>
      <c r="P6" s="2141"/>
      <c r="Q6" s="2142"/>
      <c r="R6" s="1364"/>
      <c r="S6" s="1365"/>
      <c r="T6" s="1366"/>
      <c r="U6" s="1366"/>
      <c r="V6" s="1367" t="s">
        <v>1832</v>
      </c>
      <c r="W6" s="2135">
        <f>FWDLHtInput-M161</f>
        <v>59.5</v>
      </c>
      <c r="X6" s="2136"/>
      <c r="Y6" s="155"/>
      <c r="Z6" s="91"/>
      <c r="AA6" s="291"/>
      <c r="AB6" s="461"/>
      <c r="AF6" s="131"/>
      <c r="AG6" s="132"/>
      <c r="AH6" s="132"/>
      <c r="AI6" s="132"/>
      <c r="AJ6" s="132"/>
      <c r="AK6" s="3"/>
      <c r="AM6" s="939" t="s">
        <v>317</v>
      </c>
      <c r="AN6" s="889"/>
      <c r="AO6" s="940"/>
    </row>
    <row r="7" spans="1:58" ht="20.25" customHeight="1" thickBot="1" x14ac:dyDescent="0.45">
      <c r="B7" s="217"/>
      <c r="C7" s="201" t="s">
        <v>1833</v>
      </c>
      <c r="G7" s="201" t="s">
        <v>1834</v>
      </c>
      <c r="H7" s="500"/>
      <c r="J7" s="2163"/>
      <c r="K7" s="2164"/>
      <c r="L7" s="2164"/>
      <c r="M7" s="2164"/>
      <c r="N7" s="2139"/>
      <c r="O7" s="2139"/>
      <c r="P7" s="2139"/>
      <c r="Q7" s="2139"/>
      <c r="U7" s="3"/>
      <c r="V7" s="437"/>
      <c r="W7" s="4"/>
      <c r="X7" s="4"/>
      <c r="Y7" s="4"/>
      <c r="Z7" s="91"/>
      <c r="AA7" s="292"/>
      <c r="AB7" s="437"/>
      <c r="AF7" s="131"/>
      <c r="AG7" s="132"/>
      <c r="AH7" s="132"/>
      <c r="AI7" s="132"/>
      <c r="AJ7" s="132"/>
      <c r="AK7" s="3"/>
      <c r="AM7" s="2158"/>
      <c r="AN7" s="2159"/>
      <c r="AO7" s="2160"/>
      <c r="AP7" s="8"/>
    </row>
    <row r="8" spans="1:58" ht="20.25" customHeight="1" thickBot="1" x14ac:dyDescent="0.45">
      <c r="H8" s="500"/>
      <c r="I8" s="470"/>
      <c r="J8" s="470"/>
      <c r="K8" s="216"/>
      <c r="P8" s="214"/>
      <c r="Q8" s="214"/>
      <c r="R8" s="213"/>
      <c r="U8" s="461"/>
      <c r="V8" s="215"/>
      <c r="W8" s="2150"/>
      <c r="X8" s="2150"/>
      <c r="Y8" s="92"/>
      <c r="Z8" s="92"/>
      <c r="AA8" s="92"/>
      <c r="AB8" s="293"/>
      <c r="AC8" s="293"/>
      <c r="AD8" s="293"/>
      <c r="AE8" s="294"/>
      <c r="AF8" s="131"/>
      <c r="AG8" s="293"/>
      <c r="AH8" s="132"/>
      <c r="AI8" s="132"/>
      <c r="AJ8" s="132"/>
      <c r="AK8" s="293"/>
      <c r="AL8" s="2032" t="s">
        <v>1125</v>
      </c>
      <c r="AM8" s="2148"/>
      <c r="AN8" s="2148"/>
      <c r="AO8" s="2149"/>
      <c r="AT8" s="8"/>
    </row>
    <row r="9" spans="1:58" s="14" customFormat="1" ht="6" customHeight="1" x14ac:dyDescent="0.4">
      <c r="A9" s="96"/>
      <c r="B9" s="97"/>
      <c r="C9" s="98"/>
      <c r="D9" s="99"/>
      <c r="E9" s="99"/>
      <c r="F9" s="99"/>
      <c r="G9" s="100"/>
      <c r="H9" s="96"/>
      <c r="I9" s="101"/>
      <c r="J9" s="102"/>
      <c r="K9" s="96"/>
      <c r="L9" s="102"/>
      <c r="M9" s="103"/>
      <c r="N9" s="103"/>
      <c r="O9" s="103"/>
      <c r="P9" s="103"/>
      <c r="Q9" s="103"/>
      <c r="R9" s="102"/>
      <c r="S9" s="103"/>
      <c r="T9" s="102"/>
      <c r="U9" s="104"/>
      <c r="V9" s="96"/>
      <c r="W9" s="105"/>
      <c r="X9" s="105"/>
      <c r="Y9" s="96"/>
      <c r="Z9" s="96"/>
      <c r="AA9" s="103"/>
      <c r="AB9" s="96"/>
      <c r="AC9" s="103"/>
      <c r="AD9" s="97"/>
      <c r="AE9" s="97"/>
      <c r="AF9" s="97"/>
      <c r="AG9" s="106"/>
      <c r="AH9" s="106"/>
      <c r="AI9" s="106"/>
      <c r="AJ9" s="106"/>
      <c r="AK9" s="107"/>
      <c r="AR9" s="11"/>
      <c r="AT9" s="11"/>
    </row>
    <row r="10" spans="1:58" s="23" customFormat="1" ht="42" customHeight="1" x14ac:dyDescent="0.25">
      <c r="B10" s="1991" t="s">
        <v>328</v>
      </c>
      <c r="C10" s="1991"/>
      <c r="D10" s="1991"/>
      <c r="E10" s="1991"/>
      <c r="F10" s="1991"/>
      <c r="G10" s="1991"/>
      <c r="H10" s="20"/>
      <c r="I10" s="1969" t="s">
        <v>329</v>
      </c>
      <c r="J10" s="1969"/>
      <c r="K10" s="1969"/>
      <c r="L10" s="1969"/>
      <c r="M10" s="1969"/>
      <c r="N10" s="500"/>
      <c r="O10" s="500"/>
      <c r="P10" s="500"/>
      <c r="Q10" s="500"/>
      <c r="R10" s="500"/>
      <c r="S10" s="21" t="s">
        <v>1548</v>
      </c>
      <c r="T10" s="22" t="s">
        <v>1126</v>
      </c>
      <c r="U10" s="82"/>
      <c r="V10" s="1969" t="s">
        <v>332</v>
      </c>
      <c r="W10" s="1969"/>
      <c r="X10" s="1969"/>
      <c r="Y10" s="1969"/>
      <c r="Z10" s="20"/>
      <c r="AA10" s="500" t="s">
        <v>1127</v>
      </c>
      <c r="AB10" s="145" t="s">
        <v>1549</v>
      </c>
      <c r="AC10" s="21" t="s">
        <v>1550</v>
      </c>
      <c r="AD10" s="24" t="s">
        <v>1128</v>
      </c>
      <c r="AE10" s="21" t="s">
        <v>1129</v>
      </c>
      <c r="AF10" s="77">
        <v>0.63249999999999995</v>
      </c>
      <c r="AG10" s="49" t="s">
        <v>338</v>
      </c>
      <c r="AH10" s="49" t="s">
        <v>339</v>
      </c>
      <c r="AI10" s="49" t="s">
        <v>340</v>
      </c>
      <c r="AJ10" s="49" t="s">
        <v>341</v>
      </c>
      <c r="AK10" s="9" t="s">
        <v>1130</v>
      </c>
      <c r="AL10" s="2061" t="s">
        <v>1339</v>
      </c>
      <c r="AM10" s="2061"/>
      <c r="AN10" s="85"/>
      <c r="AO10" s="85"/>
      <c r="AP10" s="25"/>
      <c r="AQ10" s="25"/>
      <c r="AR10" s="25"/>
      <c r="AS10" s="25"/>
      <c r="AT10" s="25"/>
      <c r="AU10" s="25"/>
      <c r="AV10" s="25"/>
      <c r="AW10" s="31"/>
      <c r="AX10" s="31"/>
      <c r="AY10" s="31"/>
      <c r="AZ10" s="31"/>
      <c r="BA10" s="31"/>
      <c r="BB10" s="31"/>
      <c r="BC10" s="31"/>
      <c r="BD10" s="31"/>
      <c r="BE10" s="31"/>
      <c r="BF10" s="31"/>
    </row>
    <row r="11" spans="1:58" s="23" customFormat="1" ht="12" x14ac:dyDescent="0.25">
      <c r="A11" s="23" t="s">
        <v>344</v>
      </c>
      <c r="B11" s="23">
        <v>1</v>
      </c>
      <c r="C11" s="23">
        <v>2</v>
      </c>
      <c r="D11" s="23">
        <v>3</v>
      </c>
      <c r="G11" s="26">
        <v>4</v>
      </c>
      <c r="H11" s="27"/>
      <c r="I11" s="23" t="s">
        <v>345</v>
      </c>
      <c r="J11" s="28" t="s">
        <v>346</v>
      </c>
      <c r="K11" s="23" t="s">
        <v>347</v>
      </c>
      <c r="L11" s="3" t="s">
        <v>348</v>
      </c>
      <c r="M11" s="29" t="s">
        <v>347</v>
      </c>
      <c r="N11" s="29" t="s">
        <v>348</v>
      </c>
      <c r="O11" s="29" t="s">
        <v>349</v>
      </c>
      <c r="P11" s="72" t="s">
        <v>350</v>
      </c>
      <c r="Q11" s="29" t="s">
        <v>462</v>
      </c>
      <c r="R11" s="30" t="s">
        <v>352</v>
      </c>
      <c r="S11" s="29" t="s">
        <v>1551</v>
      </c>
      <c r="T11" s="23" t="s">
        <v>1132</v>
      </c>
      <c r="U11" s="27"/>
      <c r="V11" s="31" t="s">
        <v>353</v>
      </c>
      <c r="W11" s="31" t="s">
        <v>354</v>
      </c>
      <c r="X11" s="31" t="s">
        <v>355</v>
      </c>
      <c r="Y11" s="23" t="s">
        <v>356</v>
      </c>
      <c r="Z11" s="27"/>
      <c r="AA11" s="23" t="s">
        <v>1133</v>
      </c>
      <c r="AB11" s="23" t="s">
        <v>1552</v>
      </c>
      <c r="AC11" s="29" t="s">
        <v>1552</v>
      </c>
      <c r="AD11" s="29" t="s">
        <v>1132</v>
      </c>
      <c r="AE11" s="29" t="s">
        <v>1134</v>
      </c>
      <c r="AF11" s="29" t="s">
        <v>357</v>
      </c>
      <c r="AG11" s="50"/>
      <c r="AH11" s="50"/>
      <c r="AI11" s="50"/>
      <c r="AJ11" s="50"/>
      <c r="AK11" s="32" t="s">
        <v>1135</v>
      </c>
      <c r="AL11" s="84"/>
      <c r="AM11" s="33"/>
      <c r="AN11" s="33"/>
      <c r="AO11" s="33"/>
      <c r="AP11" s="33"/>
      <c r="AQ11" s="33"/>
      <c r="AR11" s="33"/>
      <c r="AS11" s="33"/>
      <c r="AT11" s="33"/>
      <c r="AU11" s="33"/>
    </row>
    <row r="12" spans="1:58" s="14" customFormat="1" ht="6" customHeight="1" x14ac:dyDescent="0.4">
      <c r="B12" s="10"/>
      <c r="C12" s="11"/>
      <c r="D12" s="12"/>
      <c r="E12" s="12"/>
      <c r="F12" s="12"/>
      <c r="G12" s="13"/>
      <c r="I12" s="15"/>
      <c r="J12" s="16"/>
      <c r="L12" s="16"/>
      <c r="M12" s="17"/>
      <c r="N12" s="17"/>
      <c r="O12" s="17"/>
      <c r="P12" s="17"/>
      <c r="Q12" s="17"/>
      <c r="R12" s="16"/>
      <c r="S12" s="17"/>
      <c r="T12" s="16"/>
      <c r="W12" s="18"/>
      <c r="X12" s="18"/>
      <c r="AA12" s="17"/>
      <c r="AC12" s="17"/>
      <c r="AD12" s="10"/>
      <c r="AE12" s="10"/>
      <c r="AF12" s="10"/>
      <c r="AG12" s="48"/>
      <c r="AH12" s="48"/>
      <c r="AI12" s="48"/>
      <c r="AJ12" s="48"/>
      <c r="AK12" s="19"/>
      <c r="AR12" s="11"/>
      <c r="AT12" s="11"/>
    </row>
    <row r="13" spans="1:58" ht="15" customHeight="1" thickBot="1" x14ac:dyDescent="0.45">
      <c r="B13" s="90" t="s">
        <v>1343</v>
      </c>
      <c r="C13" s="34"/>
      <c r="D13" s="35"/>
      <c r="E13" s="35"/>
      <c r="F13" s="35"/>
      <c r="G13" s="35"/>
      <c r="H13" s="61"/>
      <c r="I13" s="61"/>
      <c r="J13" s="61"/>
      <c r="K13" s="61"/>
      <c r="L13" s="61"/>
      <c r="M13" s="62"/>
      <c r="N13" s="62"/>
      <c r="O13" s="62"/>
      <c r="P13" s="62"/>
      <c r="Q13" s="62"/>
      <c r="R13" s="61"/>
      <c r="S13" s="62"/>
      <c r="T13" s="61"/>
      <c r="U13" s="61"/>
      <c r="V13" s="35"/>
      <c r="W13" s="35"/>
      <c r="X13" s="35"/>
      <c r="Y13" s="58"/>
      <c r="Z13" s="61"/>
      <c r="AA13" s="57"/>
      <c r="AB13" s="61"/>
      <c r="AC13" s="62"/>
      <c r="AD13" s="61"/>
      <c r="AE13" s="61"/>
      <c r="AF13" s="61"/>
      <c r="AG13" s="63"/>
      <c r="AH13" s="63"/>
      <c r="AI13" s="63"/>
      <c r="AJ13" s="63"/>
      <c r="AK13" s="113" t="e">
        <f>SUBTOTAL(109,AK16:AK147)</f>
        <v>#NAME?</v>
      </c>
    </row>
    <row r="14" spans="1:58" ht="15" customHeight="1" thickBot="1" x14ac:dyDescent="0.45">
      <c r="B14" s="146" t="s">
        <v>449</v>
      </c>
      <c r="C14" s="147"/>
      <c r="D14" s="147"/>
      <c r="E14" s="147"/>
      <c r="F14" s="147"/>
      <c r="G14" s="147"/>
      <c r="H14" s="148"/>
      <c r="I14" s="148"/>
      <c r="J14" s="148"/>
      <c r="K14" s="148"/>
      <c r="L14" s="148"/>
      <c r="M14" s="149"/>
      <c r="N14" s="149"/>
      <c r="O14" s="149"/>
      <c r="P14" s="149"/>
      <c r="Q14" s="149"/>
      <c r="R14" s="148"/>
      <c r="S14" s="149"/>
      <c r="T14" s="148"/>
      <c r="U14" s="148"/>
      <c r="V14" s="147"/>
      <c r="W14" s="147"/>
      <c r="X14" s="147"/>
      <c r="Y14" s="150"/>
      <c r="Z14" s="148"/>
      <c r="AA14" s="151"/>
      <c r="AB14" s="148"/>
      <c r="AC14" s="149"/>
      <c r="AD14" s="148"/>
      <c r="AE14" s="148"/>
      <c r="AF14" s="148"/>
      <c r="AG14" s="152"/>
      <c r="AH14" s="152"/>
      <c r="AI14" s="152"/>
      <c r="AJ14" s="152"/>
      <c r="AK14" s="153"/>
    </row>
    <row r="15" spans="1:58" ht="15" customHeight="1" thickBot="1" x14ac:dyDescent="0.45">
      <c r="B15" s="173" t="s">
        <v>361</v>
      </c>
      <c r="C15" s="173"/>
      <c r="D15" s="116"/>
      <c r="E15" s="136"/>
      <c r="F15" s="174"/>
      <c r="G15" s="173"/>
      <c r="H15" s="175"/>
      <c r="I15" s="116"/>
      <c r="J15" s="116"/>
      <c r="K15" s="116"/>
      <c r="L15" s="116"/>
      <c r="M15" s="177"/>
      <c r="N15" s="177"/>
      <c r="O15" s="177"/>
      <c r="P15" s="177"/>
      <c r="Q15" s="177"/>
      <c r="R15" s="116"/>
      <c r="S15" s="177"/>
      <c r="T15" s="116"/>
      <c r="U15" s="175"/>
      <c r="V15" s="173"/>
      <c r="W15" s="173"/>
      <c r="X15" s="173"/>
      <c r="Y15" s="116"/>
      <c r="Z15" s="175"/>
      <c r="AA15" s="116"/>
      <c r="AB15" s="116"/>
      <c r="AC15" s="177"/>
      <c r="AD15" s="116"/>
      <c r="AE15" s="179"/>
      <c r="AF15" s="177"/>
      <c r="AG15" s="185"/>
      <c r="AH15" s="185"/>
      <c r="AI15" s="185"/>
      <c r="AJ15" s="185"/>
      <c r="AK15" s="180"/>
      <c r="BA15" s="139"/>
      <c r="BB15" s="139"/>
      <c r="BC15" s="139"/>
      <c r="BD15" s="139"/>
      <c r="BE15" s="139"/>
    </row>
    <row r="16" spans="1:58" ht="15" customHeight="1" x14ac:dyDescent="0.4">
      <c r="A16" s="3" t="s">
        <v>362</v>
      </c>
      <c r="B16" s="173"/>
      <c r="C16" s="173" t="s">
        <v>363</v>
      </c>
      <c r="D16" s="116"/>
      <c r="F16" s="174" t="s">
        <v>391</v>
      </c>
      <c r="G16" s="173"/>
      <c r="H16" s="175"/>
      <c r="I16" s="116" t="s">
        <v>365</v>
      </c>
      <c r="J16" s="116"/>
      <c r="K16" s="116"/>
      <c r="L16" s="116" t="s">
        <v>348</v>
      </c>
      <c r="M16" s="183">
        <f>1.375*2</f>
        <v>2.75</v>
      </c>
      <c r="N16" s="177" t="s">
        <v>348</v>
      </c>
      <c r="O16" s="183">
        <f>0.25</f>
        <v>0.25</v>
      </c>
      <c r="P16" s="177"/>
      <c r="Q16" s="177"/>
      <c r="R16" s="116" t="s">
        <v>352</v>
      </c>
      <c r="S16" s="177">
        <f>FWHeight+M16+O16</f>
        <v>50.5</v>
      </c>
      <c r="T16" s="116" t="s">
        <v>366</v>
      </c>
      <c r="U16" s="175"/>
      <c r="V16" s="173"/>
      <c r="W16" s="173"/>
      <c r="X16" s="173"/>
      <c r="Y16" s="116"/>
      <c r="Z16" s="175"/>
      <c r="AA16" s="116">
        <v>42</v>
      </c>
      <c r="AB16" s="116">
        <v>2</v>
      </c>
      <c r="AC16" s="177">
        <f>AB16*S16/12</f>
        <v>8.4166666666666661</v>
      </c>
      <c r="AD16" s="116" t="s">
        <v>367</v>
      </c>
      <c r="AE16" s="179">
        <v>1.1200000000000001</v>
      </c>
      <c r="AF16" s="177" t="e">
        <f>AE16*Atolbperft</f>
        <v>#NAME?</v>
      </c>
      <c r="AG16" s="185"/>
      <c r="AH16" s="185"/>
      <c r="AI16" s="185"/>
      <c r="AJ16" s="185"/>
      <c r="AK16" s="180"/>
    </row>
    <row r="17" spans="1:57" ht="15" customHeight="1" x14ac:dyDescent="0.4">
      <c r="B17" s="36"/>
      <c r="C17" s="36"/>
      <c r="D17" s="155"/>
      <c r="E17" s="47"/>
      <c r="F17" s="47" t="s">
        <v>1138</v>
      </c>
      <c r="G17" s="7"/>
      <c r="H17" s="20"/>
      <c r="I17" s="3" t="s">
        <v>365</v>
      </c>
      <c r="L17" s="3" t="s">
        <v>348</v>
      </c>
      <c r="M17" s="154">
        <v>0</v>
      </c>
      <c r="N17" s="5" t="s">
        <v>348</v>
      </c>
      <c r="O17" s="154">
        <v>0.25</v>
      </c>
      <c r="R17" s="3" t="s">
        <v>352</v>
      </c>
      <c r="S17" s="5">
        <f>FWHeight+M17+O17</f>
        <v>47.75</v>
      </c>
      <c r="T17" s="3" t="s">
        <v>366</v>
      </c>
      <c r="U17" s="20"/>
      <c r="V17" s="38" t="s">
        <v>369</v>
      </c>
      <c r="W17" s="3" t="s">
        <v>370</v>
      </c>
      <c r="X17" s="38" t="s">
        <v>369</v>
      </c>
      <c r="Y17" s="41"/>
      <c r="Z17" s="20"/>
      <c r="AD17" s="3"/>
      <c r="AE17" s="38"/>
      <c r="AG17" s="39" t="e">
        <f>$AF$8*AF16</f>
        <v>#NAME?</v>
      </c>
      <c r="AH17" s="39"/>
      <c r="AI17" s="39"/>
      <c r="AJ17" s="39"/>
      <c r="AK17" s="39" t="e">
        <f>AG17*AC16</f>
        <v>#NAME?</v>
      </c>
      <c r="BA17" s="139"/>
      <c r="BB17" s="139"/>
      <c r="BC17" s="139"/>
      <c r="BD17" s="139"/>
      <c r="BE17" s="139"/>
    </row>
    <row r="18" spans="1:57" ht="15" customHeight="1" x14ac:dyDescent="0.4">
      <c r="B18" s="36"/>
      <c r="C18" s="36"/>
      <c r="D18" s="155"/>
      <c r="E18" s="155"/>
      <c r="F18" s="155"/>
      <c r="G18" s="7"/>
      <c r="H18" s="20"/>
      <c r="P18" s="24"/>
      <c r="Q18" s="24"/>
      <c r="U18" s="20"/>
      <c r="V18" s="38" t="s">
        <v>369</v>
      </c>
      <c r="W18" s="3" t="s">
        <v>372</v>
      </c>
      <c r="X18" s="38" t="s">
        <v>369</v>
      </c>
      <c r="Y18" s="41"/>
      <c r="Z18" s="20"/>
      <c r="AD18" s="3"/>
      <c r="AE18" s="3"/>
      <c r="AG18" s="39" t="e">
        <f>1*AF16</f>
        <v>#NAME?</v>
      </c>
      <c r="AH18" s="39"/>
      <c r="AI18" s="39"/>
      <c r="AJ18" s="39"/>
      <c r="AK18" s="39" t="e">
        <f>AG18*AC16</f>
        <v>#NAME?</v>
      </c>
      <c r="BA18" s="139"/>
      <c r="BB18" s="139"/>
      <c r="BC18" s="139"/>
      <c r="BD18" s="139"/>
      <c r="BE18" s="139"/>
    </row>
    <row r="19" spans="1:57" ht="15.75" customHeight="1" thickBot="1" x14ac:dyDescent="0.45">
      <c r="B19" s="3"/>
      <c r="C19" s="943"/>
      <c r="D19" s="925"/>
      <c r="E19" s="925"/>
      <c r="F19" s="925"/>
      <c r="G19" s="924"/>
      <c r="H19" s="887"/>
      <c r="I19" s="889"/>
      <c r="J19" s="889"/>
      <c r="K19" s="889"/>
      <c r="L19" s="889"/>
      <c r="M19" s="945"/>
      <c r="N19" s="945"/>
      <c r="O19" s="945"/>
      <c r="P19" s="1020"/>
      <c r="Q19" s="1020"/>
      <c r="R19" s="889"/>
      <c r="S19" s="945"/>
      <c r="T19" s="889"/>
      <c r="U19" s="887"/>
      <c r="V19" s="888" t="s">
        <v>369</v>
      </c>
      <c r="W19" s="889" t="s">
        <v>373</v>
      </c>
      <c r="X19" s="888" t="s">
        <v>369</v>
      </c>
      <c r="Y19" s="946"/>
      <c r="Z19" s="887"/>
      <c r="AA19" s="889"/>
      <c r="AB19" s="889"/>
      <c r="AC19" s="945"/>
      <c r="AD19" s="889"/>
      <c r="AE19" s="889"/>
      <c r="AF19" s="945"/>
      <c r="AG19" s="947" t="e">
        <f>1*AF16</f>
        <v>#NAME?</v>
      </c>
      <c r="AH19" s="947"/>
      <c r="AI19" s="947"/>
      <c r="AJ19" s="947"/>
      <c r="AK19" s="947" t="e">
        <f>AG19*AC16</f>
        <v>#NAME?</v>
      </c>
      <c r="BA19" s="139"/>
      <c r="BB19" s="139"/>
      <c r="BC19" s="139"/>
      <c r="BD19" s="139"/>
      <c r="BE19" s="139"/>
    </row>
    <row r="20" spans="1:57" ht="15" customHeight="1" x14ac:dyDescent="0.4">
      <c r="A20" s="3" t="s">
        <v>376</v>
      </c>
      <c r="B20" s="3"/>
      <c r="C20" s="173" t="s">
        <v>377</v>
      </c>
      <c r="D20" s="116"/>
      <c r="E20" s="116"/>
      <c r="F20" s="174" t="s">
        <v>1835</v>
      </c>
      <c r="G20" s="173"/>
      <c r="H20" s="175"/>
      <c r="I20" s="116" t="s">
        <v>365</v>
      </c>
      <c r="J20" s="116"/>
      <c r="K20" s="116"/>
      <c r="L20" s="116" t="s">
        <v>348</v>
      </c>
      <c r="M20" s="176">
        <f>1.375*2</f>
        <v>2.75</v>
      </c>
      <c r="N20" s="177" t="s">
        <v>348</v>
      </c>
      <c r="O20" s="176">
        <f>0.25</f>
        <v>0.25</v>
      </c>
      <c r="P20" s="178"/>
      <c r="Q20" s="178"/>
      <c r="R20" s="116" t="s">
        <v>352</v>
      </c>
      <c r="S20" s="177">
        <f>FWHeight+M20+O20</f>
        <v>50.5</v>
      </c>
      <c r="T20" s="116" t="s">
        <v>366</v>
      </c>
      <c r="U20" s="175"/>
      <c r="V20" s="173"/>
      <c r="W20" s="173"/>
      <c r="X20" s="173"/>
      <c r="Y20" s="116"/>
      <c r="Z20" s="175"/>
      <c r="AA20" s="116">
        <v>42</v>
      </c>
      <c r="AB20" s="116">
        <v>2</v>
      </c>
      <c r="AC20" s="177">
        <f>AB20*S20/12</f>
        <v>8.4166666666666661</v>
      </c>
      <c r="AD20" s="116" t="s">
        <v>367</v>
      </c>
      <c r="AE20" s="179">
        <v>0</v>
      </c>
      <c r="AF20" s="177" t="e">
        <f>AE20*Atolbperft</f>
        <v>#NAME?</v>
      </c>
      <c r="AG20" s="180"/>
      <c r="AH20" s="180"/>
      <c r="AI20" s="180"/>
      <c r="AJ20" s="180"/>
      <c r="AK20" s="180"/>
      <c r="BA20" s="139"/>
      <c r="BB20" s="139"/>
      <c r="BC20" s="139"/>
      <c r="BD20" s="139"/>
      <c r="BE20" s="139"/>
    </row>
    <row r="21" spans="1:57" ht="15" customHeight="1" x14ac:dyDescent="0.4">
      <c r="A21" s="3" t="s">
        <v>378</v>
      </c>
      <c r="B21" s="3"/>
      <c r="C21" s="36"/>
      <c r="D21" s="7"/>
      <c r="E21" s="3"/>
      <c r="F21" s="47"/>
      <c r="G21" s="7"/>
      <c r="H21" s="20"/>
      <c r="U21" s="20"/>
      <c r="V21" s="38" t="s">
        <v>369</v>
      </c>
      <c r="W21" s="3" t="s">
        <v>370</v>
      </c>
      <c r="X21" s="38" t="s">
        <v>369</v>
      </c>
      <c r="Y21" s="41">
        <v>200175003</v>
      </c>
      <c r="Z21" s="20"/>
      <c r="AD21" s="3"/>
      <c r="AE21" s="38"/>
      <c r="AG21" s="39" t="e">
        <f>1*AF20</f>
        <v>#NAME?</v>
      </c>
      <c r="AH21" s="39"/>
      <c r="AI21" s="39"/>
      <c r="AJ21" s="39"/>
      <c r="AK21" s="39" t="e">
        <f>AG21*AC20</f>
        <v>#NAME?</v>
      </c>
      <c r="BA21" s="139"/>
      <c r="BB21" s="139"/>
      <c r="BC21" s="139"/>
      <c r="BD21" s="139"/>
      <c r="BE21" s="139"/>
    </row>
    <row r="22" spans="1:57" ht="15" customHeight="1" x14ac:dyDescent="0.4">
      <c r="B22" s="3"/>
      <c r="C22" s="36"/>
      <c r="D22" s="36"/>
      <c r="E22" s="155"/>
      <c r="F22" s="155"/>
      <c r="G22" s="7"/>
      <c r="H22" s="20"/>
      <c r="P22" s="24"/>
      <c r="Q22" s="24"/>
      <c r="U22" s="20"/>
      <c r="V22" s="38" t="s">
        <v>369</v>
      </c>
      <c r="W22" s="3" t="s">
        <v>372</v>
      </c>
      <c r="X22" s="38" t="s">
        <v>369</v>
      </c>
      <c r="Y22" s="41">
        <v>200175031</v>
      </c>
      <c r="Z22" s="20"/>
      <c r="AD22" s="3"/>
      <c r="AE22" s="3"/>
      <c r="AG22" s="39" t="e">
        <f>1*AF20</f>
        <v>#NAME?</v>
      </c>
      <c r="AH22" s="39"/>
      <c r="AI22" s="39"/>
      <c r="AJ22" s="39"/>
      <c r="AK22" s="39" t="e">
        <f>AG22*AC20</f>
        <v>#NAME?</v>
      </c>
      <c r="BA22" s="139"/>
      <c r="BB22" s="139"/>
      <c r="BC22" s="139"/>
      <c r="BD22" s="139"/>
      <c r="BE22" s="139"/>
    </row>
    <row r="23" spans="1:57" ht="15" customHeight="1" thickBot="1" x14ac:dyDescent="0.45">
      <c r="B23" s="3"/>
      <c r="C23" s="36"/>
      <c r="D23" s="36"/>
      <c r="E23" s="155"/>
      <c r="F23" s="155"/>
      <c r="G23" s="7"/>
      <c r="H23" s="20"/>
      <c r="P23" s="24"/>
      <c r="Q23" s="24"/>
      <c r="U23" s="20"/>
      <c r="V23" s="38" t="s">
        <v>369</v>
      </c>
      <c r="W23" s="3" t="s">
        <v>373</v>
      </c>
      <c r="X23" s="38" t="s">
        <v>369</v>
      </c>
      <c r="Y23" s="41">
        <v>200175033</v>
      </c>
      <c r="Z23" s="20"/>
      <c r="AD23" s="3"/>
      <c r="AE23" s="3"/>
      <c r="AG23" s="39" t="e">
        <f>1*AF20</f>
        <v>#NAME?</v>
      </c>
      <c r="AH23" s="39"/>
      <c r="AI23" s="39"/>
      <c r="AJ23" s="39"/>
      <c r="AK23" s="39" t="e">
        <f>AG23*AC20</f>
        <v>#NAME?</v>
      </c>
      <c r="BA23" s="139"/>
      <c r="BB23" s="139"/>
      <c r="BC23" s="139"/>
      <c r="BD23" s="139"/>
      <c r="BE23" s="139"/>
    </row>
    <row r="24" spans="1:57" ht="15" customHeight="1" x14ac:dyDescent="0.4">
      <c r="B24" s="3"/>
      <c r="C24" s="173" t="s">
        <v>1836</v>
      </c>
      <c r="D24" s="181"/>
      <c r="E24" s="182"/>
      <c r="F24" s="182" t="s">
        <v>1837</v>
      </c>
      <c r="G24" s="173"/>
      <c r="H24" s="175"/>
      <c r="I24" s="116" t="s">
        <v>365</v>
      </c>
      <c r="J24" s="116"/>
      <c r="K24" s="116"/>
      <c r="L24" s="116" t="s">
        <v>348</v>
      </c>
      <c r="M24" s="183">
        <v>3</v>
      </c>
      <c r="N24" s="177" t="s">
        <v>348</v>
      </c>
      <c r="O24" s="183">
        <f>0.25</f>
        <v>0.25</v>
      </c>
      <c r="P24" s="178"/>
      <c r="Q24" s="178"/>
      <c r="R24" s="116" t="s">
        <v>352</v>
      </c>
      <c r="S24" s="177">
        <f>FWHeight+M24+O24</f>
        <v>50.75</v>
      </c>
      <c r="T24" s="116" t="s">
        <v>366</v>
      </c>
      <c r="U24" s="175"/>
      <c r="V24" s="179"/>
      <c r="W24" s="116"/>
      <c r="X24" s="179"/>
      <c r="Y24" s="184"/>
      <c r="Z24" s="175"/>
      <c r="AA24" s="116">
        <v>42</v>
      </c>
      <c r="AB24" s="116">
        <v>2</v>
      </c>
      <c r="AC24" s="177">
        <f>AB24*S24/12</f>
        <v>8.4583333333333339</v>
      </c>
      <c r="AD24" s="116" t="s">
        <v>367</v>
      </c>
      <c r="AE24" s="116">
        <v>0</v>
      </c>
      <c r="AF24" s="177" t="e">
        <f>AE24*Atolbperft</f>
        <v>#NAME?</v>
      </c>
      <c r="AG24" s="185"/>
      <c r="AH24" s="185"/>
      <c r="AI24" s="185"/>
      <c r="AJ24" s="185"/>
      <c r="AK24" s="180"/>
      <c r="BA24" s="139"/>
      <c r="BB24" s="139"/>
      <c r="BC24" s="139"/>
      <c r="BD24" s="139"/>
      <c r="BE24" s="139"/>
    </row>
    <row r="25" spans="1:57" ht="15" customHeight="1" x14ac:dyDescent="0.4">
      <c r="B25" s="36"/>
      <c r="C25" s="36"/>
      <c r="D25" s="155"/>
      <c r="E25" s="155"/>
      <c r="F25" s="155"/>
      <c r="G25" s="7"/>
      <c r="H25" s="20"/>
      <c r="P25" s="24"/>
      <c r="Q25" s="24"/>
      <c r="U25" s="20"/>
      <c r="V25" s="38" t="s">
        <v>369</v>
      </c>
      <c r="W25" s="3" t="s">
        <v>370</v>
      </c>
      <c r="X25" s="38" t="s">
        <v>369</v>
      </c>
      <c r="Y25" s="41">
        <v>200169003</v>
      </c>
      <c r="Z25" s="20"/>
      <c r="AD25" s="3"/>
      <c r="AE25" s="38"/>
      <c r="AG25" s="39" t="e">
        <f>1*AF24</f>
        <v>#NAME?</v>
      </c>
      <c r="AH25" s="39"/>
      <c r="AI25" s="39"/>
      <c r="AJ25" s="39"/>
      <c r="AK25" s="39" t="e">
        <f>AG25*AC24</f>
        <v>#NAME?</v>
      </c>
      <c r="BA25" s="139"/>
      <c r="BB25" s="139"/>
      <c r="BC25" s="139"/>
      <c r="BD25" s="139"/>
      <c r="BE25" s="139"/>
    </row>
    <row r="26" spans="1:57" ht="15" customHeight="1" x14ac:dyDescent="0.4">
      <c r="B26" s="36"/>
      <c r="C26" s="36"/>
      <c r="D26" s="155"/>
      <c r="E26" s="155"/>
      <c r="F26" s="155"/>
      <c r="G26" s="7"/>
      <c r="H26" s="20"/>
      <c r="P26" s="24"/>
      <c r="Q26" s="24"/>
      <c r="U26" s="20"/>
      <c r="V26" s="38" t="s">
        <v>369</v>
      </c>
      <c r="W26" s="3" t="s">
        <v>372</v>
      </c>
      <c r="X26" s="38" t="s">
        <v>369</v>
      </c>
      <c r="Y26" s="41">
        <v>200169031</v>
      </c>
      <c r="Z26" s="20"/>
      <c r="AD26" s="3"/>
      <c r="AE26" s="3"/>
      <c r="AG26" s="39" t="e">
        <f>1*AF24</f>
        <v>#NAME?</v>
      </c>
      <c r="AH26" s="39"/>
      <c r="AI26" s="39"/>
      <c r="AJ26" s="39"/>
      <c r="AK26" s="39" t="e">
        <f>AG26*AC24</f>
        <v>#NAME?</v>
      </c>
      <c r="BA26" s="139"/>
      <c r="BB26" s="139"/>
      <c r="BC26" s="139"/>
      <c r="BD26" s="139"/>
      <c r="BE26" s="139"/>
    </row>
    <row r="27" spans="1:57" ht="15" customHeight="1" thickBot="1" x14ac:dyDescent="0.45">
      <c r="B27" s="36"/>
      <c r="C27" s="943"/>
      <c r="D27" s="925"/>
      <c r="E27" s="925"/>
      <c r="F27" s="925"/>
      <c r="G27" s="924"/>
      <c r="H27" s="887"/>
      <c r="I27" s="889"/>
      <c r="J27" s="889"/>
      <c r="K27" s="889"/>
      <c r="L27" s="889"/>
      <c r="M27" s="945"/>
      <c r="N27" s="945"/>
      <c r="O27" s="945"/>
      <c r="P27" s="1020"/>
      <c r="Q27" s="1020"/>
      <c r="R27" s="889"/>
      <c r="S27" s="945"/>
      <c r="T27" s="889"/>
      <c r="U27" s="887"/>
      <c r="V27" s="888" t="s">
        <v>369</v>
      </c>
      <c r="W27" s="889" t="s">
        <v>373</v>
      </c>
      <c r="X27" s="888" t="s">
        <v>369</v>
      </c>
      <c r="Y27" s="946">
        <v>200169033</v>
      </c>
      <c r="Z27" s="887"/>
      <c r="AA27" s="889"/>
      <c r="AB27" s="889"/>
      <c r="AC27" s="945"/>
      <c r="AD27" s="889"/>
      <c r="AE27" s="889"/>
      <c r="AF27" s="945"/>
      <c r="AG27" s="947" t="e">
        <f>1*AF24</f>
        <v>#NAME?</v>
      </c>
      <c r="AH27" s="947"/>
      <c r="AI27" s="947"/>
      <c r="AJ27" s="947"/>
      <c r="AK27" s="947" t="e">
        <f>AG27*AC24</f>
        <v>#NAME?</v>
      </c>
      <c r="BA27" s="139"/>
      <c r="BB27" s="139"/>
      <c r="BC27" s="139"/>
      <c r="BD27" s="139"/>
      <c r="BE27" s="139"/>
    </row>
    <row r="28" spans="1:57" ht="15" customHeight="1" thickBot="1" x14ac:dyDescent="0.45">
      <c r="B28" s="173" t="s">
        <v>388</v>
      </c>
      <c r="C28" s="173"/>
      <c r="D28" s="116"/>
      <c r="E28" s="136"/>
      <c r="F28" s="174"/>
      <c r="G28" s="173"/>
      <c r="H28" s="175"/>
      <c r="I28" s="116"/>
      <c r="J28" s="116"/>
      <c r="K28" s="116"/>
      <c r="L28" s="116"/>
      <c r="M28" s="116"/>
      <c r="N28" s="177"/>
      <c r="O28" s="177"/>
      <c r="P28" s="177"/>
      <c r="Q28" s="177"/>
      <c r="R28" s="116"/>
      <c r="S28" s="177"/>
      <c r="T28" s="116"/>
      <c r="U28" s="175"/>
      <c r="V28" s="173"/>
      <c r="W28" s="173"/>
      <c r="X28" s="173"/>
      <c r="Y28" s="116"/>
      <c r="Z28" s="175"/>
      <c r="AA28" s="116"/>
      <c r="AB28" s="116"/>
      <c r="AC28" s="177"/>
      <c r="AD28" s="116"/>
      <c r="AE28" s="179"/>
      <c r="AF28" s="177"/>
      <c r="AG28" s="185"/>
      <c r="AH28" s="185"/>
      <c r="AI28" s="185"/>
      <c r="AJ28" s="185"/>
      <c r="AK28" s="180"/>
      <c r="BA28" s="139"/>
      <c r="BB28" s="139"/>
      <c r="BC28" s="139"/>
      <c r="BD28" s="139"/>
      <c r="BE28" s="139"/>
    </row>
    <row r="29" spans="1:57" ht="15" customHeight="1" x14ac:dyDescent="0.4">
      <c r="A29" s="3" t="s">
        <v>362</v>
      </c>
      <c r="B29" s="173"/>
      <c r="C29" s="173" t="s">
        <v>363</v>
      </c>
      <c r="D29" s="116"/>
      <c r="F29" s="174" t="s">
        <v>391</v>
      </c>
      <c r="G29" s="173"/>
      <c r="H29" s="175"/>
      <c r="I29" s="116" t="s">
        <v>392</v>
      </c>
      <c r="J29" s="116"/>
      <c r="K29" s="116"/>
      <c r="L29" s="116" t="s">
        <v>348</v>
      </c>
      <c r="M29" s="183">
        <f>1.375*2</f>
        <v>2.75</v>
      </c>
      <c r="N29" s="177" t="s">
        <v>348</v>
      </c>
      <c r="O29" s="183">
        <f>0.25</f>
        <v>0.25</v>
      </c>
      <c r="P29" s="177"/>
      <c r="Q29" s="177"/>
      <c r="R29" s="116" t="s">
        <v>352</v>
      </c>
      <c r="S29" s="177">
        <f>FWWidth+M29+O29</f>
        <v>50.5</v>
      </c>
      <c r="T29" s="116" t="s">
        <v>366</v>
      </c>
      <c r="U29" s="175"/>
      <c r="V29" s="173"/>
      <c r="W29" s="173"/>
      <c r="X29" s="173"/>
      <c r="Y29" s="116"/>
      <c r="Z29" s="175"/>
      <c r="AA29" s="116">
        <v>42</v>
      </c>
      <c r="AB29" s="116">
        <v>2</v>
      </c>
      <c r="AC29" s="177">
        <f>AB29*S29/12</f>
        <v>8.4166666666666661</v>
      </c>
      <c r="AD29" s="116" t="s">
        <v>367</v>
      </c>
      <c r="AE29" s="179">
        <v>1.1200000000000001</v>
      </c>
      <c r="AF29" s="177" t="e">
        <f>AE29*Atolbperft</f>
        <v>#NAME?</v>
      </c>
      <c r="AG29" s="185"/>
      <c r="AH29" s="185"/>
      <c r="AI29" s="185"/>
      <c r="AJ29" s="185"/>
      <c r="AK29" s="180"/>
    </row>
    <row r="30" spans="1:57" ht="15" customHeight="1" x14ac:dyDescent="0.4">
      <c r="B30" s="36"/>
      <c r="C30" s="36"/>
      <c r="D30" s="155"/>
      <c r="E30" s="47"/>
      <c r="F30" s="47" t="s">
        <v>1138</v>
      </c>
      <c r="G30" s="7"/>
      <c r="H30" s="20"/>
      <c r="I30" s="3" t="s">
        <v>392</v>
      </c>
      <c r="L30" s="3" t="s">
        <v>348</v>
      </c>
      <c r="M30" s="154">
        <v>0</v>
      </c>
      <c r="N30" s="5" t="s">
        <v>348</v>
      </c>
      <c r="O30" s="154">
        <v>0.25</v>
      </c>
      <c r="R30" s="3" t="s">
        <v>352</v>
      </c>
      <c r="S30" s="5">
        <f>FWWidth+M30+O30</f>
        <v>47.75</v>
      </c>
      <c r="T30" s="3" t="s">
        <v>366</v>
      </c>
      <c r="U30" s="20"/>
      <c r="V30" s="38" t="s">
        <v>369</v>
      </c>
      <c r="W30" s="3" t="s">
        <v>370</v>
      </c>
      <c r="X30" s="38" t="s">
        <v>369</v>
      </c>
      <c r="Y30" s="41"/>
      <c r="Z30" s="20"/>
      <c r="AD30" s="3"/>
      <c r="AE30" s="38"/>
      <c r="AG30" s="39" t="e">
        <f>$AF$8*AF29</f>
        <v>#NAME?</v>
      </c>
      <c r="AH30" s="39"/>
      <c r="AI30" s="39"/>
      <c r="AJ30" s="39"/>
      <c r="AK30" s="39" t="e">
        <f>AG30*AC29</f>
        <v>#NAME?</v>
      </c>
      <c r="BA30" s="139"/>
      <c r="BB30" s="139"/>
      <c r="BC30" s="139"/>
      <c r="BD30" s="139"/>
      <c r="BE30" s="139"/>
    </row>
    <row r="31" spans="1:57" ht="15" customHeight="1" x14ac:dyDescent="0.4">
      <c r="B31" s="36"/>
      <c r="C31" s="36"/>
      <c r="D31" s="155"/>
      <c r="E31" s="155"/>
      <c r="F31" s="155"/>
      <c r="G31" s="7"/>
      <c r="H31" s="20"/>
      <c r="P31" s="24"/>
      <c r="Q31" s="24"/>
      <c r="U31" s="20"/>
      <c r="V31" s="38" t="s">
        <v>369</v>
      </c>
      <c r="W31" s="3" t="s">
        <v>372</v>
      </c>
      <c r="X31" s="38" t="s">
        <v>369</v>
      </c>
      <c r="Y31" s="41"/>
      <c r="Z31" s="20"/>
      <c r="AD31" s="3"/>
      <c r="AE31" s="3"/>
      <c r="AG31" s="39" t="e">
        <f>1*AF29</f>
        <v>#NAME?</v>
      </c>
      <c r="AH31" s="39"/>
      <c r="AI31" s="39"/>
      <c r="AJ31" s="39"/>
      <c r="AK31" s="39" t="e">
        <f>AG31*AC29</f>
        <v>#NAME?</v>
      </c>
      <c r="BA31" s="139"/>
      <c r="BB31" s="139"/>
      <c r="BC31" s="139"/>
      <c r="BD31" s="139"/>
      <c r="BE31" s="139"/>
    </row>
    <row r="32" spans="1:57" ht="15.75" customHeight="1" thickBot="1" x14ac:dyDescent="0.45">
      <c r="B32" s="3"/>
      <c r="C32" s="943"/>
      <c r="D32" s="925"/>
      <c r="E32" s="925"/>
      <c r="F32" s="925"/>
      <c r="G32" s="924"/>
      <c r="H32" s="887"/>
      <c r="I32" s="889"/>
      <c r="J32" s="889"/>
      <c r="K32" s="889"/>
      <c r="L32" s="889"/>
      <c r="M32" s="945"/>
      <c r="N32" s="945"/>
      <c r="O32" s="945"/>
      <c r="P32" s="1020"/>
      <c r="Q32" s="1020"/>
      <c r="R32" s="889"/>
      <c r="S32" s="945"/>
      <c r="T32" s="889"/>
      <c r="U32" s="887"/>
      <c r="V32" s="888" t="s">
        <v>369</v>
      </c>
      <c r="W32" s="889" t="s">
        <v>373</v>
      </c>
      <c r="X32" s="888" t="s">
        <v>369</v>
      </c>
      <c r="Y32" s="946"/>
      <c r="Z32" s="887"/>
      <c r="AA32" s="889"/>
      <c r="AB32" s="889"/>
      <c r="AC32" s="945"/>
      <c r="AD32" s="889"/>
      <c r="AE32" s="889"/>
      <c r="AF32" s="945"/>
      <c r="AG32" s="947" t="e">
        <f>1*AF29</f>
        <v>#NAME?</v>
      </c>
      <c r="AH32" s="947"/>
      <c r="AI32" s="947"/>
      <c r="AJ32" s="947"/>
      <c r="AK32" s="947" t="e">
        <f>AG32*AC29</f>
        <v>#NAME?</v>
      </c>
      <c r="BA32" s="139"/>
      <c r="BB32" s="139"/>
      <c r="BC32" s="139"/>
      <c r="BD32" s="139"/>
      <c r="BE32" s="139"/>
    </row>
    <row r="33" spans="1:57" ht="15" customHeight="1" x14ac:dyDescent="0.4">
      <c r="A33" s="3" t="s">
        <v>389</v>
      </c>
      <c r="B33" s="173"/>
      <c r="C33" s="173" t="s">
        <v>390</v>
      </c>
      <c r="D33" s="116"/>
      <c r="E33" s="138"/>
      <c r="F33" s="174" t="s">
        <v>391</v>
      </c>
      <c r="G33" s="173"/>
      <c r="H33" s="175"/>
      <c r="I33" s="116" t="s">
        <v>392</v>
      </c>
      <c r="J33" s="116"/>
      <c r="K33" s="116"/>
      <c r="L33" s="116" t="s">
        <v>348</v>
      </c>
      <c r="M33" s="183">
        <f>1.375*2</f>
        <v>2.75</v>
      </c>
      <c r="N33" s="177" t="s">
        <v>348</v>
      </c>
      <c r="O33" s="183">
        <f>0.25</f>
        <v>0.25</v>
      </c>
      <c r="P33" s="177"/>
      <c r="Q33" s="177"/>
      <c r="R33" s="116" t="s">
        <v>352</v>
      </c>
      <c r="S33" s="177">
        <f>FWWidth+M33+O33</f>
        <v>50.5</v>
      </c>
      <c r="T33" s="116" t="s">
        <v>366</v>
      </c>
      <c r="U33" s="175"/>
      <c r="V33" s="179"/>
      <c r="W33" s="116"/>
      <c r="X33" s="179"/>
      <c r="Y33" s="116"/>
      <c r="Z33" s="175"/>
      <c r="AA33" s="116">
        <v>42</v>
      </c>
      <c r="AB33" s="116">
        <v>1</v>
      </c>
      <c r="AC33" s="177">
        <f>AB33*S33/12</f>
        <v>4.208333333333333</v>
      </c>
      <c r="AD33" s="116" t="s">
        <v>367</v>
      </c>
      <c r="AE33" s="179">
        <f>AE16</f>
        <v>1.1200000000000001</v>
      </c>
      <c r="AF33" s="177" t="e">
        <f>AE33*Atolbperft</f>
        <v>#NAME?</v>
      </c>
      <c r="AG33" s="185"/>
      <c r="AH33" s="39"/>
      <c r="AI33" s="39"/>
      <c r="AJ33" s="39"/>
      <c r="AK33" s="180"/>
      <c r="BA33" s="139"/>
      <c r="BB33" s="139"/>
      <c r="BC33" s="139"/>
      <c r="BD33" s="139"/>
      <c r="BE33" s="139"/>
    </row>
    <row r="34" spans="1:57" ht="15" customHeight="1" x14ac:dyDescent="0.4">
      <c r="B34" s="3"/>
      <c r="C34" s="36"/>
      <c r="D34" s="91"/>
      <c r="F34" s="47" t="s">
        <v>1138</v>
      </c>
      <c r="G34" s="7"/>
      <c r="H34" s="20"/>
      <c r="I34" s="3" t="s">
        <v>392</v>
      </c>
      <c r="L34" s="3" t="s">
        <v>348</v>
      </c>
      <c r="M34" s="154">
        <v>0</v>
      </c>
      <c r="N34" s="5" t="s">
        <v>348</v>
      </c>
      <c r="O34" s="154">
        <v>0.25</v>
      </c>
      <c r="R34" s="3" t="s">
        <v>352</v>
      </c>
      <c r="S34" s="5">
        <f>FWWidth+M34+O34</f>
        <v>47.75</v>
      </c>
      <c r="T34" s="3" t="s">
        <v>366</v>
      </c>
      <c r="U34" s="20"/>
      <c r="V34" s="38" t="s">
        <v>369</v>
      </c>
      <c r="W34" s="3" t="s">
        <v>370</v>
      </c>
      <c r="X34" s="38" t="s">
        <v>369</v>
      </c>
      <c r="Y34" s="41"/>
      <c r="Z34" s="20"/>
      <c r="AD34" s="3"/>
      <c r="AE34" s="38"/>
      <c r="AG34" s="39" t="e">
        <f>$AF$8*AF33</f>
        <v>#NAME?</v>
      </c>
      <c r="AH34" s="39"/>
      <c r="AI34" s="39"/>
      <c r="AJ34" s="39"/>
      <c r="AK34" s="39" t="e">
        <f>AG34*AC33</f>
        <v>#NAME?</v>
      </c>
      <c r="BA34" s="139"/>
      <c r="BB34" s="139"/>
      <c r="BC34" s="139"/>
      <c r="BD34" s="139"/>
      <c r="BE34" s="139"/>
    </row>
    <row r="35" spans="1:57" ht="15" customHeight="1" x14ac:dyDescent="0.4">
      <c r="B35" s="3"/>
      <c r="C35" s="36"/>
      <c r="D35" s="91"/>
      <c r="E35" s="91"/>
      <c r="F35" s="155"/>
      <c r="G35" s="7"/>
      <c r="H35" s="20"/>
      <c r="U35" s="20"/>
      <c r="V35" s="38" t="s">
        <v>369</v>
      </c>
      <c r="W35" s="3" t="s">
        <v>372</v>
      </c>
      <c r="X35" s="38" t="s">
        <v>369</v>
      </c>
      <c r="Y35" s="41"/>
      <c r="Z35" s="20"/>
      <c r="AD35" s="3"/>
      <c r="AE35" s="38"/>
      <c r="AG35" s="39" t="e">
        <f>1*AF33</f>
        <v>#NAME?</v>
      </c>
      <c r="AK35" s="39" t="e">
        <f>AG35*AC33</f>
        <v>#NAME?</v>
      </c>
      <c r="BA35" s="139"/>
      <c r="BB35" s="139"/>
      <c r="BC35" s="139"/>
      <c r="BD35" s="139"/>
      <c r="BE35" s="139"/>
    </row>
    <row r="36" spans="1:57" ht="15" customHeight="1" thickBot="1" x14ac:dyDescent="0.45">
      <c r="B36" s="3"/>
      <c r="C36" s="943"/>
      <c r="D36" s="1368"/>
      <c r="E36" s="1368"/>
      <c r="F36" s="925"/>
      <c r="G36" s="924"/>
      <c r="H36" s="887"/>
      <c r="I36" s="889"/>
      <c r="J36" s="889"/>
      <c r="K36" s="889"/>
      <c r="L36" s="889"/>
      <c r="M36" s="945"/>
      <c r="N36" s="945"/>
      <c r="O36" s="945"/>
      <c r="P36" s="945"/>
      <c r="Q36" s="945"/>
      <c r="R36" s="889"/>
      <c r="S36" s="945"/>
      <c r="T36" s="889"/>
      <c r="U36" s="887"/>
      <c r="V36" s="888" t="s">
        <v>369</v>
      </c>
      <c r="W36" s="889" t="s">
        <v>373</v>
      </c>
      <c r="X36" s="888" t="s">
        <v>369</v>
      </c>
      <c r="Y36" s="946"/>
      <c r="Z36" s="887"/>
      <c r="AA36" s="889"/>
      <c r="AB36" s="889"/>
      <c r="AC36" s="945"/>
      <c r="AD36" s="889"/>
      <c r="AE36" s="888"/>
      <c r="AF36" s="945"/>
      <c r="AG36" s="947" t="e">
        <f>1*AF33</f>
        <v>#NAME?</v>
      </c>
      <c r="AH36" s="947"/>
      <c r="AI36" s="947"/>
      <c r="AJ36" s="947"/>
      <c r="AK36" s="947" t="e">
        <f>AG36*AC33</f>
        <v>#NAME?</v>
      </c>
      <c r="BA36" s="139"/>
      <c r="BB36" s="139"/>
      <c r="BC36" s="139"/>
      <c r="BD36" s="139"/>
      <c r="BE36" s="139"/>
    </row>
    <row r="37" spans="1:57" ht="15" customHeight="1" x14ac:dyDescent="0.4">
      <c r="A37" s="3" t="s">
        <v>394</v>
      </c>
      <c r="B37" s="3"/>
      <c r="C37" s="173" t="s">
        <v>395</v>
      </c>
      <c r="D37" s="116"/>
      <c r="E37" s="116"/>
      <c r="F37" s="174" t="s">
        <v>431</v>
      </c>
      <c r="G37" s="173"/>
      <c r="H37" s="175"/>
      <c r="I37" s="116" t="s">
        <v>392</v>
      </c>
      <c r="J37" s="116"/>
      <c r="K37" s="116"/>
      <c r="L37" s="116" t="s">
        <v>348</v>
      </c>
      <c r="M37" s="176">
        <v>0</v>
      </c>
      <c r="N37" s="177" t="s">
        <v>348</v>
      </c>
      <c r="O37" s="176">
        <f>0.25</f>
        <v>0.25</v>
      </c>
      <c r="P37" s="177"/>
      <c r="Q37" s="177"/>
      <c r="R37" s="116" t="s">
        <v>352</v>
      </c>
      <c r="S37" s="177">
        <f>FWWidth+M37+O37</f>
        <v>47.75</v>
      </c>
      <c r="T37" s="116" t="s">
        <v>366</v>
      </c>
      <c r="U37" s="175"/>
      <c r="V37" s="173"/>
      <c r="W37" s="173"/>
      <c r="X37" s="173"/>
      <c r="Y37" s="116"/>
      <c r="Z37" s="175"/>
      <c r="AA37" s="116">
        <v>42</v>
      </c>
      <c r="AB37" s="116">
        <v>1</v>
      </c>
      <c r="AC37" s="177">
        <f>AB37*S37/12</f>
        <v>3.9791666666666665</v>
      </c>
      <c r="AD37" s="116" t="s">
        <v>367</v>
      </c>
      <c r="AE37" s="179">
        <v>0</v>
      </c>
      <c r="AF37" s="177" t="e">
        <f>AE37*Atolbperft</f>
        <v>#NAME?</v>
      </c>
      <c r="AG37" s="185"/>
      <c r="AH37" s="39"/>
      <c r="AI37" s="39"/>
      <c r="AJ37" s="39"/>
      <c r="AK37" s="180"/>
      <c r="BA37" s="139"/>
      <c r="BB37" s="139"/>
      <c r="BC37" s="139"/>
      <c r="BD37" s="139"/>
      <c r="BE37" s="139"/>
    </row>
    <row r="38" spans="1:57" ht="15" customHeight="1" x14ac:dyDescent="0.4">
      <c r="B38" s="3"/>
      <c r="C38" s="36"/>
      <c r="D38" s="36"/>
      <c r="E38" s="155"/>
      <c r="F38" s="155"/>
      <c r="G38" s="7"/>
      <c r="H38" s="20"/>
      <c r="P38" s="24"/>
      <c r="Q38" s="24"/>
      <c r="U38" s="20"/>
      <c r="V38" s="38" t="s">
        <v>369</v>
      </c>
      <c r="W38" s="3" t="s">
        <v>370</v>
      </c>
      <c r="X38" s="38" t="s">
        <v>369</v>
      </c>
      <c r="Y38" s="41">
        <v>200175003</v>
      </c>
      <c r="Z38" s="20"/>
      <c r="AD38" s="3"/>
      <c r="AE38" s="38"/>
      <c r="AG38" s="39" t="e">
        <f>1*AF37</f>
        <v>#NAME?</v>
      </c>
      <c r="AH38" s="39"/>
      <c r="AI38" s="39"/>
      <c r="AJ38" s="39"/>
      <c r="AK38" s="39" t="e">
        <f>AG38*AC37</f>
        <v>#NAME?</v>
      </c>
      <c r="BA38" s="139"/>
      <c r="BB38" s="139"/>
      <c r="BC38" s="139"/>
      <c r="BD38" s="139"/>
      <c r="BE38" s="139"/>
    </row>
    <row r="39" spans="1:57" ht="15" customHeight="1" x14ac:dyDescent="0.4">
      <c r="B39" s="3"/>
      <c r="C39" s="36"/>
      <c r="D39" s="36"/>
      <c r="E39" s="155"/>
      <c r="F39" s="155"/>
      <c r="G39" s="7"/>
      <c r="H39" s="20"/>
      <c r="P39" s="24"/>
      <c r="Q39" s="24"/>
      <c r="U39" s="20"/>
      <c r="V39" s="38" t="s">
        <v>369</v>
      </c>
      <c r="W39" s="3" t="s">
        <v>372</v>
      </c>
      <c r="X39" s="38" t="s">
        <v>369</v>
      </c>
      <c r="Y39" s="41">
        <v>200175031</v>
      </c>
      <c r="Z39" s="20"/>
      <c r="AD39" s="3"/>
      <c r="AE39" s="3"/>
      <c r="AG39" s="39" t="e">
        <f>1*AF37</f>
        <v>#NAME?</v>
      </c>
      <c r="AH39" s="39"/>
      <c r="AI39" s="39"/>
      <c r="AJ39" s="39"/>
      <c r="AK39" s="39" t="e">
        <f>AG39*AC37</f>
        <v>#NAME?</v>
      </c>
      <c r="BA39" s="139"/>
      <c r="BB39" s="139"/>
      <c r="BC39" s="139"/>
      <c r="BD39" s="139"/>
      <c r="BE39" s="139"/>
    </row>
    <row r="40" spans="1:57" ht="15" customHeight="1" thickBot="1" x14ac:dyDescent="0.45">
      <c r="B40" s="3"/>
      <c r="C40" s="943"/>
      <c r="D40" s="943"/>
      <c r="E40" s="925"/>
      <c r="F40" s="925"/>
      <c r="G40" s="924"/>
      <c r="H40" s="887"/>
      <c r="I40" s="889"/>
      <c r="J40" s="889"/>
      <c r="K40" s="889"/>
      <c r="L40" s="889"/>
      <c r="M40" s="945"/>
      <c r="N40" s="945"/>
      <c r="O40" s="945"/>
      <c r="P40" s="1020"/>
      <c r="Q40" s="1020"/>
      <c r="R40" s="889"/>
      <c r="S40" s="945"/>
      <c r="T40" s="889"/>
      <c r="U40" s="887"/>
      <c r="V40" s="888" t="s">
        <v>369</v>
      </c>
      <c r="W40" s="889" t="s">
        <v>373</v>
      </c>
      <c r="X40" s="888" t="s">
        <v>369</v>
      </c>
      <c r="Y40" s="946">
        <v>200175033</v>
      </c>
      <c r="Z40" s="887"/>
      <c r="AA40" s="889"/>
      <c r="AB40" s="889"/>
      <c r="AC40" s="945"/>
      <c r="AD40" s="889"/>
      <c r="AE40" s="889"/>
      <c r="AF40" s="945"/>
      <c r="AG40" s="947" t="e">
        <f>1*AF37</f>
        <v>#NAME?</v>
      </c>
      <c r="AK40" s="947" t="e">
        <f>AG40*AC37</f>
        <v>#NAME?</v>
      </c>
      <c r="BA40" s="139"/>
      <c r="BB40" s="139"/>
      <c r="BC40" s="139"/>
      <c r="BD40" s="139"/>
      <c r="BE40" s="139"/>
    </row>
    <row r="41" spans="1:57" ht="15" customHeight="1" x14ac:dyDescent="0.4">
      <c r="B41" s="3"/>
      <c r="C41" s="173" t="s">
        <v>1838</v>
      </c>
      <c r="D41" s="181"/>
      <c r="E41" s="182"/>
      <c r="F41" s="182" t="s">
        <v>1837</v>
      </c>
      <c r="G41" s="173"/>
      <c r="H41" s="175"/>
      <c r="I41" s="116" t="s">
        <v>392</v>
      </c>
      <c r="J41" s="116"/>
      <c r="K41" s="116"/>
      <c r="L41" s="116" t="s">
        <v>348</v>
      </c>
      <c r="M41" s="183">
        <v>3</v>
      </c>
      <c r="N41" s="177" t="s">
        <v>348</v>
      </c>
      <c r="O41" s="183">
        <f>0.25</f>
        <v>0.25</v>
      </c>
      <c r="P41" s="178"/>
      <c r="Q41" s="178"/>
      <c r="R41" s="116" t="s">
        <v>352</v>
      </c>
      <c r="S41" s="177">
        <f>FWHeight+M41+O41</f>
        <v>50.75</v>
      </c>
      <c r="T41" s="116" t="s">
        <v>366</v>
      </c>
      <c r="U41" s="175"/>
      <c r="V41" s="179"/>
      <c r="W41" s="116"/>
      <c r="X41" s="179"/>
      <c r="Y41" s="184"/>
      <c r="Z41" s="175"/>
      <c r="AA41" s="116">
        <v>42</v>
      </c>
      <c r="AB41" s="116">
        <v>1</v>
      </c>
      <c r="AC41" s="177">
        <f>AB41*S41/12</f>
        <v>4.229166666666667</v>
      </c>
      <c r="AD41" s="116" t="s">
        <v>367</v>
      </c>
      <c r="AE41" s="116">
        <v>0</v>
      </c>
      <c r="AF41" s="177" t="e">
        <f>AE41*Atolbperft</f>
        <v>#NAME?</v>
      </c>
      <c r="AG41" s="185"/>
      <c r="AH41" s="185"/>
      <c r="AI41" s="185"/>
      <c r="AJ41" s="185"/>
      <c r="AK41" s="180"/>
      <c r="BA41" s="139"/>
      <c r="BB41" s="139"/>
      <c r="BC41" s="139"/>
      <c r="BD41" s="139"/>
      <c r="BE41" s="139"/>
    </row>
    <row r="42" spans="1:57" ht="15" customHeight="1" x14ac:dyDescent="0.4">
      <c r="B42" s="36"/>
      <c r="C42" s="155"/>
      <c r="D42" s="155"/>
      <c r="E42" s="155"/>
      <c r="F42" s="155"/>
      <c r="G42" s="7"/>
      <c r="H42" s="20"/>
      <c r="P42" s="24"/>
      <c r="Q42" s="24"/>
      <c r="U42" s="20"/>
      <c r="V42" s="38" t="s">
        <v>369</v>
      </c>
      <c r="W42" s="3" t="s">
        <v>370</v>
      </c>
      <c r="X42" s="38" t="s">
        <v>369</v>
      </c>
      <c r="Y42" s="41">
        <v>200169003</v>
      </c>
      <c r="Z42" s="20"/>
      <c r="AD42" s="3"/>
      <c r="AE42" s="38"/>
      <c r="AG42" s="39" t="e">
        <f>1*AF41</f>
        <v>#NAME?</v>
      </c>
      <c r="AH42" s="39"/>
      <c r="AI42" s="39"/>
      <c r="AJ42" s="39"/>
      <c r="AK42" s="39" t="e">
        <f>AG42*AC41</f>
        <v>#NAME?</v>
      </c>
      <c r="BA42" s="139"/>
      <c r="BB42" s="139"/>
      <c r="BC42" s="139"/>
      <c r="BD42" s="139"/>
      <c r="BE42" s="139"/>
    </row>
    <row r="43" spans="1:57" ht="15" customHeight="1" x14ac:dyDescent="0.4">
      <c r="B43" s="36"/>
      <c r="C43" s="155"/>
      <c r="D43" s="155"/>
      <c r="E43" s="155"/>
      <c r="F43" s="155"/>
      <c r="G43" s="7"/>
      <c r="H43" s="20"/>
      <c r="P43" s="24"/>
      <c r="Q43" s="24"/>
      <c r="U43" s="20"/>
      <c r="V43" s="38" t="s">
        <v>369</v>
      </c>
      <c r="W43" s="3" t="s">
        <v>372</v>
      </c>
      <c r="X43" s="38" t="s">
        <v>369</v>
      </c>
      <c r="Y43" s="41">
        <v>200169031</v>
      </c>
      <c r="Z43" s="20"/>
      <c r="AD43" s="3"/>
      <c r="AE43" s="3"/>
      <c r="AG43" s="39" t="e">
        <f>1*AF41</f>
        <v>#NAME?</v>
      </c>
      <c r="AH43" s="39"/>
      <c r="AI43" s="39"/>
      <c r="AJ43" s="39"/>
      <c r="AK43" s="39" t="e">
        <f>AG43*AC41</f>
        <v>#NAME?</v>
      </c>
      <c r="BA43" s="139"/>
      <c r="BB43" s="139"/>
      <c r="BC43" s="139"/>
      <c r="BD43" s="139"/>
      <c r="BE43" s="139"/>
    </row>
    <row r="44" spans="1:57" ht="15" customHeight="1" thickBot="1" x14ac:dyDescent="0.45">
      <c r="B44" s="36"/>
      <c r="C44" s="925"/>
      <c r="D44" s="925"/>
      <c r="E44" s="925"/>
      <c r="F44" s="925"/>
      <c r="G44" s="924"/>
      <c r="H44" s="887"/>
      <c r="I44" s="889"/>
      <c r="J44" s="889"/>
      <c r="K44" s="889"/>
      <c r="L44" s="889"/>
      <c r="M44" s="945"/>
      <c r="N44" s="945"/>
      <c r="O44" s="945"/>
      <c r="P44" s="1020"/>
      <c r="Q44" s="1020"/>
      <c r="R44" s="889"/>
      <c r="S44" s="945"/>
      <c r="T44" s="889"/>
      <c r="U44" s="887"/>
      <c r="V44" s="888" t="s">
        <v>369</v>
      </c>
      <c r="W44" s="889" t="s">
        <v>373</v>
      </c>
      <c r="X44" s="888" t="s">
        <v>369</v>
      </c>
      <c r="Y44" s="946">
        <v>200169033</v>
      </c>
      <c r="Z44" s="887"/>
      <c r="AA44" s="889"/>
      <c r="AB44" s="889"/>
      <c r="AC44" s="945"/>
      <c r="AD44" s="889"/>
      <c r="AE44" s="889"/>
      <c r="AF44" s="945"/>
      <c r="AG44" s="947" t="e">
        <f>1*AF41</f>
        <v>#NAME?</v>
      </c>
      <c r="AH44" s="947"/>
      <c r="AI44" s="947"/>
      <c r="AJ44" s="947"/>
      <c r="AK44" s="947" t="e">
        <f>AG44*AC41</f>
        <v>#NAME?</v>
      </c>
      <c r="BA44" s="139"/>
      <c r="BB44" s="139"/>
      <c r="BC44" s="139"/>
      <c r="BD44" s="139"/>
      <c r="BE44" s="139"/>
    </row>
    <row r="45" spans="1:57" ht="15" customHeight="1" thickBot="1" x14ac:dyDescent="0.45">
      <c r="B45" s="135" t="s">
        <v>401</v>
      </c>
      <c r="C45" s="173"/>
      <c r="D45" s="116"/>
      <c r="E45" s="136"/>
      <c r="F45" s="174"/>
      <c r="G45" s="173"/>
      <c r="H45" s="175"/>
      <c r="I45" s="116"/>
      <c r="J45" s="116"/>
      <c r="K45" s="116"/>
      <c r="L45" s="116"/>
      <c r="M45" s="116"/>
      <c r="N45" s="177"/>
      <c r="O45" s="177"/>
      <c r="P45" s="177"/>
      <c r="Q45" s="177"/>
      <c r="R45" s="116"/>
      <c r="S45" s="177"/>
      <c r="T45" s="116"/>
      <c r="U45" s="175"/>
      <c r="V45" s="173"/>
      <c r="W45" s="173"/>
      <c r="X45" s="173"/>
      <c r="Y45" s="116"/>
      <c r="Z45" s="175"/>
      <c r="AA45" s="116"/>
      <c r="AB45" s="116"/>
      <c r="AC45" s="177"/>
      <c r="AD45" s="116"/>
      <c r="AE45" s="179"/>
      <c r="AF45" s="177"/>
      <c r="AG45" s="185"/>
      <c r="AH45" s="185"/>
      <c r="AI45" s="185"/>
      <c r="AJ45" s="185"/>
      <c r="AK45" s="180"/>
      <c r="BA45" s="139"/>
      <c r="BB45" s="139"/>
      <c r="BC45" s="139"/>
      <c r="BD45" s="139"/>
      <c r="BE45" s="139"/>
    </row>
    <row r="46" spans="1:57" ht="15" customHeight="1" x14ac:dyDescent="0.4">
      <c r="A46" s="3" t="s">
        <v>362</v>
      </c>
      <c r="B46" s="173"/>
      <c r="C46" s="173" t="s">
        <v>403</v>
      </c>
      <c r="D46" s="116"/>
      <c r="F46" s="174" t="s">
        <v>391</v>
      </c>
      <c r="G46" s="173"/>
      <c r="H46" s="175"/>
      <c r="I46" s="116" t="s">
        <v>392</v>
      </c>
      <c r="J46" s="116"/>
      <c r="K46" s="116"/>
      <c r="L46" s="116" t="s">
        <v>348</v>
      </c>
      <c r="M46" s="176">
        <f>1.375*2</f>
        <v>2.75</v>
      </c>
      <c r="N46" s="177" t="s">
        <v>348</v>
      </c>
      <c r="O46" s="176">
        <f>0.25</f>
        <v>0.25</v>
      </c>
      <c r="P46" s="177"/>
      <c r="Q46" s="177"/>
      <c r="R46" s="116" t="s">
        <v>352</v>
      </c>
      <c r="S46" s="177">
        <f>FWWidth+M46+O46</f>
        <v>50.5</v>
      </c>
      <c r="T46" s="116" t="s">
        <v>366</v>
      </c>
      <c r="U46" s="175"/>
      <c r="V46" s="173"/>
      <c r="W46" s="173"/>
      <c r="X46" s="173"/>
      <c r="Y46" s="116"/>
      <c r="Z46" s="175"/>
      <c r="AA46" s="116">
        <v>42</v>
      </c>
      <c r="AB46" s="116">
        <v>2</v>
      </c>
      <c r="AC46" s="177">
        <f>AB46*S46/12</f>
        <v>8.4166666666666661</v>
      </c>
      <c r="AD46" s="116" t="s">
        <v>367</v>
      </c>
      <c r="AE46" s="179">
        <v>1.1200000000000001</v>
      </c>
      <c r="AF46" s="177" t="e">
        <f>AE46*Atolbperft</f>
        <v>#NAME?</v>
      </c>
      <c r="AG46" s="185"/>
      <c r="AH46" s="185"/>
      <c r="AI46" s="185"/>
      <c r="AJ46" s="185"/>
      <c r="AK46" s="180"/>
    </row>
    <row r="47" spans="1:57" ht="15" customHeight="1" x14ac:dyDescent="0.4">
      <c r="B47" s="36"/>
      <c r="C47" s="36"/>
      <c r="D47" s="155"/>
      <c r="E47" s="47"/>
      <c r="F47" s="47" t="s">
        <v>1138</v>
      </c>
      <c r="G47" s="7"/>
      <c r="H47" s="20"/>
      <c r="I47" s="3" t="s">
        <v>392</v>
      </c>
      <c r="L47" s="3" t="s">
        <v>348</v>
      </c>
      <c r="M47" s="103">
        <v>0</v>
      </c>
      <c r="N47" s="5" t="s">
        <v>348</v>
      </c>
      <c r="O47" s="103">
        <v>0.25</v>
      </c>
      <c r="R47" s="3" t="s">
        <v>352</v>
      </c>
      <c r="S47" s="5">
        <f>FWWidth+M47+O47</f>
        <v>47.75</v>
      </c>
      <c r="T47" s="3" t="s">
        <v>366</v>
      </c>
      <c r="U47" s="20"/>
      <c r="V47" s="38" t="s">
        <v>369</v>
      </c>
      <c r="W47" s="3" t="s">
        <v>370</v>
      </c>
      <c r="X47" s="38" t="s">
        <v>369</v>
      </c>
      <c r="Y47" s="41"/>
      <c r="Z47" s="20"/>
      <c r="AD47" s="3"/>
      <c r="AE47" s="38"/>
      <c r="AG47" s="39" t="e">
        <f>$AF$8*AF46</f>
        <v>#NAME?</v>
      </c>
      <c r="AH47" s="39"/>
      <c r="AI47" s="39"/>
      <c r="AJ47" s="39"/>
      <c r="AK47" s="39" t="e">
        <f>AG47*AC46</f>
        <v>#NAME?</v>
      </c>
      <c r="BA47" s="139"/>
      <c r="BB47" s="139"/>
      <c r="BC47" s="139"/>
      <c r="BD47" s="139"/>
      <c r="BE47" s="139"/>
    </row>
    <row r="48" spans="1:57" ht="15" customHeight="1" x14ac:dyDescent="0.4">
      <c r="B48" s="36"/>
      <c r="C48" s="36"/>
      <c r="D48" s="155"/>
      <c r="E48" s="155"/>
      <c r="F48" s="155"/>
      <c r="G48" s="7"/>
      <c r="H48" s="20"/>
      <c r="P48" s="24"/>
      <c r="Q48" s="24"/>
      <c r="U48" s="20"/>
      <c r="V48" s="38" t="s">
        <v>369</v>
      </c>
      <c r="W48" s="3" t="s">
        <v>372</v>
      </c>
      <c r="X48" s="38" t="s">
        <v>369</v>
      </c>
      <c r="Y48" s="41"/>
      <c r="Z48" s="20"/>
      <c r="AD48" s="3"/>
      <c r="AE48" s="3"/>
      <c r="AG48" s="39" t="e">
        <f>1*AF46</f>
        <v>#NAME?</v>
      </c>
      <c r="AH48" s="39"/>
      <c r="AI48" s="39"/>
      <c r="AJ48" s="39"/>
      <c r="AK48" s="39" t="e">
        <f>AG48*AC46</f>
        <v>#NAME?</v>
      </c>
      <c r="BA48" s="139"/>
      <c r="BB48" s="139"/>
      <c r="BC48" s="139"/>
      <c r="BD48" s="139"/>
      <c r="BE48" s="139"/>
    </row>
    <row r="49" spans="1:57" ht="15.75" customHeight="1" thickBot="1" x14ac:dyDescent="0.45">
      <c r="B49" s="3"/>
      <c r="C49" s="943"/>
      <c r="D49" s="925"/>
      <c r="E49" s="925"/>
      <c r="F49" s="925"/>
      <c r="G49" s="924"/>
      <c r="H49" s="887"/>
      <c r="I49" s="889"/>
      <c r="J49" s="889"/>
      <c r="K49" s="889"/>
      <c r="L49" s="889"/>
      <c r="M49" s="945"/>
      <c r="N49" s="945"/>
      <c r="O49" s="945"/>
      <c r="P49" s="1020"/>
      <c r="Q49" s="1020"/>
      <c r="R49" s="889"/>
      <c r="S49" s="945"/>
      <c r="T49" s="889"/>
      <c r="U49" s="887"/>
      <c r="V49" s="888" t="s">
        <v>369</v>
      </c>
      <c r="W49" s="889" t="s">
        <v>373</v>
      </c>
      <c r="X49" s="888" t="s">
        <v>369</v>
      </c>
      <c r="Y49" s="946"/>
      <c r="Z49" s="887"/>
      <c r="AA49" s="889"/>
      <c r="AB49" s="889"/>
      <c r="AC49" s="945"/>
      <c r="AD49" s="889"/>
      <c r="AE49" s="889"/>
      <c r="AF49" s="945"/>
      <c r="AG49" s="947" t="e">
        <f>1*AF46</f>
        <v>#NAME?</v>
      </c>
      <c r="AH49" s="947"/>
      <c r="AI49" s="947"/>
      <c r="AJ49" s="947"/>
      <c r="AK49" s="947" t="e">
        <f>AG49*AC46</f>
        <v>#NAME?</v>
      </c>
      <c r="BA49" s="139"/>
      <c r="BB49" s="139"/>
      <c r="BC49" s="139"/>
      <c r="BD49" s="139"/>
      <c r="BE49" s="139"/>
    </row>
    <row r="50" spans="1:57" ht="15" customHeight="1" x14ac:dyDescent="0.4">
      <c r="A50" s="3" t="s">
        <v>402</v>
      </c>
      <c r="B50" s="7"/>
      <c r="C50" s="173" t="s">
        <v>403</v>
      </c>
      <c r="D50" s="116"/>
      <c r="E50" s="192"/>
      <c r="F50" s="192" t="s">
        <v>438</v>
      </c>
      <c r="G50" s="173"/>
      <c r="H50" s="175"/>
      <c r="I50" s="116" t="s">
        <v>392</v>
      </c>
      <c r="J50" s="116"/>
      <c r="K50" s="116"/>
      <c r="L50" s="116" t="s">
        <v>348</v>
      </c>
      <c r="M50" s="183">
        <f>1.375*2</f>
        <v>2.75</v>
      </c>
      <c r="N50" s="177" t="s">
        <v>348</v>
      </c>
      <c r="O50" s="183">
        <f>0.25</f>
        <v>0.25</v>
      </c>
      <c r="P50" s="177"/>
      <c r="Q50" s="177"/>
      <c r="R50" s="116" t="s">
        <v>352</v>
      </c>
      <c r="S50" s="177">
        <f>FWWidth+M50+O50</f>
        <v>50.5</v>
      </c>
      <c r="T50" s="116" t="s">
        <v>366</v>
      </c>
      <c r="U50" s="175"/>
      <c r="V50" s="179"/>
      <c r="W50" s="116"/>
      <c r="X50" s="179"/>
      <c r="Y50" s="116"/>
      <c r="Z50" s="175"/>
      <c r="AA50" s="116">
        <v>42</v>
      </c>
      <c r="AB50" s="116">
        <v>1</v>
      </c>
      <c r="AC50" s="177">
        <f>AB50*S50/12</f>
        <v>4.208333333333333</v>
      </c>
      <c r="AD50" s="116" t="s">
        <v>367</v>
      </c>
      <c r="AE50" s="179">
        <f>AE33</f>
        <v>1.1200000000000001</v>
      </c>
      <c r="AF50" s="177" t="e">
        <f>AE50*Atolbperft</f>
        <v>#NAME?</v>
      </c>
      <c r="AG50" s="185"/>
      <c r="AH50" s="39"/>
      <c r="AI50" s="39"/>
      <c r="AJ50" s="39"/>
      <c r="AK50" s="180"/>
      <c r="BA50" s="139"/>
      <c r="BB50" s="139"/>
      <c r="BC50" s="139"/>
      <c r="BD50" s="139"/>
      <c r="BE50" s="139"/>
    </row>
    <row r="51" spans="1:57" ht="15" customHeight="1" x14ac:dyDescent="0.4">
      <c r="B51" s="3"/>
      <c r="C51" s="91"/>
      <c r="D51" s="91"/>
      <c r="E51" s="91"/>
      <c r="F51" s="47" t="s">
        <v>1138</v>
      </c>
      <c r="G51" s="7"/>
      <c r="H51" s="20"/>
      <c r="I51" s="3" t="s">
        <v>392</v>
      </c>
      <c r="L51" s="3" t="s">
        <v>348</v>
      </c>
      <c r="M51" s="154">
        <v>0</v>
      </c>
      <c r="N51" s="5" t="s">
        <v>348</v>
      </c>
      <c r="O51" s="154">
        <v>0.25</v>
      </c>
      <c r="R51" s="3" t="s">
        <v>352</v>
      </c>
      <c r="S51" s="5">
        <f>FWWidth+M51+O51</f>
        <v>47.75</v>
      </c>
      <c r="T51" s="3" t="s">
        <v>366</v>
      </c>
      <c r="U51" s="20"/>
      <c r="V51" s="38" t="s">
        <v>369</v>
      </c>
      <c r="W51" s="3" t="s">
        <v>370</v>
      </c>
      <c r="X51" s="38" t="s">
        <v>369</v>
      </c>
      <c r="Y51" s="41"/>
      <c r="Z51" s="20"/>
      <c r="AD51" s="3"/>
      <c r="AE51" s="38"/>
      <c r="AG51" s="39" t="e">
        <f>$AF$8*AF50</f>
        <v>#NAME?</v>
      </c>
      <c r="AH51" s="39"/>
      <c r="AI51" s="39"/>
      <c r="AJ51" s="39"/>
      <c r="AK51" s="39" t="e">
        <f>AG51*AC50</f>
        <v>#NAME?</v>
      </c>
      <c r="BA51" s="139"/>
      <c r="BB51" s="139"/>
      <c r="BC51" s="139"/>
      <c r="BD51" s="139"/>
      <c r="BE51" s="139"/>
    </row>
    <row r="52" spans="1:57" ht="15" customHeight="1" x14ac:dyDescent="0.4">
      <c r="B52" s="3"/>
      <c r="C52" s="36"/>
      <c r="D52" s="91"/>
      <c r="E52" s="91"/>
      <c r="F52" s="155"/>
      <c r="G52" s="7"/>
      <c r="H52" s="20"/>
      <c r="U52" s="20"/>
      <c r="V52" s="38" t="s">
        <v>369</v>
      </c>
      <c r="W52" s="3" t="s">
        <v>372</v>
      </c>
      <c r="X52" s="38" t="s">
        <v>369</v>
      </c>
      <c r="Y52" s="41"/>
      <c r="Z52" s="20"/>
      <c r="AD52" s="3"/>
      <c r="AE52" s="38"/>
      <c r="AG52" s="39" t="e">
        <f>1*AF50</f>
        <v>#NAME?</v>
      </c>
      <c r="AK52" s="39" t="e">
        <f>AG52*AC50</f>
        <v>#NAME?</v>
      </c>
      <c r="BA52" s="139"/>
      <c r="BB52" s="139"/>
      <c r="BC52" s="139"/>
      <c r="BD52" s="139"/>
      <c r="BE52" s="139"/>
    </row>
    <row r="53" spans="1:57" ht="15" customHeight="1" thickBot="1" x14ac:dyDescent="0.45">
      <c r="B53" s="3"/>
      <c r="C53" s="943"/>
      <c r="D53" s="1368"/>
      <c r="E53" s="1368"/>
      <c r="F53" s="925"/>
      <c r="G53" s="924"/>
      <c r="H53" s="887"/>
      <c r="I53" s="889"/>
      <c r="J53" s="889"/>
      <c r="K53" s="889"/>
      <c r="L53" s="889"/>
      <c r="M53" s="945"/>
      <c r="N53" s="945"/>
      <c r="O53" s="945"/>
      <c r="P53" s="945"/>
      <c r="Q53" s="945"/>
      <c r="R53" s="889"/>
      <c r="S53" s="945"/>
      <c r="T53" s="889"/>
      <c r="U53" s="887"/>
      <c r="V53" s="888" t="s">
        <v>369</v>
      </c>
      <c r="W53" s="889" t="s">
        <v>373</v>
      </c>
      <c r="X53" s="888" t="s">
        <v>369</v>
      </c>
      <c r="Y53" s="946"/>
      <c r="Z53" s="887"/>
      <c r="AA53" s="889"/>
      <c r="AB53" s="889"/>
      <c r="AC53" s="945"/>
      <c r="AD53" s="889"/>
      <c r="AE53" s="888"/>
      <c r="AF53" s="945"/>
      <c r="AG53" s="947" t="e">
        <f>1*AF50</f>
        <v>#NAME?</v>
      </c>
      <c r="AH53" s="947"/>
      <c r="AI53" s="947"/>
      <c r="AJ53" s="947"/>
      <c r="AK53" s="947" t="e">
        <f>AG53*AC50</f>
        <v>#NAME?</v>
      </c>
      <c r="BA53" s="139"/>
      <c r="BB53" s="139"/>
      <c r="BC53" s="139"/>
      <c r="BD53" s="139"/>
      <c r="BE53" s="139"/>
    </row>
    <row r="54" spans="1:57" ht="15" customHeight="1" x14ac:dyDescent="0.4">
      <c r="B54" s="3"/>
      <c r="C54" s="173" t="s">
        <v>1839</v>
      </c>
      <c r="D54" s="181"/>
      <c r="E54" s="182"/>
      <c r="F54" s="182" t="s">
        <v>1837</v>
      </c>
      <c r="G54" s="173"/>
      <c r="H54" s="175"/>
      <c r="I54" s="116" t="s">
        <v>392</v>
      </c>
      <c r="J54" s="116"/>
      <c r="K54" s="116"/>
      <c r="L54" s="116" t="s">
        <v>348</v>
      </c>
      <c r="M54" s="183">
        <v>3</v>
      </c>
      <c r="N54" s="177" t="s">
        <v>348</v>
      </c>
      <c r="O54" s="183">
        <f>0.25</f>
        <v>0.25</v>
      </c>
      <c r="P54" s="178"/>
      <c r="Q54" s="178"/>
      <c r="R54" s="116" t="s">
        <v>352</v>
      </c>
      <c r="S54" s="177">
        <f>FWWidth+M54+O54</f>
        <v>50.75</v>
      </c>
      <c r="T54" s="116" t="s">
        <v>366</v>
      </c>
      <c r="U54" s="175"/>
      <c r="V54" s="179"/>
      <c r="W54" s="116"/>
      <c r="X54" s="179"/>
      <c r="Y54" s="184"/>
      <c r="Z54" s="175"/>
      <c r="AA54" s="116">
        <v>42</v>
      </c>
      <c r="AB54" s="116">
        <v>1</v>
      </c>
      <c r="AC54" s="177">
        <f>AB54*S54/12</f>
        <v>4.229166666666667</v>
      </c>
      <c r="AD54" s="116" t="s">
        <v>367</v>
      </c>
      <c r="AE54" s="116">
        <v>0</v>
      </c>
      <c r="AF54" s="177" t="e">
        <f>AE54*Atolbperft</f>
        <v>#NAME?</v>
      </c>
      <c r="AG54" s="185"/>
      <c r="AH54" s="185"/>
      <c r="AI54" s="185"/>
      <c r="AJ54" s="185"/>
      <c r="AK54" s="180"/>
      <c r="BA54" s="139"/>
      <c r="BB54" s="139"/>
      <c r="BC54" s="139"/>
      <c r="BD54" s="139"/>
      <c r="BE54" s="139"/>
    </row>
    <row r="55" spans="1:57" ht="15" customHeight="1" x14ac:dyDescent="0.4">
      <c r="B55" s="36"/>
      <c r="C55" s="155"/>
      <c r="D55" s="155"/>
      <c r="E55" s="155"/>
      <c r="F55" s="155"/>
      <c r="G55" s="7"/>
      <c r="H55" s="20"/>
      <c r="P55" s="24"/>
      <c r="Q55" s="24"/>
      <c r="U55" s="20"/>
      <c r="V55" s="38" t="s">
        <v>369</v>
      </c>
      <c r="W55" s="3" t="s">
        <v>370</v>
      </c>
      <c r="X55" s="38" t="s">
        <v>369</v>
      </c>
      <c r="Y55" s="41">
        <v>200169003</v>
      </c>
      <c r="Z55" s="20"/>
      <c r="AD55" s="3"/>
      <c r="AE55" s="38"/>
      <c r="AG55" s="39" t="e">
        <f>1*AF54</f>
        <v>#NAME?</v>
      </c>
      <c r="AH55" s="39"/>
      <c r="AI55" s="39"/>
      <c r="AJ55" s="39"/>
      <c r="AK55" s="39" t="e">
        <f>AG55*AC54</f>
        <v>#NAME?</v>
      </c>
      <c r="BA55" s="139"/>
      <c r="BB55" s="139"/>
      <c r="BC55" s="139"/>
      <c r="BD55" s="139"/>
      <c r="BE55" s="139"/>
    </row>
    <row r="56" spans="1:57" ht="15" customHeight="1" x14ac:dyDescent="0.4">
      <c r="B56" s="36"/>
      <c r="C56" s="155"/>
      <c r="D56" s="155"/>
      <c r="E56" s="155"/>
      <c r="F56" s="155"/>
      <c r="G56" s="7"/>
      <c r="H56" s="20"/>
      <c r="P56" s="24"/>
      <c r="Q56" s="24"/>
      <c r="U56" s="20"/>
      <c r="V56" s="38" t="s">
        <v>369</v>
      </c>
      <c r="W56" s="3" t="s">
        <v>372</v>
      </c>
      <c r="X56" s="38" t="s">
        <v>369</v>
      </c>
      <c r="Y56" s="41">
        <v>200169031</v>
      </c>
      <c r="Z56" s="20"/>
      <c r="AD56" s="3"/>
      <c r="AE56" s="3"/>
      <c r="AG56" s="39" t="e">
        <f>1*AF54</f>
        <v>#NAME?</v>
      </c>
      <c r="AH56" s="39"/>
      <c r="AI56" s="39"/>
      <c r="AJ56" s="39"/>
      <c r="AK56" s="39" t="e">
        <f>AG56*AC54</f>
        <v>#NAME?</v>
      </c>
      <c r="BA56" s="139"/>
      <c r="BB56" s="139"/>
      <c r="BC56" s="139"/>
      <c r="BD56" s="139"/>
      <c r="BE56" s="139"/>
    </row>
    <row r="57" spans="1:57" ht="15" customHeight="1" thickBot="1" x14ac:dyDescent="0.45">
      <c r="B57" s="36"/>
      <c r="C57" s="925"/>
      <c r="D57" s="925"/>
      <c r="E57" s="925"/>
      <c r="F57" s="925"/>
      <c r="G57" s="924"/>
      <c r="H57" s="887"/>
      <c r="I57" s="889"/>
      <c r="J57" s="889"/>
      <c r="K57" s="889"/>
      <c r="L57" s="889"/>
      <c r="M57" s="945"/>
      <c r="N57" s="945"/>
      <c r="O57" s="945"/>
      <c r="P57" s="1020"/>
      <c r="Q57" s="1020"/>
      <c r="R57" s="889"/>
      <c r="S57" s="945"/>
      <c r="T57" s="889"/>
      <c r="U57" s="887"/>
      <c r="V57" s="888" t="s">
        <v>369</v>
      </c>
      <c r="W57" s="889" t="s">
        <v>373</v>
      </c>
      <c r="X57" s="888" t="s">
        <v>369</v>
      </c>
      <c r="Y57" s="946">
        <v>200169033</v>
      </c>
      <c r="Z57" s="887"/>
      <c r="AA57" s="889"/>
      <c r="AB57" s="889"/>
      <c r="AC57" s="945"/>
      <c r="AD57" s="889"/>
      <c r="AE57" s="889"/>
      <c r="AF57" s="945"/>
      <c r="AG57" s="947" t="e">
        <f>1*AF54</f>
        <v>#NAME?</v>
      </c>
      <c r="AH57" s="947"/>
      <c r="AI57" s="947"/>
      <c r="AJ57" s="947"/>
      <c r="AK57" s="947" t="e">
        <f>AG57*AC54</f>
        <v>#NAME?</v>
      </c>
      <c r="BA57" s="139"/>
      <c r="BB57" s="139"/>
      <c r="BC57" s="139"/>
      <c r="BD57" s="139"/>
      <c r="BE57" s="139"/>
    </row>
    <row r="58" spans="1:57" ht="15" customHeight="1" x14ac:dyDescent="0.4">
      <c r="A58" s="3" t="s">
        <v>409</v>
      </c>
      <c r="C58" s="173" t="s">
        <v>410</v>
      </c>
      <c r="D58" s="116"/>
      <c r="E58" s="116"/>
      <c r="F58" s="174"/>
      <c r="G58" s="173"/>
      <c r="H58" s="175"/>
      <c r="I58" s="116" t="s">
        <v>392</v>
      </c>
      <c r="J58" s="116"/>
      <c r="K58" s="116"/>
      <c r="L58" s="116" t="s">
        <v>348</v>
      </c>
      <c r="M58" s="176">
        <v>0</v>
      </c>
      <c r="N58" s="177" t="s">
        <v>348</v>
      </c>
      <c r="O58" s="176">
        <f>0.25</f>
        <v>0.25</v>
      </c>
      <c r="P58" s="177"/>
      <c r="Q58" s="177"/>
      <c r="R58" s="116" t="s">
        <v>352</v>
      </c>
      <c r="S58" s="177">
        <f>FWWidth+M58+O58</f>
        <v>47.75</v>
      </c>
      <c r="T58" s="116" t="s">
        <v>366</v>
      </c>
      <c r="U58" s="175"/>
      <c r="V58" s="173"/>
      <c r="W58" s="173"/>
      <c r="X58" s="173"/>
      <c r="Y58" s="116"/>
      <c r="Z58" s="175"/>
      <c r="AA58" s="116">
        <v>42</v>
      </c>
      <c r="AB58" s="116">
        <v>1</v>
      </c>
      <c r="AC58" s="177">
        <f>AB58*S58/12</f>
        <v>3.9791666666666665</v>
      </c>
      <c r="AD58" s="116" t="s">
        <v>367</v>
      </c>
      <c r="AE58" s="179">
        <v>0</v>
      </c>
      <c r="AF58" s="177" t="e">
        <f>AE58*Atolbperft</f>
        <v>#NAME?</v>
      </c>
      <c r="AG58" s="185"/>
      <c r="AH58" s="185"/>
      <c r="AI58" s="185"/>
      <c r="AJ58" s="185"/>
      <c r="AK58" s="180"/>
      <c r="BA58" s="139"/>
      <c r="BB58" s="139"/>
      <c r="BC58" s="139"/>
      <c r="BD58" s="139"/>
      <c r="BE58" s="139"/>
    </row>
    <row r="59" spans="1:57" ht="15" customHeight="1" x14ac:dyDescent="0.4">
      <c r="C59" s="36"/>
      <c r="D59" s="36"/>
      <c r="E59" s="155"/>
      <c r="F59" s="155"/>
      <c r="G59" s="7"/>
      <c r="H59" s="20"/>
      <c r="P59" s="24"/>
      <c r="Q59" s="24"/>
      <c r="U59" s="20"/>
      <c r="V59" s="38" t="s">
        <v>369</v>
      </c>
      <c r="W59" s="3" t="s">
        <v>370</v>
      </c>
      <c r="X59" s="38" t="s">
        <v>369</v>
      </c>
      <c r="Y59" s="41">
        <v>200174003</v>
      </c>
      <c r="Z59" s="20"/>
      <c r="AD59" s="3"/>
      <c r="AE59" s="38"/>
      <c r="AG59" s="39" t="e">
        <f>1*AF58</f>
        <v>#NAME?</v>
      </c>
      <c r="AH59" s="39"/>
      <c r="AI59" s="39"/>
      <c r="AJ59" s="39"/>
      <c r="AK59" s="39" t="e">
        <f>AG59*AC58</f>
        <v>#NAME?</v>
      </c>
      <c r="BA59" s="139"/>
      <c r="BB59" s="139"/>
      <c r="BC59" s="139"/>
      <c r="BD59" s="139"/>
      <c r="BE59" s="139"/>
    </row>
    <row r="60" spans="1:57" ht="15" customHeight="1" x14ac:dyDescent="0.4">
      <c r="C60" s="36"/>
      <c r="D60" s="36"/>
      <c r="E60" s="155"/>
      <c r="F60" s="155"/>
      <c r="G60" s="7"/>
      <c r="H60" s="20"/>
      <c r="P60" s="24"/>
      <c r="Q60" s="24"/>
      <c r="U60" s="20"/>
      <c r="V60" s="38" t="s">
        <v>369</v>
      </c>
      <c r="W60" s="3" t="s">
        <v>372</v>
      </c>
      <c r="X60" s="38" t="s">
        <v>369</v>
      </c>
      <c r="Y60" s="41">
        <v>200174031</v>
      </c>
      <c r="Z60" s="20"/>
      <c r="AD60" s="3"/>
      <c r="AE60" s="3"/>
      <c r="AG60" s="39" t="e">
        <f>1*AF58</f>
        <v>#NAME?</v>
      </c>
      <c r="AH60" s="39"/>
      <c r="AI60" s="39"/>
      <c r="AJ60" s="39"/>
      <c r="AK60" s="39" t="e">
        <f>AG60*AC58</f>
        <v>#NAME?</v>
      </c>
      <c r="BA60" s="139"/>
      <c r="BB60" s="139"/>
      <c r="BC60" s="139"/>
      <c r="BD60" s="139"/>
      <c r="BE60" s="139"/>
    </row>
    <row r="61" spans="1:57" ht="15" customHeight="1" thickBot="1" x14ac:dyDescent="0.45">
      <c r="C61" s="943"/>
      <c r="D61" s="943"/>
      <c r="E61" s="925"/>
      <c r="F61" s="925"/>
      <c r="G61" s="924"/>
      <c r="H61" s="887"/>
      <c r="I61" s="889"/>
      <c r="J61" s="889"/>
      <c r="K61" s="889"/>
      <c r="L61" s="889"/>
      <c r="M61" s="945"/>
      <c r="N61" s="945"/>
      <c r="O61" s="945"/>
      <c r="P61" s="1020"/>
      <c r="Q61" s="1020"/>
      <c r="R61" s="889"/>
      <c r="S61" s="945"/>
      <c r="T61" s="889"/>
      <c r="U61" s="887"/>
      <c r="V61" s="888" t="s">
        <v>369</v>
      </c>
      <c r="W61" s="889" t="s">
        <v>373</v>
      </c>
      <c r="X61" s="888" t="s">
        <v>369</v>
      </c>
      <c r="Y61" s="946">
        <v>200174033</v>
      </c>
      <c r="Z61" s="887"/>
      <c r="AA61" s="889"/>
      <c r="AB61" s="889"/>
      <c r="AC61" s="945"/>
      <c r="AD61" s="889"/>
      <c r="AE61" s="889"/>
      <c r="AF61" s="945"/>
      <c r="AG61" s="947" t="e">
        <f>1*AF58</f>
        <v>#NAME?</v>
      </c>
      <c r="AK61" s="947" t="e">
        <f>AG61*AC58</f>
        <v>#NAME?</v>
      </c>
      <c r="BA61" s="139"/>
      <c r="BB61" s="139"/>
      <c r="BC61" s="139"/>
      <c r="BD61" s="139"/>
      <c r="BE61" s="139"/>
    </row>
    <row r="62" spans="1:57" ht="15" customHeight="1" x14ac:dyDescent="0.4">
      <c r="C62" s="36" t="s">
        <v>411</v>
      </c>
      <c r="D62" s="36"/>
      <c r="E62" s="111"/>
      <c r="F62" s="155"/>
      <c r="G62" s="7"/>
      <c r="H62" s="20"/>
      <c r="S62" s="5">
        <v>1</v>
      </c>
      <c r="T62" s="3" t="s">
        <v>385</v>
      </c>
      <c r="U62" s="20"/>
      <c r="V62" s="173"/>
      <c r="W62" s="173"/>
      <c r="X62" s="173"/>
      <c r="Y62" s="116"/>
      <c r="Z62" s="175"/>
      <c r="AA62" s="116">
        <v>40</v>
      </c>
      <c r="AB62" s="116">
        <v>2</v>
      </c>
      <c r="AC62" s="177">
        <f>AB62*S62</f>
        <v>2</v>
      </c>
      <c r="AD62" s="116" t="s">
        <v>385</v>
      </c>
      <c r="AE62" s="179">
        <v>0</v>
      </c>
      <c r="AF62" s="177" t="e">
        <f>AE62*Atolbperft</f>
        <v>#NAME?</v>
      </c>
      <c r="AG62" s="185"/>
      <c r="AH62" s="185"/>
      <c r="AI62" s="185"/>
      <c r="AJ62" s="185"/>
      <c r="AK62" s="180"/>
      <c r="BA62" s="140"/>
      <c r="BB62" s="140"/>
      <c r="BC62" s="139"/>
      <c r="BD62" s="139"/>
      <c r="BE62" s="139"/>
    </row>
    <row r="63" spans="1:57" ht="15" customHeight="1" x14ac:dyDescent="0.4">
      <c r="C63" s="36"/>
      <c r="D63" s="36"/>
      <c r="E63" s="111"/>
      <c r="F63" s="155"/>
      <c r="G63" s="7"/>
      <c r="H63" s="20"/>
      <c r="U63" s="20"/>
      <c r="V63" s="38" t="s">
        <v>369</v>
      </c>
      <c r="W63" s="3" t="s">
        <v>370</v>
      </c>
      <c r="X63" s="38" t="s">
        <v>369</v>
      </c>
      <c r="Y63" s="41">
        <v>430027003</v>
      </c>
      <c r="Z63" s="20"/>
      <c r="AD63" s="3"/>
      <c r="AE63" s="38"/>
      <c r="AG63" s="39" t="e">
        <f>1*AF62</f>
        <v>#NAME?</v>
      </c>
      <c r="AH63" s="39"/>
      <c r="AI63" s="39"/>
      <c r="AJ63" s="39"/>
      <c r="AK63" s="39" t="e">
        <f>AG63*AC62</f>
        <v>#NAME?</v>
      </c>
      <c r="BA63" s="140"/>
      <c r="BB63" s="140"/>
      <c r="BC63" s="139"/>
      <c r="BD63" s="139"/>
      <c r="BE63" s="139"/>
    </row>
    <row r="64" spans="1:57" ht="15" customHeight="1" x14ac:dyDescent="0.4">
      <c r="C64" s="36"/>
      <c r="D64" s="36"/>
      <c r="E64" s="111"/>
      <c r="F64" s="155"/>
      <c r="G64" s="7"/>
      <c r="H64" s="20"/>
      <c r="U64" s="20"/>
      <c r="V64" s="38" t="s">
        <v>369</v>
      </c>
      <c r="W64" s="3" t="s">
        <v>372</v>
      </c>
      <c r="X64" s="38" t="s">
        <v>369</v>
      </c>
      <c r="Y64" s="41">
        <v>430027031</v>
      </c>
      <c r="Z64" s="20"/>
      <c r="AD64" s="3"/>
      <c r="AE64" s="3"/>
      <c r="AG64" s="39" t="e">
        <f>1*AF62</f>
        <v>#NAME?</v>
      </c>
      <c r="AH64" s="39"/>
      <c r="AI64" s="39"/>
      <c r="AJ64" s="39"/>
      <c r="AK64" s="39" t="e">
        <f>AG64*AC62</f>
        <v>#NAME?</v>
      </c>
      <c r="BA64" s="140"/>
      <c r="BB64" s="140"/>
      <c r="BC64" s="139"/>
      <c r="BD64" s="139"/>
      <c r="BE64" s="139"/>
    </row>
    <row r="65" spans="1:57" ht="15" customHeight="1" thickBot="1" x14ac:dyDescent="0.45">
      <c r="C65" s="36"/>
      <c r="D65" s="36"/>
      <c r="E65" s="111"/>
      <c r="F65" s="155"/>
      <c r="G65" s="7"/>
      <c r="H65" s="20"/>
      <c r="U65" s="20"/>
      <c r="V65" s="38" t="s">
        <v>369</v>
      </c>
      <c r="W65" s="3" t="s">
        <v>373</v>
      </c>
      <c r="X65" s="38" t="s">
        <v>369</v>
      </c>
      <c r="Y65" s="41">
        <v>430027033</v>
      </c>
      <c r="Z65" s="20"/>
      <c r="AD65" s="3"/>
      <c r="AE65" s="3"/>
      <c r="AG65" s="39" t="e">
        <f>1*AF62</f>
        <v>#NAME?</v>
      </c>
      <c r="AH65" s="947"/>
      <c r="AI65" s="947"/>
      <c r="AJ65" s="947"/>
      <c r="AK65" s="39" t="e">
        <f>AG65*AC62</f>
        <v>#NAME?</v>
      </c>
      <c r="BA65" s="140"/>
      <c r="BB65" s="140"/>
      <c r="BC65" s="139"/>
      <c r="BD65" s="139"/>
      <c r="BE65" s="139"/>
    </row>
    <row r="66" spans="1:57" ht="15" customHeight="1" x14ac:dyDescent="0.4">
      <c r="C66" s="199" t="s">
        <v>1140</v>
      </c>
      <c r="D66" s="116"/>
      <c r="E66" s="116"/>
      <c r="F66" s="173"/>
      <c r="G66" s="173"/>
      <c r="H66" s="193"/>
      <c r="I66" s="114"/>
      <c r="J66" s="116"/>
      <c r="K66" s="116"/>
      <c r="L66" s="116"/>
      <c r="M66" s="177"/>
      <c r="N66" s="177"/>
      <c r="O66" s="177"/>
      <c r="P66" s="177"/>
      <c r="Q66" s="177"/>
      <c r="R66" s="116"/>
      <c r="S66" s="198">
        <v>1</v>
      </c>
      <c r="T66" s="116" t="s">
        <v>385</v>
      </c>
      <c r="U66" s="193"/>
      <c r="V66" s="179"/>
      <c r="W66" s="116"/>
      <c r="X66" s="179"/>
      <c r="Y66" s="116"/>
      <c r="Z66" s="193"/>
      <c r="AA66" s="116"/>
      <c r="AB66" s="116"/>
      <c r="AC66" s="116"/>
      <c r="AD66" s="116"/>
      <c r="AE66" s="179"/>
      <c r="AF66" s="179"/>
      <c r="AG66" s="180"/>
      <c r="AH66" s="185"/>
      <c r="AI66" s="185"/>
      <c r="AJ66" s="185"/>
      <c r="AK66" s="180"/>
      <c r="BA66" s="139"/>
      <c r="BB66" s="139"/>
      <c r="BC66" s="139"/>
      <c r="BD66" s="139"/>
      <c r="BE66" s="139"/>
    </row>
    <row r="67" spans="1:57" ht="15" customHeight="1" x14ac:dyDescent="0.4">
      <c r="B67" s="36"/>
      <c r="C67" s="134"/>
      <c r="D67" s="134"/>
      <c r="E67" s="7"/>
      <c r="F67" s="134"/>
      <c r="G67" s="7"/>
      <c r="I67" s="8"/>
      <c r="S67" s="56"/>
      <c r="V67" s="38" t="s">
        <v>369</v>
      </c>
      <c r="W67" s="3" t="s">
        <v>370</v>
      </c>
      <c r="X67" s="38" t="s">
        <v>369</v>
      </c>
      <c r="Y67" s="41" t="s">
        <v>413</v>
      </c>
      <c r="AA67" s="3">
        <v>42</v>
      </c>
      <c r="AB67" s="3">
        <v>2</v>
      </c>
      <c r="AC67" s="56">
        <f>AB67*S66</f>
        <v>2</v>
      </c>
      <c r="AD67" s="3" t="s">
        <v>385</v>
      </c>
      <c r="AE67" s="38"/>
      <c r="AF67" s="38"/>
      <c r="AG67" s="40">
        <v>5.0000000000000001E-3</v>
      </c>
      <c r="AH67" s="39"/>
      <c r="AI67" s="39"/>
      <c r="AJ67" s="39"/>
      <c r="AK67" s="39">
        <f>AG67*AC67</f>
        <v>0.01</v>
      </c>
      <c r="BA67" s="139"/>
      <c r="BB67" s="139"/>
      <c r="BC67" s="139"/>
      <c r="BD67" s="139"/>
      <c r="BE67" s="139"/>
    </row>
    <row r="68" spans="1:57" ht="15" customHeight="1" x14ac:dyDescent="0.4">
      <c r="B68" s="36"/>
      <c r="C68" s="134"/>
      <c r="D68" s="134"/>
      <c r="E68" s="7"/>
      <c r="F68" s="134"/>
      <c r="G68" s="7"/>
      <c r="I68" s="8"/>
      <c r="S68" s="56"/>
      <c r="V68" s="38" t="s">
        <v>369</v>
      </c>
      <c r="W68" s="3" t="s">
        <v>372</v>
      </c>
      <c r="X68" s="38" t="s">
        <v>369</v>
      </c>
      <c r="Y68" s="41" t="s">
        <v>414</v>
      </c>
      <c r="AA68" s="3">
        <v>42</v>
      </c>
      <c r="AB68" s="3">
        <v>2</v>
      </c>
      <c r="AC68" s="56">
        <f>AB68*S66</f>
        <v>2</v>
      </c>
      <c r="AD68" s="3" t="s">
        <v>385</v>
      </c>
      <c r="AE68" s="38"/>
      <c r="AF68" s="38"/>
      <c r="AG68" s="40">
        <v>5.0000000000000001E-3</v>
      </c>
      <c r="AH68" s="39"/>
      <c r="AI68" s="39"/>
      <c r="AJ68" s="39"/>
      <c r="AK68" s="39">
        <f>AG68*AC67</f>
        <v>0.01</v>
      </c>
      <c r="BA68" s="139"/>
      <c r="BB68" s="139"/>
      <c r="BC68" s="139"/>
      <c r="BD68" s="139"/>
      <c r="BE68" s="139"/>
    </row>
    <row r="69" spans="1:57" ht="15" customHeight="1" thickBot="1" x14ac:dyDescent="0.45">
      <c r="B69" s="943"/>
      <c r="C69" s="1369"/>
      <c r="D69" s="1369"/>
      <c r="E69" s="924"/>
      <c r="F69" s="1369"/>
      <c r="G69" s="924"/>
      <c r="H69" s="948"/>
      <c r="I69" s="949"/>
      <c r="J69" s="889"/>
      <c r="K69" s="889"/>
      <c r="L69" s="889"/>
      <c r="M69" s="945"/>
      <c r="N69" s="945"/>
      <c r="O69" s="945"/>
      <c r="P69" s="945"/>
      <c r="Q69" s="945"/>
      <c r="R69" s="889"/>
      <c r="S69" s="1156"/>
      <c r="T69" s="889"/>
      <c r="U69" s="948"/>
      <c r="V69" s="888" t="s">
        <v>369</v>
      </c>
      <c r="W69" s="889" t="s">
        <v>373</v>
      </c>
      <c r="X69" s="888" t="s">
        <v>369</v>
      </c>
      <c r="Y69" s="946" t="s">
        <v>415</v>
      </c>
      <c r="Z69" s="948"/>
      <c r="AA69" s="889">
        <v>42</v>
      </c>
      <c r="AB69" s="889">
        <v>2</v>
      </c>
      <c r="AC69" s="1156">
        <f>AB69*S66</f>
        <v>2</v>
      </c>
      <c r="AD69" s="889" t="s">
        <v>385</v>
      </c>
      <c r="AE69" s="888"/>
      <c r="AF69" s="888"/>
      <c r="AG69" s="1370">
        <v>5.0000000000000001E-3</v>
      </c>
      <c r="AH69" s="947"/>
      <c r="AI69" s="947"/>
      <c r="AJ69" s="947"/>
      <c r="AK69" s="947">
        <f>AG69*AC68</f>
        <v>0.01</v>
      </c>
      <c r="BA69" s="139"/>
      <c r="BB69" s="139"/>
      <c r="BC69" s="139"/>
      <c r="BD69" s="139"/>
      <c r="BE69" s="139"/>
    </row>
    <row r="70" spans="1:57" ht="15" customHeight="1" x14ac:dyDescent="0.4">
      <c r="B70" s="173" t="s">
        <v>1141</v>
      </c>
      <c r="C70" s="173"/>
      <c r="D70" s="181"/>
      <c r="E70" s="192"/>
      <c r="F70" s="195" t="s">
        <v>418</v>
      </c>
      <c r="G70" s="196">
        <v>3</v>
      </c>
      <c r="H70" s="175"/>
      <c r="I70" s="197" t="str">
        <f xml:space="preserve"> "Length = INT ( ( UW - " &amp;FIXED(G71,2)&amp;") / "&amp;FIXED(G70,2)&amp;" ) *"&amp;FIXED(G70,2)</f>
        <v>Length = INT ( ( UW - 2.00) / 3.00 ) *3.00</v>
      </c>
      <c r="J70" s="116"/>
      <c r="K70" s="116"/>
      <c r="L70" s="116"/>
      <c r="M70" s="177"/>
      <c r="N70" s="177"/>
      <c r="O70" s="177"/>
      <c r="P70" s="178"/>
      <c r="Q70" s="178"/>
      <c r="R70" s="116" t="s">
        <v>352</v>
      </c>
      <c r="S70" s="177">
        <f>INT((FWWidth-G71)/G70)*G70</f>
        <v>45</v>
      </c>
      <c r="T70" s="116" t="s">
        <v>366</v>
      </c>
      <c r="U70" s="175"/>
      <c r="V70" s="179"/>
      <c r="W70" s="116"/>
      <c r="X70" s="179"/>
      <c r="Y70" s="184"/>
      <c r="Z70" s="175"/>
      <c r="AA70" s="116">
        <v>42</v>
      </c>
      <c r="AB70" s="116">
        <v>1</v>
      </c>
      <c r="AC70" s="177">
        <f>AB70*S70/12</f>
        <v>3.75</v>
      </c>
      <c r="AD70" s="116" t="s">
        <v>367</v>
      </c>
      <c r="AE70" s="116">
        <v>0</v>
      </c>
      <c r="AF70" s="177" t="e">
        <f>AE70*Atolbperft</f>
        <v>#NAME?</v>
      </c>
      <c r="AG70" s="185"/>
      <c r="AH70" s="185"/>
      <c r="AI70" s="185"/>
      <c r="AJ70" s="185"/>
      <c r="AK70" s="180"/>
      <c r="BA70" s="139"/>
      <c r="BB70" s="139"/>
      <c r="BC70" s="139"/>
      <c r="BD70" s="139"/>
      <c r="BE70" s="139"/>
    </row>
    <row r="71" spans="1:57" ht="15" customHeight="1" x14ac:dyDescent="0.4">
      <c r="B71" s="36"/>
      <c r="C71" s="155"/>
      <c r="D71" s="155"/>
      <c r="E71" s="155"/>
      <c r="F71" s="133" t="s">
        <v>419</v>
      </c>
      <c r="G71" s="160">
        <v>2</v>
      </c>
      <c r="H71" s="20"/>
      <c r="P71" s="24"/>
      <c r="Q71" s="24"/>
      <c r="U71" s="20"/>
      <c r="V71" s="38" t="s">
        <v>369</v>
      </c>
      <c r="W71" s="3" t="s">
        <v>370</v>
      </c>
      <c r="X71" s="38" t="s">
        <v>369</v>
      </c>
      <c r="Y71" s="41">
        <v>200142003</v>
      </c>
      <c r="Z71" s="20"/>
      <c r="AD71" s="3"/>
      <c r="AE71" s="38"/>
      <c r="AG71" s="39" t="e">
        <f>1*AF70</f>
        <v>#NAME?</v>
      </c>
      <c r="AK71" s="39" t="e">
        <f>AG71*AC70</f>
        <v>#NAME?</v>
      </c>
      <c r="BA71" s="139"/>
      <c r="BB71" s="139"/>
      <c r="BC71" s="139"/>
      <c r="BD71" s="139"/>
      <c r="BE71" s="139"/>
    </row>
    <row r="72" spans="1:57" ht="15" customHeight="1" x14ac:dyDescent="0.4">
      <c r="B72" s="36"/>
      <c r="C72" s="155"/>
      <c r="D72" s="155"/>
      <c r="E72" s="155"/>
      <c r="F72" s="155"/>
      <c r="G72" s="7"/>
      <c r="H72" s="20"/>
      <c r="P72" s="24"/>
      <c r="Q72" s="24"/>
      <c r="U72" s="20"/>
      <c r="V72" s="38" t="s">
        <v>369</v>
      </c>
      <c r="W72" s="3" t="s">
        <v>372</v>
      </c>
      <c r="X72" s="38" t="s">
        <v>369</v>
      </c>
      <c r="Y72" s="41">
        <v>200142031</v>
      </c>
      <c r="Z72" s="20"/>
      <c r="AD72" s="3"/>
      <c r="AE72" s="3"/>
      <c r="AG72" s="39" t="e">
        <f>1*AF70</f>
        <v>#NAME?</v>
      </c>
      <c r="AK72" s="39" t="e">
        <f>AG72*AC70</f>
        <v>#NAME?</v>
      </c>
      <c r="BA72" s="139"/>
      <c r="BB72" s="139"/>
      <c r="BC72" s="139"/>
      <c r="BD72" s="139"/>
      <c r="BE72" s="139"/>
    </row>
    <row r="73" spans="1:57" ht="15" customHeight="1" thickBot="1" x14ac:dyDescent="0.45">
      <c r="B73" s="943"/>
      <c r="C73" s="925"/>
      <c r="D73" s="925"/>
      <c r="E73" s="925"/>
      <c r="F73" s="925"/>
      <c r="G73" s="924"/>
      <c r="H73" s="887"/>
      <c r="I73" s="889"/>
      <c r="J73" s="889"/>
      <c r="K73" s="889"/>
      <c r="L73" s="889"/>
      <c r="M73" s="945"/>
      <c r="N73" s="945"/>
      <c r="O73" s="945"/>
      <c r="P73" s="1020"/>
      <c r="Q73" s="1020"/>
      <c r="R73" s="889"/>
      <c r="S73" s="945"/>
      <c r="T73" s="889"/>
      <c r="U73" s="887"/>
      <c r="V73" s="888" t="s">
        <v>369</v>
      </c>
      <c r="W73" s="889" t="s">
        <v>373</v>
      </c>
      <c r="X73" s="888" t="s">
        <v>369</v>
      </c>
      <c r="Y73" s="946">
        <v>200142033</v>
      </c>
      <c r="Z73" s="887"/>
      <c r="AA73" s="889"/>
      <c r="AB73" s="889"/>
      <c r="AC73" s="945"/>
      <c r="AD73" s="889"/>
      <c r="AE73" s="889"/>
      <c r="AF73" s="945"/>
      <c r="AG73" s="947" t="e">
        <f>1*AF70</f>
        <v>#NAME?</v>
      </c>
      <c r="AH73" s="39"/>
      <c r="AI73" s="39"/>
      <c r="AJ73" s="39"/>
      <c r="AK73" s="947" t="e">
        <f>AG73*AC70</f>
        <v>#NAME?</v>
      </c>
      <c r="BA73" s="139"/>
      <c r="BB73" s="139"/>
      <c r="BC73" s="139"/>
      <c r="BD73" s="139"/>
      <c r="BE73" s="139"/>
    </row>
    <row r="74" spans="1:57" ht="15" customHeight="1" x14ac:dyDescent="0.4">
      <c r="B74" s="186" t="s">
        <v>427</v>
      </c>
      <c r="C74" s="128"/>
      <c r="D74" s="126"/>
      <c r="E74" s="126"/>
      <c r="F74" s="126"/>
      <c r="G74" s="126"/>
      <c r="H74" s="187"/>
      <c r="I74" s="187"/>
      <c r="J74" s="187"/>
      <c r="K74" s="187"/>
      <c r="L74" s="187"/>
      <c r="M74" s="188"/>
      <c r="N74" s="188"/>
      <c r="O74" s="188"/>
      <c r="P74" s="188"/>
      <c r="Q74" s="188"/>
      <c r="R74" s="187"/>
      <c r="S74" s="188"/>
      <c r="T74" s="187"/>
      <c r="U74" s="187"/>
      <c r="V74" s="126"/>
      <c r="W74" s="126"/>
      <c r="X74" s="126"/>
      <c r="Y74" s="189"/>
      <c r="Z74" s="187"/>
      <c r="AA74" s="127"/>
      <c r="AB74" s="187"/>
      <c r="AC74" s="188"/>
      <c r="AD74" s="187"/>
      <c r="AE74" s="187"/>
      <c r="AF74" s="187"/>
      <c r="AG74" s="190"/>
      <c r="AH74" s="190"/>
      <c r="AI74" s="190"/>
      <c r="AJ74" s="190"/>
      <c r="AK74" s="191" t="e">
        <f>SUBTOTAL(109,AK77:AK147)</f>
        <v>#NAME?</v>
      </c>
      <c r="BA74" s="139"/>
      <c r="BB74" s="139"/>
      <c r="BC74" s="139"/>
      <c r="BD74" s="139"/>
      <c r="BE74" s="139"/>
    </row>
    <row r="75" spans="1:57" ht="15" customHeight="1" thickBot="1" x14ac:dyDescent="0.45">
      <c r="B75" s="1257" t="s">
        <v>449</v>
      </c>
      <c r="C75" s="1258"/>
      <c r="D75" s="1258"/>
      <c r="E75" s="1258"/>
      <c r="F75" s="1258"/>
      <c r="G75" s="1258"/>
      <c r="H75" s="1259"/>
      <c r="I75" s="1259"/>
      <c r="J75" s="1259"/>
      <c r="K75" s="1259"/>
      <c r="L75" s="1259"/>
      <c r="M75" s="1260"/>
      <c r="N75" s="1260"/>
      <c r="O75" s="1260"/>
      <c r="P75" s="1260"/>
      <c r="Q75" s="1260"/>
      <c r="R75" s="1259"/>
      <c r="S75" s="1260"/>
      <c r="T75" s="1259"/>
      <c r="U75" s="1259"/>
      <c r="V75" s="1258"/>
      <c r="W75" s="1258"/>
      <c r="X75" s="1258"/>
      <c r="Y75" s="1261"/>
      <c r="Z75" s="1259"/>
      <c r="AA75" s="1262"/>
      <c r="AB75" s="1259"/>
      <c r="AC75" s="1260"/>
      <c r="AD75" s="1259"/>
      <c r="AE75" s="1259"/>
      <c r="AF75" s="1259"/>
      <c r="AG75" s="1263"/>
      <c r="AH75" s="1263"/>
      <c r="AI75" s="1263"/>
      <c r="AJ75" s="1263"/>
      <c r="AK75" s="1264"/>
      <c r="BA75" s="139"/>
      <c r="BB75" s="139"/>
      <c r="BC75" s="139"/>
      <c r="BD75" s="139"/>
      <c r="BE75" s="139"/>
    </row>
    <row r="76" spans="1:57" ht="15" customHeight="1" thickBot="1" x14ac:dyDescent="0.45">
      <c r="B76" s="173" t="s">
        <v>429</v>
      </c>
      <c r="C76" s="173"/>
      <c r="D76" s="116"/>
      <c r="E76" s="116"/>
      <c r="F76" s="174"/>
      <c r="G76" s="173"/>
      <c r="H76" s="175"/>
      <c r="I76" s="116"/>
      <c r="J76" s="116"/>
      <c r="K76" s="116"/>
      <c r="L76" s="116"/>
      <c r="M76" s="177"/>
      <c r="N76" s="177"/>
      <c r="O76" s="177"/>
      <c r="P76" s="177"/>
      <c r="Q76" s="177"/>
      <c r="R76" s="116"/>
      <c r="S76" s="177"/>
      <c r="T76" s="116"/>
      <c r="U76" s="175"/>
      <c r="V76" s="173"/>
      <c r="W76" s="173"/>
      <c r="X76" s="173"/>
      <c r="Y76" s="116"/>
      <c r="Z76" s="175"/>
      <c r="AA76" s="116"/>
      <c r="AB76" s="116"/>
      <c r="AC76" s="177"/>
      <c r="AD76" s="116"/>
      <c r="AE76" s="179"/>
      <c r="AF76" s="177"/>
      <c r="AG76" s="185"/>
      <c r="AH76" s="185"/>
      <c r="AI76" s="185"/>
      <c r="AJ76" s="185"/>
      <c r="AK76" s="180"/>
      <c r="BA76" s="139"/>
      <c r="BB76" s="139"/>
      <c r="BC76" s="139"/>
      <c r="BD76" s="139"/>
      <c r="BE76" s="139"/>
    </row>
    <row r="77" spans="1:57" ht="15" customHeight="1" x14ac:dyDescent="0.4">
      <c r="A77" s="3" t="s">
        <v>362</v>
      </c>
      <c r="B77" s="173"/>
      <c r="C77" s="173" t="s">
        <v>430</v>
      </c>
      <c r="D77" s="116"/>
      <c r="E77" s="116"/>
      <c r="F77" s="174" t="s">
        <v>1143</v>
      </c>
      <c r="G77" s="173"/>
      <c r="H77" s="175"/>
      <c r="I77" s="116" t="s">
        <v>365</v>
      </c>
      <c r="J77" s="116"/>
      <c r="K77" s="116"/>
      <c r="L77" s="116" t="s">
        <v>348</v>
      </c>
      <c r="M77" s="183">
        <v>3</v>
      </c>
      <c r="N77" s="177" t="s">
        <v>348</v>
      </c>
      <c r="O77" s="183">
        <f>0.25</f>
        <v>0.25</v>
      </c>
      <c r="P77" s="177"/>
      <c r="Q77" s="177"/>
      <c r="R77" s="116" t="s">
        <v>352</v>
      </c>
      <c r="S77" s="177">
        <f>FWHeight+M77+O77</f>
        <v>50.75</v>
      </c>
      <c r="T77" s="116" t="s">
        <v>366</v>
      </c>
      <c r="U77" s="175"/>
      <c r="V77" s="173"/>
      <c r="W77" s="173"/>
      <c r="X77" s="173"/>
      <c r="Y77" s="116"/>
      <c r="Z77" s="175"/>
      <c r="AA77" s="116">
        <v>42</v>
      </c>
      <c r="AB77" s="116">
        <v>2</v>
      </c>
      <c r="AC77" s="177">
        <f>AB77*S77/12</f>
        <v>8.4583333333333339</v>
      </c>
      <c r="AD77" s="116" t="s">
        <v>367</v>
      </c>
      <c r="AE77" s="179">
        <v>1.1200000000000001</v>
      </c>
      <c r="AF77" s="177" t="e">
        <f>AE77*Atolbperft</f>
        <v>#NAME?</v>
      </c>
      <c r="AG77" s="185"/>
      <c r="AH77" s="185"/>
      <c r="AI77" s="185"/>
      <c r="AJ77" s="185"/>
      <c r="AK77" s="180"/>
      <c r="BA77" s="139"/>
      <c r="BB77" s="139"/>
      <c r="BC77" s="139"/>
      <c r="BD77" s="139"/>
      <c r="BE77" s="139"/>
    </row>
    <row r="78" spans="1:57" ht="15" customHeight="1" x14ac:dyDescent="0.4">
      <c r="B78" s="36"/>
      <c r="C78" s="36"/>
      <c r="D78" s="155"/>
      <c r="E78" s="155" t="s">
        <v>439</v>
      </c>
      <c r="F78" s="155"/>
      <c r="G78" s="7"/>
      <c r="H78" s="20"/>
      <c r="I78" s="3" t="s">
        <v>365</v>
      </c>
      <c r="L78" s="3" t="s">
        <v>348</v>
      </c>
      <c r="M78" s="154">
        <v>0</v>
      </c>
      <c r="N78" s="5" t="s">
        <v>348</v>
      </c>
      <c r="O78" s="154">
        <f>0.25</f>
        <v>0.25</v>
      </c>
      <c r="P78" s="24"/>
      <c r="Q78" s="24"/>
      <c r="R78" s="3" t="s">
        <v>352</v>
      </c>
      <c r="S78" s="5">
        <f>FWHeight+M78+O78</f>
        <v>47.75</v>
      </c>
      <c r="T78" s="3" t="s">
        <v>366</v>
      </c>
      <c r="U78" s="20"/>
      <c r="V78" s="38" t="s">
        <v>369</v>
      </c>
      <c r="W78" s="3" t="s">
        <v>370</v>
      </c>
      <c r="X78" s="38" t="s">
        <v>369</v>
      </c>
      <c r="Y78" s="41"/>
      <c r="Z78" s="20"/>
      <c r="AD78" s="3"/>
      <c r="AE78" s="38"/>
      <c r="AG78" s="39" t="e">
        <f>0.91*AF77</f>
        <v>#NAME?</v>
      </c>
      <c r="AH78" s="39"/>
      <c r="AI78" s="39"/>
      <c r="AJ78" s="39"/>
      <c r="AK78" s="39" t="e">
        <f>AG78*AC77</f>
        <v>#NAME?</v>
      </c>
      <c r="BA78" s="139"/>
      <c r="BB78" s="139"/>
      <c r="BC78" s="139"/>
      <c r="BD78" s="139"/>
      <c r="BE78" s="139"/>
    </row>
    <row r="79" spans="1:57" ht="15" customHeight="1" x14ac:dyDescent="0.4">
      <c r="B79" s="36"/>
      <c r="C79" s="36"/>
      <c r="D79" s="155"/>
      <c r="E79" s="155"/>
      <c r="F79" s="155"/>
      <c r="G79" s="7"/>
      <c r="H79" s="20"/>
      <c r="P79" s="24"/>
      <c r="Q79" s="24"/>
      <c r="U79" s="20"/>
      <c r="V79" s="38" t="s">
        <v>369</v>
      </c>
      <c r="W79" s="3" t="s">
        <v>372</v>
      </c>
      <c r="X79" s="38" t="s">
        <v>369</v>
      </c>
      <c r="Y79" s="41"/>
      <c r="Z79" s="20"/>
      <c r="AD79" s="3"/>
      <c r="AE79" s="3"/>
      <c r="AG79" s="39" t="e">
        <f>1*AF77</f>
        <v>#NAME?</v>
      </c>
      <c r="AH79" s="39"/>
      <c r="AI79" s="39"/>
      <c r="AJ79" s="39"/>
      <c r="AK79" s="39" t="e">
        <f>AG79*AC77</f>
        <v>#NAME?</v>
      </c>
      <c r="BA79" s="139"/>
      <c r="BB79" s="139"/>
      <c r="BC79" s="139"/>
      <c r="BD79" s="139"/>
      <c r="BE79" s="139"/>
    </row>
    <row r="80" spans="1:57" ht="15.75" customHeight="1" thickBot="1" x14ac:dyDescent="0.45">
      <c r="C80" s="943"/>
      <c r="D80" s="925"/>
      <c r="E80" s="925"/>
      <c r="F80" s="925"/>
      <c r="G80" s="924"/>
      <c r="H80" s="887"/>
      <c r="I80" s="889"/>
      <c r="J80" s="889"/>
      <c r="K80" s="889"/>
      <c r="L80" s="889"/>
      <c r="M80" s="945"/>
      <c r="N80" s="945"/>
      <c r="O80" s="945"/>
      <c r="P80" s="1020"/>
      <c r="Q80" s="1020"/>
      <c r="R80" s="889"/>
      <c r="S80" s="945"/>
      <c r="T80" s="889"/>
      <c r="U80" s="887"/>
      <c r="V80" s="888" t="s">
        <v>369</v>
      </c>
      <c r="W80" s="889" t="s">
        <v>373</v>
      </c>
      <c r="X80" s="888" t="s">
        <v>369</v>
      </c>
      <c r="Y80" s="946"/>
      <c r="Z80" s="887"/>
      <c r="AA80" s="889"/>
      <c r="AB80" s="889"/>
      <c r="AC80" s="945"/>
      <c r="AD80" s="889"/>
      <c r="AE80" s="889"/>
      <c r="AF80" s="945"/>
      <c r="AG80" s="947" t="e">
        <f>1*AF77</f>
        <v>#NAME?</v>
      </c>
      <c r="AH80" s="947"/>
      <c r="AI80" s="947"/>
      <c r="AJ80" s="947"/>
      <c r="AK80" s="947" t="e">
        <f>AG80*AC77</f>
        <v>#NAME?</v>
      </c>
      <c r="BA80" s="139"/>
      <c r="BB80" s="139"/>
      <c r="BC80" s="139"/>
      <c r="BD80" s="139"/>
      <c r="BE80" s="139"/>
    </row>
    <row r="81" spans="1:57" ht="15" customHeight="1" x14ac:dyDescent="0.4">
      <c r="C81" s="173" t="s">
        <v>433</v>
      </c>
      <c r="D81" s="116"/>
      <c r="E81" s="116"/>
      <c r="F81" s="174" t="s">
        <v>1143</v>
      </c>
      <c r="G81" s="173"/>
      <c r="H81" s="175"/>
      <c r="I81" s="116" t="s">
        <v>365</v>
      </c>
      <c r="J81" s="116"/>
      <c r="K81" s="116"/>
      <c r="L81" s="116" t="s">
        <v>348</v>
      </c>
      <c r="M81" s="183">
        <v>3</v>
      </c>
      <c r="N81" s="177" t="s">
        <v>348</v>
      </c>
      <c r="O81" s="183">
        <f>0.25</f>
        <v>0.25</v>
      </c>
      <c r="P81" s="177"/>
      <c r="Q81" s="177"/>
      <c r="R81" s="116" t="s">
        <v>352</v>
      </c>
      <c r="S81" s="177">
        <f>FWHeight+M81+O81</f>
        <v>50.75</v>
      </c>
      <c r="T81" s="116" t="s">
        <v>366</v>
      </c>
      <c r="U81" s="175"/>
      <c r="V81" s="173"/>
      <c r="W81" s="173"/>
      <c r="X81" s="173"/>
      <c r="Y81" s="116"/>
      <c r="Z81" s="175"/>
      <c r="AA81" s="116">
        <v>42</v>
      </c>
      <c r="AB81" s="116">
        <v>2</v>
      </c>
      <c r="AC81" s="177">
        <f>AB81*S81/12</f>
        <v>8.4583333333333339</v>
      </c>
      <c r="AD81" s="116" t="s">
        <v>367</v>
      </c>
      <c r="AE81" s="179">
        <v>1.1200000000000001</v>
      </c>
      <c r="AF81" s="177" t="e">
        <f>AE81*Atolbperft</f>
        <v>#NAME?</v>
      </c>
      <c r="AG81" s="185"/>
      <c r="AH81" s="185"/>
      <c r="AI81" s="185"/>
      <c r="AJ81" s="185"/>
      <c r="AK81" s="180"/>
      <c r="BA81" s="139"/>
      <c r="BB81" s="139"/>
      <c r="BC81" s="139"/>
      <c r="BD81" s="139"/>
      <c r="BE81" s="139"/>
    </row>
    <row r="82" spans="1:57" ht="15" customHeight="1" x14ac:dyDescent="0.4">
      <c r="B82" s="36"/>
      <c r="C82" s="36"/>
      <c r="D82" s="155"/>
      <c r="E82" s="155" t="s">
        <v>439</v>
      </c>
      <c r="F82" s="155"/>
      <c r="G82" s="7"/>
      <c r="H82" s="20"/>
      <c r="I82" s="3" t="s">
        <v>365</v>
      </c>
      <c r="L82" s="3" t="s">
        <v>348</v>
      </c>
      <c r="M82" s="154">
        <v>0</v>
      </c>
      <c r="N82" s="5" t="s">
        <v>348</v>
      </c>
      <c r="O82" s="154">
        <f>0.25</f>
        <v>0.25</v>
      </c>
      <c r="P82" s="24"/>
      <c r="Q82" s="24"/>
      <c r="R82" s="3" t="s">
        <v>352</v>
      </c>
      <c r="S82" s="5">
        <f>FWHeight+M82+O82</f>
        <v>47.75</v>
      </c>
      <c r="T82" s="3" t="s">
        <v>366</v>
      </c>
      <c r="U82" s="20"/>
      <c r="V82" s="38" t="s">
        <v>369</v>
      </c>
      <c r="W82" s="3" t="s">
        <v>370</v>
      </c>
      <c r="X82" s="38" t="s">
        <v>369</v>
      </c>
      <c r="Y82" s="41"/>
      <c r="Z82" s="20"/>
      <c r="AD82" s="3"/>
      <c r="AE82" s="38"/>
      <c r="AG82" s="39" t="e">
        <f>0.91*AF81</f>
        <v>#NAME?</v>
      </c>
      <c r="AH82" s="39"/>
      <c r="AI82" s="39"/>
      <c r="AJ82" s="39"/>
      <c r="AK82" s="39" t="e">
        <f>AG82*AC81</f>
        <v>#NAME?</v>
      </c>
      <c r="BA82" s="139"/>
      <c r="BB82" s="139"/>
      <c r="BC82" s="139"/>
      <c r="BD82" s="139"/>
      <c r="BE82" s="139"/>
    </row>
    <row r="83" spans="1:57" ht="15" customHeight="1" x14ac:dyDescent="0.4">
      <c r="B83" s="36"/>
      <c r="C83" s="36"/>
      <c r="D83" s="155"/>
      <c r="E83" s="155"/>
      <c r="F83" s="155"/>
      <c r="G83" s="7"/>
      <c r="H83" s="20"/>
      <c r="P83" s="24"/>
      <c r="Q83" s="24"/>
      <c r="U83" s="20"/>
      <c r="V83" s="38" t="s">
        <v>369</v>
      </c>
      <c r="W83" s="3" t="s">
        <v>372</v>
      </c>
      <c r="X83" s="38" t="s">
        <v>369</v>
      </c>
      <c r="Y83" s="41"/>
      <c r="Z83" s="20"/>
      <c r="AD83" s="3"/>
      <c r="AE83" s="3"/>
      <c r="AG83" s="39" t="e">
        <f>1*AF81</f>
        <v>#NAME?</v>
      </c>
      <c r="AH83" s="39"/>
      <c r="AI83" s="39"/>
      <c r="AJ83" s="39"/>
      <c r="AK83" s="39" t="e">
        <f>AG83*AC81</f>
        <v>#NAME?</v>
      </c>
      <c r="BA83" s="139"/>
      <c r="BB83" s="139"/>
      <c r="BC83" s="139"/>
      <c r="BD83" s="139"/>
      <c r="BE83" s="139"/>
    </row>
    <row r="84" spans="1:57" ht="15.75" customHeight="1" thickBot="1" x14ac:dyDescent="0.45">
      <c r="B84" s="36"/>
      <c r="C84" s="943"/>
      <c r="D84" s="925"/>
      <c r="E84" s="925"/>
      <c r="F84" s="925"/>
      <c r="G84" s="924"/>
      <c r="H84" s="887"/>
      <c r="I84" s="889"/>
      <c r="J84" s="889"/>
      <c r="K84" s="889"/>
      <c r="L84" s="889"/>
      <c r="M84" s="945"/>
      <c r="N84" s="945"/>
      <c r="O84" s="945"/>
      <c r="P84" s="1020"/>
      <c r="Q84" s="1020"/>
      <c r="R84" s="889"/>
      <c r="S84" s="945"/>
      <c r="T84" s="889"/>
      <c r="U84" s="887"/>
      <c r="V84" s="888" t="s">
        <v>369</v>
      </c>
      <c r="W84" s="889" t="s">
        <v>373</v>
      </c>
      <c r="X84" s="888" t="s">
        <v>369</v>
      </c>
      <c r="Y84" s="946"/>
      <c r="Z84" s="887"/>
      <c r="AA84" s="889"/>
      <c r="AB84" s="889"/>
      <c r="AC84" s="945"/>
      <c r="AD84" s="889"/>
      <c r="AE84" s="889"/>
      <c r="AF84" s="945"/>
      <c r="AG84" s="947" t="e">
        <f>1*AF81</f>
        <v>#NAME?</v>
      </c>
      <c r="AH84" s="947"/>
      <c r="AI84" s="947"/>
      <c r="AJ84" s="947"/>
      <c r="AK84" s="947" t="e">
        <f>AG84*AC81</f>
        <v>#NAME?</v>
      </c>
      <c r="BA84" s="139"/>
      <c r="BB84" s="139"/>
      <c r="BC84" s="139"/>
      <c r="BD84" s="139"/>
      <c r="BE84" s="139"/>
    </row>
    <row r="85" spans="1:57" ht="15" customHeight="1" x14ac:dyDescent="0.4">
      <c r="C85" s="173" t="s">
        <v>382</v>
      </c>
      <c r="D85" s="182"/>
      <c r="F85" s="182" t="s">
        <v>1840</v>
      </c>
      <c r="G85" s="173"/>
      <c r="H85" s="175"/>
      <c r="I85" s="116" t="s">
        <v>365</v>
      </c>
      <c r="J85" s="116"/>
      <c r="K85" s="116"/>
      <c r="L85" s="116" t="s">
        <v>348</v>
      </c>
      <c r="M85" s="183">
        <v>3</v>
      </c>
      <c r="N85" s="177" t="s">
        <v>348</v>
      </c>
      <c r="O85" s="183">
        <f>0.25</f>
        <v>0.25</v>
      </c>
      <c r="P85" s="178"/>
      <c r="Q85" s="178"/>
      <c r="R85" s="116" t="s">
        <v>352</v>
      </c>
      <c r="S85" s="177">
        <f>FWHeight+M85+O85</f>
        <v>50.75</v>
      </c>
      <c r="T85" s="116" t="s">
        <v>366</v>
      </c>
      <c r="U85" s="175"/>
      <c r="V85" s="179"/>
      <c r="W85" s="116"/>
      <c r="X85" s="179"/>
      <c r="Y85" s="184"/>
      <c r="Z85" s="175"/>
      <c r="AA85" s="116">
        <v>42</v>
      </c>
      <c r="AB85" s="116">
        <v>2</v>
      </c>
      <c r="AC85" s="177">
        <f>AB85*S85/12</f>
        <v>8.4583333333333339</v>
      </c>
      <c r="AD85" s="116" t="s">
        <v>367</v>
      </c>
      <c r="AE85" s="116">
        <v>0</v>
      </c>
      <c r="AF85" s="177" t="e">
        <f>AE85*Atolbperft</f>
        <v>#NAME?</v>
      </c>
      <c r="AG85" s="185"/>
      <c r="AH85" s="185"/>
      <c r="AI85" s="185"/>
      <c r="AJ85" s="185"/>
      <c r="AK85" s="180"/>
      <c r="BA85" s="139"/>
      <c r="BB85" s="139"/>
      <c r="BC85" s="139"/>
      <c r="BD85" s="139"/>
      <c r="BE85" s="139"/>
    </row>
    <row r="86" spans="1:57" ht="15" customHeight="1" x14ac:dyDescent="0.4">
      <c r="B86" s="36"/>
      <c r="C86" s="36"/>
      <c r="D86" s="155"/>
      <c r="E86" s="155"/>
      <c r="F86" s="155"/>
      <c r="G86" s="7"/>
      <c r="H86" s="20"/>
      <c r="P86" s="24"/>
      <c r="Q86" s="24"/>
      <c r="U86" s="20"/>
      <c r="V86" s="38" t="s">
        <v>369</v>
      </c>
      <c r="W86" s="3" t="s">
        <v>370</v>
      </c>
      <c r="X86" s="38" t="s">
        <v>369</v>
      </c>
      <c r="Y86" s="41">
        <v>200169003</v>
      </c>
      <c r="Z86" s="20"/>
      <c r="AD86" s="3"/>
      <c r="AE86" s="38"/>
      <c r="AG86" s="39" t="e">
        <f>1*AF85</f>
        <v>#NAME?</v>
      </c>
      <c r="AH86" s="39"/>
      <c r="AI86" s="39"/>
      <c r="AJ86" s="39"/>
      <c r="AK86" s="39" t="e">
        <f>AG86*AC85</f>
        <v>#NAME?</v>
      </c>
      <c r="BA86" s="139"/>
      <c r="BB86" s="139"/>
      <c r="BC86" s="139"/>
      <c r="BD86" s="139"/>
      <c r="BE86" s="139"/>
    </row>
    <row r="87" spans="1:57" ht="15" customHeight="1" x14ac:dyDescent="0.4">
      <c r="B87" s="36"/>
      <c r="C87" s="36"/>
      <c r="D87" s="155"/>
      <c r="E87" s="155"/>
      <c r="F87" s="155"/>
      <c r="G87" s="7"/>
      <c r="H87" s="20"/>
      <c r="P87" s="24"/>
      <c r="Q87" s="24"/>
      <c r="U87" s="20"/>
      <c r="V87" s="38" t="s">
        <v>369</v>
      </c>
      <c r="W87" s="3" t="s">
        <v>372</v>
      </c>
      <c r="X87" s="38" t="s">
        <v>369</v>
      </c>
      <c r="Y87" s="41">
        <v>200169031</v>
      </c>
      <c r="Z87" s="20"/>
      <c r="AD87" s="3"/>
      <c r="AE87" s="3"/>
      <c r="AG87" s="39" t="e">
        <f>1*AF85</f>
        <v>#NAME?</v>
      </c>
      <c r="AH87" s="39"/>
      <c r="AI87" s="39"/>
      <c r="AJ87" s="39"/>
      <c r="AK87" s="39" t="e">
        <f>AG87*AC85</f>
        <v>#NAME?</v>
      </c>
      <c r="BA87" s="139"/>
      <c r="BB87" s="139"/>
      <c r="BC87" s="139"/>
      <c r="BD87" s="139"/>
      <c r="BE87" s="139"/>
    </row>
    <row r="88" spans="1:57" ht="15" customHeight="1" thickBot="1" x14ac:dyDescent="0.45">
      <c r="B88" s="943"/>
      <c r="C88" s="943"/>
      <c r="D88" s="925"/>
      <c r="E88" s="925"/>
      <c r="F88" s="925"/>
      <c r="G88" s="924"/>
      <c r="H88" s="887"/>
      <c r="I88" s="889"/>
      <c r="J88" s="889"/>
      <c r="K88" s="889"/>
      <c r="L88" s="889"/>
      <c r="M88" s="945"/>
      <c r="N88" s="945"/>
      <c r="O88" s="945"/>
      <c r="P88" s="1020"/>
      <c r="Q88" s="1020"/>
      <c r="R88" s="889"/>
      <c r="S88" s="945"/>
      <c r="T88" s="889"/>
      <c r="U88" s="887"/>
      <c r="V88" s="888" t="s">
        <v>369</v>
      </c>
      <c r="W88" s="889" t="s">
        <v>373</v>
      </c>
      <c r="X88" s="888" t="s">
        <v>369</v>
      </c>
      <c r="Y88" s="946">
        <v>200169033</v>
      </c>
      <c r="Z88" s="887"/>
      <c r="AA88" s="889"/>
      <c r="AB88" s="889"/>
      <c r="AC88" s="945"/>
      <c r="AD88" s="889"/>
      <c r="AE88" s="889"/>
      <c r="AF88" s="945"/>
      <c r="AG88" s="947" t="e">
        <f>1*AF85</f>
        <v>#NAME?</v>
      </c>
      <c r="AH88" s="947"/>
      <c r="AI88" s="947"/>
      <c r="AJ88" s="947"/>
      <c r="AK88" s="947" t="e">
        <f>AG88*AC85</f>
        <v>#NAME?</v>
      </c>
      <c r="BA88" s="139"/>
      <c r="BB88" s="139"/>
      <c r="BC88" s="139"/>
      <c r="BD88" s="139"/>
      <c r="BE88" s="139"/>
    </row>
    <row r="89" spans="1:57" ht="15" customHeight="1" thickBot="1" x14ac:dyDescent="0.45">
      <c r="B89" s="173" t="s">
        <v>436</v>
      </c>
      <c r="C89" s="173"/>
      <c r="D89" s="116"/>
      <c r="E89" s="116"/>
      <c r="F89" s="174"/>
      <c r="G89" s="173"/>
      <c r="H89" s="175"/>
      <c r="I89" s="116"/>
      <c r="J89" s="116"/>
      <c r="K89" s="116"/>
      <c r="L89" s="116"/>
      <c r="M89" s="116"/>
      <c r="N89" s="177"/>
      <c r="O89" s="177"/>
      <c r="P89" s="177"/>
      <c r="Q89" s="177"/>
      <c r="R89" s="116"/>
      <c r="S89" s="177"/>
      <c r="T89" s="116"/>
      <c r="U89" s="175"/>
      <c r="V89" s="173"/>
      <c r="W89" s="173"/>
      <c r="X89" s="173"/>
      <c r="Y89" s="116"/>
      <c r="Z89" s="175"/>
      <c r="AA89" s="116"/>
      <c r="AB89" s="116"/>
      <c r="AC89" s="177"/>
      <c r="AD89" s="116"/>
      <c r="AE89" s="179"/>
      <c r="AF89" s="177"/>
      <c r="AG89" s="185"/>
      <c r="AH89" s="947"/>
      <c r="AI89" s="947"/>
      <c r="AJ89" s="947"/>
      <c r="AK89" s="180"/>
      <c r="BA89" s="139"/>
      <c r="BB89" s="139"/>
      <c r="BC89" s="139"/>
      <c r="BD89" s="139"/>
      <c r="BE89" s="139"/>
    </row>
    <row r="90" spans="1:57" ht="15" customHeight="1" x14ac:dyDescent="0.4">
      <c r="A90" s="3" t="s">
        <v>389</v>
      </c>
      <c r="B90" s="173"/>
      <c r="C90" s="173" t="s">
        <v>437</v>
      </c>
      <c r="D90" s="116"/>
      <c r="E90" s="192"/>
      <c r="F90" s="174" t="s">
        <v>1143</v>
      </c>
      <c r="G90" s="173"/>
      <c r="H90" s="175"/>
      <c r="I90" s="116" t="s">
        <v>392</v>
      </c>
      <c r="J90" s="116"/>
      <c r="K90" s="116"/>
      <c r="L90" s="116" t="s">
        <v>348</v>
      </c>
      <c r="M90" s="183">
        <v>3</v>
      </c>
      <c r="N90" s="177" t="s">
        <v>348</v>
      </c>
      <c r="O90" s="183">
        <f>0.25</f>
        <v>0.25</v>
      </c>
      <c r="P90" s="177"/>
      <c r="Q90" s="177"/>
      <c r="R90" s="116" t="s">
        <v>352</v>
      </c>
      <c r="S90" s="177">
        <f>FWWidth+M90+O90</f>
        <v>50.75</v>
      </c>
      <c r="T90" s="116" t="s">
        <v>366</v>
      </c>
      <c r="U90" s="175"/>
      <c r="V90" s="179"/>
      <c r="W90" s="116"/>
      <c r="X90" s="179"/>
      <c r="Y90" s="116"/>
      <c r="Z90" s="175"/>
      <c r="AA90" s="116">
        <v>42</v>
      </c>
      <c r="AB90" s="116">
        <v>1</v>
      </c>
      <c r="AC90" s="177">
        <f>AB90*S90/12</f>
        <v>4.229166666666667</v>
      </c>
      <c r="AD90" s="116" t="s">
        <v>367</v>
      </c>
      <c r="AE90" s="179">
        <f>AE77</f>
        <v>1.1200000000000001</v>
      </c>
      <c r="AF90" s="177" t="e">
        <f>AE90*Atolbperft</f>
        <v>#NAME?</v>
      </c>
      <c r="AG90" s="185"/>
      <c r="AH90" s="39"/>
      <c r="AI90" s="39"/>
      <c r="AJ90" s="39"/>
      <c r="AK90" s="180"/>
      <c r="BA90" s="139"/>
      <c r="BB90" s="139"/>
      <c r="BC90" s="139"/>
      <c r="BD90" s="139"/>
      <c r="BE90" s="139"/>
    </row>
    <row r="91" spans="1:57" ht="15" customHeight="1" x14ac:dyDescent="0.4">
      <c r="B91" s="36"/>
      <c r="C91" s="91"/>
      <c r="D91" s="91"/>
      <c r="E91" s="155" t="s">
        <v>439</v>
      </c>
      <c r="F91" s="155"/>
      <c r="G91" s="7"/>
      <c r="H91" s="20"/>
      <c r="I91" s="3" t="s">
        <v>392</v>
      </c>
      <c r="L91" s="3" t="s">
        <v>348</v>
      </c>
      <c r="M91" s="154">
        <v>0</v>
      </c>
      <c r="N91" s="5" t="s">
        <v>348</v>
      </c>
      <c r="O91" s="154">
        <f>0.25</f>
        <v>0.25</v>
      </c>
      <c r="P91" s="24"/>
      <c r="Q91" s="24"/>
      <c r="R91" s="3" t="s">
        <v>352</v>
      </c>
      <c r="S91" s="5">
        <f>FWWidth+M91+O91</f>
        <v>47.75</v>
      </c>
      <c r="T91" s="3" t="s">
        <v>366</v>
      </c>
      <c r="U91" s="20"/>
      <c r="V91" s="38" t="s">
        <v>369</v>
      </c>
      <c r="W91" s="3" t="s">
        <v>370</v>
      </c>
      <c r="X91" s="38" t="s">
        <v>369</v>
      </c>
      <c r="Y91" s="41"/>
      <c r="Z91" s="20"/>
      <c r="AD91" s="3"/>
      <c r="AE91" s="38"/>
      <c r="AG91" s="39" t="e">
        <f>0.91*AF90</f>
        <v>#NAME?</v>
      </c>
      <c r="AH91" s="39"/>
      <c r="AI91" s="39"/>
      <c r="AJ91" s="39"/>
      <c r="AK91" s="39" t="e">
        <f>AG91*AC90</f>
        <v>#NAME?</v>
      </c>
      <c r="BA91" s="139"/>
      <c r="BB91" s="139"/>
      <c r="BC91" s="139"/>
      <c r="BD91" s="139"/>
      <c r="BE91" s="139"/>
    </row>
    <row r="92" spans="1:57" ht="15" customHeight="1" x14ac:dyDescent="0.4">
      <c r="B92" s="36"/>
      <c r="C92" s="91"/>
      <c r="D92" s="91"/>
      <c r="E92" s="155"/>
      <c r="F92" s="155"/>
      <c r="G92" s="7"/>
      <c r="H92" s="20"/>
      <c r="U92" s="20"/>
      <c r="V92" s="38" t="s">
        <v>369</v>
      </c>
      <c r="W92" s="3" t="s">
        <v>372</v>
      </c>
      <c r="X92" s="38" t="s">
        <v>369</v>
      </c>
      <c r="Y92" s="41"/>
      <c r="Z92" s="20"/>
      <c r="AD92" s="3"/>
      <c r="AE92" s="38"/>
      <c r="AG92" s="39" t="e">
        <f>1*AF90</f>
        <v>#NAME?</v>
      </c>
      <c r="AK92" s="39" t="e">
        <f>AG92*AC90</f>
        <v>#NAME?</v>
      </c>
      <c r="BA92" s="139"/>
      <c r="BB92" s="139"/>
      <c r="BC92" s="139"/>
      <c r="BD92" s="139"/>
      <c r="BE92" s="139"/>
    </row>
    <row r="93" spans="1:57" ht="15" customHeight="1" thickBot="1" x14ac:dyDescent="0.45">
      <c r="B93" s="3"/>
      <c r="C93" s="943"/>
      <c r="D93" s="1368"/>
      <c r="E93" s="925"/>
      <c r="F93" s="925"/>
      <c r="G93" s="924"/>
      <c r="H93" s="887"/>
      <c r="I93" s="889"/>
      <c r="J93" s="889"/>
      <c r="K93" s="889"/>
      <c r="L93" s="889"/>
      <c r="M93" s="945"/>
      <c r="N93" s="945"/>
      <c r="O93" s="945"/>
      <c r="P93" s="945"/>
      <c r="Q93" s="945"/>
      <c r="R93" s="889"/>
      <c r="S93" s="945"/>
      <c r="T93" s="889"/>
      <c r="U93" s="887"/>
      <c r="V93" s="888" t="s">
        <v>369</v>
      </c>
      <c r="W93" s="889" t="s">
        <v>373</v>
      </c>
      <c r="X93" s="888" t="s">
        <v>369</v>
      </c>
      <c r="Y93" s="946"/>
      <c r="Z93" s="887"/>
      <c r="AA93" s="889"/>
      <c r="AB93" s="889"/>
      <c r="AC93" s="945"/>
      <c r="AD93" s="889"/>
      <c r="AE93" s="888"/>
      <c r="AF93" s="945"/>
      <c r="AG93" s="947" t="e">
        <f>1*AF90</f>
        <v>#NAME?</v>
      </c>
      <c r="AK93" s="947" t="e">
        <f>AG93*AC90</f>
        <v>#NAME?</v>
      </c>
      <c r="BA93" s="139"/>
      <c r="BB93" s="139"/>
      <c r="BC93" s="139"/>
      <c r="BD93" s="139"/>
      <c r="BE93" s="139"/>
    </row>
    <row r="94" spans="1:57" ht="15" customHeight="1" x14ac:dyDescent="0.4">
      <c r="B94" s="3"/>
      <c r="C94" s="173" t="s">
        <v>440</v>
      </c>
      <c r="D94" s="116"/>
      <c r="E94" s="192"/>
      <c r="F94" s="174" t="s">
        <v>1143</v>
      </c>
      <c r="G94" s="173"/>
      <c r="H94" s="175"/>
      <c r="I94" s="116" t="s">
        <v>392</v>
      </c>
      <c r="J94" s="116"/>
      <c r="K94" s="116"/>
      <c r="L94" s="116" t="s">
        <v>348</v>
      </c>
      <c r="M94" s="183">
        <v>3</v>
      </c>
      <c r="N94" s="177" t="s">
        <v>348</v>
      </c>
      <c r="O94" s="183">
        <f>0.25</f>
        <v>0.25</v>
      </c>
      <c r="P94" s="177"/>
      <c r="Q94" s="177"/>
      <c r="R94" s="116" t="s">
        <v>352</v>
      </c>
      <c r="S94" s="177">
        <f>FWWidth+M94+O94</f>
        <v>50.75</v>
      </c>
      <c r="T94" s="116" t="s">
        <v>366</v>
      </c>
      <c r="U94" s="175"/>
      <c r="V94" s="179"/>
      <c r="W94" s="116"/>
      <c r="X94" s="179"/>
      <c r="Y94" s="116"/>
      <c r="Z94" s="175"/>
      <c r="AA94" s="116">
        <v>42</v>
      </c>
      <c r="AB94" s="116">
        <v>1</v>
      </c>
      <c r="AC94" s="177">
        <f>AB94*S94/12</f>
        <v>4.229166666666667</v>
      </c>
      <c r="AD94" s="116" t="s">
        <v>367</v>
      </c>
      <c r="AE94" s="179">
        <f>AE81</f>
        <v>1.1200000000000001</v>
      </c>
      <c r="AF94" s="177" t="e">
        <f>AE94*Atolbperft</f>
        <v>#NAME?</v>
      </c>
      <c r="AG94" s="185"/>
      <c r="AH94" s="185"/>
      <c r="AI94" s="185"/>
      <c r="AJ94" s="185"/>
      <c r="AK94" s="180"/>
      <c r="BA94" s="139"/>
      <c r="BB94" s="139"/>
      <c r="BC94" s="139"/>
      <c r="BD94" s="139"/>
      <c r="BE94" s="139"/>
    </row>
    <row r="95" spans="1:57" ht="15" customHeight="1" x14ac:dyDescent="0.4">
      <c r="B95" s="36"/>
      <c r="C95" s="91"/>
      <c r="D95" s="91"/>
      <c r="E95" s="155" t="s">
        <v>439</v>
      </c>
      <c r="F95" s="155"/>
      <c r="G95" s="7"/>
      <c r="H95" s="20"/>
      <c r="I95" s="3" t="s">
        <v>392</v>
      </c>
      <c r="L95" s="3" t="s">
        <v>348</v>
      </c>
      <c r="M95" s="154">
        <v>0</v>
      </c>
      <c r="N95" s="5" t="s">
        <v>348</v>
      </c>
      <c r="O95" s="154">
        <f>0.25</f>
        <v>0.25</v>
      </c>
      <c r="P95" s="24"/>
      <c r="Q95" s="24"/>
      <c r="R95" s="3" t="s">
        <v>352</v>
      </c>
      <c r="S95" s="5">
        <f>FWWidth+M95+O95</f>
        <v>47.75</v>
      </c>
      <c r="T95" s="3" t="s">
        <v>366</v>
      </c>
      <c r="U95" s="20"/>
      <c r="V95" s="38" t="s">
        <v>369</v>
      </c>
      <c r="W95" s="3" t="s">
        <v>370</v>
      </c>
      <c r="X95" s="38" t="s">
        <v>369</v>
      </c>
      <c r="Y95" s="41"/>
      <c r="Z95" s="20"/>
      <c r="AD95" s="3"/>
      <c r="AE95" s="38"/>
      <c r="AG95" s="39" t="e">
        <f>0.91*AF94</f>
        <v>#NAME?</v>
      </c>
      <c r="AH95" s="39"/>
      <c r="AI95" s="39"/>
      <c r="AJ95" s="39"/>
      <c r="AK95" s="39" t="e">
        <f>AG95*AC94</f>
        <v>#NAME?</v>
      </c>
      <c r="BA95" s="139"/>
      <c r="BB95" s="139"/>
      <c r="BC95" s="139"/>
      <c r="BD95" s="139"/>
      <c r="BE95" s="139"/>
    </row>
    <row r="96" spans="1:57" ht="15" customHeight="1" x14ac:dyDescent="0.4">
      <c r="B96" s="36"/>
      <c r="C96" s="91"/>
      <c r="D96" s="91"/>
      <c r="E96" s="155"/>
      <c r="F96" s="155"/>
      <c r="G96" s="7"/>
      <c r="H96" s="20"/>
      <c r="U96" s="20"/>
      <c r="V96" s="38" t="s">
        <v>369</v>
      </c>
      <c r="W96" s="3" t="s">
        <v>372</v>
      </c>
      <c r="X96" s="38" t="s">
        <v>369</v>
      </c>
      <c r="Y96" s="41"/>
      <c r="Z96" s="20"/>
      <c r="AD96" s="3"/>
      <c r="AE96" s="38"/>
      <c r="AG96" s="39" t="e">
        <f>1*AF94</f>
        <v>#NAME?</v>
      </c>
      <c r="AH96" s="39"/>
      <c r="AI96" s="39"/>
      <c r="AJ96" s="39"/>
      <c r="AK96" s="39" t="e">
        <f>AG96*AC94</f>
        <v>#NAME?</v>
      </c>
      <c r="BA96" s="139"/>
      <c r="BB96" s="139"/>
      <c r="BC96" s="139"/>
      <c r="BD96" s="139"/>
      <c r="BE96" s="139"/>
    </row>
    <row r="97" spans="1:57" ht="15" customHeight="1" thickBot="1" x14ac:dyDescent="0.45">
      <c r="C97" s="1368"/>
      <c r="D97" s="943"/>
      <c r="E97" s="925"/>
      <c r="F97" s="925"/>
      <c r="G97" s="924"/>
      <c r="H97" s="887"/>
      <c r="I97" s="889"/>
      <c r="J97" s="889"/>
      <c r="K97" s="889"/>
      <c r="L97" s="889"/>
      <c r="M97" s="945"/>
      <c r="N97" s="945"/>
      <c r="O97" s="945"/>
      <c r="P97" s="945"/>
      <c r="Q97" s="945"/>
      <c r="R97" s="889"/>
      <c r="S97" s="945"/>
      <c r="T97" s="889"/>
      <c r="U97" s="887"/>
      <c r="V97" s="888" t="s">
        <v>369</v>
      </c>
      <c r="W97" s="889" t="s">
        <v>373</v>
      </c>
      <c r="X97" s="888" t="s">
        <v>369</v>
      </c>
      <c r="Y97" s="946"/>
      <c r="Z97" s="887"/>
      <c r="AA97" s="889"/>
      <c r="AB97" s="889"/>
      <c r="AC97" s="945"/>
      <c r="AD97" s="889"/>
      <c r="AE97" s="888"/>
      <c r="AF97" s="945"/>
      <c r="AG97" s="947" t="e">
        <f>1*AF94</f>
        <v>#NAME?</v>
      </c>
      <c r="AH97" s="947"/>
      <c r="AI97" s="947"/>
      <c r="AJ97" s="947"/>
      <c r="AK97" s="947" t="e">
        <f>AG97*AC94</f>
        <v>#NAME?</v>
      </c>
      <c r="BA97" s="139"/>
      <c r="BB97" s="139"/>
      <c r="BC97" s="139"/>
      <c r="BD97" s="139"/>
      <c r="BE97" s="139"/>
    </row>
    <row r="98" spans="1:57" ht="15" customHeight="1" x14ac:dyDescent="0.4">
      <c r="C98" s="173" t="s">
        <v>397</v>
      </c>
      <c r="D98" s="181"/>
      <c r="E98" s="182"/>
      <c r="F98" s="182" t="s">
        <v>1840</v>
      </c>
      <c r="G98" s="173"/>
      <c r="H98" s="175"/>
      <c r="I98" s="116" t="s">
        <v>392</v>
      </c>
      <c r="J98" s="116"/>
      <c r="K98" s="116"/>
      <c r="L98" s="116" t="s">
        <v>348</v>
      </c>
      <c r="M98" s="183">
        <v>3</v>
      </c>
      <c r="N98" s="177" t="s">
        <v>348</v>
      </c>
      <c r="O98" s="183">
        <f>0.25</f>
        <v>0.25</v>
      </c>
      <c r="P98" s="178"/>
      <c r="Q98" s="178"/>
      <c r="R98" s="116" t="s">
        <v>352</v>
      </c>
      <c r="S98" s="177">
        <f>FWWidth+M98+O98</f>
        <v>50.75</v>
      </c>
      <c r="T98" s="116" t="s">
        <v>366</v>
      </c>
      <c r="U98" s="175"/>
      <c r="V98" s="179"/>
      <c r="W98" s="116"/>
      <c r="X98" s="179"/>
      <c r="Y98" s="184"/>
      <c r="Z98" s="175"/>
      <c r="AA98" s="116">
        <v>42</v>
      </c>
      <c r="AB98" s="116">
        <v>1</v>
      </c>
      <c r="AC98" s="177">
        <f>AB98*S98/12</f>
        <v>4.229166666666667</v>
      </c>
      <c r="AD98" s="116" t="s">
        <v>367</v>
      </c>
      <c r="AE98" s="116">
        <v>0</v>
      </c>
      <c r="AF98" s="177" t="e">
        <f>AE98*Atolbperft</f>
        <v>#NAME?</v>
      </c>
      <c r="AG98" s="185"/>
      <c r="AH98" s="185"/>
      <c r="AI98" s="185"/>
      <c r="AJ98" s="185"/>
      <c r="AK98" s="180"/>
      <c r="BA98" s="139"/>
      <c r="BB98" s="139"/>
      <c r="BC98" s="139"/>
      <c r="BD98" s="139"/>
      <c r="BE98" s="139"/>
    </row>
    <row r="99" spans="1:57" ht="15" customHeight="1" x14ac:dyDescent="0.4">
      <c r="B99" s="36"/>
      <c r="C99" s="36"/>
      <c r="D99" s="155"/>
      <c r="E99" s="155"/>
      <c r="F99" s="155"/>
      <c r="G99" s="7"/>
      <c r="H99" s="20"/>
      <c r="P99" s="24"/>
      <c r="Q99" s="24"/>
      <c r="U99" s="20"/>
      <c r="V99" s="38" t="s">
        <v>369</v>
      </c>
      <c r="W99" s="3" t="s">
        <v>370</v>
      </c>
      <c r="X99" s="38" t="s">
        <v>369</v>
      </c>
      <c r="Y99" s="41">
        <v>200169003</v>
      </c>
      <c r="Z99" s="20"/>
      <c r="AD99" s="3"/>
      <c r="AE99" s="38"/>
      <c r="AG99" s="39" t="e">
        <f>1*AF98</f>
        <v>#NAME?</v>
      </c>
      <c r="AH99" s="39"/>
      <c r="AI99" s="39"/>
      <c r="AJ99" s="39"/>
      <c r="AK99" s="39" t="e">
        <f>AG99*AC98</f>
        <v>#NAME?</v>
      </c>
      <c r="BA99" s="139"/>
      <c r="BB99" s="139"/>
      <c r="BC99" s="139"/>
      <c r="BD99" s="139"/>
      <c r="BE99" s="139"/>
    </row>
    <row r="100" spans="1:57" ht="15" customHeight="1" x14ac:dyDescent="0.4">
      <c r="B100" s="36"/>
      <c r="C100" s="36"/>
      <c r="D100" s="155"/>
      <c r="E100" s="155"/>
      <c r="F100" s="155"/>
      <c r="G100" s="7"/>
      <c r="H100" s="20"/>
      <c r="P100" s="24"/>
      <c r="Q100" s="24"/>
      <c r="U100" s="20"/>
      <c r="V100" s="38" t="s">
        <v>369</v>
      </c>
      <c r="W100" s="3" t="s">
        <v>372</v>
      </c>
      <c r="X100" s="38" t="s">
        <v>369</v>
      </c>
      <c r="Y100" s="41">
        <v>200169031</v>
      </c>
      <c r="Z100" s="20"/>
      <c r="AD100" s="3"/>
      <c r="AE100" s="3"/>
      <c r="AG100" s="39" t="e">
        <f>1*AF98</f>
        <v>#NAME?</v>
      </c>
      <c r="AH100" s="39"/>
      <c r="AI100" s="39"/>
      <c r="AJ100" s="39"/>
      <c r="AK100" s="39" t="e">
        <f>AG100*AC98</f>
        <v>#NAME?</v>
      </c>
      <c r="BA100" s="139"/>
      <c r="BB100" s="139"/>
      <c r="BC100" s="139"/>
      <c r="BD100" s="139"/>
      <c r="BE100" s="139"/>
    </row>
    <row r="101" spans="1:57" ht="15" customHeight="1" thickBot="1" x14ac:dyDescent="0.45">
      <c r="B101" s="943"/>
      <c r="C101" s="943"/>
      <c r="D101" s="925"/>
      <c r="E101" s="925"/>
      <c r="F101" s="925"/>
      <c r="G101" s="924"/>
      <c r="H101" s="887"/>
      <c r="I101" s="889"/>
      <c r="J101" s="889"/>
      <c r="K101" s="889"/>
      <c r="L101" s="889"/>
      <c r="M101" s="945"/>
      <c r="N101" s="945"/>
      <c r="O101" s="945"/>
      <c r="P101" s="1020"/>
      <c r="Q101" s="1020"/>
      <c r="R101" s="889"/>
      <c r="S101" s="945"/>
      <c r="T101" s="889"/>
      <c r="U101" s="887"/>
      <c r="V101" s="888" t="s">
        <v>369</v>
      </c>
      <c r="W101" s="889" t="s">
        <v>373</v>
      </c>
      <c r="X101" s="888" t="s">
        <v>369</v>
      </c>
      <c r="Y101" s="946">
        <v>200169033</v>
      </c>
      <c r="Z101" s="887"/>
      <c r="AA101" s="889"/>
      <c r="AB101" s="889"/>
      <c r="AC101" s="945"/>
      <c r="AD101" s="889"/>
      <c r="AE101" s="889"/>
      <c r="AF101" s="945"/>
      <c r="AG101" s="947" t="e">
        <f>1*AF98</f>
        <v>#NAME?</v>
      </c>
      <c r="AH101" s="947"/>
      <c r="AI101" s="947"/>
      <c r="AJ101" s="947"/>
      <c r="AK101" s="947" t="e">
        <f>AG101*AC98</f>
        <v>#NAME?</v>
      </c>
      <c r="BA101" s="139"/>
      <c r="BB101" s="139"/>
      <c r="BC101" s="139"/>
      <c r="BD101" s="139"/>
      <c r="BE101" s="139"/>
    </row>
    <row r="102" spans="1:57" ht="15" customHeight="1" thickBot="1" x14ac:dyDescent="0.45">
      <c r="B102" s="7" t="s">
        <v>442</v>
      </c>
      <c r="C102" s="173"/>
      <c r="D102" s="116"/>
      <c r="E102" s="116"/>
      <c r="F102" s="174"/>
      <c r="G102" s="173"/>
      <c r="H102" s="175"/>
      <c r="I102" s="116"/>
      <c r="J102" s="116"/>
      <c r="K102" s="116"/>
      <c r="L102" s="116"/>
      <c r="M102" s="116"/>
      <c r="N102" s="177"/>
      <c r="O102" s="177"/>
      <c r="P102" s="177"/>
      <c r="Q102" s="177"/>
      <c r="R102" s="116"/>
      <c r="S102" s="177"/>
      <c r="T102" s="116"/>
      <c r="U102" s="175"/>
      <c r="V102" s="173"/>
      <c r="W102" s="173"/>
      <c r="X102" s="173"/>
      <c r="Y102" s="116"/>
      <c r="Z102" s="175"/>
      <c r="AA102" s="116"/>
      <c r="AB102" s="116"/>
      <c r="AC102" s="177"/>
      <c r="AD102" s="116"/>
      <c r="AE102" s="179"/>
      <c r="AF102" s="177"/>
      <c r="AG102" s="185"/>
      <c r="AH102" s="947"/>
      <c r="AI102" s="947"/>
      <c r="AJ102" s="947"/>
      <c r="AK102" s="180"/>
      <c r="BA102" s="139"/>
      <c r="BB102" s="139"/>
      <c r="BC102" s="139"/>
      <c r="BD102" s="139"/>
      <c r="BE102" s="139"/>
    </row>
    <row r="103" spans="1:57" ht="15" customHeight="1" x14ac:dyDescent="0.4">
      <c r="A103" s="3" t="s">
        <v>402</v>
      </c>
      <c r="B103" s="173"/>
      <c r="C103" s="173" t="s">
        <v>443</v>
      </c>
      <c r="D103" s="116"/>
      <c r="E103" s="192"/>
      <c r="F103" s="174" t="s">
        <v>1143</v>
      </c>
      <c r="G103" s="173"/>
      <c r="H103" s="175"/>
      <c r="I103" s="116" t="s">
        <v>392</v>
      </c>
      <c r="J103" s="116"/>
      <c r="K103" s="116"/>
      <c r="L103" s="116" t="s">
        <v>348</v>
      </c>
      <c r="M103" s="183">
        <v>3</v>
      </c>
      <c r="N103" s="177" t="s">
        <v>348</v>
      </c>
      <c r="O103" s="183">
        <f>0.25</f>
        <v>0.25</v>
      </c>
      <c r="P103" s="177"/>
      <c r="Q103" s="177"/>
      <c r="R103" s="116" t="s">
        <v>352</v>
      </c>
      <c r="S103" s="177">
        <f>FWWidth+M103+O103</f>
        <v>50.75</v>
      </c>
      <c r="T103" s="116" t="s">
        <v>366</v>
      </c>
      <c r="U103" s="175"/>
      <c r="V103" s="179"/>
      <c r="W103" s="116"/>
      <c r="X103" s="179"/>
      <c r="Y103" s="116"/>
      <c r="Z103" s="175"/>
      <c r="AA103" s="116">
        <v>42</v>
      </c>
      <c r="AB103" s="116">
        <v>1</v>
      </c>
      <c r="AC103" s="177">
        <f>AB103*S103/12</f>
        <v>4.229166666666667</v>
      </c>
      <c r="AD103" s="116" t="s">
        <v>367</v>
      </c>
      <c r="AE103" s="179">
        <f>AE90</f>
        <v>1.1200000000000001</v>
      </c>
      <c r="AF103" s="177" t="e">
        <f>AE103*Atolbperft</f>
        <v>#NAME?</v>
      </c>
      <c r="AG103" s="185"/>
      <c r="AH103" s="39"/>
      <c r="AI103" s="39"/>
      <c r="AJ103" s="39"/>
      <c r="AK103" s="180"/>
      <c r="BA103" s="139"/>
      <c r="BB103" s="139"/>
      <c r="BC103" s="139"/>
      <c r="BD103" s="139"/>
      <c r="BE103" s="139"/>
    </row>
    <row r="104" spans="1:57" ht="15" customHeight="1" x14ac:dyDescent="0.4">
      <c r="B104" s="36"/>
      <c r="C104" s="91"/>
      <c r="D104" s="91"/>
      <c r="E104" s="155" t="s">
        <v>439</v>
      </c>
      <c r="F104" s="155"/>
      <c r="G104" s="7"/>
      <c r="H104" s="20"/>
      <c r="I104" s="3" t="s">
        <v>392</v>
      </c>
      <c r="L104" s="3" t="s">
        <v>348</v>
      </c>
      <c r="M104" s="154">
        <v>0</v>
      </c>
      <c r="N104" s="5" t="s">
        <v>348</v>
      </c>
      <c r="O104" s="154">
        <f>0.25</f>
        <v>0.25</v>
      </c>
      <c r="P104" s="24"/>
      <c r="Q104" s="24"/>
      <c r="R104" s="3" t="s">
        <v>352</v>
      </c>
      <c r="S104" s="5">
        <f>FWWidth+M104+O104</f>
        <v>47.75</v>
      </c>
      <c r="T104" s="3" t="s">
        <v>366</v>
      </c>
      <c r="U104" s="20"/>
      <c r="V104" s="38" t="s">
        <v>369</v>
      </c>
      <c r="W104" s="3" t="s">
        <v>370</v>
      </c>
      <c r="X104" s="38" t="s">
        <v>369</v>
      </c>
      <c r="Y104" s="41"/>
      <c r="Z104" s="20"/>
      <c r="AD104" s="3"/>
      <c r="AE104" s="38"/>
      <c r="AG104" s="39" t="e">
        <f>0.91*AF103</f>
        <v>#NAME?</v>
      </c>
      <c r="AH104" s="39"/>
      <c r="AI104" s="39"/>
      <c r="AJ104" s="39"/>
      <c r="AK104" s="39" t="e">
        <f>AG104*AC103</f>
        <v>#NAME?</v>
      </c>
      <c r="BA104" s="139"/>
      <c r="BB104" s="139"/>
      <c r="BC104" s="139"/>
      <c r="BD104" s="139"/>
      <c r="BE104" s="139"/>
    </row>
    <row r="105" spans="1:57" ht="15" customHeight="1" x14ac:dyDescent="0.4">
      <c r="B105" s="36"/>
      <c r="C105" s="91"/>
      <c r="D105" s="91"/>
      <c r="E105" s="155"/>
      <c r="F105" s="155"/>
      <c r="G105" s="7"/>
      <c r="H105" s="20"/>
      <c r="U105" s="20"/>
      <c r="V105" s="38" t="s">
        <v>369</v>
      </c>
      <c r="W105" s="3" t="s">
        <v>372</v>
      </c>
      <c r="X105" s="38" t="s">
        <v>369</v>
      </c>
      <c r="Y105" s="41"/>
      <c r="Z105" s="20"/>
      <c r="AD105" s="3"/>
      <c r="AE105" s="38"/>
      <c r="AG105" s="39" t="e">
        <f>1*AF103</f>
        <v>#NAME?</v>
      </c>
      <c r="AK105" s="39" t="e">
        <f>AG105*AC103</f>
        <v>#NAME?</v>
      </c>
      <c r="BA105" s="139"/>
      <c r="BB105" s="139"/>
      <c r="BC105" s="139"/>
      <c r="BD105" s="139"/>
      <c r="BE105" s="139"/>
    </row>
    <row r="106" spans="1:57" ht="15" customHeight="1" thickBot="1" x14ac:dyDescent="0.45">
      <c r="B106" s="3"/>
      <c r="C106" s="943"/>
      <c r="D106" s="1368"/>
      <c r="E106" s="925"/>
      <c r="F106" s="925"/>
      <c r="G106" s="924"/>
      <c r="H106" s="887"/>
      <c r="I106" s="889"/>
      <c r="J106" s="889"/>
      <c r="K106" s="889"/>
      <c r="L106" s="889"/>
      <c r="M106" s="945"/>
      <c r="N106" s="945"/>
      <c r="O106" s="945"/>
      <c r="P106" s="945"/>
      <c r="Q106" s="945"/>
      <c r="R106" s="889"/>
      <c r="S106" s="945"/>
      <c r="T106" s="889"/>
      <c r="U106" s="887"/>
      <c r="V106" s="888" t="s">
        <v>369</v>
      </c>
      <c r="W106" s="889" t="s">
        <v>373</v>
      </c>
      <c r="X106" s="888" t="s">
        <v>369</v>
      </c>
      <c r="Y106" s="946"/>
      <c r="Z106" s="887"/>
      <c r="AA106" s="889"/>
      <c r="AB106" s="889"/>
      <c r="AC106" s="945"/>
      <c r="AD106" s="889"/>
      <c r="AE106" s="888"/>
      <c r="AF106" s="945"/>
      <c r="AG106" s="947" t="e">
        <f>1*AF103</f>
        <v>#NAME?</v>
      </c>
      <c r="AK106" s="947" t="e">
        <f>AG106*AC103</f>
        <v>#NAME?</v>
      </c>
      <c r="BA106" s="139"/>
      <c r="BB106" s="139"/>
      <c r="BC106" s="139"/>
      <c r="BD106" s="139"/>
      <c r="BE106" s="139"/>
    </row>
    <row r="107" spans="1:57" ht="15" customHeight="1" x14ac:dyDescent="0.4">
      <c r="A107" s="3" t="s">
        <v>402</v>
      </c>
      <c r="B107" s="7"/>
      <c r="C107" s="173" t="s">
        <v>1841</v>
      </c>
      <c r="D107" s="116"/>
      <c r="E107" s="192"/>
      <c r="F107" s="174" t="s">
        <v>1143</v>
      </c>
      <c r="G107" s="173"/>
      <c r="H107" s="175"/>
      <c r="I107" s="116" t="s">
        <v>392</v>
      </c>
      <c r="J107" s="116"/>
      <c r="K107" s="116"/>
      <c r="L107" s="116" t="s">
        <v>348</v>
      </c>
      <c r="M107" s="183">
        <v>3</v>
      </c>
      <c r="N107" s="177" t="s">
        <v>348</v>
      </c>
      <c r="O107" s="183">
        <f>0.25</f>
        <v>0.25</v>
      </c>
      <c r="P107" s="177"/>
      <c r="Q107" s="177"/>
      <c r="R107" s="116" t="s">
        <v>352</v>
      </c>
      <c r="S107" s="177">
        <f>FWWidth+M107+O107</f>
        <v>50.75</v>
      </c>
      <c r="T107" s="116" t="s">
        <v>366</v>
      </c>
      <c r="U107" s="175"/>
      <c r="V107" s="179"/>
      <c r="W107" s="116"/>
      <c r="X107" s="179"/>
      <c r="Y107" s="116"/>
      <c r="Z107" s="175"/>
      <c r="AA107" s="116">
        <v>42</v>
      </c>
      <c r="AB107" s="116">
        <v>1</v>
      </c>
      <c r="AC107" s="177">
        <f>AB107*S107/12</f>
        <v>4.229166666666667</v>
      </c>
      <c r="AD107" s="116" t="s">
        <v>367</v>
      </c>
      <c r="AE107" s="179">
        <f>AE97</f>
        <v>0</v>
      </c>
      <c r="AF107" s="177" t="e">
        <f>AE107*Atolbperft</f>
        <v>#NAME?</v>
      </c>
      <c r="AG107" s="185"/>
      <c r="AH107" s="185"/>
      <c r="AI107" s="185"/>
      <c r="AJ107" s="185"/>
      <c r="AK107" s="180"/>
      <c r="BA107" s="139"/>
      <c r="BB107" s="139"/>
      <c r="BC107" s="139"/>
      <c r="BD107" s="139"/>
      <c r="BE107" s="139"/>
    </row>
    <row r="108" spans="1:57" ht="15" customHeight="1" x14ac:dyDescent="0.4">
      <c r="B108" s="36"/>
      <c r="C108" s="91"/>
      <c r="D108" s="91"/>
      <c r="E108" s="155" t="s">
        <v>439</v>
      </c>
      <c r="F108" s="155"/>
      <c r="G108" s="7"/>
      <c r="H108" s="20"/>
      <c r="I108" s="3" t="s">
        <v>392</v>
      </c>
      <c r="L108" s="3" t="s">
        <v>348</v>
      </c>
      <c r="M108" s="154">
        <v>0</v>
      </c>
      <c r="N108" s="5" t="s">
        <v>348</v>
      </c>
      <c r="O108" s="154">
        <f>0.25</f>
        <v>0.25</v>
      </c>
      <c r="P108" s="24"/>
      <c r="Q108" s="24"/>
      <c r="R108" s="3" t="s">
        <v>352</v>
      </c>
      <c r="S108" s="5">
        <f>FWWidth+M108+O108</f>
        <v>47.75</v>
      </c>
      <c r="T108" s="3" t="s">
        <v>366</v>
      </c>
      <c r="U108" s="20"/>
      <c r="V108" s="38" t="s">
        <v>369</v>
      </c>
      <c r="W108" s="3" t="s">
        <v>370</v>
      </c>
      <c r="X108" s="38" t="s">
        <v>369</v>
      </c>
      <c r="Y108" s="41"/>
      <c r="Z108" s="20"/>
      <c r="AD108" s="3"/>
      <c r="AE108" s="38"/>
      <c r="AG108" s="39" t="e">
        <f>0.91*AF107</f>
        <v>#NAME?</v>
      </c>
      <c r="AH108" s="39"/>
      <c r="AI108" s="39"/>
      <c r="AJ108" s="39"/>
      <c r="AK108" s="39" t="e">
        <f>AG108*AC107</f>
        <v>#NAME?</v>
      </c>
      <c r="BA108" s="139"/>
      <c r="BB108" s="139"/>
      <c r="BC108" s="139"/>
      <c r="BD108" s="139"/>
      <c r="BE108" s="139"/>
    </row>
    <row r="109" spans="1:57" ht="15" customHeight="1" x14ac:dyDescent="0.4">
      <c r="B109" s="36"/>
      <c r="C109" s="91"/>
      <c r="D109" s="91"/>
      <c r="E109" s="155"/>
      <c r="F109" s="155"/>
      <c r="G109" s="7"/>
      <c r="H109" s="20"/>
      <c r="U109" s="20"/>
      <c r="V109" s="38" t="s">
        <v>369</v>
      </c>
      <c r="W109" s="3" t="s">
        <v>372</v>
      </c>
      <c r="X109" s="38" t="s">
        <v>369</v>
      </c>
      <c r="Y109" s="41"/>
      <c r="Z109" s="20"/>
      <c r="AD109" s="3"/>
      <c r="AE109" s="38"/>
      <c r="AG109" s="39" t="e">
        <f>1*AF107</f>
        <v>#NAME?</v>
      </c>
      <c r="AH109" s="39"/>
      <c r="AI109" s="39"/>
      <c r="AJ109" s="39"/>
      <c r="AK109" s="39" t="e">
        <f>AG109*AC107</f>
        <v>#NAME?</v>
      </c>
      <c r="BA109" s="139"/>
      <c r="BB109" s="139"/>
      <c r="BC109" s="139"/>
      <c r="BD109" s="139"/>
      <c r="BE109" s="139"/>
    </row>
    <row r="110" spans="1:57" ht="15" customHeight="1" thickBot="1" x14ac:dyDescent="0.45">
      <c r="B110" s="3"/>
      <c r="C110" s="943"/>
      <c r="D110" s="1368"/>
      <c r="E110" s="925"/>
      <c r="F110" s="925"/>
      <c r="G110" s="924"/>
      <c r="H110" s="887"/>
      <c r="I110" s="889"/>
      <c r="J110" s="889"/>
      <c r="K110" s="889"/>
      <c r="L110" s="889"/>
      <c r="M110" s="945"/>
      <c r="N110" s="945"/>
      <c r="O110" s="945"/>
      <c r="P110" s="945"/>
      <c r="Q110" s="945"/>
      <c r="R110" s="889"/>
      <c r="S110" s="945"/>
      <c r="T110" s="889"/>
      <c r="U110" s="887"/>
      <c r="V110" s="888" t="s">
        <v>369</v>
      </c>
      <c r="W110" s="889" t="s">
        <v>373</v>
      </c>
      <c r="X110" s="888" t="s">
        <v>369</v>
      </c>
      <c r="Y110" s="946"/>
      <c r="Z110" s="887"/>
      <c r="AA110" s="889"/>
      <c r="AB110" s="889"/>
      <c r="AC110" s="945"/>
      <c r="AD110" s="889"/>
      <c r="AE110" s="888"/>
      <c r="AF110" s="945"/>
      <c r="AG110" s="947" t="e">
        <f>1*AF107</f>
        <v>#NAME?</v>
      </c>
      <c r="AH110" s="947"/>
      <c r="AI110" s="947"/>
      <c r="AJ110" s="947"/>
      <c r="AK110" s="947" t="e">
        <f>AG110*AC107</f>
        <v>#NAME?</v>
      </c>
      <c r="BA110" s="139"/>
      <c r="BB110" s="139"/>
      <c r="BC110" s="139"/>
      <c r="BD110" s="139"/>
      <c r="BE110" s="139"/>
    </row>
    <row r="111" spans="1:57" ht="15" customHeight="1" x14ac:dyDescent="0.4">
      <c r="C111" s="173" t="s">
        <v>407</v>
      </c>
      <c r="D111" s="181"/>
      <c r="E111" s="182"/>
      <c r="F111" s="182" t="s">
        <v>1840</v>
      </c>
      <c r="G111" s="173"/>
      <c r="H111" s="175"/>
      <c r="I111" s="116" t="s">
        <v>392</v>
      </c>
      <c r="J111" s="116"/>
      <c r="K111" s="116"/>
      <c r="L111" s="116" t="s">
        <v>348</v>
      </c>
      <c r="M111" s="183">
        <v>3</v>
      </c>
      <c r="N111" s="177" t="s">
        <v>348</v>
      </c>
      <c r="O111" s="183">
        <f>0.25</f>
        <v>0.25</v>
      </c>
      <c r="P111" s="178"/>
      <c r="Q111" s="178"/>
      <c r="R111" s="116" t="s">
        <v>352</v>
      </c>
      <c r="S111" s="177">
        <f>FWWidth+M111+O111</f>
        <v>50.75</v>
      </c>
      <c r="T111" s="116" t="s">
        <v>366</v>
      </c>
      <c r="U111" s="175"/>
      <c r="V111" s="179"/>
      <c r="W111" s="116"/>
      <c r="X111" s="179"/>
      <c r="Y111" s="184"/>
      <c r="Z111" s="175"/>
      <c r="AA111" s="116">
        <v>42</v>
      </c>
      <c r="AB111" s="116">
        <v>1</v>
      </c>
      <c r="AC111" s="177">
        <f>AB111*S111/12</f>
        <v>4.229166666666667</v>
      </c>
      <c r="AD111" s="116" t="s">
        <v>367</v>
      </c>
      <c r="AE111" s="116">
        <v>0</v>
      </c>
      <c r="AF111" s="177" t="e">
        <f>AE111*Atolbperft</f>
        <v>#NAME?</v>
      </c>
      <c r="AG111" s="185"/>
      <c r="AH111" s="185"/>
      <c r="AI111" s="185"/>
      <c r="AJ111" s="185"/>
      <c r="AK111" s="180"/>
      <c r="BA111" s="139"/>
      <c r="BB111" s="139"/>
      <c r="BC111" s="139"/>
      <c r="BD111" s="139"/>
      <c r="BE111" s="139"/>
    </row>
    <row r="112" spans="1:57" ht="15" customHeight="1" x14ac:dyDescent="0.4">
      <c r="B112" s="36"/>
      <c r="C112" s="36"/>
      <c r="D112" s="155"/>
      <c r="E112" s="155"/>
      <c r="F112" s="155"/>
      <c r="G112" s="7"/>
      <c r="H112" s="20"/>
      <c r="P112" s="24"/>
      <c r="Q112" s="24"/>
      <c r="U112" s="20"/>
      <c r="V112" s="38" t="s">
        <v>369</v>
      </c>
      <c r="W112" s="3" t="s">
        <v>370</v>
      </c>
      <c r="X112" s="38" t="s">
        <v>369</v>
      </c>
      <c r="Y112" s="41">
        <v>200169003</v>
      </c>
      <c r="Z112" s="20"/>
      <c r="AD112" s="3"/>
      <c r="AE112" s="38"/>
      <c r="AG112" s="39" t="e">
        <f>1*AF111</f>
        <v>#NAME?</v>
      </c>
      <c r="AH112" s="39"/>
      <c r="AI112" s="39"/>
      <c r="AJ112" s="39"/>
      <c r="AK112" s="39" t="e">
        <f>AG112*AC111</f>
        <v>#NAME?</v>
      </c>
      <c r="BA112" s="139"/>
      <c r="BB112" s="139"/>
      <c r="BC112" s="139"/>
      <c r="BD112" s="139"/>
      <c r="BE112" s="139"/>
    </row>
    <row r="113" spans="1:57" ht="15" customHeight="1" x14ac:dyDescent="0.4">
      <c r="B113" s="36"/>
      <c r="C113" s="36"/>
      <c r="D113" s="155"/>
      <c r="E113" s="155"/>
      <c r="F113" s="155"/>
      <c r="G113" s="7"/>
      <c r="H113" s="20"/>
      <c r="P113" s="24"/>
      <c r="Q113" s="24"/>
      <c r="U113" s="20"/>
      <c r="V113" s="38" t="s">
        <v>369</v>
      </c>
      <c r="W113" s="3" t="s">
        <v>372</v>
      </c>
      <c r="X113" s="38" t="s">
        <v>369</v>
      </c>
      <c r="Y113" s="41">
        <v>200169031</v>
      </c>
      <c r="Z113" s="20"/>
      <c r="AD113" s="3"/>
      <c r="AE113" s="3"/>
      <c r="AG113" s="39" t="e">
        <f>1*AF111</f>
        <v>#NAME?</v>
      </c>
      <c r="AH113" s="39"/>
      <c r="AI113" s="39"/>
      <c r="AJ113" s="39"/>
      <c r="AK113" s="39" t="e">
        <f>AG113*AC111</f>
        <v>#NAME?</v>
      </c>
      <c r="BA113" s="139"/>
      <c r="BB113" s="139"/>
      <c r="BC113" s="139"/>
      <c r="BD113" s="139"/>
      <c r="BE113" s="139"/>
    </row>
    <row r="114" spans="1:57" ht="15" customHeight="1" thickBot="1" x14ac:dyDescent="0.45">
      <c r="B114" s="36"/>
      <c r="C114" s="943"/>
      <c r="D114" s="925"/>
      <c r="E114" s="925"/>
      <c r="F114" s="925"/>
      <c r="G114" s="924"/>
      <c r="H114" s="887"/>
      <c r="I114" s="889"/>
      <c r="J114" s="889"/>
      <c r="K114" s="889"/>
      <c r="L114" s="889"/>
      <c r="M114" s="945"/>
      <c r="N114" s="945"/>
      <c r="O114" s="945"/>
      <c r="P114" s="1020"/>
      <c r="Q114" s="1020"/>
      <c r="R114" s="889"/>
      <c r="S114" s="945"/>
      <c r="T114" s="889"/>
      <c r="U114" s="887"/>
      <c r="V114" s="888" t="s">
        <v>369</v>
      </c>
      <c r="W114" s="889" t="s">
        <v>373</v>
      </c>
      <c r="X114" s="888" t="s">
        <v>369</v>
      </c>
      <c r="Y114" s="946">
        <v>200169033</v>
      </c>
      <c r="Z114" s="887"/>
      <c r="AA114" s="889"/>
      <c r="AB114" s="889"/>
      <c r="AC114" s="945"/>
      <c r="AD114" s="889"/>
      <c r="AE114" s="889"/>
      <c r="AF114" s="945"/>
      <c r="AG114" s="947" t="e">
        <f>1*AF111</f>
        <v>#NAME?</v>
      </c>
      <c r="AH114" s="947"/>
      <c r="AI114" s="947"/>
      <c r="AJ114" s="947"/>
      <c r="AK114" s="947" t="e">
        <f>AG114*AC111</f>
        <v>#NAME?</v>
      </c>
      <c r="BA114" s="139"/>
      <c r="BB114" s="139"/>
      <c r="BC114" s="139"/>
      <c r="BD114" s="139"/>
      <c r="BE114" s="139"/>
    </row>
    <row r="115" spans="1:57" ht="15" customHeight="1" x14ac:dyDescent="0.4">
      <c r="B115" s="173" t="s">
        <v>446</v>
      </c>
      <c r="C115" s="173"/>
      <c r="D115" s="181"/>
      <c r="E115" s="192"/>
      <c r="F115" s="195" t="s">
        <v>418</v>
      </c>
      <c r="G115" s="196">
        <v>3</v>
      </c>
      <c r="H115" s="175"/>
      <c r="I115" s="197" t="str">
        <f xml:space="preserve"> "Length = INT ( ( UW - " &amp;FIXED(G116,2)&amp;") / "&amp;FIXED(G115,2)&amp;" ) *"&amp;FIXED(G115,2)</f>
        <v>Length = INT ( ( UW - 1.00) / 3.00 ) *3.00</v>
      </c>
      <c r="J115" s="116"/>
      <c r="K115" s="116"/>
      <c r="L115" s="116"/>
      <c r="M115" s="177"/>
      <c r="N115" s="177"/>
      <c r="O115" s="177"/>
      <c r="P115" s="178"/>
      <c r="Q115" s="178"/>
      <c r="R115" s="116" t="s">
        <v>352</v>
      </c>
      <c r="S115" s="177" t="e">
        <f>INT((SHWidth-G116)/G115)*G115</f>
        <v>#NAME?</v>
      </c>
      <c r="T115" s="116" t="s">
        <v>366</v>
      </c>
      <c r="U115" s="175"/>
      <c r="V115" s="179"/>
      <c r="W115" s="116"/>
      <c r="X115" s="179"/>
      <c r="Y115" s="184"/>
      <c r="Z115" s="175"/>
      <c r="AA115" s="116">
        <v>42</v>
      </c>
      <c r="AB115" s="116">
        <v>1</v>
      </c>
      <c r="AC115" s="177" t="e">
        <f>AB115*S115/12</f>
        <v>#NAME?</v>
      </c>
      <c r="AD115" s="116" t="s">
        <v>367</v>
      </c>
      <c r="AE115" s="116">
        <v>0</v>
      </c>
      <c r="AF115" s="177" t="e">
        <f>AE115*Atolbperft</f>
        <v>#NAME?</v>
      </c>
      <c r="AG115" s="185"/>
      <c r="AH115" s="185"/>
      <c r="AI115" s="185"/>
      <c r="AJ115" s="185"/>
      <c r="AK115" s="180"/>
      <c r="BA115" s="139"/>
      <c r="BB115" s="139"/>
      <c r="BC115" s="139"/>
      <c r="BD115" s="139"/>
      <c r="BE115" s="139"/>
    </row>
    <row r="116" spans="1:57" ht="15" customHeight="1" x14ac:dyDescent="0.4">
      <c r="B116" s="36"/>
      <c r="C116" s="155"/>
      <c r="D116" s="155"/>
      <c r="E116" s="155"/>
      <c r="F116" s="133" t="s">
        <v>419</v>
      </c>
      <c r="G116" s="160">
        <v>1</v>
      </c>
      <c r="H116" s="20"/>
      <c r="P116" s="24"/>
      <c r="Q116" s="24"/>
      <c r="U116" s="20"/>
      <c r="V116" s="38" t="s">
        <v>369</v>
      </c>
      <c r="W116" s="3" t="s">
        <v>370</v>
      </c>
      <c r="X116" s="38" t="s">
        <v>369</v>
      </c>
      <c r="Y116" s="41">
        <v>200142003</v>
      </c>
      <c r="Z116" s="20"/>
      <c r="AD116" s="3"/>
      <c r="AE116" s="38"/>
      <c r="AG116" s="39" t="e">
        <f>1*AF115</f>
        <v>#NAME?</v>
      </c>
      <c r="AH116" s="39"/>
      <c r="AI116" s="39"/>
      <c r="AJ116" s="39"/>
      <c r="AK116" s="39" t="e">
        <f>AG116*AC115</f>
        <v>#NAME?</v>
      </c>
      <c r="BA116" s="139"/>
      <c r="BB116" s="139"/>
      <c r="BC116" s="139"/>
      <c r="BD116" s="139"/>
      <c r="BE116" s="139"/>
    </row>
    <row r="117" spans="1:57" ht="15" customHeight="1" x14ac:dyDescent="0.4">
      <c r="B117" s="36"/>
      <c r="C117" s="155"/>
      <c r="D117" s="155"/>
      <c r="E117" s="155"/>
      <c r="F117" s="155"/>
      <c r="G117" s="7"/>
      <c r="H117" s="20"/>
      <c r="P117" s="24"/>
      <c r="Q117" s="24"/>
      <c r="U117" s="20"/>
      <c r="V117" s="38" t="s">
        <v>369</v>
      </c>
      <c r="W117" s="3" t="s">
        <v>372</v>
      </c>
      <c r="X117" s="38" t="s">
        <v>369</v>
      </c>
      <c r="Y117" s="41">
        <v>200142031</v>
      </c>
      <c r="Z117" s="20"/>
      <c r="AD117" s="3"/>
      <c r="AE117" s="3"/>
      <c r="AG117" s="39" t="e">
        <f>1*AF115</f>
        <v>#NAME?</v>
      </c>
      <c r="AH117" s="39"/>
      <c r="AI117" s="39"/>
      <c r="AJ117" s="39"/>
      <c r="AK117" s="39" t="e">
        <f>AG117*AC115</f>
        <v>#NAME?</v>
      </c>
      <c r="BA117" s="139"/>
      <c r="BB117" s="139"/>
      <c r="BC117" s="139"/>
      <c r="BD117" s="139"/>
      <c r="BE117" s="139"/>
    </row>
    <row r="118" spans="1:57" ht="15" customHeight="1" thickBot="1" x14ac:dyDescent="0.45">
      <c r="B118" s="943"/>
      <c r="C118" s="925"/>
      <c r="D118" s="925"/>
      <c r="E118" s="925"/>
      <c r="F118" s="925"/>
      <c r="G118" s="924"/>
      <c r="H118" s="887"/>
      <c r="I118" s="889"/>
      <c r="J118" s="889"/>
      <c r="K118" s="889"/>
      <c r="L118" s="889"/>
      <c r="M118" s="945"/>
      <c r="N118" s="945"/>
      <c r="O118" s="945"/>
      <c r="P118" s="1020"/>
      <c r="Q118" s="1020"/>
      <c r="R118" s="889"/>
      <c r="S118" s="945"/>
      <c r="T118" s="889"/>
      <c r="U118" s="887"/>
      <c r="V118" s="888" t="s">
        <v>369</v>
      </c>
      <c r="W118" s="889" t="s">
        <v>373</v>
      </c>
      <c r="X118" s="888" t="s">
        <v>369</v>
      </c>
      <c r="Y118" s="946">
        <v>200142033</v>
      </c>
      <c r="Z118" s="887"/>
      <c r="AA118" s="889"/>
      <c r="AB118" s="889"/>
      <c r="AC118" s="945"/>
      <c r="AD118" s="889"/>
      <c r="AE118" s="889"/>
      <c r="AF118" s="945"/>
      <c r="AG118" s="947" t="e">
        <f>1*AF115</f>
        <v>#NAME?</v>
      </c>
      <c r="AH118" s="947"/>
      <c r="AI118" s="947"/>
      <c r="AJ118" s="947"/>
      <c r="AK118" s="947" t="e">
        <f>AG118*AC115</f>
        <v>#NAME?</v>
      </c>
      <c r="BA118" s="139"/>
      <c r="BB118" s="139"/>
      <c r="BC118" s="139"/>
      <c r="BD118" s="139"/>
      <c r="BE118" s="139"/>
    </row>
    <row r="119" spans="1:57" ht="15" customHeight="1" x14ac:dyDescent="0.4">
      <c r="B119" s="7"/>
      <c r="D119" s="7"/>
      <c r="E119" s="7"/>
      <c r="F119" s="7"/>
      <c r="G119" s="7"/>
      <c r="V119" s="38" t="s">
        <v>369</v>
      </c>
      <c r="W119" s="3" t="s">
        <v>372</v>
      </c>
      <c r="X119" s="38" t="s">
        <v>369</v>
      </c>
      <c r="Y119" s="41">
        <v>200170031</v>
      </c>
      <c r="AD119" s="3"/>
      <c r="AE119" s="38"/>
      <c r="AG119" s="39">
        <f>1.3*AF117</f>
        <v>0</v>
      </c>
      <c r="AH119" s="185"/>
      <c r="AI119" s="185"/>
      <c r="AJ119" s="185"/>
      <c r="AK119" s="39">
        <f>AG119*AC117</f>
        <v>0</v>
      </c>
      <c r="BA119" s="139"/>
      <c r="BB119" s="139"/>
      <c r="BC119" s="139"/>
      <c r="BD119" s="139"/>
      <c r="BE119" s="139"/>
    </row>
    <row r="120" spans="1:57" ht="15" customHeight="1" thickBot="1" x14ac:dyDescent="0.45">
      <c r="B120" s="924"/>
      <c r="C120" s="949"/>
      <c r="D120" s="924"/>
      <c r="E120" s="924"/>
      <c r="F120" s="924"/>
      <c r="G120" s="924"/>
      <c r="H120" s="948"/>
      <c r="I120" s="889"/>
      <c r="J120" s="889"/>
      <c r="K120" s="889"/>
      <c r="L120" s="889"/>
      <c r="M120" s="945"/>
      <c r="N120" s="945"/>
      <c r="O120" s="945"/>
      <c r="P120" s="945"/>
      <c r="Q120" s="945"/>
      <c r="R120" s="889"/>
      <c r="S120" s="945"/>
      <c r="T120" s="889"/>
      <c r="U120" s="948"/>
      <c r="V120" s="888" t="s">
        <v>369</v>
      </c>
      <c r="W120" s="889" t="s">
        <v>373</v>
      </c>
      <c r="X120" s="888" t="s">
        <v>369</v>
      </c>
      <c r="Y120" s="946">
        <v>200170033</v>
      </c>
      <c r="Z120" s="948"/>
      <c r="AA120" s="889"/>
      <c r="AB120" s="889"/>
      <c r="AC120" s="945"/>
      <c r="AD120" s="889"/>
      <c r="AE120" s="888"/>
      <c r="AF120" s="945"/>
      <c r="AG120" s="947">
        <f>1.3*AF117</f>
        <v>0</v>
      </c>
      <c r="AH120" s="947"/>
      <c r="AI120" s="947"/>
      <c r="AJ120" s="947"/>
      <c r="AK120" s="947">
        <f>AG120*AC117</f>
        <v>0</v>
      </c>
      <c r="BA120" s="139"/>
      <c r="BB120" s="139"/>
      <c r="BC120" s="139"/>
      <c r="BD120" s="139"/>
      <c r="BE120" s="139"/>
    </row>
    <row r="121" spans="1:57" ht="15" customHeight="1" x14ac:dyDescent="0.4">
      <c r="A121" s="3" t="s">
        <v>496</v>
      </c>
      <c r="B121" s="173" t="s">
        <v>1162</v>
      </c>
      <c r="C121" s="114"/>
      <c r="D121" s="192"/>
      <c r="E121" s="192"/>
      <c r="F121" s="192"/>
      <c r="G121" s="173"/>
      <c r="H121" s="193"/>
      <c r="I121" s="116" t="s">
        <v>365</v>
      </c>
      <c r="J121" s="116"/>
      <c r="K121" s="116"/>
      <c r="L121" s="116" t="s">
        <v>348</v>
      </c>
      <c r="M121" s="183">
        <v>-3</v>
      </c>
      <c r="N121" s="177"/>
      <c r="O121" s="177"/>
      <c r="P121" s="177"/>
      <c r="Q121" s="177"/>
      <c r="R121" s="116" t="s">
        <v>352</v>
      </c>
      <c r="S121" s="177">
        <f>FWHeight+M121</f>
        <v>44.5</v>
      </c>
      <c r="T121" s="116" t="s">
        <v>366</v>
      </c>
      <c r="U121" s="193"/>
      <c r="V121" s="138"/>
      <c r="W121" s="138"/>
      <c r="X121" s="138"/>
      <c r="Y121" s="116"/>
      <c r="Z121" s="193"/>
      <c r="AA121" s="116">
        <v>42</v>
      </c>
      <c r="AB121" s="116">
        <v>2</v>
      </c>
      <c r="AC121" s="177">
        <f>AB121*S121/12</f>
        <v>7.416666666666667</v>
      </c>
      <c r="AD121" s="116" t="s">
        <v>367</v>
      </c>
      <c r="AE121" s="179">
        <v>2.5999999999999999E-2</v>
      </c>
      <c r="AF121" s="177" t="e">
        <f>AE121*Atolbperft</f>
        <v>#NAME?</v>
      </c>
      <c r="AG121" s="185"/>
      <c r="AH121" s="185"/>
      <c r="AI121" s="185"/>
      <c r="AJ121" s="185"/>
      <c r="AK121" s="180"/>
      <c r="BA121" s="139"/>
      <c r="BB121" s="139"/>
      <c r="BC121" s="139"/>
      <c r="BD121" s="139"/>
      <c r="BE121" s="139"/>
    </row>
    <row r="122" spans="1:57" ht="15" customHeight="1" x14ac:dyDescent="0.4">
      <c r="B122" s="7"/>
      <c r="C122" s="7"/>
      <c r="D122" s="7"/>
      <c r="E122" s="7"/>
      <c r="F122" s="7"/>
      <c r="G122" s="7"/>
      <c r="V122" s="38" t="s">
        <v>369</v>
      </c>
      <c r="W122" s="3" t="s">
        <v>370</v>
      </c>
      <c r="X122" s="38" t="s">
        <v>369</v>
      </c>
      <c r="Y122" s="41">
        <v>200170003</v>
      </c>
      <c r="AD122" s="3"/>
      <c r="AE122" s="38"/>
      <c r="AG122" s="39" t="e">
        <f>1.3*AF121</f>
        <v>#NAME?</v>
      </c>
      <c r="AH122" s="39"/>
      <c r="AI122" s="39"/>
      <c r="AJ122" s="39"/>
      <c r="AK122" s="39" t="e">
        <f>AG122*AC121</f>
        <v>#NAME?</v>
      </c>
      <c r="BA122" s="139"/>
      <c r="BB122" s="139"/>
      <c r="BC122" s="139"/>
      <c r="BD122" s="139"/>
      <c r="BE122" s="139"/>
    </row>
    <row r="123" spans="1:57" ht="15" customHeight="1" x14ac:dyDescent="0.4">
      <c r="B123" s="7"/>
      <c r="D123" s="7"/>
      <c r="E123" s="7"/>
      <c r="F123" s="7"/>
      <c r="G123" s="7"/>
      <c r="V123" s="38" t="s">
        <v>369</v>
      </c>
      <c r="W123" s="3" t="s">
        <v>372</v>
      </c>
      <c r="X123" s="38" t="s">
        <v>369</v>
      </c>
      <c r="Y123" s="41">
        <v>200170031</v>
      </c>
      <c r="AD123" s="3"/>
      <c r="AE123" s="38"/>
      <c r="AG123" s="39" t="e">
        <f>1.3*AF121</f>
        <v>#NAME?</v>
      </c>
      <c r="AH123" s="39"/>
      <c r="AI123" s="39"/>
      <c r="AJ123" s="39"/>
      <c r="AK123" s="39" t="e">
        <f>AG123*AC121</f>
        <v>#NAME?</v>
      </c>
      <c r="BA123" s="139"/>
      <c r="BB123" s="139"/>
      <c r="BC123" s="139"/>
      <c r="BD123" s="139"/>
      <c r="BE123" s="139"/>
    </row>
    <row r="124" spans="1:57" ht="15" customHeight="1" thickBot="1" x14ac:dyDescent="0.45">
      <c r="B124" s="924"/>
      <c r="C124" s="949"/>
      <c r="D124" s="924"/>
      <c r="E124" s="924"/>
      <c r="F124" s="924"/>
      <c r="G124" s="924"/>
      <c r="H124" s="948"/>
      <c r="I124" s="889"/>
      <c r="J124" s="889"/>
      <c r="K124" s="889"/>
      <c r="L124" s="889"/>
      <c r="M124" s="945"/>
      <c r="N124" s="945"/>
      <c r="O124" s="945"/>
      <c r="P124" s="945"/>
      <c r="Q124" s="945"/>
      <c r="R124" s="889"/>
      <c r="S124" s="945"/>
      <c r="T124" s="889"/>
      <c r="U124" s="948"/>
      <c r="V124" s="888" t="s">
        <v>369</v>
      </c>
      <c r="W124" s="889" t="s">
        <v>373</v>
      </c>
      <c r="X124" s="888" t="s">
        <v>369</v>
      </c>
      <c r="Y124" s="946">
        <v>200170033</v>
      </c>
      <c r="Z124" s="948"/>
      <c r="AA124" s="889"/>
      <c r="AB124" s="889"/>
      <c r="AC124" s="945"/>
      <c r="AD124" s="889"/>
      <c r="AE124" s="888"/>
      <c r="AF124" s="945"/>
      <c r="AG124" s="947" t="e">
        <f>1.3*AF121</f>
        <v>#NAME?</v>
      </c>
      <c r="AH124" s="947"/>
      <c r="AI124" s="947"/>
      <c r="AJ124" s="947"/>
      <c r="AK124" s="947" t="e">
        <f>AG124*AC121</f>
        <v>#NAME?</v>
      </c>
      <c r="BA124" s="139"/>
      <c r="BB124" s="139"/>
      <c r="BC124" s="139"/>
      <c r="BD124" s="139"/>
      <c r="BE124" s="139"/>
    </row>
    <row r="125" spans="1:57" ht="15" customHeight="1" x14ac:dyDescent="0.4">
      <c r="A125" s="3" t="s">
        <v>498</v>
      </c>
      <c r="B125" s="173" t="s">
        <v>1842</v>
      </c>
      <c r="C125" s="114"/>
      <c r="D125" s="192"/>
      <c r="E125" s="192"/>
      <c r="F125" s="192"/>
      <c r="G125" s="173"/>
      <c r="H125" s="193"/>
      <c r="I125" s="116" t="s">
        <v>365</v>
      </c>
      <c r="J125" s="116"/>
      <c r="K125" s="116"/>
      <c r="L125" s="116" t="s">
        <v>348</v>
      </c>
      <c r="M125" s="183">
        <v>-3</v>
      </c>
      <c r="N125" s="177"/>
      <c r="O125" s="177"/>
      <c r="P125" s="177"/>
      <c r="Q125" s="177"/>
      <c r="R125" s="116" t="s">
        <v>352</v>
      </c>
      <c r="S125" s="177">
        <f>FWWidth+M125</f>
        <v>44.5</v>
      </c>
      <c r="T125" s="116" t="s">
        <v>366</v>
      </c>
      <c r="U125" s="193"/>
      <c r="V125" s="138"/>
      <c r="W125" s="138"/>
      <c r="X125" s="138"/>
      <c r="Y125" s="116"/>
      <c r="Z125" s="193"/>
      <c r="AA125" s="116">
        <v>40</v>
      </c>
      <c r="AB125" s="116">
        <v>2</v>
      </c>
      <c r="AC125" s="177">
        <f>AB125*S125/12</f>
        <v>7.416666666666667</v>
      </c>
      <c r="AD125" s="116" t="s">
        <v>367</v>
      </c>
      <c r="AE125" s="179"/>
      <c r="AF125" s="177" t="e">
        <f>AE125*Atolbperft</f>
        <v>#NAME?</v>
      </c>
      <c r="AG125" s="185"/>
      <c r="AH125" s="185"/>
      <c r="AI125" s="185"/>
      <c r="AJ125" s="185"/>
      <c r="AK125" s="180"/>
      <c r="BA125" s="139"/>
      <c r="BB125" s="139"/>
      <c r="BC125" s="139"/>
      <c r="BD125" s="139"/>
      <c r="BE125" s="139"/>
    </row>
    <row r="126" spans="1:57" ht="15" customHeight="1" x14ac:dyDescent="0.4">
      <c r="B126" s="7"/>
      <c r="D126" s="7"/>
      <c r="E126" s="7"/>
      <c r="F126" s="7"/>
      <c r="G126" s="7"/>
      <c r="V126" s="38" t="s">
        <v>369</v>
      </c>
      <c r="W126" s="3" t="s">
        <v>370</v>
      </c>
      <c r="X126" s="38" t="s">
        <v>369</v>
      </c>
      <c r="Y126" s="41"/>
      <c r="AD126" s="3"/>
      <c r="AE126" s="38"/>
      <c r="AG126" s="39" t="e">
        <f>1.3*AF125</f>
        <v>#NAME?</v>
      </c>
      <c r="AH126" s="39"/>
      <c r="AI126" s="39"/>
      <c r="AJ126" s="39"/>
      <c r="AK126" s="39" t="e">
        <f>AG126*AC125</f>
        <v>#NAME?</v>
      </c>
      <c r="BA126" s="139"/>
      <c r="BB126" s="139"/>
      <c r="BC126" s="139"/>
      <c r="BD126" s="139"/>
      <c r="BE126" s="139"/>
    </row>
    <row r="127" spans="1:57" ht="15" customHeight="1" x14ac:dyDescent="0.4">
      <c r="B127" s="7"/>
      <c r="D127" s="7"/>
      <c r="E127" s="7"/>
      <c r="F127" s="7"/>
      <c r="G127" s="7"/>
      <c r="V127" s="38" t="s">
        <v>369</v>
      </c>
      <c r="W127" s="3" t="s">
        <v>372</v>
      </c>
      <c r="X127" s="38" t="s">
        <v>369</v>
      </c>
      <c r="Y127" s="41"/>
      <c r="AD127" s="3"/>
      <c r="AE127" s="38"/>
      <c r="AG127" s="39" t="e">
        <f>1.3*AF125</f>
        <v>#NAME?</v>
      </c>
      <c r="AH127" s="39"/>
      <c r="AI127" s="39"/>
      <c r="AJ127" s="39"/>
      <c r="AK127" s="39" t="e">
        <f>AG127*AC125</f>
        <v>#NAME?</v>
      </c>
      <c r="BA127" s="139"/>
      <c r="BB127" s="139"/>
      <c r="BC127" s="139"/>
      <c r="BD127" s="139"/>
      <c r="BE127" s="139"/>
    </row>
    <row r="128" spans="1:57" ht="15" customHeight="1" thickBot="1" x14ac:dyDescent="0.45">
      <c r="B128" s="924"/>
      <c r="C128" s="949"/>
      <c r="D128" s="924"/>
      <c r="E128" s="924"/>
      <c r="F128" s="924"/>
      <c r="G128" s="924"/>
      <c r="H128" s="948"/>
      <c r="I128" s="889"/>
      <c r="J128" s="889"/>
      <c r="K128" s="889"/>
      <c r="L128" s="889"/>
      <c r="M128" s="945"/>
      <c r="N128" s="945"/>
      <c r="O128" s="945"/>
      <c r="P128" s="945"/>
      <c r="Q128" s="945"/>
      <c r="R128" s="889"/>
      <c r="S128" s="945"/>
      <c r="T128" s="889"/>
      <c r="U128" s="948"/>
      <c r="V128" s="888" t="s">
        <v>369</v>
      </c>
      <c r="W128" s="889" t="s">
        <v>373</v>
      </c>
      <c r="X128" s="888" t="s">
        <v>369</v>
      </c>
      <c r="Y128" s="946"/>
      <c r="Z128" s="948"/>
      <c r="AA128" s="889"/>
      <c r="AB128" s="889"/>
      <c r="AC128" s="945"/>
      <c r="AD128" s="889"/>
      <c r="AE128" s="888"/>
      <c r="AF128" s="945"/>
      <c r="AG128" s="947" t="e">
        <f>1.3*AF125</f>
        <v>#NAME?</v>
      </c>
      <c r="AH128" s="947"/>
      <c r="AI128" s="947"/>
      <c r="AJ128" s="947"/>
      <c r="AK128" s="947" t="e">
        <f>AG128*AC125</f>
        <v>#NAME?</v>
      </c>
      <c r="BA128" s="139"/>
      <c r="BB128" s="139"/>
      <c r="BC128" s="139"/>
      <c r="BD128" s="139"/>
      <c r="BE128" s="139"/>
    </row>
    <row r="129" spans="1:57" ht="15" customHeight="1" x14ac:dyDescent="0.4">
      <c r="A129" s="3" t="s">
        <v>503</v>
      </c>
      <c r="B129" s="173" t="s">
        <v>1165</v>
      </c>
      <c r="C129" s="114"/>
      <c r="D129" s="192"/>
      <c r="E129" s="192"/>
      <c r="F129" s="192"/>
      <c r="G129" s="173"/>
      <c r="H129" s="193"/>
      <c r="I129" s="116" t="s">
        <v>392</v>
      </c>
      <c r="J129" s="116"/>
      <c r="K129" s="116"/>
      <c r="L129" s="116" t="s">
        <v>348</v>
      </c>
      <c r="M129" s="183">
        <v>-3</v>
      </c>
      <c r="N129" s="177"/>
      <c r="O129" s="177"/>
      <c r="P129" s="177"/>
      <c r="Q129" s="177"/>
      <c r="R129" s="116" t="s">
        <v>352</v>
      </c>
      <c r="S129" s="177">
        <f>FWWidth+M129</f>
        <v>44.5</v>
      </c>
      <c r="T129" s="116" t="s">
        <v>366</v>
      </c>
      <c r="U129" s="193"/>
      <c r="V129" s="138"/>
      <c r="W129" s="138"/>
      <c r="X129" s="138"/>
      <c r="Y129" s="116"/>
      <c r="Z129" s="193"/>
      <c r="AA129" s="116">
        <v>42</v>
      </c>
      <c r="AB129" s="116">
        <v>2</v>
      </c>
      <c r="AC129" s="177">
        <f>AB129*S129/12</f>
        <v>7.416666666666667</v>
      </c>
      <c r="AD129" s="116" t="s">
        <v>367</v>
      </c>
      <c r="AE129" s="179">
        <v>2.5999999999999999E-2</v>
      </c>
      <c r="AF129" s="177" t="e">
        <f>AE129*Atolbperft</f>
        <v>#NAME?</v>
      </c>
      <c r="AG129" s="185"/>
      <c r="AH129" s="39"/>
      <c r="AI129" s="39"/>
      <c r="AJ129" s="39"/>
      <c r="AK129" s="180"/>
      <c r="BA129" s="139"/>
      <c r="BB129" s="139"/>
      <c r="BC129" s="139"/>
      <c r="BD129" s="139"/>
      <c r="BE129" s="139"/>
    </row>
    <row r="130" spans="1:57" ht="15" customHeight="1" x14ac:dyDescent="0.4">
      <c r="B130" s="36"/>
      <c r="C130" s="7"/>
      <c r="D130" s="7"/>
      <c r="E130" s="7"/>
      <c r="F130" s="7"/>
      <c r="G130" s="7"/>
      <c r="V130" s="38" t="s">
        <v>369</v>
      </c>
      <c r="W130" s="3" t="s">
        <v>370</v>
      </c>
      <c r="X130" s="38" t="s">
        <v>369</v>
      </c>
      <c r="Y130" s="41" t="s">
        <v>505</v>
      </c>
      <c r="AD130" s="3"/>
      <c r="AE130" s="38"/>
      <c r="AG130" s="39" t="e">
        <f>1.3*AF129</f>
        <v>#NAME?</v>
      </c>
      <c r="AH130" s="39"/>
      <c r="AI130" s="39"/>
      <c r="AJ130" s="39"/>
      <c r="AK130" s="39" t="e">
        <f>AG130*AC129</f>
        <v>#NAME?</v>
      </c>
      <c r="BA130" s="139"/>
      <c r="BB130" s="139"/>
      <c r="BC130" s="139"/>
      <c r="BD130" s="139"/>
      <c r="BE130" s="139"/>
    </row>
    <row r="131" spans="1:57" ht="15" customHeight="1" x14ac:dyDescent="0.4">
      <c r="B131" s="36"/>
      <c r="D131" s="7"/>
      <c r="E131" s="7"/>
      <c r="F131" s="7"/>
      <c r="G131" s="7"/>
      <c r="V131" s="38" t="s">
        <v>369</v>
      </c>
      <c r="W131" s="3" t="s">
        <v>372</v>
      </c>
      <c r="X131" s="38" t="s">
        <v>369</v>
      </c>
      <c r="Y131" s="41" t="s">
        <v>506</v>
      </c>
      <c r="AD131" s="3"/>
      <c r="AE131" s="38"/>
      <c r="AG131" s="39" t="e">
        <f>1.3*AF129</f>
        <v>#NAME?</v>
      </c>
      <c r="AH131" s="9"/>
      <c r="AI131" s="9"/>
      <c r="AJ131" s="9"/>
      <c r="AK131" s="39" t="e">
        <f>AG131*AC129</f>
        <v>#NAME?</v>
      </c>
      <c r="BA131" s="139"/>
      <c r="BB131" s="139"/>
      <c r="BC131" s="139"/>
      <c r="BD131" s="139"/>
      <c r="BE131" s="139"/>
    </row>
    <row r="132" spans="1:57" ht="15" customHeight="1" thickBot="1" x14ac:dyDescent="0.45">
      <c r="B132" s="943"/>
      <c r="C132" s="949"/>
      <c r="D132" s="924"/>
      <c r="E132" s="924"/>
      <c r="F132" s="924"/>
      <c r="G132" s="924"/>
      <c r="H132" s="948"/>
      <c r="I132" s="889"/>
      <c r="J132" s="889"/>
      <c r="K132" s="889"/>
      <c r="L132" s="889"/>
      <c r="M132" s="945"/>
      <c r="N132" s="945"/>
      <c r="O132" s="945"/>
      <c r="P132" s="945"/>
      <c r="Q132" s="945"/>
      <c r="R132" s="889"/>
      <c r="S132" s="945"/>
      <c r="T132" s="889"/>
      <c r="U132" s="948"/>
      <c r="V132" s="888" t="s">
        <v>369</v>
      </c>
      <c r="W132" s="889" t="s">
        <v>373</v>
      </c>
      <c r="X132" s="888" t="s">
        <v>369</v>
      </c>
      <c r="Y132" s="946" t="s">
        <v>507</v>
      </c>
      <c r="Z132" s="948"/>
      <c r="AA132" s="889"/>
      <c r="AB132" s="889"/>
      <c r="AC132" s="945"/>
      <c r="AD132" s="889"/>
      <c r="AE132" s="888"/>
      <c r="AF132" s="945"/>
      <c r="AG132" s="947" t="e">
        <f>1.3*AF129</f>
        <v>#NAME?</v>
      </c>
      <c r="AH132" s="1213"/>
      <c r="AI132" s="1213"/>
      <c r="AJ132" s="1213"/>
      <c r="AK132" s="947" t="e">
        <f>AG132*AC129</f>
        <v>#NAME?</v>
      </c>
      <c r="BA132" s="139"/>
      <c r="BB132" s="139"/>
      <c r="BC132" s="139"/>
      <c r="BD132" s="139"/>
      <c r="BE132" s="139"/>
    </row>
    <row r="133" spans="1:57" ht="15" customHeight="1" x14ac:dyDescent="0.4">
      <c r="A133" s="3" t="s">
        <v>1166</v>
      </c>
      <c r="B133" s="173" t="s">
        <v>1843</v>
      </c>
      <c r="C133" s="114"/>
      <c r="D133" s="192"/>
      <c r="E133" s="192"/>
      <c r="F133" s="192"/>
      <c r="G133" s="173"/>
      <c r="H133" s="193"/>
      <c r="I133" s="116" t="s">
        <v>365</v>
      </c>
      <c r="J133" s="116"/>
      <c r="K133" s="116"/>
      <c r="L133" s="116" t="s">
        <v>348</v>
      </c>
      <c r="M133" s="183">
        <v>-2.9380000000000002</v>
      </c>
      <c r="N133" s="177"/>
      <c r="O133" s="177"/>
      <c r="P133" s="177"/>
      <c r="Q133" s="177"/>
      <c r="R133" s="116" t="s">
        <v>352</v>
      </c>
      <c r="S133" s="177">
        <f>FWWidth+M133</f>
        <v>44.561999999999998</v>
      </c>
      <c r="T133" s="116" t="s">
        <v>366</v>
      </c>
      <c r="U133" s="193"/>
      <c r="V133" s="138"/>
      <c r="W133" s="138"/>
      <c r="X133" s="138"/>
      <c r="Y133" s="116"/>
      <c r="Z133" s="193"/>
      <c r="AA133" s="116">
        <v>40</v>
      </c>
      <c r="AB133" s="116">
        <v>2</v>
      </c>
      <c r="AC133" s="177">
        <f>AB133*S133/12</f>
        <v>7.4269999999999996</v>
      </c>
      <c r="AD133" s="116" t="s">
        <v>367</v>
      </c>
      <c r="AE133" s="179"/>
      <c r="AF133" s="177" t="e">
        <f>AE133*Atolbperft</f>
        <v>#NAME?</v>
      </c>
      <c r="AG133" s="185"/>
      <c r="AH133" s="39"/>
      <c r="AI133" s="39"/>
      <c r="AJ133" s="39"/>
      <c r="AK133" s="180"/>
      <c r="BA133" s="139"/>
      <c r="BB133" s="139"/>
      <c r="BC133" s="139"/>
      <c r="BD133" s="139"/>
      <c r="BE133" s="139"/>
    </row>
    <row r="134" spans="1:57" ht="15" customHeight="1" x14ac:dyDescent="0.4">
      <c r="B134" s="8"/>
      <c r="C134" s="36"/>
      <c r="D134" s="7"/>
      <c r="E134" s="7"/>
      <c r="F134" s="7"/>
      <c r="G134" s="7"/>
      <c r="V134" s="38" t="s">
        <v>369</v>
      </c>
      <c r="W134" s="3" t="s">
        <v>370</v>
      </c>
      <c r="X134" s="38" t="s">
        <v>369</v>
      </c>
      <c r="Y134" s="41"/>
      <c r="AD134" s="3"/>
      <c r="AE134" s="38"/>
      <c r="AG134" s="39" t="e">
        <f>1.3*AF133</f>
        <v>#NAME?</v>
      </c>
      <c r="AK134" s="39" t="e">
        <f>AG134*AC133</f>
        <v>#NAME?</v>
      </c>
      <c r="BA134" s="139"/>
      <c r="BB134" s="139"/>
      <c r="BC134" s="139"/>
      <c r="BD134" s="139"/>
      <c r="BE134" s="139"/>
    </row>
    <row r="135" spans="1:57" ht="15" customHeight="1" x14ac:dyDescent="0.4">
      <c r="B135" s="8"/>
      <c r="C135" s="36"/>
      <c r="D135" s="7"/>
      <c r="E135" s="7"/>
      <c r="F135" s="7"/>
      <c r="G135" s="7"/>
      <c r="V135" s="38" t="s">
        <v>369</v>
      </c>
      <c r="W135" s="3" t="s">
        <v>372</v>
      </c>
      <c r="X135" s="38" t="s">
        <v>369</v>
      </c>
      <c r="Y135" s="41"/>
      <c r="AD135" s="3"/>
      <c r="AE135" s="38"/>
      <c r="AG135" s="39" t="e">
        <f>1.3*AF133</f>
        <v>#NAME?</v>
      </c>
      <c r="AH135" s="39"/>
      <c r="AI135" s="39"/>
      <c r="AJ135" s="39"/>
      <c r="AK135" s="39" t="e">
        <f>AG135*AC133</f>
        <v>#NAME?</v>
      </c>
      <c r="BA135" s="139"/>
      <c r="BB135" s="139"/>
      <c r="BC135" s="139"/>
      <c r="BD135" s="139"/>
      <c r="BE135" s="139"/>
    </row>
    <row r="136" spans="1:57" ht="15" customHeight="1" thickBot="1" x14ac:dyDescent="0.45">
      <c r="B136" s="949"/>
      <c r="C136" s="943"/>
      <c r="D136" s="924"/>
      <c r="E136" s="924"/>
      <c r="F136" s="924"/>
      <c r="G136" s="924"/>
      <c r="H136" s="948"/>
      <c r="I136" s="889"/>
      <c r="J136" s="889"/>
      <c r="K136" s="889"/>
      <c r="L136" s="889"/>
      <c r="M136" s="945"/>
      <c r="N136" s="945"/>
      <c r="O136" s="945"/>
      <c r="P136" s="945"/>
      <c r="Q136" s="945"/>
      <c r="R136" s="889"/>
      <c r="S136" s="945"/>
      <c r="T136" s="889"/>
      <c r="U136" s="948"/>
      <c r="V136" s="888" t="s">
        <v>369</v>
      </c>
      <c r="W136" s="889" t="s">
        <v>373</v>
      </c>
      <c r="X136" s="888" t="s">
        <v>369</v>
      </c>
      <c r="Y136" s="946"/>
      <c r="Z136" s="948"/>
      <c r="AA136" s="889"/>
      <c r="AB136" s="889"/>
      <c r="AC136" s="945"/>
      <c r="AD136" s="889"/>
      <c r="AE136" s="888"/>
      <c r="AF136" s="945"/>
      <c r="AG136" s="947" t="e">
        <f>1.3*AF133</f>
        <v>#NAME?</v>
      </c>
      <c r="AH136" s="1213"/>
      <c r="AI136" s="1213"/>
      <c r="AJ136" s="1213"/>
      <c r="AK136" s="947" t="e">
        <f>AG136*AC133</f>
        <v>#NAME?</v>
      </c>
      <c r="BA136" s="139"/>
      <c r="BB136" s="139"/>
      <c r="BC136" s="139"/>
      <c r="BD136" s="139"/>
      <c r="BE136" s="139"/>
    </row>
    <row r="137" spans="1:57" ht="15" customHeight="1" x14ac:dyDescent="0.4">
      <c r="A137" s="3" t="s">
        <v>1169</v>
      </c>
      <c r="B137" s="173" t="s">
        <v>1844</v>
      </c>
      <c r="C137" s="114"/>
      <c r="D137" s="192"/>
      <c r="E137" s="192"/>
      <c r="F137" s="192"/>
      <c r="G137" s="173"/>
      <c r="H137" s="193"/>
      <c r="I137" s="116" t="s">
        <v>365</v>
      </c>
      <c r="J137" s="116"/>
      <c r="K137" s="116"/>
      <c r="L137" s="116" t="s">
        <v>348</v>
      </c>
      <c r="M137" s="183">
        <v>-3</v>
      </c>
      <c r="N137" s="177"/>
      <c r="O137" s="177"/>
      <c r="P137" s="177"/>
      <c r="Q137" s="177"/>
      <c r="R137" s="116" t="s">
        <v>352</v>
      </c>
      <c r="S137" s="177">
        <f>FWWidth+M137</f>
        <v>44.5</v>
      </c>
      <c r="T137" s="116" t="s">
        <v>366</v>
      </c>
      <c r="U137" s="193"/>
      <c r="V137" s="138"/>
      <c r="W137" s="138"/>
      <c r="X137" s="138"/>
      <c r="Y137" s="116"/>
      <c r="Z137" s="193"/>
      <c r="AA137" s="116">
        <v>40</v>
      </c>
      <c r="AB137" s="116">
        <v>2</v>
      </c>
      <c r="AC137" s="177">
        <f>AB137*S137/12</f>
        <v>7.416666666666667</v>
      </c>
      <c r="AD137" s="116" t="s">
        <v>367</v>
      </c>
      <c r="AE137" s="179"/>
      <c r="AF137" s="177" t="e">
        <f>AE137*Atolbperft</f>
        <v>#NAME?</v>
      </c>
      <c r="AG137" s="185"/>
      <c r="AH137" s="39"/>
      <c r="AI137" s="39"/>
      <c r="AJ137" s="39"/>
      <c r="AK137" s="180"/>
      <c r="BA137" s="139"/>
      <c r="BB137" s="139"/>
      <c r="BC137" s="139"/>
      <c r="BD137" s="139"/>
      <c r="BE137" s="139"/>
    </row>
    <row r="138" spans="1:57" ht="15" customHeight="1" x14ac:dyDescent="0.4">
      <c r="B138" s="8"/>
      <c r="C138" s="36"/>
      <c r="D138" s="7"/>
      <c r="E138" s="7"/>
      <c r="F138" s="7"/>
      <c r="G138" s="7"/>
      <c r="V138" s="38" t="s">
        <v>369</v>
      </c>
      <c r="W138" s="3" t="s">
        <v>370</v>
      </c>
      <c r="X138" s="38" t="s">
        <v>369</v>
      </c>
      <c r="Y138" s="41"/>
      <c r="AD138" s="3"/>
      <c r="AE138" s="38"/>
      <c r="AG138" s="39" t="e">
        <f>1.3*AF137</f>
        <v>#NAME?</v>
      </c>
      <c r="AH138" s="39"/>
      <c r="AI138" s="39"/>
      <c r="AJ138" s="39"/>
      <c r="AK138" s="39" t="e">
        <f>AG138*AC137</f>
        <v>#NAME?</v>
      </c>
      <c r="BA138" s="139"/>
      <c r="BB138" s="139"/>
      <c r="BC138" s="139"/>
      <c r="BD138" s="139"/>
      <c r="BE138" s="139"/>
    </row>
    <row r="139" spans="1:57" ht="15" customHeight="1" x14ac:dyDescent="0.4">
      <c r="B139" s="8"/>
      <c r="C139" s="36"/>
      <c r="D139" s="7"/>
      <c r="E139" s="7"/>
      <c r="F139" s="7"/>
      <c r="G139" s="7"/>
      <c r="V139" s="38" t="s">
        <v>369</v>
      </c>
      <c r="W139" s="3" t="s">
        <v>372</v>
      </c>
      <c r="X139" s="38" t="s">
        <v>369</v>
      </c>
      <c r="Y139" s="41"/>
      <c r="AD139" s="3"/>
      <c r="AE139" s="38"/>
      <c r="AG139" s="39" t="e">
        <f>1.3*AF137</f>
        <v>#NAME?</v>
      </c>
      <c r="AH139" s="39"/>
      <c r="AI139" s="39"/>
      <c r="AJ139" s="39"/>
      <c r="AK139" s="39" t="e">
        <f>AG139*AC137</f>
        <v>#NAME?</v>
      </c>
      <c r="BA139" s="139"/>
      <c r="BB139" s="139"/>
      <c r="BC139" s="139"/>
      <c r="BD139" s="139"/>
      <c r="BE139" s="139"/>
    </row>
    <row r="140" spans="1:57" ht="15" customHeight="1" thickBot="1" x14ac:dyDescent="0.45">
      <c r="B140" s="949"/>
      <c r="C140" s="943"/>
      <c r="D140" s="924"/>
      <c r="E140" s="924"/>
      <c r="F140" s="924"/>
      <c r="G140" s="924"/>
      <c r="H140" s="948"/>
      <c r="I140" s="889"/>
      <c r="J140" s="889"/>
      <c r="K140" s="889"/>
      <c r="L140" s="889"/>
      <c r="M140" s="945"/>
      <c r="N140" s="945"/>
      <c r="O140" s="945"/>
      <c r="P140" s="945"/>
      <c r="Q140" s="945"/>
      <c r="R140" s="889"/>
      <c r="S140" s="945"/>
      <c r="T140" s="889"/>
      <c r="U140" s="948"/>
      <c r="V140" s="888" t="s">
        <v>369</v>
      </c>
      <c r="W140" s="889" t="s">
        <v>373</v>
      </c>
      <c r="X140" s="888" t="s">
        <v>369</v>
      </c>
      <c r="Y140" s="946"/>
      <c r="Z140" s="948"/>
      <c r="AA140" s="889"/>
      <c r="AB140" s="889"/>
      <c r="AC140" s="945"/>
      <c r="AD140" s="889"/>
      <c r="AE140" s="888"/>
      <c r="AF140" s="945"/>
      <c r="AG140" s="947" t="e">
        <f>1.3*AF137</f>
        <v>#NAME?</v>
      </c>
      <c r="AH140" s="1213"/>
      <c r="AI140" s="1213"/>
      <c r="AJ140" s="1213"/>
      <c r="AK140" s="947" t="e">
        <f>AG140*AC137</f>
        <v>#NAME?</v>
      </c>
      <c r="BA140" s="139"/>
      <c r="BB140" s="139"/>
      <c r="BC140" s="139"/>
      <c r="BD140" s="139"/>
      <c r="BE140" s="139"/>
    </row>
    <row r="141" spans="1:57" ht="15" customHeight="1" x14ac:dyDescent="0.4">
      <c r="B141" s="156" t="s">
        <v>1355</v>
      </c>
      <c r="C141" s="37"/>
      <c r="D141" s="37"/>
      <c r="E141" s="37"/>
      <c r="F141" s="37"/>
      <c r="G141" s="37"/>
      <c r="H141" s="157"/>
      <c r="I141" s="157"/>
      <c r="J141" s="157"/>
      <c r="K141" s="157"/>
      <c r="L141" s="157"/>
      <c r="M141" s="158"/>
      <c r="N141" s="158"/>
      <c r="O141" s="158"/>
      <c r="P141" s="158"/>
      <c r="Q141" s="158"/>
      <c r="R141" s="157"/>
      <c r="S141" s="158"/>
      <c r="T141" s="157"/>
      <c r="U141" s="157"/>
      <c r="V141" s="37"/>
      <c r="W141" s="37"/>
      <c r="X141" s="37"/>
      <c r="Y141" s="59"/>
      <c r="Z141" s="157"/>
      <c r="AA141" s="59"/>
      <c r="AB141" s="157"/>
      <c r="AC141" s="158"/>
      <c r="AD141" s="157"/>
      <c r="AE141" s="157"/>
      <c r="AF141" s="157"/>
      <c r="AG141" s="159"/>
      <c r="AH141" s="159"/>
      <c r="AI141" s="159"/>
      <c r="AJ141" s="159"/>
      <c r="AK141" s="159"/>
      <c r="BA141" s="139"/>
      <c r="BB141" s="139"/>
      <c r="BC141" s="139"/>
      <c r="BD141" s="139"/>
      <c r="BE141" s="139"/>
    </row>
    <row r="142" spans="1:57" ht="15" customHeight="1" x14ac:dyDescent="0.4">
      <c r="A142" s="112" t="s">
        <v>809</v>
      </c>
      <c r="B142" s="274" t="s">
        <v>1845</v>
      </c>
      <c r="C142" s="275"/>
      <c r="D142" s="275"/>
      <c r="E142" s="275"/>
      <c r="F142" s="275"/>
      <c r="G142" s="112"/>
      <c r="H142" s="276"/>
      <c r="I142" s="112"/>
      <c r="J142" s="112"/>
      <c r="K142" s="112"/>
      <c r="L142" s="277"/>
      <c r="M142" s="277"/>
      <c r="N142" s="277"/>
      <c r="O142" s="277"/>
      <c r="P142" s="277"/>
      <c r="Q142" s="112"/>
      <c r="R142" s="277"/>
      <c r="S142" s="277">
        <v>0</v>
      </c>
      <c r="T142" s="112" t="s">
        <v>367</v>
      </c>
      <c r="U142" s="276"/>
      <c r="V142" s="274"/>
      <c r="W142" s="274"/>
      <c r="X142" s="278"/>
      <c r="Y142" s="112">
        <v>251882</v>
      </c>
      <c r="Z142" s="276">
        <v>45</v>
      </c>
      <c r="AA142" s="112">
        <v>45</v>
      </c>
      <c r="AB142" s="277"/>
      <c r="AC142" s="112">
        <f>(S158+S159)*2/12</f>
        <v>14.75</v>
      </c>
      <c r="AD142" s="112" t="s">
        <v>367</v>
      </c>
      <c r="AE142" s="279" t="s">
        <v>369</v>
      </c>
      <c r="AF142" s="280"/>
      <c r="AG142" s="281">
        <v>1.8599999999999998E-2</v>
      </c>
      <c r="AH142" s="39"/>
      <c r="AI142" s="39"/>
      <c r="AJ142" s="39"/>
      <c r="AK142" s="282">
        <f t="shared" ref="AK142:AK147" si="0">AG142*AC142</f>
        <v>0.27434999999999998</v>
      </c>
      <c r="BA142" s="139"/>
      <c r="BB142" s="139"/>
      <c r="BC142" s="139"/>
      <c r="BD142" s="139"/>
      <c r="BE142" s="139"/>
    </row>
    <row r="143" spans="1:57" ht="15" customHeight="1" x14ac:dyDescent="0.4">
      <c r="B143" s="4" t="s">
        <v>1846</v>
      </c>
      <c r="D143" s="8"/>
      <c r="E143" s="8"/>
      <c r="F143" s="8"/>
      <c r="G143" s="3"/>
      <c r="L143" s="5"/>
      <c r="Q143" s="3"/>
      <c r="R143" s="5"/>
      <c r="S143" s="5">
        <v>1</v>
      </c>
      <c r="T143" s="3" t="s">
        <v>815</v>
      </c>
      <c r="V143" s="4"/>
      <c r="W143" s="3" t="s">
        <v>1847</v>
      </c>
      <c r="X143" s="56"/>
      <c r="Y143" s="3">
        <v>253408</v>
      </c>
      <c r="AA143" s="3">
        <v>45</v>
      </c>
      <c r="AB143" s="5"/>
      <c r="AC143" s="5">
        <f>0.188^2/4*PI()*(FWWidth-6.625+FWHeight-6.625)*2/231</f>
        <v>1.9647683655168936E-2</v>
      </c>
      <c r="AD143" s="3" t="s">
        <v>1848</v>
      </c>
      <c r="AE143" s="38" t="s">
        <v>369</v>
      </c>
      <c r="AF143" s="38" t="s">
        <v>369</v>
      </c>
      <c r="AG143" s="40">
        <v>51.71</v>
      </c>
      <c r="AH143" s="39"/>
      <c r="AI143" s="39"/>
      <c r="AJ143" s="39"/>
      <c r="AK143" s="39">
        <f t="shared" si="0"/>
        <v>1.0159817218087857</v>
      </c>
      <c r="BA143" s="139"/>
      <c r="BB143" s="139"/>
      <c r="BC143" s="139"/>
      <c r="BD143" s="139"/>
      <c r="BE143" s="139"/>
    </row>
    <row r="144" spans="1:57" ht="15" customHeight="1" x14ac:dyDescent="0.4">
      <c r="B144" s="4" t="s">
        <v>1415</v>
      </c>
      <c r="D144" s="8"/>
      <c r="E144" s="8"/>
      <c r="F144" s="8"/>
      <c r="G144" s="3"/>
      <c r="L144" s="5"/>
      <c r="Q144" s="3"/>
      <c r="R144" s="5"/>
      <c r="S144" s="5">
        <v>1</v>
      </c>
      <c r="T144" s="3" t="s">
        <v>385</v>
      </c>
      <c r="V144" s="4"/>
      <c r="W144" s="3" t="s">
        <v>1500</v>
      </c>
      <c r="X144" s="56"/>
      <c r="Y144" s="3">
        <v>620001000</v>
      </c>
      <c r="Z144" s="14">
        <v>45</v>
      </c>
      <c r="AA144" s="3">
        <v>45</v>
      </c>
      <c r="AB144" s="5"/>
      <c r="AC144" s="56">
        <v>0</v>
      </c>
      <c r="AD144" s="3" t="s">
        <v>385</v>
      </c>
      <c r="AE144" s="38" t="s">
        <v>369</v>
      </c>
      <c r="AF144" s="38" t="s">
        <v>369</v>
      </c>
      <c r="AG144" s="40">
        <v>0</v>
      </c>
      <c r="AH144" s="39"/>
      <c r="AI144" s="39"/>
      <c r="AJ144" s="39"/>
      <c r="AK144" s="39">
        <f t="shared" si="0"/>
        <v>0</v>
      </c>
      <c r="BA144" s="139"/>
      <c r="BB144" s="139"/>
      <c r="BC144" s="139"/>
      <c r="BD144" s="139"/>
      <c r="BE144" s="139"/>
    </row>
    <row r="145" spans="1:59" ht="15" customHeight="1" x14ac:dyDescent="0.4">
      <c r="B145" s="4" t="s">
        <v>823</v>
      </c>
      <c r="D145" s="8"/>
      <c r="E145" s="8"/>
      <c r="F145" s="8"/>
      <c r="G145" s="3"/>
      <c r="L145" s="5"/>
      <c r="Q145" s="3"/>
      <c r="R145" s="5"/>
      <c r="S145" s="5">
        <v>1</v>
      </c>
      <c r="T145" s="3" t="s">
        <v>385</v>
      </c>
      <c r="V145" s="4"/>
      <c r="W145" s="3" t="s">
        <v>1499</v>
      </c>
      <c r="X145" s="56"/>
      <c r="Y145" s="3">
        <v>620002000</v>
      </c>
      <c r="Z145" s="14">
        <v>45</v>
      </c>
      <c r="AA145" s="3">
        <v>45</v>
      </c>
      <c r="AB145" s="5"/>
      <c r="AC145" s="56">
        <v>0</v>
      </c>
      <c r="AD145" s="3" t="s">
        <v>385</v>
      </c>
      <c r="AE145" s="38" t="s">
        <v>369</v>
      </c>
      <c r="AF145" s="38" t="s">
        <v>369</v>
      </c>
      <c r="AG145" s="40">
        <v>0</v>
      </c>
      <c r="AH145" s="39"/>
      <c r="AI145" s="39"/>
      <c r="AJ145" s="39"/>
      <c r="AK145" s="39">
        <f t="shared" si="0"/>
        <v>0</v>
      </c>
      <c r="BA145" s="139"/>
      <c r="BB145" s="139"/>
      <c r="BC145" s="139"/>
      <c r="BD145" s="139"/>
      <c r="BE145" s="139"/>
    </row>
    <row r="146" spans="1:59" ht="15" customHeight="1" x14ac:dyDescent="0.4">
      <c r="B146" s="4" t="s">
        <v>1417</v>
      </c>
      <c r="D146" s="8"/>
      <c r="E146" s="8"/>
      <c r="F146" s="8"/>
      <c r="G146" s="3"/>
      <c r="L146" s="5"/>
      <c r="Q146" s="3"/>
      <c r="R146" s="5"/>
      <c r="S146" s="5">
        <v>1</v>
      </c>
      <c r="T146" s="3" t="s">
        <v>385</v>
      </c>
      <c r="V146" s="4"/>
      <c r="W146" s="3" t="s">
        <v>1500</v>
      </c>
      <c r="X146" s="56"/>
      <c r="Y146" s="3">
        <v>620003000</v>
      </c>
      <c r="Z146" s="14">
        <v>45</v>
      </c>
      <c r="AA146" s="3">
        <v>45</v>
      </c>
      <c r="AB146" s="5"/>
      <c r="AC146" s="56">
        <v>4</v>
      </c>
      <c r="AD146" s="3" t="s">
        <v>385</v>
      </c>
      <c r="AE146" s="38" t="s">
        <v>369</v>
      </c>
      <c r="AF146" s="38" t="s">
        <v>369</v>
      </c>
      <c r="AG146" s="40">
        <v>1.2E-2</v>
      </c>
      <c r="AH146" s="39"/>
      <c r="AI146" s="39"/>
      <c r="AJ146" s="39"/>
      <c r="AK146" s="39">
        <f t="shared" si="0"/>
        <v>4.8000000000000001E-2</v>
      </c>
      <c r="BA146" s="139"/>
      <c r="BB146" s="139"/>
      <c r="BC146" s="139"/>
      <c r="BD146" s="139"/>
      <c r="BE146" s="139"/>
    </row>
    <row r="147" spans="1:59" ht="15" customHeight="1" x14ac:dyDescent="0.4">
      <c r="B147" s="4" t="s">
        <v>1419</v>
      </c>
      <c r="D147" s="8"/>
      <c r="E147" s="8"/>
      <c r="F147" s="8"/>
      <c r="G147" s="3"/>
      <c r="L147" s="5"/>
      <c r="Q147" s="3"/>
      <c r="R147" s="5"/>
      <c r="S147" s="5">
        <v>1</v>
      </c>
      <c r="T147" s="3" t="s">
        <v>385</v>
      </c>
      <c r="V147" s="4"/>
      <c r="W147" s="3" t="s">
        <v>1499</v>
      </c>
      <c r="X147" s="56"/>
      <c r="Y147" s="3">
        <v>620004000</v>
      </c>
      <c r="Z147" s="14">
        <v>45</v>
      </c>
      <c r="AA147" s="3">
        <v>45</v>
      </c>
      <c r="AB147" s="5"/>
      <c r="AC147" s="56">
        <v>4</v>
      </c>
      <c r="AD147" s="3" t="s">
        <v>385</v>
      </c>
      <c r="AE147" s="38" t="s">
        <v>369</v>
      </c>
      <c r="AF147" s="38" t="s">
        <v>369</v>
      </c>
      <c r="AG147" s="40">
        <v>1.84E-2</v>
      </c>
      <c r="AH147" s="39"/>
      <c r="AI147" s="39"/>
      <c r="AJ147" s="39"/>
      <c r="AK147" s="39">
        <f t="shared" si="0"/>
        <v>7.3599999999999999E-2</v>
      </c>
      <c r="BA147" s="139"/>
      <c r="BB147" s="139"/>
      <c r="BC147" s="139"/>
      <c r="BD147" s="139"/>
      <c r="BE147" s="139"/>
    </row>
    <row r="148" spans="1:59" ht="15" customHeight="1" x14ac:dyDescent="0.4">
      <c r="B148" s="162" t="s">
        <v>1370</v>
      </c>
      <c r="C148" s="162"/>
      <c r="D148" s="162"/>
      <c r="E148" s="162"/>
      <c r="F148" s="162"/>
      <c r="G148" s="162"/>
      <c r="H148" s="162"/>
      <c r="I148" s="164"/>
      <c r="J148" s="165"/>
      <c r="K148" s="165"/>
      <c r="L148" s="165"/>
      <c r="M148" s="165"/>
      <c r="N148" s="165"/>
      <c r="O148" s="165"/>
      <c r="P148" s="165"/>
      <c r="Q148" s="165"/>
      <c r="R148" s="165"/>
      <c r="S148" s="166"/>
      <c r="T148" s="166"/>
      <c r="U148" s="166"/>
      <c r="V148" s="166"/>
      <c r="W148" s="166"/>
      <c r="X148" s="166"/>
      <c r="Y148" s="166"/>
      <c r="Z148" s="167"/>
      <c r="AA148" s="166"/>
      <c r="AB148" s="166"/>
      <c r="AC148" s="166"/>
      <c r="AD148" s="166"/>
      <c r="AE148" s="168"/>
      <c r="AF148" s="166"/>
      <c r="AG148" s="166"/>
      <c r="AH148" s="166"/>
      <c r="AI148" s="166"/>
      <c r="AJ148" s="166"/>
      <c r="AK148" s="169" t="e">
        <f>+SUBTOTAL(109,Accessories!#REF!)</f>
        <v>#REF!</v>
      </c>
      <c r="AL148" s="89"/>
      <c r="AN148" s="89"/>
      <c r="AO148" s="89"/>
      <c r="AP148" s="89"/>
      <c r="AQ148" s="89"/>
      <c r="AR148" s="83"/>
      <c r="AS148" s="89"/>
      <c r="BA148" s="141"/>
      <c r="BB148" s="142"/>
      <c r="BC148" s="143"/>
      <c r="BD148" s="143"/>
      <c r="BE148" s="143"/>
      <c r="BF148" s="73"/>
      <c r="BG148" s="73"/>
    </row>
    <row r="149" spans="1:59" ht="15" customHeight="1" x14ac:dyDescent="0.4">
      <c r="B149" s="161" t="s">
        <v>932</v>
      </c>
      <c r="C149" s="170"/>
      <c r="D149" s="163"/>
      <c r="E149" s="163"/>
      <c r="F149" s="163"/>
      <c r="G149" s="162"/>
      <c r="H149" s="162"/>
      <c r="I149" s="164"/>
      <c r="J149" s="165"/>
      <c r="K149" s="165"/>
      <c r="L149" s="165"/>
      <c r="M149" s="165"/>
      <c r="N149" s="165"/>
      <c r="O149" s="165"/>
      <c r="P149" s="165"/>
      <c r="Q149" s="165"/>
      <c r="R149" s="165"/>
      <c r="S149" s="166"/>
      <c r="T149" s="166"/>
      <c r="U149" s="166"/>
      <c r="V149" s="166"/>
      <c r="W149" s="166"/>
      <c r="X149" s="166"/>
      <c r="Y149" s="166"/>
      <c r="Z149" s="167"/>
      <c r="AA149" s="167"/>
      <c r="AB149" s="167"/>
      <c r="AC149" s="167"/>
      <c r="AD149" s="167"/>
      <c r="AE149" s="171"/>
      <c r="AF149" s="165"/>
      <c r="AG149" s="172"/>
      <c r="AH149" s="172"/>
      <c r="AI149" s="172"/>
      <c r="AJ149" s="172"/>
      <c r="AK149" s="169" t="e">
        <f>+SUBTOTAL(109,#REF!)</f>
        <v>#REF!</v>
      </c>
      <c r="AL149" s="110"/>
      <c r="AM149" s="110"/>
      <c r="AN149" s="110"/>
      <c r="AO149" s="110"/>
      <c r="AP149" s="110"/>
      <c r="AQ149" s="110"/>
      <c r="AR149" s="74"/>
      <c r="AS149" s="110"/>
      <c r="BA149" s="141"/>
      <c r="BB149" s="142"/>
      <c r="BC149" s="144"/>
      <c r="BD149" s="144"/>
      <c r="BE149" s="144"/>
      <c r="BF149" s="75"/>
      <c r="BG149" s="75"/>
    </row>
    <row r="150" spans="1:59" ht="15" customHeight="1" x14ac:dyDescent="0.4">
      <c r="B150" s="155"/>
      <c r="F150" s="108"/>
      <c r="G150" s="109"/>
      <c r="I150" s="443"/>
      <c r="J150" s="376"/>
      <c r="L150" s="376"/>
      <c r="R150" s="376"/>
      <c r="Y150" s="43"/>
      <c r="AC150" s="44"/>
      <c r="AD150" s="45" t="s">
        <v>454</v>
      </c>
      <c r="AE150" s="45"/>
      <c r="AF150" s="45"/>
      <c r="AG150" s="54"/>
      <c r="AH150" s="54"/>
      <c r="AI150" s="54"/>
      <c r="AJ150" s="54"/>
      <c r="AK150" s="55"/>
      <c r="AL150" s="259"/>
      <c r="AM150" s="259"/>
      <c r="AN150" s="259"/>
      <c r="AO150" s="259"/>
      <c r="AP150" s="259"/>
      <c r="AQ150" s="259"/>
      <c r="AR150" s="259"/>
      <c r="AS150" s="259"/>
      <c r="BA150" s="258"/>
      <c r="BB150" s="260"/>
      <c r="BC150" s="261"/>
      <c r="BD150" s="261"/>
      <c r="BE150" s="261"/>
      <c r="BF150" s="262"/>
      <c r="BG150" s="262"/>
    </row>
    <row r="151" spans="1:59" ht="15" customHeight="1" x14ac:dyDescent="0.4">
      <c r="B151" s="7" t="s">
        <v>1425</v>
      </c>
      <c r="D151" s="3"/>
      <c r="F151" s="108"/>
      <c r="G151" s="109"/>
      <c r="I151" s="443"/>
      <c r="J151" s="376"/>
      <c r="L151" s="376"/>
      <c r="R151" s="376"/>
      <c r="Y151" s="43"/>
      <c r="AC151" s="44"/>
      <c r="AD151" s="45" t="s">
        <v>454</v>
      </c>
      <c r="AE151" s="45"/>
      <c r="AF151" s="45"/>
      <c r="AG151" s="54"/>
      <c r="AH151" s="54"/>
      <c r="AI151" s="54"/>
      <c r="AJ151" s="54"/>
      <c r="AK151" s="55"/>
      <c r="AL151" s="259"/>
      <c r="AM151" s="259"/>
      <c r="AN151" s="259"/>
      <c r="AO151" s="259"/>
      <c r="AP151" s="259"/>
      <c r="AQ151" s="259"/>
      <c r="AR151" s="259"/>
      <c r="AS151" s="259"/>
      <c r="BA151" s="258"/>
      <c r="BB151" s="260"/>
      <c r="BC151" s="261"/>
      <c r="BD151" s="261"/>
      <c r="BE151" s="261"/>
      <c r="BF151" s="262"/>
      <c r="BG151" s="262"/>
    </row>
    <row r="152" spans="1:59" ht="15" customHeight="1" x14ac:dyDescent="0.4">
      <c r="B152" s="8"/>
      <c r="C152" s="3"/>
      <c r="F152" s="108"/>
      <c r="G152" s="108"/>
      <c r="V152" s="38"/>
      <c r="X152" s="38"/>
      <c r="Y152" s="41"/>
      <c r="AG152" s="52"/>
      <c r="AH152" s="52"/>
      <c r="AI152" s="52"/>
      <c r="AJ152" s="52"/>
      <c r="AK152" s="53"/>
      <c r="BA152" s="139"/>
      <c r="BB152" s="139"/>
      <c r="BC152" s="139"/>
      <c r="BD152" s="139"/>
      <c r="BE152" s="139"/>
    </row>
    <row r="153" spans="1:59" ht="15" customHeight="1" x14ac:dyDescent="0.4">
      <c r="B153" s="42"/>
      <c r="F153" s="108"/>
      <c r="G153" s="109"/>
      <c r="I153" s="443"/>
      <c r="J153" s="376"/>
      <c r="L153" s="376"/>
      <c r="R153" s="376"/>
      <c r="Y153" s="43"/>
      <c r="AC153" s="44"/>
      <c r="AD153" s="45" t="s">
        <v>454</v>
      </c>
      <c r="AE153" s="45"/>
      <c r="AF153" s="45"/>
      <c r="AG153" s="54"/>
      <c r="AH153" s="54"/>
      <c r="AI153" s="54"/>
      <c r="AJ153" s="54"/>
      <c r="AK153" s="55"/>
    </row>
    <row r="154" spans="1:59" ht="15" customHeight="1" x14ac:dyDescent="0.4">
      <c r="A154" s="14"/>
      <c r="B154" s="10"/>
      <c r="C154" s="11"/>
      <c r="D154" s="12"/>
      <c r="E154" s="12"/>
      <c r="F154" s="12"/>
      <c r="G154" s="13"/>
      <c r="I154" s="15"/>
      <c r="J154" s="16"/>
      <c r="K154" s="14"/>
      <c r="L154" s="16"/>
      <c r="M154" s="17"/>
      <c r="N154" s="17"/>
      <c r="O154" s="17"/>
      <c r="P154" s="17"/>
      <c r="Q154" s="17"/>
      <c r="R154" s="16"/>
      <c r="S154" s="17"/>
      <c r="T154" s="16"/>
      <c r="V154" s="14"/>
      <c r="W154" s="18"/>
      <c r="X154" s="18"/>
      <c r="Y154" s="14"/>
      <c r="AA154" s="17"/>
      <c r="AB154" s="14"/>
      <c r="AC154" s="17"/>
      <c r="AD154" s="10"/>
      <c r="AE154" s="10"/>
      <c r="AF154" s="10"/>
      <c r="AG154" s="48"/>
      <c r="AH154" s="48"/>
      <c r="AI154" s="48"/>
      <c r="AJ154" s="48"/>
      <c r="AK154" s="19"/>
    </row>
    <row r="155" spans="1:59" s="14" customFormat="1" ht="15" customHeight="1" x14ac:dyDescent="0.4">
      <c r="A155" s="3"/>
      <c r="B155" s="4"/>
      <c r="C155" s="8"/>
      <c r="D155" s="452"/>
      <c r="E155" s="452"/>
      <c r="F155" s="452"/>
      <c r="G155" s="453"/>
      <c r="H155" s="3"/>
      <c r="I155" s="443"/>
      <c r="J155" s="376"/>
      <c r="K155" s="3"/>
      <c r="L155" s="376"/>
      <c r="M155" s="5"/>
      <c r="N155" s="5"/>
      <c r="O155" s="5"/>
      <c r="P155" s="5"/>
      <c r="Q155" s="5"/>
      <c r="R155" s="376"/>
      <c r="S155" s="5"/>
      <c r="T155" s="376"/>
      <c r="U155" s="3"/>
      <c r="V155" s="3"/>
      <c r="W155" s="6"/>
      <c r="X155" s="6"/>
      <c r="Y155" s="3"/>
      <c r="Z155" s="3"/>
      <c r="AA155" s="5"/>
      <c r="AB155" s="3"/>
      <c r="AC155" s="5"/>
      <c r="AD155" s="4"/>
      <c r="AE155" s="4"/>
      <c r="AF155" s="4"/>
      <c r="AG155" s="51"/>
      <c r="AH155" s="51"/>
      <c r="AI155" s="51"/>
      <c r="AJ155" s="51"/>
      <c r="AK155" s="39"/>
      <c r="AR155" s="11"/>
      <c r="AT155" s="11"/>
    </row>
    <row r="156" spans="1:59" ht="24" customHeight="1" x14ac:dyDescent="0.4">
      <c r="B156" s="76" t="s">
        <v>1303</v>
      </c>
      <c r="D156" s="452"/>
      <c r="E156" s="452"/>
      <c r="F156" s="452"/>
      <c r="G156" s="453"/>
      <c r="H156" s="3"/>
      <c r="I156" s="443"/>
      <c r="J156" s="376"/>
      <c r="L156" s="376"/>
      <c r="M156" s="3"/>
      <c r="N156" s="3"/>
      <c r="O156" s="3"/>
      <c r="P156" s="3"/>
      <c r="Q156" s="3"/>
      <c r="R156" s="376"/>
      <c r="T156" s="376"/>
      <c r="U156" s="3"/>
      <c r="W156" s="6"/>
      <c r="X156" s="6"/>
      <c r="Z156" s="3"/>
      <c r="AA156" s="5"/>
      <c r="AD156" s="4"/>
      <c r="AE156" s="4"/>
      <c r="AF156" s="4"/>
    </row>
    <row r="157" spans="1:59" ht="15" customHeight="1" x14ac:dyDescent="0.4">
      <c r="B157" s="94" t="str">
        <f>" Glass Daylight Opening: "&amp;$S$158&amp;" W x "&amp;$S$159&amp;" H"</f>
        <v xml:space="preserve"> Glass Daylight Opening: 44.25 W x 44.25 H</v>
      </c>
      <c r="C157" s="37"/>
      <c r="D157" s="37"/>
      <c r="E157" s="37"/>
      <c r="F157" s="37"/>
      <c r="G157" s="37"/>
      <c r="H157" s="59"/>
      <c r="I157" s="59"/>
      <c r="J157" s="59"/>
      <c r="K157" s="59"/>
      <c r="L157" s="59"/>
      <c r="M157" s="60"/>
      <c r="N157" s="60"/>
      <c r="O157" s="60"/>
      <c r="P157" s="60"/>
      <c r="Q157" s="60"/>
      <c r="R157" s="65"/>
      <c r="S157" s="60"/>
      <c r="T157" s="65"/>
      <c r="U157" s="59"/>
      <c r="V157" s="67"/>
      <c r="W157" s="59"/>
      <c r="X157" s="67"/>
      <c r="Y157" s="68"/>
      <c r="Z157" s="59"/>
      <c r="AA157" s="59"/>
      <c r="AB157" s="69"/>
      <c r="AC157" s="60"/>
      <c r="AD157" s="60"/>
      <c r="AE157" s="60"/>
      <c r="AF157" s="60"/>
      <c r="AG157" s="70"/>
      <c r="AH157" s="70"/>
      <c r="AI157" s="70"/>
      <c r="AJ157" s="70"/>
      <c r="AK157" s="71"/>
    </row>
    <row r="158" spans="1:59" ht="13.2" x14ac:dyDescent="0.25">
      <c r="A158" s="95" t="s">
        <v>1194</v>
      </c>
      <c r="B158" s="79"/>
      <c r="C158" s="358" t="s">
        <v>1194</v>
      </c>
      <c r="D158" s="270"/>
      <c r="E158" s="272"/>
      <c r="F158" s="526"/>
      <c r="G158" s="527"/>
      <c r="H158" s="438"/>
      <c r="I158" s="124" t="s">
        <v>392</v>
      </c>
      <c r="J158" s="528"/>
      <c r="K158" s="438"/>
      <c r="L158" s="528" t="s">
        <v>348</v>
      </c>
      <c r="M158" s="304">
        <v>-3.25</v>
      </c>
      <c r="N158" s="530"/>
      <c r="O158" s="530"/>
      <c r="P158" s="530"/>
      <c r="Q158" s="530"/>
      <c r="R158" s="528" t="s">
        <v>352</v>
      </c>
      <c r="S158" s="530">
        <f>FWWidth+M158</f>
        <v>44.25</v>
      </c>
      <c r="T158" s="528" t="s">
        <v>366</v>
      </c>
      <c r="U158" s="3"/>
      <c r="Z158" s="3"/>
      <c r="AD158" s="4"/>
      <c r="AE158" s="4"/>
      <c r="AF158" s="4"/>
      <c r="AH158" s="39"/>
      <c r="AI158" s="39"/>
      <c r="AJ158" s="39"/>
    </row>
    <row r="159" spans="1:59" ht="15" customHeight="1" x14ac:dyDescent="0.25">
      <c r="A159" s="95" t="s">
        <v>1195</v>
      </c>
      <c r="B159" s="79"/>
      <c r="C159" s="358" t="s">
        <v>1195</v>
      </c>
      <c r="D159" s="270"/>
      <c r="E159" s="272"/>
      <c r="F159" s="526"/>
      <c r="G159" s="527"/>
      <c r="H159" s="438"/>
      <c r="I159" s="124" t="s">
        <v>365</v>
      </c>
      <c r="J159" s="528"/>
      <c r="K159" s="438"/>
      <c r="L159" s="528" t="s">
        <v>348</v>
      </c>
      <c r="M159" s="304">
        <v>-3.25</v>
      </c>
      <c r="N159" s="530"/>
      <c r="O159" s="530"/>
      <c r="P159" s="530"/>
      <c r="Q159" s="530"/>
      <c r="R159" s="528" t="s">
        <v>352</v>
      </c>
      <c r="S159" s="530">
        <f>FWHeight+M159</f>
        <v>44.25</v>
      </c>
      <c r="T159" s="528" t="s">
        <v>366</v>
      </c>
      <c r="U159" s="3"/>
      <c r="Z159" s="3"/>
      <c r="AD159" s="4"/>
      <c r="AE159" s="4"/>
      <c r="AF159" s="4"/>
      <c r="AH159" s="39"/>
      <c r="AI159" s="39"/>
      <c r="AJ159" s="39"/>
    </row>
    <row r="160" spans="1:59" ht="15" customHeight="1" x14ac:dyDescent="0.25">
      <c r="B160" s="263"/>
      <c r="C160" s="359" t="s">
        <v>1198</v>
      </c>
      <c r="D160" s="271"/>
      <c r="E160" s="273"/>
      <c r="F160" s="264"/>
      <c r="G160" s="265"/>
      <c r="H160" s="266"/>
      <c r="I160" s="267" t="s">
        <v>392</v>
      </c>
      <c r="J160" s="268"/>
      <c r="K160" s="266"/>
      <c r="L160" s="268" t="s">
        <v>348</v>
      </c>
      <c r="M160" s="304">
        <v>-4.125</v>
      </c>
      <c r="N160" s="269"/>
      <c r="O160" s="269"/>
      <c r="P160" s="269"/>
      <c r="Q160" s="269"/>
      <c r="R160" s="268" t="s">
        <v>352</v>
      </c>
      <c r="S160" s="269">
        <f>FWWidth+M160</f>
        <v>43.375</v>
      </c>
      <c r="T160" s="268" t="s">
        <v>366</v>
      </c>
      <c r="U160" s="3"/>
      <c r="Z160" s="3"/>
      <c r="AD160" s="4"/>
      <c r="AE160" s="4"/>
      <c r="AF160" s="4"/>
    </row>
    <row r="161" spans="2:36" ht="15" customHeight="1" x14ac:dyDescent="0.25">
      <c r="B161" s="79"/>
      <c r="C161" s="358" t="s">
        <v>1199</v>
      </c>
      <c r="D161" s="270"/>
      <c r="E161" s="272"/>
      <c r="F161" s="526"/>
      <c r="G161" s="527"/>
      <c r="H161" s="438"/>
      <c r="I161" s="124" t="s">
        <v>365</v>
      </c>
      <c r="J161" s="528"/>
      <c r="K161" s="438"/>
      <c r="L161" s="528" t="s">
        <v>348</v>
      </c>
      <c r="M161" s="304">
        <v>-4.125</v>
      </c>
      <c r="N161" s="530"/>
      <c r="O161" s="530"/>
      <c r="P161" s="530"/>
      <c r="Q161" s="530"/>
      <c r="R161" s="528" t="s">
        <v>352</v>
      </c>
      <c r="S161" s="530">
        <f>FWHeight+M161</f>
        <v>43.375</v>
      </c>
      <c r="T161" s="528" t="s">
        <v>366</v>
      </c>
      <c r="U161" s="3"/>
      <c r="Z161" s="3"/>
      <c r="AD161" s="4"/>
      <c r="AE161" s="4"/>
      <c r="AF161" s="4"/>
      <c r="AH161" s="39"/>
      <c r="AI161" s="39"/>
      <c r="AJ161" s="39"/>
    </row>
    <row r="162" spans="2:36" ht="15" customHeight="1" x14ac:dyDescent="0.25">
      <c r="B162" s="79"/>
      <c r="C162" s="358" t="s">
        <v>1022</v>
      </c>
      <c r="D162" s="526"/>
      <c r="E162" s="526"/>
      <c r="F162" s="526"/>
      <c r="G162" s="527"/>
      <c r="H162" s="438"/>
      <c r="I162" s="124" t="s">
        <v>1023</v>
      </c>
      <c r="J162" s="528"/>
      <c r="K162" s="438"/>
      <c r="L162" s="225" t="s">
        <v>346</v>
      </c>
      <c r="M162" s="125">
        <v>144</v>
      </c>
      <c r="N162" s="530"/>
      <c r="O162" s="530"/>
      <c r="P162" s="530"/>
      <c r="Q162" s="530"/>
      <c r="R162" s="528" t="s">
        <v>352</v>
      </c>
      <c r="S162" s="528">
        <f>S160*S161/M162</f>
        <v>13.065212673611111</v>
      </c>
      <c r="T162" s="528" t="s">
        <v>1208</v>
      </c>
      <c r="U162" s="3"/>
      <c r="Z162" s="3"/>
      <c r="AD162" s="4"/>
      <c r="AE162" s="4"/>
      <c r="AF162" s="4"/>
      <c r="AH162" s="39"/>
      <c r="AI162" s="39"/>
      <c r="AJ162" s="39"/>
    </row>
    <row r="163" spans="2:36" ht="25.5" customHeight="1" x14ac:dyDescent="0.25">
      <c r="B163" s="3"/>
      <c r="C163" s="300"/>
      <c r="D163" s="122"/>
      <c r="E163" s="122"/>
      <c r="F163" s="122"/>
      <c r="G163" s="123"/>
      <c r="H163" s="3"/>
      <c r="I163" s="443"/>
      <c r="J163" s="376"/>
      <c r="L163" s="376"/>
      <c r="R163" s="376"/>
      <c r="T163" s="376"/>
      <c r="U163" s="3"/>
      <c r="W163" s="6"/>
      <c r="X163" s="6"/>
      <c r="Z163" s="3"/>
      <c r="AA163" s="5"/>
      <c r="AD163" s="4"/>
      <c r="AE163" s="4"/>
      <c r="AF163" s="4"/>
      <c r="AH163" s="39"/>
      <c r="AI163" s="39"/>
      <c r="AJ163" s="39"/>
    </row>
    <row r="164" spans="2:36" ht="15" customHeight="1" x14ac:dyDescent="0.4">
      <c r="B164" s="76" t="s">
        <v>1035</v>
      </c>
      <c r="C164" s="299"/>
      <c r="D164" s="452"/>
      <c r="E164" s="452"/>
      <c r="F164" s="452"/>
      <c r="G164" s="453"/>
      <c r="H164" s="3"/>
      <c r="I164" s="443"/>
      <c r="J164" s="376"/>
      <c r="L164" s="376"/>
      <c r="R164" s="376"/>
      <c r="T164" s="376"/>
      <c r="U164" s="3"/>
      <c r="W164" s="6"/>
      <c r="X164" s="6"/>
      <c r="Z164" s="3"/>
      <c r="AA164" s="5"/>
      <c r="AD164" s="4"/>
      <c r="AE164" s="4"/>
      <c r="AF164" s="4"/>
    </row>
    <row r="165" spans="2:36" ht="15" customHeight="1" x14ac:dyDescent="0.25">
      <c r="B165" s="221" t="s">
        <v>1036</v>
      </c>
      <c r="C165" s="301"/>
      <c r="D165" s="222"/>
      <c r="E165" s="222"/>
      <c r="F165" s="222"/>
      <c r="G165" s="453"/>
      <c r="H165" s="3"/>
      <c r="I165" s="443"/>
      <c r="J165" s="376"/>
      <c r="L165" s="376"/>
      <c r="R165" s="376"/>
      <c r="T165" s="376"/>
      <c r="U165" s="3"/>
      <c r="W165" s="6"/>
      <c r="X165" s="6"/>
      <c r="Z165" s="3"/>
      <c r="AA165" s="5"/>
      <c r="AD165" s="4"/>
      <c r="AE165" s="4"/>
      <c r="AF165" s="4"/>
      <c r="AH165" s="39"/>
      <c r="AI165" s="39"/>
      <c r="AJ165" s="39"/>
    </row>
    <row r="166" spans="2:36" ht="15" customHeight="1" x14ac:dyDescent="0.25">
      <c r="B166" s="130" t="s">
        <v>1037</v>
      </c>
      <c r="C166" s="298" t="s">
        <v>1201</v>
      </c>
      <c r="D166" s="122"/>
      <c r="E166" s="122"/>
      <c r="F166" s="122"/>
      <c r="G166" s="304">
        <v>1.625</v>
      </c>
      <c r="H166" s="3"/>
      <c r="I166" s="443"/>
      <c r="J166" s="376"/>
      <c r="L166" s="376"/>
      <c r="R166" s="376"/>
      <c r="T166" s="376"/>
      <c r="U166" s="3"/>
      <c r="W166" s="6"/>
      <c r="X166" s="6"/>
      <c r="Z166" s="3"/>
      <c r="AA166" s="5"/>
      <c r="AD166" s="4"/>
      <c r="AE166" s="4"/>
      <c r="AF166" s="4"/>
      <c r="AH166" s="39"/>
      <c r="AI166" s="39"/>
      <c r="AJ166" s="39"/>
    </row>
    <row r="167" spans="2:36" ht="15" customHeight="1" x14ac:dyDescent="0.25">
      <c r="B167" s="130" t="s">
        <v>1039</v>
      </c>
      <c r="C167" s="298" t="s">
        <v>1202</v>
      </c>
      <c r="D167" s="122"/>
      <c r="E167" s="122"/>
      <c r="F167" s="122"/>
      <c r="G167" s="304">
        <v>1.625</v>
      </c>
      <c r="H167" s="3"/>
      <c r="I167" s="443"/>
      <c r="J167" s="376"/>
      <c r="L167" s="376"/>
      <c r="R167" s="376"/>
      <c r="T167" s="376"/>
      <c r="U167" s="3"/>
      <c r="W167" s="6"/>
      <c r="X167" s="6"/>
      <c r="Z167" s="3"/>
      <c r="AA167" s="5"/>
      <c r="AD167" s="4"/>
      <c r="AE167" s="4"/>
      <c r="AF167" s="4"/>
      <c r="AH167" s="39"/>
      <c r="AI167" s="39"/>
      <c r="AJ167" s="39"/>
    </row>
    <row r="168" spans="2:36" ht="15" customHeight="1" x14ac:dyDescent="0.25">
      <c r="B168" s="219" t="s">
        <v>1041</v>
      </c>
      <c r="C168" s="302" t="s">
        <v>1203</v>
      </c>
      <c r="D168" s="220"/>
      <c r="E168" s="220"/>
      <c r="F168" s="220"/>
      <c r="G168" s="304">
        <v>1.625</v>
      </c>
      <c r="H168" s="3"/>
      <c r="I168" s="443"/>
      <c r="J168" s="376"/>
      <c r="L168" s="376"/>
      <c r="R168" s="376"/>
      <c r="T168" s="376"/>
      <c r="U168" s="3"/>
      <c r="W168" s="6"/>
      <c r="X168" s="6"/>
      <c r="Z168" s="3"/>
      <c r="AA168" s="5"/>
      <c r="AD168" s="4"/>
      <c r="AE168" s="4"/>
      <c r="AF168" s="4"/>
    </row>
    <row r="169" spans="2:36" ht="15" customHeight="1" x14ac:dyDescent="0.4">
      <c r="B169"/>
      <c r="C169"/>
      <c r="D169"/>
      <c r="E169"/>
      <c r="F169"/>
      <c r="G169" s="78"/>
      <c r="H169" s="3"/>
      <c r="I169" s="443"/>
      <c r="J169" s="376"/>
      <c r="L169" s="376"/>
      <c r="R169" s="376"/>
      <c r="T169" s="376"/>
      <c r="U169" s="3"/>
      <c r="W169" s="6"/>
      <c r="X169" s="6"/>
      <c r="Z169" s="3"/>
      <c r="AA169" s="5"/>
      <c r="AD169" s="4"/>
      <c r="AE169" s="4"/>
      <c r="AF169" s="4"/>
      <c r="AH169" s="39"/>
      <c r="AI169" s="39"/>
      <c r="AJ169" s="39"/>
    </row>
    <row r="170" spans="2:36" ht="15" customHeight="1" x14ac:dyDescent="0.25">
      <c r="B170" s="221" t="s">
        <v>1047</v>
      </c>
      <c r="C170" s="301"/>
      <c r="D170" s="222"/>
      <c r="E170" s="222"/>
      <c r="F170" s="222"/>
      <c r="G170" s="223"/>
      <c r="H170" s="3"/>
      <c r="I170" s="443"/>
      <c r="J170" s="376"/>
      <c r="L170" s="376"/>
      <c r="R170" s="376"/>
      <c r="T170" s="376"/>
      <c r="U170" s="3"/>
      <c r="W170" s="6"/>
      <c r="X170" s="6"/>
      <c r="Z170" s="3"/>
      <c r="AA170" s="5"/>
      <c r="AD170" s="4"/>
      <c r="AE170" s="4"/>
      <c r="AF170" s="4"/>
      <c r="AH170" s="39"/>
      <c r="AI170" s="39"/>
      <c r="AJ170" s="39"/>
    </row>
    <row r="171" spans="2:36" ht="15" customHeight="1" x14ac:dyDescent="0.25">
      <c r="B171" s="130" t="s">
        <v>1048</v>
      </c>
      <c r="C171" s="298" t="s">
        <v>1204</v>
      </c>
      <c r="D171" s="122"/>
      <c r="E171" s="122"/>
      <c r="F171" s="122"/>
      <c r="G171" s="304">
        <v>0.438</v>
      </c>
      <c r="H171" s="3"/>
      <c r="I171" s="443"/>
      <c r="J171" s="376"/>
      <c r="L171" s="376"/>
      <c r="R171" s="376"/>
      <c r="T171" s="376"/>
      <c r="U171" s="3"/>
      <c r="W171" s="6"/>
      <c r="X171" s="6"/>
      <c r="Z171" s="3"/>
      <c r="AA171" s="5"/>
      <c r="AD171" s="4"/>
      <c r="AE171" s="4"/>
      <c r="AF171" s="4"/>
      <c r="AH171" s="39"/>
      <c r="AI171" s="39"/>
      <c r="AJ171" s="39"/>
    </row>
    <row r="172" spans="2:36" ht="15" customHeight="1" x14ac:dyDescent="0.25">
      <c r="B172" s="130" t="s">
        <v>1050</v>
      </c>
      <c r="C172" s="298" t="s">
        <v>1205</v>
      </c>
      <c r="D172" s="122"/>
      <c r="E172" s="122"/>
      <c r="F172" s="122"/>
      <c r="G172" s="304">
        <v>0.438</v>
      </c>
      <c r="H172" s="3"/>
      <c r="I172" s="443"/>
      <c r="J172" s="376"/>
      <c r="L172" s="376"/>
      <c r="R172" s="376"/>
      <c r="T172" s="376"/>
      <c r="U172" s="3"/>
      <c r="W172" s="6"/>
      <c r="X172" s="6"/>
      <c r="Z172" s="3"/>
      <c r="AA172" s="5"/>
      <c r="AD172" s="4"/>
      <c r="AE172" s="4"/>
      <c r="AF172" s="4"/>
    </row>
    <row r="173" spans="2:36" ht="15" customHeight="1" x14ac:dyDescent="0.25">
      <c r="B173" s="219" t="s">
        <v>1052</v>
      </c>
      <c r="C173" s="302" t="s">
        <v>1206</v>
      </c>
      <c r="D173" s="220"/>
      <c r="E173" s="220"/>
      <c r="F173" s="220"/>
      <c r="G173" s="304">
        <v>0.438</v>
      </c>
      <c r="H173" s="3"/>
      <c r="I173" s="443"/>
      <c r="J173" s="376"/>
      <c r="L173" s="376"/>
      <c r="R173" s="376"/>
      <c r="T173" s="376"/>
      <c r="U173" s="3"/>
      <c r="W173" s="6"/>
      <c r="X173" s="6"/>
      <c r="Z173" s="3"/>
      <c r="AA173" s="5"/>
      <c r="AD173" s="4"/>
      <c r="AE173" s="4"/>
      <c r="AF173" s="4"/>
      <c r="AH173" s="39"/>
      <c r="AI173" s="39"/>
      <c r="AJ173" s="39"/>
    </row>
    <row r="174" spans="2:36" ht="15" customHeight="1" x14ac:dyDescent="0.25">
      <c r="B174" s="3"/>
      <c r="C174" s="303"/>
      <c r="D174" s="452"/>
      <c r="E174" s="452"/>
      <c r="F174" s="452"/>
      <c r="G174" s="453"/>
      <c r="H174" s="3"/>
      <c r="I174" s="443"/>
      <c r="J174" s="376"/>
      <c r="L174" s="376"/>
      <c r="R174" s="376"/>
      <c r="T174" s="376"/>
      <c r="U174" s="3"/>
      <c r="W174" s="6"/>
      <c r="X174" s="6"/>
      <c r="Z174" s="3"/>
      <c r="AA174" s="5"/>
      <c r="AD174" s="4"/>
      <c r="AE174" s="4"/>
      <c r="AF174" s="4"/>
      <c r="AH174" s="39"/>
      <c r="AI174" s="39"/>
      <c r="AJ174" s="39"/>
    </row>
    <row r="175" spans="2:36" ht="15" customHeight="1" x14ac:dyDescent="0.25">
      <c r="B175" s="3"/>
      <c r="C175" s="303"/>
      <c r="D175" s="452"/>
      <c r="E175" s="452"/>
      <c r="F175" s="452"/>
      <c r="G175" s="453"/>
      <c r="H175" s="3"/>
      <c r="I175" s="443"/>
      <c r="J175" s="376"/>
      <c r="L175" s="376"/>
      <c r="R175" s="376"/>
      <c r="T175" s="376"/>
      <c r="U175" s="3"/>
      <c r="W175" s="6"/>
      <c r="X175" s="6"/>
      <c r="Z175" s="3"/>
      <c r="AA175" s="5"/>
      <c r="AD175" s="4"/>
      <c r="AE175" s="4"/>
      <c r="AF175" s="4"/>
      <c r="AH175" s="39"/>
      <c r="AI175" s="39"/>
      <c r="AJ175" s="39"/>
    </row>
    <row r="176" spans="2:36" ht="15" customHeight="1" x14ac:dyDescent="0.25">
      <c r="B176" s="3"/>
      <c r="C176" s="303"/>
      <c r="D176" s="452"/>
      <c r="E176" s="452"/>
      <c r="F176" s="452"/>
      <c r="G176" s="453"/>
      <c r="H176" s="3"/>
      <c r="I176" s="443"/>
      <c r="J176" s="376"/>
      <c r="L176" s="376"/>
      <c r="R176" s="376"/>
      <c r="T176" s="376"/>
      <c r="U176" s="3"/>
      <c r="W176" s="6"/>
      <c r="X176" s="6"/>
      <c r="Z176" s="3"/>
      <c r="AA176" s="5"/>
      <c r="AD176" s="4"/>
      <c r="AE176" s="4"/>
      <c r="AF176" s="4"/>
    </row>
    <row r="177" spans="2:36" ht="15" customHeight="1" x14ac:dyDescent="0.25">
      <c r="B177" s="3"/>
      <c r="C177" s="303"/>
      <c r="D177" s="452"/>
      <c r="E177" s="452"/>
      <c r="F177" s="452"/>
      <c r="G177" s="453"/>
      <c r="H177" s="3"/>
      <c r="I177" s="443"/>
      <c r="J177" s="376"/>
      <c r="L177" s="376"/>
      <c r="R177" s="376"/>
      <c r="T177" s="376"/>
      <c r="U177" s="3"/>
      <c r="W177" s="6"/>
      <c r="X177" s="6"/>
      <c r="Z177" s="3"/>
      <c r="AA177" s="5"/>
      <c r="AD177" s="4"/>
      <c r="AE177" s="4"/>
      <c r="AF177" s="4"/>
      <c r="AH177" s="39"/>
      <c r="AI177" s="39"/>
      <c r="AJ177" s="39"/>
    </row>
    <row r="178" spans="2:36" ht="15" customHeight="1" x14ac:dyDescent="0.25">
      <c r="B178" s="3"/>
      <c r="C178" s="303"/>
      <c r="D178" s="452"/>
      <c r="E178" s="452"/>
      <c r="F178" s="452"/>
      <c r="G178" s="453"/>
      <c r="H178" s="3"/>
      <c r="I178" s="443"/>
      <c r="J178" s="376"/>
      <c r="L178" s="376"/>
      <c r="R178" s="376"/>
      <c r="T178" s="376"/>
      <c r="U178" s="3"/>
      <c r="W178" s="6"/>
      <c r="X178" s="6"/>
      <c r="Z178" s="3"/>
      <c r="AA178" s="5"/>
      <c r="AD178" s="4"/>
      <c r="AE178" s="4"/>
      <c r="AF178" s="4"/>
      <c r="AH178" s="39"/>
      <c r="AI178" s="39"/>
      <c r="AJ178" s="39"/>
    </row>
    <row r="179" spans="2:36" ht="15" customHeight="1" x14ac:dyDescent="0.4">
      <c r="H179" s="3"/>
      <c r="U179" s="3"/>
      <c r="Z179" s="3"/>
      <c r="AH179" s="39"/>
      <c r="AI179" s="39"/>
      <c r="AJ179" s="39"/>
    </row>
    <row r="180" spans="2:36" ht="15" customHeight="1" x14ac:dyDescent="0.4">
      <c r="H180" s="3"/>
      <c r="U180" s="3"/>
      <c r="Z180" s="3"/>
    </row>
    <row r="181" spans="2:36" ht="15" customHeight="1" x14ac:dyDescent="0.4">
      <c r="H181" s="3"/>
      <c r="U181" s="3"/>
      <c r="Z181" s="3"/>
      <c r="AH181" s="39"/>
      <c r="AI181" s="39"/>
      <c r="AJ181" s="39"/>
    </row>
    <row r="182" spans="2:36" ht="15" customHeight="1" x14ac:dyDescent="0.4">
      <c r="H182" s="3"/>
      <c r="U182" s="3"/>
      <c r="Z182" s="3"/>
      <c r="AH182" s="39"/>
      <c r="AI182" s="39"/>
      <c r="AJ182" s="39"/>
    </row>
    <row r="183" spans="2:36" ht="15" customHeight="1" x14ac:dyDescent="0.4">
      <c r="H183" s="3"/>
      <c r="U183" s="3"/>
      <c r="Z183" s="3"/>
      <c r="AH183" s="39"/>
      <c r="AI183" s="39"/>
      <c r="AJ183" s="39"/>
    </row>
    <row r="184" spans="2:36" ht="15" customHeight="1" x14ac:dyDescent="0.4">
      <c r="H184" s="3"/>
      <c r="U184" s="3"/>
      <c r="Z184" s="3"/>
      <c r="AH184" s="159"/>
      <c r="AI184" s="159"/>
      <c r="AJ184" s="159"/>
    </row>
    <row r="185" spans="2:36" ht="15" customHeight="1" x14ac:dyDescent="0.4">
      <c r="H185" s="3"/>
      <c r="U185" s="3"/>
      <c r="Z185" s="3"/>
      <c r="AH185" s="3"/>
      <c r="AI185" s="3"/>
      <c r="AJ185" s="3"/>
    </row>
    <row r="186" spans="2:36" ht="15" customHeight="1" x14ac:dyDescent="0.4">
      <c r="H186" s="3"/>
      <c r="U186" s="3"/>
      <c r="Z186" s="3"/>
      <c r="AH186" s="39"/>
      <c r="AI186" s="39"/>
      <c r="AJ186" s="39"/>
    </row>
    <row r="187" spans="2:36" ht="15" customHeight="1" x14ac:dyDescent="0.4">
      <c r="H187" s="3"/>
      <c r="U187" s="3"/>
      <c r="Z187" s="3"/>
    </row>
    <row r="188" spans="2:36" ht="15" customHeight="1" x14ac:dyDescent="0.4">
      <c r="H188" s="3"/>
      <c r="U188" s="3"/>
      <c r="Z188" s="3"/>
    </row>
    <row r="189" spans="2:36" ht="15" customHeight="1" x14ac:dyDescent="0.4">
      <c r="H189" s="3"/>
      <c r="U189" s="3"/>
      <c r="Z189" s="3"/>
      <c r="AH189" s="39"/>
      <c r="AI189" s="39"/>
      <c r="AJ189" s="39"/>
    </row>
    <row r="190" spans="2:36" ht="15" customHeight="1" x14ac:dyDescent="0.4">
      <c r="H190" s="3"/>
      <c r="U190" s="3"/>
      <c r="Z190" s="3"/>
      <c r="AH190" s="39"/>
      <c r="AI190" s="39"/>
      <c r="AJ190" s="39"/>
    </row>
    <row r="191" spans="2:36" ht="15" customHeight="1" x14ac:dyDescent="0.4">
      <c r="H191" s="3"/>
      <c r="U191" s="3"/>
      <c r="Z191" s="3"/>
      <c r="AH191" s="39"/>
      <c r="AI191" s="39"/>
      <c r="AJ191" s="39"/>
    </row>
    <row r="193" spans="26:37" ht="15" customHeight="1" x14ac:dyDescent="0.4">
      <c r="AH193" s="39"/>
      <c r="AI193" s="39"/>
      <c r="AJ193" s="39"/>
    </row>
    <row r="194" spans="26:37" ht="15" customHeight="1" x14ac:dyDescent="0.4">
      <c r="AH194" s="39"/>
      <c r="AI194" s="39"/>
      <c r="AJ194" s="39"/>
    </row>
    <row r="195" spans="26:37" ht="15" customHeight="1" x14ac:dyDescent="0.4">
      <c r="AH195" s="39"/>
      <c r="AI195" s="39"/>
      <c r="AJ195" s="39"/>
    </row>
    <row r="196" spans="26:37" ht="15" customHeight="1" x14ac:dyDescent="0.4">
      <c r="AH196" s="39"/>
      <c r="AI196" s="39"/>
      <c r="AJ196" s="39"/>
    </row>
    <row r="197" spans="26:37" ht="15" customHeight="1" x14ac:dyDescent="0.4">
      <c r="Z197" s="3"/>
      <c r="AA197" s="5"/>
      <c r="AB197" s="5"/>
      <c r="AE197" s="51"/>
      <c r="AF197" s="39"/>
      <c r="AG197" s="5"/>
      <c r="AH197" s="39"/>
      <c r="AI197" s="39"/>
      <c r="AJ197" s="39"/>
      <c r="AK197" s="3"/>
    </row>
    <row r="198" spans="26:37" ht="15" customHeight="1" x14ac:dyDescent="0.4">
      <c r="Z198" s="3"/>
      <c r="AA198" s="5"/>
      <c r="AB198" s="5"/>
      <c r="AE198" s="51"/>
      <c r="AF198" s="39"/>
      <c r="AG198" s="5"/>
      <c r="AH198" s="39"/>
      <c r="AI198" s="39"/>
      <c r="AJ198" s="39"/>
      <c r="AK198" s="3"/>
    </row>
    <row r="199" spans="26:37" ht="15" customHeight="1" x14ac:dyDescent="0.4">
      <c r="AH199" s="39"/>
      <c r="AI199" s="39"/>
      <c r="AJ199" s="39"/>
    </row>
    <row r="200" spans="26:37" ht="15" customHeight="1" x14ac:dyDescent="0.4">
      <c r="AH200" s="39"/>
      <c r="AI200" s="39"/>
      <c r="AJ200" s="39"/>
    </row>
    <row r="201" spans="26:37" ht="15" customHeight="1" x14ac:dyDescent="0.4">
      <c r="AH201" s="39"/>
      <c r="AI201" s="39"/>
      <c r="AJ201" s="39"/>
    </row>
    <row r="202" spans="26:37" ht="15" customHeight="1" x14ac:dyDescent="0.4">
      <c r="AH202" s="39"/>
      <c r="AI202" s="39"/>
      <c r="AJ202" s="39"/>
    </row>
    <row r="203" spans="26:37" ht="15" customHeight="1" x14ac:dyDescent="0.4">
      <c r="AH203" s="39"/>
      <c r="AI203" s="39"/>
      <c r="AJ203" s="39"/>
    </row>
    <row r="204" spans="26:37" ht="15" customHeight="1" x14ac:dyDescent="0.4">
      <c r="AH204" s="39"/>
      <c r="AI204" s="39"/>
      <c r="AJ204" s="39"/>
    </row>
    <row r="205" spans="26:37" ht="15" customHeight="1" x14ac:dyDescent="0.4">
      <c r="AH205" s="39"/>
      <c r="AI205" s="39"/>
      <c r="AJ205" s="39"/>
    </row>
    <row r="206" spans="26:37" ht="15" customHeight="1" x14ac:dyDescent="0.4">
      <c r="AH206" s="39"/>
      <c r="AI206" s="39"/>
      <c r="AJ206" s="39"/>
    </row>
    <row r="207" spans="26:37" ht="15" customHeight="1" x14ac:dyDescent="0.4">
      <c r="AH207" s="39"/>
      <c r="AI207" s="39"/>
      <c r="AJ207" s="39"/>
    </row>
    <row r="208" spans="26:37" ht="15" customHeight="1" x14ac:dyDescent="0.4">
      <c r="AH208" s="39"/>
      <c r="AI208" s="39"/>
      <c r="AJ208" s="39"/>
    </row>
    <row r="209" spans="34:36" ht="15" customHeight="1" x14ac:dyDescent="0.4">
      <c r="AH209" s="39"/>
      <c r="AI209" s="39"/>
      <c r="AJ209" s="39"/>
    </row>
    <row r="211" spans="34:36" ht="15" customHeight="1" x14ac:dyDescent="0.4">
      <c r="AH211" s="39"/>
      <c r="AI211" s="39"/>
      <c r="AJ211" s="39"/>
    </row>
    <row r="212" spans="34:36" ht="15" customHeight="1" x14ac:dyDescent="0.4">
      <c r="AH212" s="39"/>
      <c r="AI212" s="39"/>
      <c r="AJ212" s="39"/>
    </row>
    <row r="213" spans="34:36" ht="15" customHeight="1" x14ac:dyDescent="0.4">
      <c r="AH213" s="39"/>
      <c r="AI213" s="39"/>
      <c r="AJ213" s="39"/>
    </row>
    <row r="215" spans="34:36" ht="15" customHeight="1" x14ac:dyDescent="0.4">
      <c r="AH215" s="39"/>
      <c r="AI215" s="39"/>
      <c r="AJ215" s="39"/>
    </row>
    <row r="216" spans="34:36" ht="15" customHeight="1" x14ac:dyDescent="0.4">
      <c r="AH216" s="39"/>
      <c r="AI216" s="39"/>
      <c r="AJ216" s="39"/>
    </row>
    <row r="217" spans="34:36" ht="15" customHeight="1" x14ac:dyDescent="0.4">
      <c r="AH217" s="39"/>
      <c r="AI217" s="39"/>
      <c r="AJ217" s="39"/>
    </row>
    <row r="218" spans="34:36" ht="15" customHeight="1" x14ac:dyDescent="0.4">
      <c r="AH218" s="39"/>
      <c r="AI218" s="39"/>
      <c r="AJ218" s="39"/>
    </row>
    <row r="219" spans="34:36" ht="15" customHeight="1" x14ac:dyDescent="0.4">
      <c r="AH219" s="39"/>
      <c r="AI219" s="39"/>
      <c r="AJ219" s="39"/>
    </row>
    <row r="220" spans="34:36" ht="15" customHeight="1" x14ac:dyDescent="0.4">
      <c r="AH220" s="39"/>
      <c r="AI220" s="39"/>
      <c r="AJ220" s="39"/>
    </row>
    <row r="221" spans="34:36" ht="15" customHeight="1" x14ac:dyDescent="0.4">
      <c r="AH221" s="39"/>
      <c r="AI221" s="39"/>
      <c r="AJ221" s="39"/>
    </row>
    <row r="222" spans="34:36" ht="15" customHeight="1" x14ac:dyDescent="0.4">
      <c r="AH222" s="39"/>
      <c r="AI222" s="39"/>
      <c r="AJ222" s="39"/>
    </row>
    <row r="223" spans="34:36" ht="15" customHeight="1" x14ac:dyDescent="0.4">
      <c r="AH223" s="39"/>
      <c r="AI223" s="39"/>
      <c r="AJ223" s="39"/>
    </row>
    <row r="224" spans="34:36" ht="15" customHeight="1" x14ac:dyDescent="0.4">
      <c r="AH224" s="39"/>
      <c r="AI224" s="39"/>
      <c r="AJ224" s="39"/>
    </row>
    <row r="225" spans="34:36" ht="15" customHeight="1" x14ac:dyDescent="0.4">
      <c r="AH225" s="39"/>
      <c r="AI225" s="39"/>
      <c r="AJ225" s="39"/>
    </row>
    <row r="226" spans="34:36" ht="15" customHeight="1" x14ac:dyDescent="0.4">
      <c r="AH226" s="39"/>
      <c r="AI226" s="39"/>
      <c r="AJ226" s="39"/>
    </row>
    <row r="227" spans="34:36" ht="15" customHeight="1" x14ac:dyDescent="0.4">
      <c r="AH227" s="39"/>
      <c r="AI227" s="39"/>
      <c r="AJ227" s="39"/>
    </row>
    <row r="228" spans="34:36" ht="15" customHeight="1" x14ac:dyDescent="0.4">
      <c r="AH228" s="39"/>
      <c r="AI228" s="39"/>
      <c r="AJ228" s="39"/>
    </row>
    <row r="229" spans="34:36" ht="15" customHeight="1" x14ac:dyDescent="0.4">
      <c r="AH229" s="39"/>
      <c r="AI229" s="39"/>
      <c r="AJ229" s="39"/>
    </row>
    <row r="230" spans="34:36" ht="15" customHeight="1" x14ac:dyDescent="0.4">
      <c r="AH230" s="39"/>
      <c r="AI230" s="39"/>
      <c r="AJ230" s="39"/>
    </row>
    <row r="231" spans="34:36" ht="15" customHeight="1" x14ac:dyDescent="0.4">
      <c r="AH231" s="39"/>
      <c r="AI231" s="39"/>
      <c r="AJ231" s="39"/>
    </row>
    <row r="232" spans="34:36" ht="15" customHeight="1" x14ac:dyDescent="0.4">
      <c r="AH232" s="39"/>
      <c r="AI232" s="39"/>
      <c r="AJ232" s="39"/>
    </row>
    <row r="233" spans="34:36" ht="15" customHeight="1" x14ac:dyDescent="0.4">
      <c r="AH233" s="159"/>
      <c r="AI233" s="159"/>
      <c r="AJ233" s="159"/>
    </row>
    <row r="234" spans="34:36" ht="15" customHeight="1" x14ac:dyDescent="0.4">
      <c r="AH234" s="39"/>
      <c r="AI234" s="39"/>
      <c r="AJ234" s="39"/>
    </row>
    <row r="235" spans="34:36" ht="15" customHeight="1" x14ac:dyDescent="0.4">
      <c r="AH235" s="39"/>
      <c r="AI235" s="39"/>
      <c r="AJ235" s="39"/>
    </row>
    <row r="236" spans="34:36" ht="15" customHeight="1" x14ac:dyDescent="0.4">
      <c r="AH236" s="39"/>
      <c r="AI236" s="39"/>
      <c r="AJ236" s="39"/>
    </row>
    <row r="237" spans="34:36" ht="15" customHeight="1" x14ac:dyDescent="0.4">
      <c r="AH237" s="39"/>
      <c r="AI237" s="39"/>
      <c r="AJ237" s="39"/>
    </row>
    <row r="238" spans="34:36" ht="15" customHeight="1" x14ac:dyDescent="0.4">
      <c r="AH238" s="39"/>
      <c r="AI238" s="39"/>
      <c r="AJ238" s="39"/>
    </row>
    <row r="239" spans="34:36" ht="15" customHeight="1" x14ac:dyDescent="0.4">
      <c r="AH239" s="39"/>
      <c r="AI239" s="39"/>
      <c r="AJ239" s="39"/>
    </row>
    <row r="240" spans="34:36" ht="15" customHeight="1" x14ac:dyDescent="0.4">
      <c r="AH240" s="39"/>
      <c r="AI240" s="39"/>
      <c r="AJ240" s="39"/>
    </row>
    <row r="241" spans="34:36" ht="15" customHeight="1" x14ac:dyDescent="0.4">
      <c r="AH241" s="39"/>
      <c r="AI241" s="39"/>
      <c r="AJ241" s="39"/>
    </row>
    <row r="242" spans="34:36" ht="15" customHeight="1" x14ac:dyDescent="0.4">
      <c r="AH242" s="39"/>
      <c r="AI242" s="39"/>
      <c r="AJ242" s="39"/>
    </row>
    <row r="243" spans="34:36" ht="15" customHeight="1" x14ac:dyDescent="0.4">
      <c r="AH243" s="39"/>
      <c r="AI243" s="39"/>
      <c r="AJ243" s="39"/>
    </row>
    <row r="244" spans="34:36" ht="15" customHeight="1" x14ac:dyDescent="0.4">
      <c r="AH244" s="39"/>
      <c r="AI244" s="39"/>
      <c r="AJ244" s="39"/>
    </row>
    <row r="245" spans="34:36" ht="15" customHeight="1" x14ac:dyDescent="0.4">
      <c r="AH245" s="39"/>
      <c r="AI245" s="39"/>
      <c r="AJ245" s="39"/>
    </row>
    <row r="246" spans="34:36" ht="15" customHeight="1" x14ac:dyDescent="0.4">
      <c r="AH246" s="39"/>
      <c r="AI246" s="39"/>
      <c r="AJ246" s="39"/>
    </row>
    <row r="247" spans="34:36" ht="15" customHeight="1" x14ac:dyDescent="0.4">
      <c r="AH247" s="39"/>
      <c r="AI247" s="39"/>
      <c r="AJ247" s="39"/>
    </row>
    <row r="248" spans="34:36" ht="15" customHeight="1" x14ac:dyDescent="0.4">
      <c r="AH248" s="39"/>
      <c r="AI248" s="39"/>
      <c r="AJ248" s="39"/>
    </row>
    <row r="249" spans="34:36" ht="15" customHeight="1" x14ac:dyDescent="0.4">
      <c r="AH249" s="39"/>
      <c r="AI249" s="39"/>
      <c r="AJ249" s="39"/>
    </row>
    <row r="250" spans="34:36" ht="15" customHeight="1" x14ac:dyDescent="0.4">
      <c r="AH250" s="159"/>
      <c r="AI250" s="159"/>
      <c r="AJ250" s="159"/>
    </row>
    <row r="251" spans="34:36" ht="15" customHeight="1" x14ac:dyDescent="0.4">
      <c r="AH251" s="9"/>
      <c r="AI251" s="9"/>
      <c r="AJ251" s="9"/>
    </row>
    <row r="252" spans="34:36" ht="15" customHeight="1" x14ac:dyDescent="0.4">
      <c r="AH252" s="9"/>
      <c r="AI252" s="9"/>
      <c r="AJ252" s="9"/>
    </row>
    <row r="253" spans="34:36" ht="15" customHeight="1" x14ac:dyDescent="0.4">
      <c r="AH253" s="9"/>
      <c r="AI253" s="9"/>
      <c r="AJ253" s="9"/>
    </row>
    <row r="254" spans="34:36" ht="15" customHeight="1" x14ac:dyDescent="0.4">
      <c r="AH254" s="9"/>
      <c r="AI254" s="9"/>
      <c r="AJ254" s="9"/>
    </row>
    <row r="255" spans="34:36" ht="15" customHeight="1" x14ac:dyDescent="0.4">
      <c r="AH255" s="9"/>
      <c r="AI255" s="9"/>
      <c r="AJ255" s="9"/>
    </row>
    <row r="256" spans="34:36" ht="15" customHeight="1" x14ac:dyDescent="0.4">
      <c r="AH256" s="39"/>
      <c r="AI256" s="39"/>
      <c r="AJ256" s="39"/>
    </row>
    <row r="257" spans="34:36" ht="15" customHeight="1" x14ac:dyDescent="0.4">
      <c r="AH257" s="39"/>
      <c r="AI257" s="39"/>
      <c r="AJ257" s="39"/>
    </row>
    <row r="258" spans="34:36" ht="15" customHeight="1" x14ac:dyDescent="0.25">
      <c r="AH258" s="290"/>
      <c r="AI258" s="290"/>
      <c r="AJ258" s="290"/>
    </row>
    <row r="259" spans="34:36" ht="15" customHeight="1" x14ac:dyDescent="0.25">
      <c r="AH259" s="206"/>
      <c r="AI259" s="206"/>
      <c r="AJ259" s="206"/>
    </row>
    <row r="260" spans="34:36" ht="15" customHeight="1" x14ac:dyDescent="0.4">
      <c r="AH260" s="39"/>
      <c r="AI260" s="39"/>
      <c r="AJ260" s="39"/>
    </row>
    <row r="261" spans="34:36" ht="15" customHeight="1" x14ac:dyDescent="0.4">
      <c r="AH261" s="39"/>
      <c r="AI261" s="39"/>
      <c r="AJ261" s="39"/>
    </row>
    <row r="262" spans="34:36" ht="15" customHeight="1" x14ac:dyDescent="0.4">
      <c r="AH262" s="39"/>
      <c r="AI262" s="39"/>
      <c r="AJ262" s="39"/>
    </row>
    <row r="263" spans="34:36" ht="15" customHeight="1" x14ac:dyDescent="0.4">
      <c r="AH263" s="39"/>
      <c r="AI263" s="39"/>
      <c r="AJ263" s="39"/>
    </row>
    <row r="264" spans="34:36" ht="15" customHeight="1" x14ac:dyDescent="0.4">
      <c r="AH264" s="39"/>
      <c r="AI264" s="39"/>
      <c r="AJ264" s="39"/>
    </row>
    <row r="265" spans="34:36" ht="15" customHeight="1" x14ac:dyDescent="0.4">
      <c r="AH265" s="39"/>
      <c r="AI265" s="39"/>
      <c r="AJ265" s="39"/>
    </row>
    <row r="266" spans="34:36" ht="15" customHeight="1" x14ac:dyDescent="0.4">
      <c r="AH266" s="39"/>
      <c r="AI266" s="39"/>
      <c r="AJ266" s="39"/>
    </row>
    <row r="267" spans="34:36" ht="15" customHeight="1" x14ac:dyDescent="0.4">
      <c r="AH267" s="39"/>
      <c r="AI267" s="39"/>
      <c r="AJ267" s="39"/>
    </row>
    <row r="268" spans="34:36" ht="15" customHeight="1" x14ac:dyDescent="0.4">
      <c r="AH268" s="39"/>
      <c r="AI268" s="39"/>
      <c r="AJ268" s="39"/>
    </row>
    <row r="269" spans="34:36" ht="15" customHeight="1" x14ac:dyDescent="0.4">
      <c r="AH269" s="39"/>
      <c r="AI269" s="39"/>
      <c r="AJ269" s="39"/>
    </row>
    <row r="270" spans="34:36" ht="15" customHeight="1" x14ac:dyDescent="0.4">
      <c r="AH270" s="39"/>
      <c r="AI270" s="39"/>
      <c r="AJ270" s="39"/>
    </row>
    <row r="271" spans="34:36" ht="15" customHeight="1" x14ac:dyDescent="0.4">
      <c r="AH271" s="39"/>
      <c r="AI271" s="39"/>
      <c r="AJ271" s="39"/>
    </row>
    <row r="272" spans="34:36" ht="15" customHeight="1" x14ac:dyDescent="0.4">
      <c r="AH272" s="39"/>
      <c r="AI272" s="39"/>
      <c r="AJ272" s="39"/>
    </row>
    <row r="273" spans="34:36" ht="15" customHeight="1" x14ac:dyDescent="0.4">
      <c r="AH273" s="39"/>
      <c r="AI273" s="39"/>
      <c r="AJ273" s="39"/>
    </row>
    <row r="274" spans="34:36" ht="15" customHeight="1" x14ac:dyDescent="0.4">
      <c r="AH274" s="39"/>
      <c r="AI274" s="39"/>
      <c r="AJ274" s="39"/>
    </row>
    <row r="275" spans="34:36" ht="15" customHeight="1" x14ac:dyDescent="0.4">
      <c r="AH275" s="39"/>
      <c r="AI275" s="39"/>
      <c r="AJ275" s="39"/>
    </row>
    <row r="276" spans="34:36" ht="15" customHeight="1" x14ac:dyDescent="0.4">
      <c r="AH276" s="39"/>
      <c r="AI276" s="39"/>
      <c r="AJ276" s="39"/>
    </row>
    <row r="277" spans="34:36" ht="15" customHeight="1" x14ac:dyDescent="0.4">
      <c r="AH277" s="39"/>
      <c r="AI277" s="39"/>
      <c r="AJ277" s="39"/>
    </row>
    <row r="278" spans="34:36" ht="15" customHeight="1" x14ac:dyDescent="0.4">
      <c r="AH278" s="39"/>
      <c r="AI278" s="39"/>
      <c r="AJ278" s="39"/>
    </row>
    <row r="279" spans="34:36" ht="15" customHeight="1" x14ac:dyDescent="0.4">
      <c r="AH279" s="39"/>
      <c r="AI279" s="39"/>
      <c r="AJ279" s="39"/>
    </row>
    <row r="280" spans="34:36" ht="15" customHeight="1" x14ac:dyDescent="0.4">
      <c r="AH280" s="39"/>
      <c r="AI280" s="39"/>
      <c r="AJ280" s="39"/>
    </row>
    <row r="281" spans="34:36" ht="15" customHeight="1" x14ac:dyDescent="0.4">
      <c r="AH281" s="39"/>
      <c r="AI281" s="39"/>
      <c r="AJ281" s="39"/>
    </row>
    <row r="282" spans="34:36" ht="15" customHeight="1" x14ac:dyDescent="0.4">
      <c r="AH282" s="39"/>
      <c r="AI282" s="39"/>
      <c r="AJ282" s="39"/>
    </row>
    <row r="283" spans="34:36" ht="15" customHeight="1" x14ac:dyDescent="0.4">
      <c r="AH283" s="39"/>
      <c r="AI283" s="39"/>
      <c r="AJ283" s="39"/>
    </row>
    <row r="284" spans="34:36" ht="15" customHeight="1" x14ac:dyDescent="0.4">
      <c r="AH284" s="39"/>
      <c r="AI284" s="39"/>
      <c r="AJ284" s="39"/>
    </row>
    <row r="285" spans="34:36" ht="15" customHeight="1" x14ac:dyDescent="0.4">
      <c r="AH285" s="39"/>
      <c r="AI285" s="39"/>
      <c r="AJ285" s="39"/>
    </row>
    <row r="286" spans="34:36" ht="15" customHeight="1" x14ac:dyDescent="0.4">
      <c r="AH286" s="39"/>
      <c r="AI286" s="39"/>
      <c r="AJ286" s="39"/>
    </row>
    <row r="287" spans="34:36" ht="15" customHeight="1" x14ac:dyDescent="0.4">
      <c r="AH287" s="39"/>
      <c r="AI287" s="39"/>
      <c r="AJ287" s="39"/>
    </row>
    <row r="288" spans="34:36" ht="15" customHeight="1" x14ac:dyDescent="0.4">
      <c r="AH288" s="39"/>
      <c r="AI288" s="39"/>
      <c r="AJ288" s="39"/>
    </row>
    <row r="289" spans="34:36" ht="15" customHeight="1" x14ac:dyDescent="0.4">
      <c r="AH289" s="39"/>
      <c r="AI289" s="39"/>
      <c r="AJ289" s="39"/>
    </row>
    <row r="290" spans="34:36" ht="15" customHeight="1" x14ac:dyDescent="0.4">
      <c r="AH290" s="39"/>
      <c r="AI290" s="39"/>
      <c r="AJ290" s="39"/>
    </row>
    <row r="291" spans="34:36" ht="15" customHeight="1" x14ac:dyDescent="0.4">
      <c r="AH291" s="39"/>
      <c r="AI291" s="39"/>
      <c r="AJ291" s="39"/>
    </row>
    <row r="292" spans="34:36" ht="15" customHeight="1" x14ac:dyDescent="0.4">
      <c r="AH292" s="39"/>
      <c r="AI292" s="39"/>
      <c r="AJ292" s="39"/>
    </row>
    <row r="293" spans="34:36" ht="15" customHeight="1" x14ac:dyDescent="0.4">
      <c r="AH293" s="39"/>
      <c r="AI293" s="39"/>
      <c r="AJ293" s="39"/>
    </row>
    <row r="294" spans="34:36" ht="15" customHeight="1" x14ac:dyDescent="0.4">
      <c r="AH294" s="39"/>
      <c r="AI294" s="39"/>
      <c r="AJ294" s="39"/>
    </row>
    <row r="295" spans="34:36" ht="15" customHeight="1" x14ac:dyDescent="0.4">
      <c r="AH295" s="39"/>
      <c r="AI295" s="39"/>
      <c r="AJ295" s="39"/>
    </row>
    <row r="296" spans="34:36" ht="15" customHeight="1" x14ac:dyDescent="0.4">
      <c r="AH296" s="39"/>
      <c r="AI296" s="39"/>
      <c r="AJ296" s="39"/>
    </row>
    <row r="297" spans="34:36" ht="15" customHeight="1" x14ac:dyDescent="0.4">
      <c r="AH297" s="39"/>
      <c r="AI297" s="39"/>
      <c r="AJ297" s="39"/>
    </row>
    <row r="298" spans="34:36" ht="15" customHeight="1" x14ac:dyDescent="0.4">
      <c r="AH298" s="39"/>
      <c r="AI298" s="39"/>
      <c r="AJ298" s="39"/>
    </row>
    <row r="299" spans="34:36" ht="15" customHeight="1" x14ac:dyDescent="0.4">
      <c r="AH299" s="39"/>
      <c r="AI299" s="39"/>
      <c r="AJ299" s="39"/>
    </row>
    <row r="300" spans="34:36" ht="15" customHeight="1" x14ac:dyDescent="0.4">
      <c r="AH300" s="39"/>
      <c r="AI300" s="39"/>
      <c r="AJ300" s="39"/>
    </row>
    <row r="301" spans="34:36" ht="15" customHeight="1" x14ac:dyDescent="0.4">
      <c r="AH301" s="39"/>
      <c r="AI301" s="39"/>
      <c r="AJ301" s="39"/>
    </row>
    <row r="302" spans="34:36" ht="15" customHeight="1" x14ac:dyDescent="0.4">
      <c r="AH302" s="39"/>
      <c r="AI302" s="39"/>
      <c r="AJ302" s="39"/>
    </row>
    <row r="303" spans="34:36" ht="15" customHeight="1" x14ac:dyDescent="0.4">
      <c r="AH303" s="39"/>
      <c r="AI303" s="39"/>
      <c r="AJ303" s="39"/>
    </row>
    <row r="304" spans="34:36" ht="15" customHeight="1" x14ac:dyDescent="0.4">
      <c r="AH304" s="39"/>
      <c r="AI304" s="39"/>
      <c r="AJ304" s="39"/>
    </row>
    <row r="305" spans="34:36" ht="15" customHeight="1" x14ac:dyDescent="0.4">
      <c r="AH305" s="39"/>
      <c r="AI305" s="39"/>
      <c r="AJ305" s="39"/>
    </row>
    <row r="306" spans="34:36" ht="15" customHeight="1" x14ac:dyDescent="0.4">
      <c r="AH306" s="39"/>
      <c r="AI306" s="39"/>
      <c r="AJ306" s="39"/>
    </row>
    <row r="307" spans="34:36" ht="15" customHeight="1" x14ac:dyDescent="0.4">
      <c r="AH307" s="39"/>
      <c r="AI307" s="39"/>
      <c r="AJ307" s="39"/>
    </row>
    <row r="308" spans="34:36" ht="15" customHeight="1" x14ac:dyDescent="0.4">
      <c r="AH308" s="39"/>
      <c r="AI308" s="39"/>
      <c r="AJ308" s="39"/>
    </row>
    <row r="309" spans="34:36" ht="15" customHeight="1" x14ac:dyDescent="0.4">
      <c r="AH309" s="39"/>
      <c r="AI309" s="39"/>
      <c r="AJ309" s="39"/>
    </row>
    <row r="310" spans="34:36" ht="15" customHeight="1" x14ac:dyDescent="0.4">
      <c r="AH310" s="39"/>
      <c r="AI310" s="39"/>
      <c r="AJ310" s="39"/>
    </row>
    <row r="311" spans="34:36" ht="15" customHeight="1" x14ac:dyDescent="0.4">
      <c r="AH311" s="39"/>
      <c r="AI311" s="39"/>
      <c r="AJ311" s="39"/>
    </row>
    <row r="312" spans="34:36" ht="15" customHeight="1" x14ac:dyDescent="0.4">
      <c r="AH312" s="39"/>
      <c r="AI312" s="39"/>
      <c r="AJ312" s="39"/>
    </row>
    <row r="313" spans="34:36" ht="15" customHeight="1" x14ac:dyDescent="0.4">
      <c r="AH313" s="39"/>
      <c r="AI313" s="39"/>
      <c r="AJ313" s="39"/>
    </row>
    <row r="314" spans="34:36" ht="15" customHeight="1" x14ac:dyDescent="0.4">
      <c r="AH314" s="39"/>
      <c r="AI314" s="39"/>
      <c r="AJ314" s="39"/>
    </row>
    <row r="315" spans="34:36" ht="15" customHeight="1" x14ac:dyDescent="0.4">
      <c r="AH315" s="39"/>
      <c r="AI315" s="39"/>
      <c r="AJ315" s="39"/>
    </row>
    <row r="316" spans="34:36" ht="15" customHeight="1" x14ac:dyDescent="0.4">
      <c r="AH316" s="39"/>
      <c r="AI316" s="39"/>
      <c r="AJ316" s="39"/>
    </row>
    <row r="317" spans="34:36" ht="15" customHeight="1" x14ac:dyDescent="0.4">
      <c r="AH317" s="39"/>
      <c r="AI317" s="39"/>
      <c r="AJ317" s="39"/>
    </row>
    <row r="318" spans="34:36" ht="15" customHeight="1" x14ac:dyDescent="0.4">
      <c r="AH318" s="39"/>
      <c r="AI318" s="39"/>
      <c r="AJ318" s="39"/>
    </row>
    <row r="319" spans="34:36" ht="15" customHeight="1" x14ac:dyDescent="0.4">
      <c r="AH319" s="39"/>
      <c r="AI319" s="39"/>
      <c r="AJ319" s="39"/>
    </row>
    <row r="320" spans="34:36" ht="15" customHeight="1" x14ac:dyDescent="0.4">
      <c r="AH320" s="39"/>
      <c r="AI320" s="39"/>
      <c r="AJ320" s="39"/>
    </row>
    <row r="321" spans="34:36" ht="15" customHeight="1" x14ac:dyDescent="0.4">
      <c r="AH321" s="39"/>
      <c r="AI321" s="39"/>
      <c r="AJ321" s="39"/>
    </row>
    <row r="322" spans="34:36" ht="15" customHeight="1" x14ac:dyDescent="0.4">
      <c r="AH322" s="39"/>
      <c r="AI322" s="39"/>
      <c r="AJ322" s="39"/>
    </row>
    <row r="323" spans="34:36" ht="15" customHeight="1" x14ac:dyDescent="0.4">
      <c r="AH323" s="39"/>
      <c r="AI323" s="39"/>
      <c r="AJ323" s="39"/>
    </row>
    <row r="324" spans="34:36" ht="15" customHeight="1" x14ac:dyDescent="0.4">
      <c r="AH324" s="39"/>
      <c r="AI324" s="39"/>
      <c r="AJ324" s="39"/>
    </row>
    <row r="325" spans="34:36" ht="15" customHeight="1" x14ac:dyDescent="0.4">
      <c r="AH325" s="39"/>
      <c r="AI325" s="39"/>
      <c r="AJ325" s="39"/>
    </row>
    <row r="326" spans="34:36" ht="15" customHeight="1" x14ac:dyDescent="0.4">
      <c r="AH326" s="39"/>
      <c r="AI326" s="39"/>
      <c r="AJ326" s="39"/>
    </row>
    <row r="327" spans="34:36" ht="15" customHeight="1" x14ac:dyDescent="0.4">
      <c r="AH327" s="39"/>
      <c r="AI327" s="39"/>
      <c r="AJ327" s="39"/>
    </row>
    <row r="328" spans="34:36" ht="15" customHeight="1" x14ac:dyDescent="0.4">
      <c r="AH328" s="39"/>
      <c r="AI328" s="39"/>
      <c r="AJ328" s="39"/>
    </row>
    <row r="329" spans="34:36" ht="15" customHeight="1" x14ac:dyDescent="0.4">
      <c r="AH329" s="39"/>
      <c r="AI329" s="39"/>
      <c r="AJ329" s="39"/>
    </row>
    <row r="330" spans="34:36" ht="15" customHeight="1" x14ac:dyDescent="0.4">
      <c r="AH330" s="39"/>
      <c r="AI330" s="39"/>
      <c r="AJ330" s="39"/>
    </row>
    <row r="331" spans="34:36" ht="15" customHeight="1" x14ac:dyDescent="0.4">
      <c r="AH331" s="39"/>
      <c r="AI331" s="39"/>
      <c r="AJ331" s="39"/>
    </row>
    <row r="332" spans="34:36" ht="15" customHeight="1" x14ac:dyDescent="0.4">
      <c r="AH332" s="39"/>
      <c r="AI332" s="39"/>
      <c r="AJ332" s="39"/>
    </row>
    <row r="333" spans="34:36" ht="15" customHeight="1" x14ac:dyDescent="0.4">
      <c r="AH333" s="39"/>
      <c r="AI333" s="39"/>
      <c r="AJ333" s="39"/>
    </row>
    <row r="334" spans="34:36" ht="15" customHeight="1" x14ac:dyDescent="0.4">
      <c r="AH334" s="39"/>
      <c r="AI334" s="39"/>
      <c r="AJ334" s="39"/>
    </row>
    <row r="335" spans="34:36" ht="15" customHeight="1" x14ac:dyDescent="0.4">
      <c r="AH335" s="39"/>
      <c r="AI335" s="39"/>
      <c r="AJ335" s="39"/>
    </row>
    <row r="336" spans="34:36" ht="15" customHeight="1" x14ac:dyDescent="0.4">
      <c r="AH336" s="39"/>
      <c r="AI336" s="39"/>
      <c r="AJ336" s="39"/>
    </row>
    <row r="337" spans="34:36" ht="15" customHeight="1" x14ac:dyDescent="0.4">
      <c r="AH337" s="39"/>
      <c r="AI337" s="39"/>
      <c r="AJ337" s="39"/>
    </row>
    <row r="338" spans="34:36" ht="15" customHeight="1" x14ac:dyDescent="0.4">
      <c r="AH338" s="39"/>
      <c r="AI338" s="39"/>
      <c r="AJ338" s="39"/>
    </row>
    <row r="339" spans="34:36" ht="15" customHeight="1" x14ac:dyDescent="0.4">
      <c r="AH339" s="39"/>
      <c r="AI339" s="39"/>
      <c r="AJ339" s="39"/>
    </row>
    <row r="340" spans="34:36" ht="15" customHeight="1" x14ac:dyDescent="0.4">
      <c r="AH340" s="39"/>
      <c r="AI340" s="39"/>
      <c r="AJ340" s="39"/>
    </row>
    <row r="341" spans="34:36" ht="15" customHeight="1" x14ac:dyDescent="0.4">
      <c r="AH341" s="39"/>
      <c r="AI341" s="39"/>
      <c r="AJ341" s="39"/>
    </row>
    <row r="342" spans="34:36" ht="15" customHeight="1" x14ac:dyDescent="0.4">
      <c r="AH342" s="39"/>
      <c r="AI342" s="39"/>
      <c r="AJ342" s="39"/>
    </row>
    <row r="343" spans="34:36" ht="15" customHeight="1" x14ac:dyDescent="0.4">
      <c r="AH343" s="39"/>
      <c r="AI343" s="39"/>
      <c r="AJ343" s="39"/>
    </row>
    <row r="344" spans="34:36" ht="15" customHeight="1" x14ac:dyDescent="0.4">
      <c r="AH344" s="39"/>
      <c r="AI344" s="39"/>
      <c r="AJ344" s="39"/>
    </row>
    <row r="345" spans="34:36" ht="15" customHeight="1" x14ac:dyDescent="0.4">
      <c r="AH345" s="39"/>
      <c r="AI345" s="39"/>
      <c r="AJ345" s="39"/>
    </row>
    <row r="346" spans="34:36" ht="15" customHeight="1" x14ac:dyDescent="0.4">
      <c r="AH346" s="39"/>
      <c r="AI346" s="39"/>
      <c r="AJ346" s="39"/>
    </row>
    <row r="347" spans="34:36" ht="15" customHeight="1" x14ac:dyDescent="0.4">
      <c r="AH347" s="39"/>
      <c r="AI347" s="39"/>
      <c r="AJ347" s="39"/>
    </row>
    <row r="348" spans="34:36" ht="15" customHeight="1" x14ac:dyDescent="0.4">
      <c r="AH348" s="39"/>
      <c r="AI348" s="39"/>
      <c r="AJ348" s="39"/>
    </row>
    <row r="349" spans="34:36" ht="15" customHeight="1" x14ac:dyDescent="0.4">
      <c r="AH349" s="39"/>
      <c r="AI349" s="39"/>
      <c r="AJ349" s="39"/>
    </row>
    <row r="350" spans="34:36" ht="15" customHeight="1" x14ac:dyDescent="0.4">
      <c r="AH350" s="39"/>
      <c r="AI350" s="39"/>
      <c r="AJ350" s="39"/>
    </row>
    <row r="351" spans="34:36" ht="15" customHeight="1" x14ac:dyDescent="0.4">
      <c r="AH351" s="39"/>
      <c r="AI351" s="39"/>
      <c r="AJ351" s="39"/>
    </row>
    <row r="352" spans="34:36" ht="15" customHeight="1" x14ac:dyDescent="0.4">
      <c r="AH352" s="39"/>
      <c r="AI352" s="39"/>
      <c r="AJ352" s="39"/>
    </row>
    <row r="353" spans="34:36" ht="15" customHeight="1" x14ac:dyDescent="0.4">
      <c r="AH353" s="39"/>
      <c r="AI353" s="39"/>
      <c r="AJ353" s="39"/>
    </row>
    <row r="354" spans="34:36" ht="15" customHeight="1" x14ac:dyDescent="0.4">
      <c r="AH354" s="39"/>
      <c r="AI354" s="39"/>
      <c r="AJ354" s="39"/>
    </row>
    <row r="355" spans="34:36" ht="15" customHeight="1" x14ac:dyDescent="0.4">
      <c r="AH355" s="39"/>
      <c r="AI355" s="39"/>
      <c r="AJ355" s="39"/>
    </row>
    <row r="356" spans="34:36" ht="15" customHeight="1" x14ac:dyDescent="0.4">
      <c r="AH356" s="39"/>
      <c r="AI356" s="39"/>
      <c r="AJ356" s="39"/>
    </row>
    <row r="357" spans="34:36" ht="15" customHeight="1" x14ac:dyDescent="0.4">
      <c r="AH357" s="39"/>
      <c r="AI357" s="39"/>
      <c r="AJ357" s="39"/>
    </row>
    <row r="358" spans="34:36" ht="15" customHeight="1" x14ac:dyDescent="0.4">
      <c r="AH358" s="39"/>
      <c r="AI358" s="39"/>
      <c r="AJ358" s="39"/>
    </row>
    <row r="359" spans="34:36" ht="15" customHeight="1" x14ac:dyDescent="0.4">
      <c r="AH359" s="39"/>
      <c r="AI359" s="39"/>
      <c r="AJ359" s="39"/>
    </row>
    <row r="360" spans="34:36" ht="15" customHeight="1" x14ac:dyDescent="0.4">
      <c r="AH360" s="39"/>
      <c r="AI360" s="39"/>
      <c r="AJ360" s="39"/>
    </row>
    <row r="361" spans="34:36" ht="15" customHeight="1" x14ac:dyDescent="0.4">
      <c r="AH361" s="39"/>
      <c r="AI361" s="39"/>
      <c r="AJ361" s="39"/>
    </row>
    <row r="362" spans="34:36" ht="15" customHeight="1" x14ac:dyDescent="0.4">
      <c r="AH362" s="39"/>
      <c r="AI362" s="39"/>
      <c r="AJ362" s="39"/>
    </row>
    <row r="363" spans="34:36" ht="15" customHeight="1" x14ac:dyDescent="0.4">
      <c r="AH363" s="39"/>
      <c r="AI363" s="39"/>
      <c r="AJ363" s="39"/>
    </row>
    <row r="364" spans="34:36" ht="15" customHeight="1" x14ac:dyDescent="0.4">
      <c r="AH364" s="39"/>
      <c r="AI364" s="39"/>
      <c r="AJ364" s="39"/>
    </row>
    <row r="365" spans="34:36" ht="15" customHeight="1" x14ac:dyDescent="0.4">
      <c r="AH365" s="39"/>
      <c r="AI365" s="39"/>
      <c r="AJ365" s="39"/>
    </row>
    <row r="366" spans="34:36" ht="15" customHeight="1" x14ac:dyDescent="0.4">
      <c r="AH366" s="39"/>
      <c r="AI366" s="39"/>
      <c r="AJ366" s="39"/>
    </row>
    <row r="367" spans="34:36" ht="15" customHeight="1" x14ac:dyDescent="0.4">
      <c r="AH367" s="39"/>
      <c r="AI367" s="39"/>
      <c r="AJ367" s="39"/>
    </row>
    <row r="368" spans="34:36" ht="15" customHeight="1" x14ac:dyDescent="0.4">
      <c r="AH368" s="39"/>
      <c r="AI368" s="39"/>
      <c r="AJ368" s="39"/>
    </row>
    <row r="369" spans="34:36" ht="15" customHeight="1" x14ac:dyDescent="0.4">
      <c r="AH369" s="39"/>
      <c r="AI369" s="39"/>
      <c r="AJ369" s="39"/>
    </row>
    <row r="370" spans="34:36" ht="15" customHeight="1" x14ac:dyDescent="0.4">
      <c r="AH370" s="39"/>
      <c r="AI370" s="39"/>
      <c r="AJ370" s="39"/>
    </row>
    <row r="371" spans="34:36" ht="15" customHeight="1" x14ac:dyDescent="0.4">
      <c r="AH371" s="39"/>
      <c r="AI371" s="39"/>
      <c r="AJ371" s="39"/>
    </row>
    <row r="372" spans="34:36" ht="15" customHeight="1" x14ac:dyDescent="0.4">
      <c r="AH372" s="39"/>
      <c r="AI372" s="39"/>
      <c r="AJ372" s="39"/>
    </row>
    <row r="373" spans="34:36" ht="15" customHeight="1" x14ac:dyDescent="0.4">
      <c r="AH373" s="39"/>
      <c r="AI373" s="39"/>
      <c r="AJ373" s="39"/>
    </row>
    <row r="374" spans="34:36" ht="15" customHeight="1" x14ac:dyDescent="0.4">
      <c r="AH374" s="39"/>
      <c r="AI374" s="39"/>
      <c r="AJ374" s="39"/>
    </row>
    <row r="375" spans="34:36" ht="15" customHeight="1" x14ac:dyDescent="0.4">
      <c r="AH375" s="39"/>
      <c r="AI375" s="39"/>
      <c r="AJ375" s="39"/>
    </row>
    <row r="376" spans="34:36" ht="15" customHeight="1" x14ac:dyDescent="0.4">
      <c r="AH376" s="39"/>
      <c r="AI376" s="39"/>
      <c r="AJ376" s="39"/>
    </row>
    <row r="377" spans="34:36" ht="15" customHeight="1" x14ac:dyDescent="0.4">
      <c r="AH377" s="39"/>
      <c r="AI377" s="39"/>
      <c r="AJ377" s="39"/>
    </row>
    <row r="378" spans="34:36" ht="15" customHeight="1" x14ac:dyDescent="0.4">
      <c r="AH378" s="39"/>
      <c r="AI378" s="39"/>
      <c r="AJ378" s="39"/>
    </row>
    <row r="379" spans="34:36" ht="15" customHeight="1" x14ac:dyDescent="0.4">
      <c r="AH379" s="39"/>
      <c r="AI379" s="39"/>
      <c r="AJ379" s="39"/>
    </row>
    <row r="380" spans="34:36" ht="15" customHeight="1" thickBot="1" x14ac:dyDescent="0.45">
      <c r="AH380" s="39"/>
      <c r="AI380" s="39"/>
      <c r="AJ380" s="39"/>
    </row>
    <row r="381" spans="34:36" ht="15" customHeight="1" thickBot="1" x14ac:dyDescent="0.45">
      <c r="AH381" s="180"/>
      <c r="AI381" s="180"/>
      <c r="AJ381" s="180"/>
    </row>
    <row r="382" spans="34:36" ht="15" customHeight="1" x14ac:dyDescent="0.4">
      <c r="AH382" s="180"/>
      <c r="AI382" s="180"/>
      <c r="AJ382" s="180"/>
    </row>
    <row r="383" spans="34:36" ht="15" customHeight="1" x14ac:dyDescent="0.4">
      <c r="AH383" s="39"/>
      <c r="AI383" s="39"/>
      <c r="AJ383" s="39"/>
    </row>
    <row r="384" spans="34:36" ht="15" customHeight="1" x14ac:dyDescent="0.4">
      <c r="AH384" s="3"/>
      <c r="AI384" s="3"/>
      <c r="AJ384" s="3"/>
    </row>
    <row r="385" spans="34:36" ht="15" customHeight="1" x14ac:dyDescent="0.4">
      <c r="AH385" s="3"/>
      <c r="AI385" s="3"/>
      <c r="AJ385" s="3"/>
    </row>
    <row r="386" spans="34:36" ht="15" customHeight="1" x14ac:dyDescent="0.4">
      <c r="AH386" s="39"/>
      <c r="AI386" s="39"/>
      <c r="AJ386" s="39"/>
    </row>
    <row r="387" spans="34:36" ht="15" customHeight="1" x14ac:dyDescent="0.4">
      <c r="AH387" s="39"/>
      <c r="AI387" s="39"/>
      <c r="AJ387" s="39"/>
    </row>
    <row r="388" spans="34:36" ht="15" customHeight="1" x14ac:dyDescent="0.4">
      <c r="AH388" s="39"/>
      <c r="AI388" s="39"/>
      <c r="AJ388" s="39"/>
    </row>
    <row r="389" spans="34:36" ht="15" customHeight="1" x14ac:dyDescent="0.4">
      <c r="AH389" s="39"/>
      <c r="AI389" s="39"/>
      <c r="AJ389" s="39"/>
    </row>
    <row r="390" spans="34:36" ht="15" customHeight="1" x14ac:dyDescent="0.4">
      <c r="AH390" s="39"/>
      <c r="AI390" s="39"/>
      <c r="AJ390" s="39"/>
    </row>
    <row r="391" spans="34:36" ht="15" customHeight="1" x14ac:dyDescent="0.4">
      <c r="AH391" s="39"/>
      <c r="AI391" s="39"/>
      <c r="AJ391" s="39"/>
    </row>
    <row r="392" spans="34:36" ht="15" customHeight="1" x14ac:dyDescent="0.4">
      <c r="AH392" s="39"/>
      <c r="AI392" s="39"/>
      <c r="AJ392" s="39"/>
    </row>
    <row r="393" spans="34:36" ht="15" customHeight="1" x14ac:dyDescent="0.4">
      <c r="AH393" s="39"/>
      <c r="AI393" s="39"/>
      <c r="AJ393" s="39"/>
    </row>
    <row r="394" spans="34:36" ht="15" customHeight="1" x14ac:dyDescent="0.4">
      <c r="AH394" s="39"/>
      <c r="AI394" s="39"/>
      <c r="AJ394" s="39"/>
    </row>
    <row r="395" spans="34:36" ht="15" customHeight="1" x14ac:dyDescent="0.4">
      <c r="AH395" s="39"/>
      <c r="AI395" s="39"/>
      <c r="AJ395" s="39"/>
    </row>
    <row r="396" spans="34:36" ht="15" customHeight="1" x14ac:dyDescent="0.4">
      <c r="AH396" s="39"/>
      <c r="AI396" s="39"/>
      <c r="AJ396" s="39"/>
    </row>
    <row r="397" spans="34:36" ht="15" customHeight="1" x14ac:dyDescent="0.4">
      <c r="AH397" s="39"/>
      <c r="AI397" s="39"/>
      <c r="AJ397" s="39"/>
    </row>
    <row r="398" spans="34:36" ht="15" customHeight="1" x14ac:dyDescent="0.4">
      <c r="AH398" s="39"/>
      <c r="AI398" s="39"/>
      <c r="AJ398" s="39"/>
    </row>
    <row r="399" spans="34:36" ht="15" customHeight="1" x14ac:dyDescent="0.4">
      <c r="AH399" s="39"/>
      <c r="AI399" s="39"/>
      <c r="AJ399" s="39"/>
    </row>
    <row r="400" spans="34:36" ht="15" customHeight="1" x14ac:dyDescent="0.4">
      <c r="AH400" s="39"/>
      <c r="AI400" s="39"/>
      <c r="AJ400" s="39"/>
    </row>
    <row r="401" spans="34:36" ht="15" customHeight="1" x14ac:dyDescent="0.4">
      <c r="AH401" s="39"/>
      <c r="AI401" s="39"/>
      <c r="AJ401" s="39"/>
    </row>
    <row r="402" spans="34:36" ht="15" customHeight="1" x14ac:dyDescent="0.4">
      <c r="AH402" s="39"/>
      <c r="AI402" s="39"/>
      <c r="AJ402" s="39"/>
    </row>
    <row r="403" spans="34:36" ht="15" customHeight="1" x14ac:dyDescent="0.4">
      <c r="AH403" s="39"/>
      <c r="AI403" s="39"/>
      <c r="AJ403" s="39"/>
    </row>
    <row r="404" spans="34:36" ht="15" customHeight="1" x14ac:dyDescent="0.4">
      <c r="AH404" s="39"/>
      <c r="AI404" s="39"/>
      <c r="AJ404" s="39"/>
    </row>
    <row r="405" spans="34:36" ht="15" customHeight="1" x14ac:dyDescent="0.4">
      <c r="AH405" s="39"/>
      <c r="AI405" s="39"/>
      <c r="AJ405" s="39"/>
    </row>
    <row r="406" spans="34:36" ht="15" customHeight="1" x14ac:dyDescent="0.4">
      <c r="AH406" s="39"/>
      <c r="AI406" s="39"/>
      <c r="AJ406" s="39"/>
    </row>
    <row r="407" spans="34:36" ht="15" customHeight="1" x14ac:dyDescent="0.4">
      <c r="AH407" s="39"/>
      <c r="AI407" s="39"/>
      <c r="AJ407" s="39"/>
    </row>
    <row r="408" spans="34:36" ht="15" customHeight="1" x14ac:dyDescent="0.4">
      <c r="AH408" s="39"/>
      <c r="AI408" s="39"/>
      <c r="AJ408" s="39"/>
    </row>
    <row r="409" spans="34:36" ht="15" customHeight="1" x14ac:dyDescent="0.4">
      <c r="AH409" s="39"/>
      <c r="AI409" s="39"/>
      <c r="AJ409" s="39"/>
    </row>
    <row r="410" spans="34:36" ht="15" customHeight="1" x14ac:dyDescent="0.4">
      <c r="AH410" s="39"/>
      <c r="AI410" s="39"/>
      <c r="AJ410" s="39"/>
    </row>
    <row r="411" spans="34:36" ht="15" customHeight="1" x14ac:dyDescent="0.4">
      <c r="AH411" s="39"/>
      <c r="AI411" s="39"/>
      <c r="AJ411" s="39"/>
    </row>
    <row r="412" spans="34:36" ht="15" customHeight="1" x14ac:dyDescent="0.4">
      <c r="AH412" s="39"/>
      <c r="AI412" s="39"/>
      <c r="AJ412" s="39"/>
    </row>
    <row r="413" spans="34:36" ht="15" customHeight="1" x14ac:dyDescent="0.4">
      <c r="AH413" s="39"/>
      <c r="AI413" s="39"/>
      <c r="AJ413" s="39"/>
    </row>
    <row r="414" spans="34:36" ht="15" customHeight="1" x14ac:dyDescent="0.4">
      <c r="AH414" s="39"/>
      <c r="AI414" s="39"/>
      <c r="AJ414" s="39"/>
    </row>
    <row r="415" spans="34:36" ht="15" customHeight="1" x14ac:dyDescent="0.4">
      <c r="AH415" s="39"/>
      <c r="AI415" s="39"/>
      <c r="AJ415" s="39"/>
    </row>
    <row r="416" spans="34:36" ht="15" customHeight="1" x14ac:dyDescent="0.4">
      <c r="AH416" s="39"/>
      <c r="AI416" s="39"/>
      <c r="AJ416" s="39"/>
    </row>
    <row r="417" spans="34:36" ht="15" customHeight="1" thickBot="1" x14ac:dyDescent="0.45">
      <c r="AH417" s="947"/>
      <c r="AI417" s="947"/>
      <c r="AJ417" s="947"/>
    </row>
    <row r="418" spans="34:36" ht="15" customHeight="1" x14ac:dyDescent="0.4">
      <c r="AH418" s="39"/>
      <c r="AI418" s="39"/>
      <c r="AJ418" s="39"/>
    </row>
    <row r="419" spans="34:36" ht="15" customHeight="1" x14ac:dyDescent="0.4">
      <c r="AH419" s="39"/>
      <c r="AI419" s="39"/>
      <c r="AJ419" s="39"/>
    </row>
    <row r="420" spans="34:36" ht="15" customHeight="1" x14ac:dyDescent="0.4">
      <c r="AH420" s="39"/>
      <c r="AI420" s="39"/>
      <c r="AJ420" s="39"/>
    </row>
    <row r="421" spans="34:36" ht="15" customHeight="1" x14ac:dyDescent="0.4">
      <c r="AH421" s="39"/>
      <c r="AI421" s="39"/>
      <c r="AJ421" s="39"/>
    </row>
    <row r="422" spans="34:36" ht="15" customHeight="1" x14ac:dyDescent="0.4">
      <c r="AH422" s="39"/>
      <c r="AI422" s="39"/>
      <c r="AJ422" s="39"/>
    </row>
    <row r="423" spans="34:36" ht="15" customHeight="1" x14ac:dyDescent="0.4">
      <c r="AH423" s="39"/>
      <c r="AI423" s="39"/>
      <c r="AJ423" s="39"/>
    </row>
    <row r="424" spans="34:36" ht="15" customHeight="1" x14ac:dyDescent="0.4">
      <c r="AH424" s="39"/>
      <c r="AI424" s="39"/>
      <c r="AJ424" s="39"/>
    </row>
    <row r="425" spans="34:36" ht="15" customHeight="1" x14ac:dyDescent="0.4">
      <c r="AH425" s="39"/>
      <c r="AI425" s="39"/>
      <c r="AJ425" s="39"/>
    </row>
    <row r="426" spans="34:36" ht="15" customHeight="1" thickBot="1" x14ac:dyDescent="0.45">
      <c r="AH426" s="39"/>
      <c r="AI426" s="39"/>
      <c r="AJ426" s="39"/>
    </row>
    <row r="427" spans="34:36" ht="15" customHeight="1" x14ac:dyDescent="0.4">
      <c r="AH427" s="180"/>
      <c r="AI427" s="180"/>
      <c r="AJ427" s="180"/>
    </row>
    <row r="428" spans="34:36" ht="15" customHeight="1" x14ac:dyDescent="0.4">
      <c r="AH428" s="39"/>
      <c r="AI428" s="39"/>
      <c r="AJ428" s="39"/>
    </row>
    <row r="429" spans="34:36" ht="15" customHeight="1" x14ac:dyDescent="0.4">
      <c r="AH429" s="39"/>
      <c r="AI429" s="39"/>
      <c r="AJ429" s="39"/>
    </row>
    <row r="430" spans="34:36" ht="15" customHeight="1" x14ac:dyDescent="0.4">
      <c r="AH430" s="39"/>
      <c r="AI430" s="39"/>
      <c r="AJ430" s="39"/>
    </row>
    <row r="431" spans="34:36" ht="15" customHeight="1" x14ac:dyDescent="0.4">
      <c r="AH431" s="39"/>
      <c r="AI431" s="39"/>
      <c r="AJ431" s="39"/>
    </row>
    <row r="432" spans="34:36" ht="15" customHeight="1" thickBot="1" x14ac:dyDescent="0.45">
      <c r="AH432" s="39"/>
      <c r="AI432" s="39"/>
      <c r="AJ432" s="39"/>
    </row>
    <row r="433" spans="34:36" ht="15" customHeight="1" thickBot="1" x14ac:dyDescent="0.45">
      <c r="AH433" s="137"/>
      <c r="AI433" s="137"/>
      <c r="AJ433" s="137"/>
    </row>
    <row r="434" spans="34:36" ht="15" customHeight="1" x14ac:dyDescent="0.4">
      <c r="AH434" s="39"/>
      <c r="AI434" s="39"/>
      <c r="AJ434" s="39"/>
    </row>
    <row r="435" spans="34:36" ht="15" customHeight="1" x14ac:dyDescent="0.4">
      <c r="AH435" s="39"/>
      <c r="AI435" s="39"/>
      <c r="AJ435" s="39"/>
    </row>
    <row r="436" spans="34:36" ht="15" customHeight="1" x14ac:dyDescent="0.4">
      <c r="AH436" s="39"/>
      <c r="AI436" s="39"/>
      <c r="AJ436" s="39"/>
    </row>
    <row r="437" spans="34:36" ht="15" customHeight="1" thickBot="1" x14ac:dyDescent="0.45">
      <c r="AH437" s="947"/>
      <c r="AI437" s="947"/>
      <c r="AJ437" s="947"/>
    </row>
    <row r="438" spans="34:36" ht="15" customHeight="1" x14ac:dyDescent="0.4">
      <c r="AH438" s="180"/>
      <c r="AI438" s="180"/>
      <c r="AJ438" s="180"/>
    </row>
    <row r="439" spans="34:36" ht="15" customHeight="1" x14ac:dyDescent="0.4">
      <c r="AH439" s="40"/>
      <c r="AI439" s="40"/>
      <c r="AJ439" s="40"/>
    </row>
    <row r="440" spans="34:36" ht="15" customHeight="1" x14ac:dyDescent="0.4">
      <c r="AH440" s="40"/>
      <c r="AI440" s="40"/>
      <c r="AJ440" s="40"/>
    </row>
    <row r="441" spans="34:36" ht="15" customHeight="1" thickBot="1" x14ac:dyDescent="0.45">
      <c r="AH441" s="947"/>
      <c r="AI441" s="947"/>
      <c r="AJ441" s="947"/>
    </row>
    <row r="442" spans="34:36" ht="15" customHeight="1" thickBot="1" x14ac:dyDescent="0.45">
      <c r="AH442" s="40"/>
      <c r="AI442" s="40"/>
      <c r="AJ442" s="40"/>
    </row>
    <row r="443" spans="34:36" ht="15" customHeight="1" x14ac:dyDescent="0.4">
      <c r="AH443" s="200"/>
      <c r="AI443" s="200"/>
      <c r="AJ443" s="200"/>
    </row>
    <row r="444" spans="34:36" ht="15" customHeight="1" x14ac:dyDescent="0.4">
      <c r="AH444" s="159"/>
      <c r="AI444" s="159"/>
      <c r="AJ444" s="159"/>
    </row>
    <row r="445" spans="34:36" ht="15" customHeight="1" x14ac:dyDescent="0.4">
      <c r="AH445" s="40"/>
      <c r="AI445" s="40"/>
      <c r="AJ445" s="40"/>
    </row>
    <row r="446" spans="34:36" ht="15" customHeight="1" x14ac:dyDescent="0.4">
      <c r="AH446" s="40"/>
      <c r="AI446" s="40"/>
      <c r="AJ446" s="40"/>
    </row>
    <row r="447" spans="34:36" ht="15" customHeight="1" x14ac:dyDescent="0.4">
      <c r="AH447" s="40"/>
      <c r="AI447" s="40"/>
      <c r="AJ447" s="40"/>
    </row>
    <row r="448" spans="34:36" ht="15" customHeight="1" x14ac:dyDescent="0.4">
      <c r="AH448" s="40"/>
      <c r="AI448" s="40"/>
      <c r="AJ448" s="40"/>
    </row>
    <row r="449" spans="34:36" ht="15" customHeight="1" x14ac:dyDescent="0.4">
      <c r="AH449" s="40"/>
      <c r="AI449" s="40"/>
      <c r="AJ449" s="40"/>
    </row>
    <row r="450" spans="34:36" ht="15" customHeight="1" x14ac:dyDescent="0.4">
      <c r="AH450" s="40"/>
      <c r="AI450" s="40"/>
      <c r="AJ450" s="40"/>
    </row>
    <row r="451" spans="34:36" ht="15" customHeight="1" x14ac:dyDescent="0.4">
      <c r="AH451" s="40"/>
      <c r="AI451" s="40"/>
      <c r="AJ451" s="40"/>
    </row>
    <row r="452" spans="34:36" ht="15" customHeight="1" x14ac:dyDescent="0.4">
      <c r="AH452" s="40"/>
      <c r="AI452" s="40"/>
      <c r="AJ452" s="40"/>
    </row>
    <row r="453" spans="34:36" ht="15" customHeight="1" x14ac:dyDescent="0.4">
      <c r="AH453" s="40"/>
      <c r="AI453" s="40"/>
      <c r="AJ453" s="40"/>
    </row>
    <row r="454" spans="34:36" ht="15" customHeight="1" x14ac:dyDescent="0.4">
      <c r="AH454" s="40"/>
      <c r="AI454" s="40"/>
      <c r="AJ454" s="40"/>
    </row>
    <row r="455" spans="34:36" ht="15" customHeight="1" x14ac:dyDescent="0.4">
      <c r="AH455" s="40"/>
      <c r="AI455" s="40"/>
      <c r="AJ455" s="40"/>
    </row>
    <row r="456" spans="34:36" ht="15" customHeight="1" x14ac:dyDescent="0.4">
      <c r="AH456" s="40"/>
      <c r="AI456" s="40"/>
      <c r="AJ456" s="40"/>
    </row>
    <row r="457" spans="34:36" ht="15" customHeight="1" x14ac:dyDescent="0.4">
      <c r="AH457" s="159"/>
      <c r="AI457" s="159"/>
      <c r="AJ457" s="159"/>
    </row>
    <row r="458" spans="34:36" ht="15" customHeight="1" x14ac:dyDescent="0.4">
      <c r="AH458" s="40"/>
      <c r="AI458" s="40"/>
      <c r="AJ458" s="40"/>
    </row>
    <row r="459" spans="34:36" ht="15" customHeight="1" x14ac:dyDescent="0.4">
      <c r="AH459" s="312"/>
      <c r="AI459" s="312"/>
      <c r="AJ459" s="312"/>
    </row>
    <row r="460" spans="34:36" ht="15" customHeight="1" x14ac:dyDescent="0.4">
      <c r="AH460" s="311"/>
      <c r="AI460" s="311"/>
      <c r="AJ460" s="311"/>
    </row>
    <row r="461" spans="34:36" ht="15" customHeight="1" x14ac:dyDescent="0.4">
      <c r="AH461" s="312"/>
      <c r="AI461" s="312"/>
      <c r="AJ461" s="312"/>
    </row>
    <row r="462" spans="34:36" ht="15" customHeight="1" thickBot="1" x14ac:dyDescent="0.45">
      <c r="AH462" s="40"/>
      <c r="AI462" s="40"/>
      <c r="AJ462" s="40"/>
    </row>
    <row r="463" spans="34:36" ht="15" customHeight="1" thickTop="1" thickBot="1" x14ac:dyDescent="0.45">
      <c r="AH463" s="202"/>
      <c r="AI463" s="202"/>
      <c r="AJ463" s="202"/>
    </row>
    <row r="464" spans="34:36" ht="15" customHeight="1" thickTop="1" x14ac:dyDescent="0.4">
      <c r="AH464" s="40"/>
      <c r="AI464" s="40"/>
      <c r="AJ464" s="40"/>
    </row>
    <row r="465" spans="34:36" ht="15" customHeight="1" thickBot="1" x14ac:dyDescent="0.45">
      <c r="AH465" s="40"/>
      <c r="AI465" s="40"/>
      <c r="AJ465" s="40"/>
    </row>
    <row r="466" spans="34:36" ht="15" customHeight="1" thickBot="1" x14ac:dyDescent="0.45">
      <c r="AH466" s="194"/>
      <c r="AI466" s="194"/>
      <c r="AJ466" s="194"/>
    </row>
    <row r="467" spans="34:36" ht="15" customHeight="1" x14ac:dyDescent="0.4">
      <c r="AH467" s="200"/>
      <c r="AI467" s="200"/>
      <c r="AJ467" s="200"/>
    </row>
    <row r="468" spans="34:36" ht="15" customHeight="1" x14ac:dyDescent="0.4">
      <c r="AH468" s="39"/>
      <c r="AI468" s="39"/>
      <c r="AJ468" s="39"/>
    </row>
    <row r="469" spans="34:36" ht="15" customHeight="1" x14ac:dyDescent="0.4">
      <c r="AH469" s="39"/>
      <c r="AI469" s="39"/>
      <c r="AJ469" s="39"/>
    </row>
    <row r="470" spans="34:36" ht="15" customHeight="1" x14ac:dyDescent="0.4">
      <c r="AH470" s="39"/>
      <c r="AI470" s="39"/>
      <c r="AJ470" s="39"/>
    </row>
    <row r="471" spans="34:36" ht="15" customHeight="1" x14ac:dyDescent="0.4">
      <c r="AH471" s="40"/>
      <c r="AI471" s="40"/>
      <c r="AJ471" s="40"/>
    </row>
    <row r="472" spans="34:36" ht="15" customHeight="1" thickBot="1" x14ac:dyDescent="0.45">
      <c r="AH472" s="1370"/>
      <c r="AI472" s="1370"/>
      <c r="AJ472" s="1370"/>
    </row>
    <row r="473" spans="34:36" ht="15" customHeight="1" x14ac:dyDescent="0.4">
      <c r="AH473" s="185"/>
      <c r="AI473" s="185"/>
      <c r="AJ473" s="185"/>
    </row>
    <row r="474" spans="34:36" ht="15" customHeight="1" x14ac:dyDescent="0.4">
      <c r="AH474" s="39"/>
      <c r="AI474" s="39"/>
      <c r="AJ474" s="39"/>
    </row>
    <row r="475" spans="34:36" ht="15" customHeight="1" x14ac:dyDescent="0.4">
      <c r="AH475" s="39"/>
      <c r="AI475" s="39"/>
      <c r="AJ475" s="39"/>
    </row>
    <row r="476" spans="34:36" ht="15" customHeight="1" x14ac:dyDescent="0.4">
      <c r="AH476" s="39"/>
      <c r="AI476" s="39"/>
      <c r="AJ476" s="39"/>
    </row>
    <row r="477" spans="34:36" ht="15" customHeight="1" x14ac:dyDescent="0.4">
      <c r="AH477" s="39"/>
      <c r="AI477" s="39"/>
      <c r="AJ477" s="39"/>
    </row>
    <row r="478" spans="34:36" ht="15" customHeight="1" thickBot="1" x14ac:dyDescent="0.45">
      <c r="AH478" s="947"/>
      <c r="AI478" s="947"/>
      <c r="AJ478" s="947"/>
    </row>
    <row r="479" spans="34:36" ht="15" customHeight="1" x14ac:dyDescent="0.4">
      <c r="AH479" s="185"/>
      <c r="AI479" s="185"/>
      <c r="AJ479" s="185"/>
    </row>
    <row r="480" spans="34:36" ht="15" customHeight="1" x14ac:dyDescent="0.4">
      <c r="AH480" s="39"/>
      <c r="AI480" s="39"/>
      <c r="AJ480" s="39"/>
    </row>
    <row r="481" spans="34:36" ht="15" customHeight="1" x14ac:dyDescent="0.4">
      <c r="AH481" s="39"/>
      <c r="AI481" s="39"/>
      <c r="AJ481" s="39"/>
    </row>
    <row r="482" spans="34:36" ht="15" customHeight="1" x14ac:dyDescent="0.4">
      <c r="AH482" s="39"/>
      <c r="AI482" s="39"/>
      <c r="AJ482" s="39"/>
    </row>
    <row r="483" spans="34:36" ht="15" customHeight="1" x14ac:dyDescent="0.4">
      <c r="AH483" s="39"/>
      <c r="AI483" s="39"/>
      <c r="AJ483" s="39"/>
    </row>
    <row r="484" spans="34:36" ht="15" customHeight="1" thickBot="1" x14ac:dyDescent="0.45">
      <c r="AH484" s="947"/>
      <c r="AI484" s="947"/>
      <c r="AJ484" s="947"/>
    </row>
    <row r="485" spans="34:36" ht="15" customHeight="1" x14ac:dyDescent="0.4">
      <c r="AH485" s="185"/>
      <c r="AI485" s="185"/>
      <c r="AJ485" s="185"/>
    </row>
    <row r="486" spans="34:36" ht="15" customHeight="1" x14ac:dyDescent="0.4">
      <c r="AH486" s="39"/>
      <c r="AI486" s="39"/>
      <c r="AJ486" s="39"/>
    </row>
    <row r="487" spans="34:36" ht="15" customHeight="1" x14ac:dyDescent="0.4">
      <c r="AH487" s="39"/>
      <c r="AI487" s="39"/>
      <c r="AJ487" s="39"/>
    </row>
    <row r="488" spans="34:36" ht="15" customHeight="1" x14ac:dyDescent="0.4">
      <c r="AH488" s="39"/>
      <c r="AI488" s="39"/>
      <c r="AJ488" s="39"/>
    </row>
    <row r="489" spans="34:36" ht="15" customHeight="1" x14ac:dyDescent="0.4">
      <c r="AH489" s="39"/>
      <c r="AI489" s="39"/>
      <c r="AJ489" s="39"/>
    </row>
    <row r="490" spans="34:36" ht="15" customHeight="1" thickBot="1" x14ac:dyDescent="0.45">
      <c r="AH490" s="947"/>
      <c r="AI490" s="947"/>
      <c r="AJ490" s="947"/>
    </row>
    <row r="491" spans="34:36" ht="15" customHeight="1" x14ac:dyDescent="0.4">
      <c r="AH491" s="185"/>
      <c r="AI491" s="185"/>
      <c r="AJ491" s="185"/>
    </row>
    <row r="492" spans="34:36" ht="15" customHeight="1" x14ac:dyDescent="0.4">
      <c r="AH492" s="39"/>
      <c r="AI492" s="39"/>
      <c r="AJ492" s="39"/>
    </row>
    <row r="493" spans="34:36" ht="15" customHeight="1" x14ac:dyDescent="0.4">
      <c r="AH493" s="39"/>
      <c r="AI493" s="39"/>
      <c r="AJ493" s="39"/>
    </row>
    <row r="494" spans="34:36" ht="15" customHeight="1" thickBot="1" x14ac:dyDescent="0.45">
      <c r="AH494" s="947"/>
      <c r="AI494" s="947"/>
      <c r="AJ494" s="947"/>
    </row>
    <row r="495" spans="34:36" ht="15" customHeight="1" x14ac:dyDescent="0.4">
      <c r="AH495" s="185"/>
      <c r="AI495" s="185"/>
      <c r="AJ495" s="185"/>
    </row>
    <row r="496" spans="34:36" ht="15" customHeight="1" x14ac:dyDescent="0.4">
      <c r="AH496" s="39"/>
      <c r="AI496" s="39"/>
      <c r="AJ496" s="39"/>
    </row>
    <row r="497" spans="34:36" ht="15" customHeight="1" x14ac:dyDescent="0.4">
      <c r="AH497" s="39"/>
      <c r="AI497" s="39"/>
      <c r="AJ497" s="39"/>
    </row>
    <row r="498" spans="34:36" ht="15" customHeight="1" thickBot="1" x14ac:dyDescent="0.45">
      <c r="AH498" s="947"/>
      <c r="AI498" s="947"/>
      <c r="AJ498" s="947"/>
    </row>
    <row r="499" spans="34:36" ht="15" customHeight="1" x14ac:dyDescent="0.4">
      <c r="AH499" s="185"/>
      <c r="AI499" s="185"/>
      <c r="AJ499" s="185"/>
    </row>
    <row r="500" spans="34:36" ht="15" customHeight="1" x14ac:dyDescent="0.4">
      <c r="AH500" s="39"/>
      <c r="AI500" s="39"/>
      <c r="AJ500" s="39"/>
    </row>
    <row r="501" spans="34:36" ht="15" customHeight="1" x14ac:dyDescent="0.4">
      <c r="AH501" s="39"/>
      <c r="AI501" s="39"/>
      <c r="AJ501" s="39"/>
    </row>
    <row r="502" spans="34:36" ht="15" customHeight="1" thickBot="1" x14ac:dyDescent="0.45">
      <c r="AH502" s="947"/>
      <c r="AI502" s="947"/>
      <c r="AJ502" s="947"/>
    </row>
    <row r="503" spans="34:36" ht="15" customHeight="1" x14ac:dyDescent="0.4">
      <c r="AH503" s="185"/>
      <c r="AI503" s="185"/>
      <c r="AJ503" s="185"/>
    </row>
    <row r="504" spans="34:36" ht="15" customHeight="1" x14ac:dyDescent="0.4">
      <c r="AH504" s="39"/>
      <c r="AI504" s="39"/>
      <c r="AJ504" s="39"/>
    </row>
    <row r="505" spans="34:36" ht="15" customHeight="1" x14ac:dyDescent="0.4">
      <c r="AH505" s="39"/>
      <c r="AI505" s="39"/>
      <c r="AJ505" s="39"/>
    </row>
    <row r="506" spans="34:36" ht="15" customHeight="1" thickBot="1" x14ac:dyDescent="0.45">
      <c r="AH506" s="947"/>
      <c r="AI506" s="947"/>
      <c r="AJ506" s="947"/>
    </row>
    <row r="507" spans="34:36" ht="15" customHeight="1" x14ac:dyDescent="0.4">
      <c r="AH507" s="185"/>
      <c r="AI507" s="185"/>
      <c r="AJ507" s="185"/>
    </row>
    <row r="508" spans="34:36" ht="15" customHeight="1" x14ac:dyDescent="0.4">
      <c r="AH508" s="39"/>
      <c r="AI508" s="39"/>
      <c r="AJ508" s="39"/>
    </row>
    <row r="509" spans="34:36" ht="15" customHeight="1" x14ac:dyDescent="0.4">
      <c r="AH509" s="39"/>
      <c r="AI509" s="39"/>
      <c r="AJ509" s="39"/>
    </row>
    <row r="510" spans="34:36" ht="15" customHeight="1" thickBot="1" x14ac:dyDescent="0.45">
      <c r="AH510" s="947"/>
      <c r="AI510" s="947"/>
      <c r="AJ510" s="947"/>
    </row>
    <row r="511" spans="34:36" ht="15" customHeight="1" x14ac:dyDescent="0.4">
      <c r="AH511" s="185"/>
      <c r="AI511" s="185"/>
      <c r="AJ511" s="185"/>
    </row>
    <row r="512" spans="34:36" ht="15" customHeight="1" x14ac:dyDescent="0.4">
      <c r="AH512" s="39"/>
      <c r="AI512" s="39"/>
      <c r="AJ512" s="39"/>
    </row>
    <row r="513" spans="34:36" ht="15" customHeight="1" x14ac:dyDescent="0.4">
      <c r="AH513" s="39"/>
      <c r="AI513" s="39"/>
      <c r="AJ513" s="39"/>
    </row>
    <row r="514" spans="34:36" ht="15" customHeight="1" thickBot="1" x14ac:dyDescent="0.45">
      <c r="AH514" s="947"/>
      <c r="AI514" s="947"/>
      <c r="AJ514" s="947"/>
    </row>
    <row r="515" spans="34:36" ht="15" customHeight="1" x14ac:dyDescent="0.4">
      <c r="AH515" s="159"/>
      <c r="AI515" s="159"/>
      <c r="AJ515" s="159"/>
    </row>
    <row r="516" spans="34:36" ht="15" customHeight="1" thickBot="1" x14ac:dyDescent="0.45"/>
    <row r="517" spans="34:36" ht="15" customHeight="1" x14ac:dyDescent="0.4">
      <c r="AH517" s="185"/>
      <c r="AI517" s="185"/>
      <c r="AJ517" s="185"/>
    </row>
    <row r="518" spans="34:36" ht="15" customHeight="1" x14ac:dyDescent="0.4">
      <c r="AH518" s="39"/>
      <c r="AI518" s="39"/>
      <c r="AJ518" s="39"/>
    </row>
    <row r="520" spans="34:36" ht="15" customHeight="1" thickBot="1" x14ac:dyDescent="0.45">
      <c r="AH520" s="1213"/>
      <c r="AI520" s="1213"/>
      <c r="AJ520" s="1213"/>
    </row>
    <row r="522" spans="34:36" ht="15" customHeight="1" x14ac:dyDescent="0.4">
      <c r="AH522" s="39"/>
      <c r="AI522" s="39"/>
      <c r="AJ522" s="39"/>
    </row>
    <row r="524" spans="34:36" ht="15" customHeight="1" thickBot="1" x14ac:dyDescent="0.45">
      <c r="AH524" s="947"/>
      <c r="AI524" s="947"/>
      <c r="AJ524" s="947"/>
    </row>
    <row r="525" spans="34:36" ht="15" customHeight="1" x14ac:dyDescent="0.4">
      <c r="AH525" s="179"/>
      <c r="AI525" s="179"/>
      <c r="AJ525" s="179"/>
    </row>
    <row r="526" spans="34:36" ht="15" customHeight="1" x14ac:dyDescent="0.4">
      <c r="AH526" s="39"/>
      <c r="AI526" s="39"/>
      <c r="AJ526" s="39"/>
    </row>
    <row r="527" spans="34:36" ht="15" customHeight="1" x14ac:dyDescent="0.4">
      <c r="AH527" s="39"/>
      <c r="AI527" s="39"/>
      <c r="AJ527" s="39"/>
    </row>
    <row r="528" spans="34:36" ht="15" customHeight="1" x14ac:dyDescent="0.4">
      <c r="AH528" s="39"/>
      <c r="AI528" s="39"/>
      <c r="AJ528" s="39"/>
    </row>
    <row r="529" spans="34:36" ht="15" customHeight="1" x14ac:dyDescent="0.4">
      <c r="AH529" s="39"/>
      <c r="AI529" s="39"/>
      <c r="AJ529" s="39"/>
    </row>
    <row r="530" spans="34:36" ht="15" customHeight="1" x14ac:dyDescent="0.4">
      <c r="AH530" s="39"/>
      <c r="AI530" s="39"/>
      <c r="AJ530" s="39"/>
    </row>
    <row r="531" spans="34:36" ht="15" customHeight="1" x14ac:dyDescent="0.4">
      <c r="AH531" s="39"/>
      <c r="AI531" s="39"/>
      <c r="AJ531" s="39"/>
    </row>
    <row r="532" spans="34:36" ht="15" customHeight="1" x14ac:dyDescent="0.4">
      <c r="AH532" s="39"/>
      <c r="AI532" s="39"/>
      <c r="AJ532" s="39"/>
    </row>
    <row r="533" spans="34:36" ht="15" customHeight="1" x14ac:dyDescent="0.4">
      <c r="AH533" s="39"/>
      <c r="AI533" s="39"/>
      <c r="AJ533" s="39"/>
    </row>
    <row r="534" spans="34:36" ht="15" customHeight="1" x14ac:dyDescent="0.4">
      <c r="AH534" s="39"/>
      <c r="AI534" s="39"/>
      <c r="AJ534" s="39"/>
    </row>
    <row r="535" spans="34:36" ht="15" customHeight="1" x14ac:dyDescent="0.4">
      <c r="AH535" s="39"/>
      <c r="AI535" s="39"/>
      <c r="AJ535" s="39"/>
    </row>
    <row r="536" spans="34:36" ht="15" customHeight="1" x14ac:dyDescent="0.4">
      <c r="AH536" s="39"/>
      <c r="AI536" s="39"/>
      <c r="AJ536" s="39"/>
    </row>
    <row r="537" spans="34:36" ht="15" customHeight="1" x14ac:dyDescent="0.4">
      <c r="AH537" s="39"/>
      <c r="AI537" s="39"/>
      <c r="AJ537" s="39"/>
    </row>
    <row r="538" spans="34:36" ht="15" customHeight="1" x14ac:dyDescent="0.4">
      <c r="AH538" s="39"/>
      <c r="AI538" s="39"/>
      <c r="AJ538" s="39"/>
    </row>
    <row r="539" spans="34:36" ht="15" customHeight="1" x14ac:dyDescent="0.4">
      <c r="AH539" s="39"/>
      <c r="AI539" s="39"/>
      <c r="AJ539" s="39"/>
    </row>
    <row r="540" spans="34:36" ht="15" customHeight="1" x14ac:dyDescent="0.4">
      <c r="AH540" s="39"/>
      <c r="AI540" s="39"/>
      <c r="AJ540" s="39"/>
    </row>
    <row r="541" spans="34:36" ht="15" customHeight="1" x14ac:dyDescent="0.4">
      <c r="AH541" s="39"/>
      <c r="AI541" s="39"/>
      <c r="AJ541" s="39"/>
    </row>
    <row r="542" spans="34:36" ht="15" customHeight="1" x14ac:dyDescent="0.4">
      <c r="AH542" s="39"/>
      <c r="AI542" s="39"/>
      <c r="AJ542" s="39"/>
    </row>
    <row r="543" spans="34:36" ht="15" customHeight="1" x14ac:dyDescent="0.4">
      <c r="AH543" s="39"/>
      <c r="AI543" s="39"/>
      <c r="AJ543" s="39"/>
    </row>
    <row r="544" spans="34:36" ht="15" customHeight="1" x14ac:dyDescent="0.4">
      <c r="AH544" s="39"/>
      <c r="AI544" s="39"/>
      <c r="AJ544" s="39"/>
    </row>
    <row r="545" spans="34:36" ht="15" customHeight="1" x14ac:dyDescent="0.4">
      <c r="AH545" s="39"/>
      <c r="AI545" s="39"/>
      <c r="AJ545" s="39"/>
    </row>
    <row r="546" spans="34:36" ht="15" customHeight="1" thickBot="1" x14ac:dyDescent="0.45">
      <c r="AH546" s="39"/>
      <c r="AI546" s="39"/>
      <c r="AJ546" s="39"/>
    </row>
    <row r="547" spans="34:36" ht="15" customHeight="1" thickBot="1" x14ac:dyDescent="0.45">
      <c r="AH547" s="194"/>
      <c r="AI547" s="194"/>
      <c r="AJ547" s="194"/>
    </row>
    <row r="548" spans="34:36" ht="15" customHeight="1" x14ac:dyDescent="0.4">
      <c r="AH548" s="180"/>
      <c r="AI548" s="180"/>
      <c r="AJ548" s="180"/>
    </row>
    <row r="549" spans="34:36" ht="15" customHeight="1" x14ac:dyDescent="0.4">
      <c r="AH549" s="39"/>
      <c r="AI549" s="39"/>
      <c r="AJ549" s="39"/>
    </row>
    <row r="550" spans="34:36" ht="15" customHeight="1" x14ac:dyDescent="0.4">
      <c r="AH550" s="40"/>
      <c r="AI550" s="40"/>
      <c r="AJ550" s="40"/>
    </row>
    <row r="551" spans="34:36" ht="15" customHeight="1" x14ac:dyDescent="0.4">
      <c r="AH551" s="40"/>
      <c r="AI551" s="40"/>
      <c r="AJ551" s="40"/>
    </row>
    <row r="552" spans="34:36" ht="15" customHeight="1" thickBot="1" x14ac:dyDescent="0.45">
      <c r="AH552" s="40"/>
      <c r="AI552" s="40"/>
      <c r="AJ552" s="40"/>
    </row>
    <row r="553" spans="34:36" ht="15" customHeight="1" x14ac:dyDescent="0.4">
      <c r="AH553" s="180"/>
      <c r="AI553" s="180"/>
      <c r="AJ553" s="180"/>
    </row>
    <row r="554" spans="34:36" ht="15" customHeight="1" x14ac:dyDescent="0.4">
      <c r="AH554" s="40"/>
      <c r="AI554" s="40"/>
      <c r="AJ554" s="40"/>
    </row>
    <row r="555" spans="34:36" ht="15" customHeight="1" x14ac:dyDescent="0.4">
      <c r="AH555" s="40"/>
      <c r="AI555" s="40"/>
      <c r="AJ555" s="40"/>
    </row>
    <row r="556" spans="34:36" ht="15" customHeight="1" x14ac:dyDescent="0.4">
      <c r="AH556" s="40"/>
      <c r="AI556" s="40"/>
      <c r="AJ556" s="40"/>
    </row>
    <row r="557" spans="34:36" ht="15" customHeight="1" thickBot="1" x14ac:dyDescent="0.45">
      <c r="AH557" s="1370"/>
      <c r="AI557" s="1370"/>
      <c r="AJ557" s="1370"/>
    </row>
    <row r="558" spans="34:36" ht="15" customHeight="1" x14ac:dyDescent="0.4">
      <c r="AH558" s="180"/>
      <c r="AI558" s="180"/>
      <c r="AJ558" s="180"/>
    </row>
    <row r="559" spans="34:36" ht="15" customHeight="1" x14ac:dyDescent="0.4">
      <c r="AH559" s="39"/>
      <c r="AI559" s="39"/>
      <c r="AJ559" s="39"/>
    </row>
    <row r="560" spans="34:36" ht="15" customHeight="1" x14ac:dyDescent="0.4">
      <c r="AH560" s="40"/>
      <c r="AI560" s="40"/>
      <c r="AJ560" s="40"/>
    </row>
    <row r="561" spans="34:36" ht="15" customHeight="1" x14ac:dyDescent="0.4">
      <c r="AH561" s="40"/>
      <c r="AI561" s="40"/>
      <c r="AJ561" s="40"/>
    </row>
    <row r="562" spans="34:36" ht="15" customHeight="1" thickBot="1" x14ac:dyDescent="0.45">
      <c r="AH562" s="40"/>
      <c r="AI562" s="40"/>
      <c r="AJ562" s="40"/>
    </row>
    <row r="563" spans="34:36" ht="15" customHeight="1" x14ac:dyDescent="0.4">
      <c r="AH563" s="180"/>
      <c r="AI563" s="180"/>
      <c r="AJ563" s="180"/>
    </row>
    <row r="564" spans="34:36" ht="15" customHeight="1" x14ac:dyDescent="0.4">
      <c r="AH564" s="40"/>
      <c r="AI564" s="40"/>
      <c r="AJ564" s="40"/>
    </row>
    <row r="565" spans="34:36" ht="15" customHeight="1" x14ac:dyDescent="0.4">
      <c r="AH565" s="40"/>
      <c r="AI565" s="40"/>
      <c r="AJ565" s="40"/>
    </row>
    <row r="566" spans="34:36" ht="15" customHeight="1" thickBot="1" x14ac:dyDescent="0.45">
      <c r="AH566" s="1370"/>
      <c r="AI566" s="1370"/>
      <c r="AJ566" s="1370"/>
    </row>
    <row r="567" spans="34:36" ht="15" customHeight="1" thickBot="1" x14ac:dyDescent="0.45">
      <c r="AH567" s="40"/>
      <c r="AI567" s="40"/>
      <c r="AJ567" s="40"/>
    </row>
    <row r="568" spans="34:36" ht="15" customHeight="1" x14ac:dyDescent="0.4">
      <c r="AH568" s="180"/>
      <c r="AI568" s="180"/>
      <c r="AJ568" s="180"/>
    </row>
    <row r="569" spans="34:36" ht="15" customHeight="1" x14ac:dyDescent="0.4">
      <c r="AH569" s="39"/>
      <c r="AI569" s="39"/>
      <c r="AJ569" s="39"/>
    </row>
    <row r="570" spans="34:36" ht="15" customHeight="1" x14ac:dyDescent="0.4">
      <c r="AH570" s="39"/>
      <c r="AI570" s="39"/>
      <c r="AJ570" s="39"/>
    </row>
    <row r="571" spans="34:36" ht="15" customHeight="1" x14ac:dyDescent="0.4">
      <c r="AH571" s="39"/>
      <c r="AI571" s="39"/>
      <c r="AJ571" s="39"/>
    </row>
    <row r="572" spans="34:36" ht="15" customHeight="1" thickBot="1" x14ac:dyDescent="0.45">
      <c r="AH572" s="937"/>
      <c r="AI572" s="937"/>
      <c r="AJ572" s="937"/>
    </row>
    <row r="573" spans="34:36" ht="15" customHeight="1" x14ac:dyDescent="0.4">
      <c r="AH573" s="180"/>
      <c r="AI573" s="180"/>
      <c r="AJ573" s="180"/>
    </row>
    <row r="574" spans="34:36" ht="15" customHeight="1" x14ac:dyDescent="0.4">
      <c r="AH574" s="40"/>
      <c r="AI574" s="40"/>
      <c r="AJ574" s="40"/>
    </row>
    <row r="575" spans="34:36" ht="15" customHeight="1" x14ac:dyDescent="0.4">
      <c r="AH575" s="40"/>
      <c r="AI575" s="40"/>
      <c r="AJ575" s="40"/>
    </row>
    <row r="576" spans="34:36" ht="15" customHeight="1" thickBot="1" x14ac:dyDescent="0.45">
      <c r="AH576" s="1370"/>
      <c r="AI576" s="1370"/>
      <c r="AJ576" s="1370"/>
    </row>
    <row r="577" spans="34:36" ht="15" customHeight="1" x14ac:dyDescent="0.4">
      <c r="AH577" s="180"/>
      <c r="AI577" s="180"/>
      <c r="AJ577" s="180"/>
    </row>
    <row r="578" spans="34:36" ht="15" customHeight="1" x14ac:dyDescent="0.4">
      <c r="AH578" s="39"/>
      <c r="AI578" s="39"/>
      <c r="AJ578" s="39"/>
    </row>
    <row r="579" spans="34:36" ht="15" customHeight="1" thickBot="1" x14ac:dyDescent="0.45">
      <c r="AH579" s="39"/>
      <c r="AI579" s="39"/>
      <c r="AJ579" s="39"/>
    </row>
    <row r="580" spans="34:36" ht="15" customHeight="1" x14ac:dyDescent="0.4">
      <c r="AH580" s="180"/>
      <c r="AI580" s="180"/>
      <c r="AJ580" s="180"/>
    </row>
    <row r="581" spans="34:36" ht="15" customHeight="1" x14ac:dyDescent="0.4">
      <c r="AH581" s="40"/>
      <c r="AI581" s="40"/>
      <c r="AJ581" s="40"/>
    </row>
    <row r="582" spans="34:36" ht="15" customHeight="1" x14ac:dyDescent="0.4">
      <c r="AH582" s="40"/>
      <c r="AI582" s="40"/>
      <c r="AJ582" s="40"/>
    </row>
    <row r="583" spans="34:36" ht="15" customHeight="1" thickBot="1" x14ac:dyDescent="0.45">
      <c r="AH583" s="1370"/>
      <c r="AI583" s="1370"/>
      <c r="AJ583" s="1370"/>
    </row>
    <row r="584" spans="34:36" ht="15" customHeight="1" x14ac:dyDescent="0.4">
      <c r="AH584" s="180"/>
      <c r="AI584" s="180"/>
      <c r="AJ584" s="180"/>
    </row>
    <row r="585" spans="34:36" ht="15" customHeight="1" x14ac:dyDescent="0.4">
      <c r="AH585" s="39"/>
      <c r="AI585" s="39"/>
      <c r="AJ585" s="39"/>
    </row>
    <row r="586" spans="34:36" ht="15" customHeight="1" x14ac:dyDescent="0.4">
      <c r="AH586" s="39"/>
      <c r="AI586" s="39"/>
      <c r="AJ586" s="39"/>
    </row>
    <row r="587" spans="34:36" ht="15" customHeight="1" x14ac:dyDescent="0.4">
      <c r="AH587" s="39"/>
      <c r="AI587" s="39"/>
      <c r="AJ587" s="39"/>
    </row>
    <row r="588" spans="34:36" ht="15" customHeight="1" thickBot="1" x14ac:dyDescent="0.45">
      <c r="AH588" s="39"/>
      <c r="AI588" s="39"/>
      <c r="AJ588" s="39"/>
    </row>
    <row r="589" spans="34:36" ht="15" customHeight="1" x14ac:dyDescent="0.4">
      <c r="AH589" s="180"/>
      <c r="AI589" s="180"/>
      <c r="AJ589" s="180"/>
    </row>
    <row r="590" spans="34:36" ht="15" customHeight="1" x14ac:dyDescent="0.4">
      <c r="AH590" s="39"/>
      <c r="AI590" s="39"/>
      <c r="AJ590" s="39"/>
    </row>
    <row r="591" spans="34:36" ht="15" customHeight="1" x14ac:dyDescent="0.4">
      <c r="AH591" s="39"/>
      <c r="AI591" s="39"/>
      <c r="AJ591" s="39"/>
    </row>
    <row r="592" spans="34:36" ht="15" customHeight="1" x14ac:dyDescent="0.4">
      <c r="AH592" s="39"/>
      <c r="AI592" s="39"/>
      <c r="AJ592" s="39"/>
    </row>
    <row r="593" spans="34:36" ht="15" customHeight="1" thickBot="1" x14ac:dyDescent="0.45">
      <c r="AH593" s="39"/>
      <c r="AI593" s="39"/>
      <c r="AJ593" s="39"/>
    </row>
    <row r="594" spans="34:36" ht="15" customHeight="1" thickBot="1" x14ac:dyDescent="0.45">
      <c r="AH594" s="137"/>
      <c r="AI594" s="137"/>
      <c r="AJ594" s="137"/>
    </row>
    <row r="595" spans="34:36" ht="15" customHeight="1" thickBot="1" x14ac:dyDescent="0.45">
      <c r="AH595" s="137"/>
      <c r="AI595" s="137"/>
      <c r="AJ595" s="137"/>
    </row>
    <row r="596" spans="34:36" ht="15" customHeight="1" x14ac:dyDescent="0.4">
      <c r="AH596" s="159"/>
      <c r="AI596" s="159"/>
      <c r="AJ596" s="159"/>
    </row>
    <row r="597" spans="34:36" ht="15" customHeight="1" x14ac:dyDescent="0.4">
      <c r="AH597" s="40"/>
      <c r="AI597" s="40"/>
      <c r="AJ597" s="40"/>
    </row>
    <row r="598" spans="34:36" ht="15" customHeight="1" x14ac:dyDescent="0.4">
      <c r="AH598" s="40"/>
      <c r="AI598" s="40"/>
      <c r="AJ598" s="40"/>
    </row>
    <row r="599" spans="34:36" ht="15" customHeight="1" x14ac:dyDescent="0.4">
      <c r="AH599" s="40"/>
      <c r="AI599" s="40"/>
      <c r="AJ599" s="40"/>
    </row>
    <row r="600" spans="34:36" ht="15" customHeight="1" x14ac:dyDescent="0.4">
      <c r="AH600" s="40"/>
      <c r="AI600" s="40"/>
      <c r="AJ600" s="40"/>
    </row>
    <row r="601" spans="34:36" ht="15" customHeight="1" x14ac:dyDescent="0.4">
      <c r="AH601" s="40"/>
      <c r="AI601" s="40"/>
      <c r="AJ601" s="40"/>
    </row>
    <row r="602" spans="34:36" ht="15" customHeight="1" x14ac:dyDescent="0.4">
      <c r="AH602" s="40"/>
      <c r="AI602" s="40"/>
      <c r="AJ602" s="40"/>
    </row>
    <row r="603" spans="34:36" ht="15" customHeight="1" x14ac:dyDescent="0.4">
      <c r="AH603" s="40"/>
      <c r="AI603" s="40"/>
      <c r="AJ603" s="40"/>
    </row>
    <row r="604" spans="34:36" ht="15" customHeight="1" x14ac:dyDescent="0.4">
      <c r="AH604" s="40"/>
      <c r="AI604" s="40"/>
      <c r="AJ604" s="40"/>
    </row>
    <row r="605" spans="34:36" ht="15" customHeight="1" x14ac:dyDescent="0.4">
      <c r="AH605" s="40"/>
      <c r="AI605" s="40"/>
      <c r="AJ605" s="40"/>
    </row>
    <row r="606" spans="34:36" ht="15" customHeight="1" x14ac:dyDescent="0.4">
      <c r="AH606" s="159"/>
      <c r="AI606" s="159"/>
      <c r="AJ606" s="159"/>
    </row>
    <row r="607" spans="34:36" ht="15" customHeight="1" x14ac:dyDescent="0.4">
      <c r="AH607" s="40"/>
      <c r="AI607" s="40"/>
      <c r="AJ607" s="40"/>
    </row>
    <row r="608" spans="34:36" ht="15" customHeight="1" x14ac:dyDescent="0.4">
      <c r="AH608" s="40"/>
      <c r="AI608" s="40"/>
      <c r="AJ608" s="40"/>
    </row>
    <row r="609" spans="34:36" ht="15" customHeight="1" x14ac:dyDescent="0.4">
      <c r="AH609" s="40"/>
      <c r="AI609" s="40"/>
      <c r="AJ609" s="40"/>
    </row>
    <row r="610" spans="34:36" ht="15" customHeight="1" x14ac:dyDescent="0.4">
      <c r="AH610" s="311"/>
      <c r="AI610" s="311"/>
      <c r="AJ610" s="311"/>
    </row>
    <row r="611" spans="34:36" ht="15" customHeight="1" x14ac:dyDescent="0.4">
      <c r="AH611" s="40"/>
      <c r="AI611" s="40"/>
      <c r="AJ611" s="40"/>
    </row>
    <row r="612" spans="34:36" ht="15" customHeight="1" x14ac:dyDescent="0.4">
      <c r="AH612" s="40"/>
      <c r="AI612" s="40"/>
      <c r="AJ612" s="40"/>
    </row>
    <row r="613" spans="34:36" ht="15" customHeight="1" x14ac:dyDescent="0.4">
      <c r="AH613" s="169"/>
      <c r="AI613" s="169"/>
      <c r="AJ613" s="169"/>
    </row>
    <row r="614" spans="34:36" ht="15" customHeight="1" x14ac:dyDescent="0.4">
      <c r="AH614" s="46"/>
      <c r="AI614" s="46"/>
      <c r="AJ614" s="46"/>
    </row>
    <row r="615" spans="34:36" ht="15" customHeight="1" x14ac:dyDescent="0.4">
      <c r="AH615" s="46"/>
      <c r="AI615" s="46"/>
      <c r="AJ615" s="46"/>
    </row>
    <row r="616" spans="34:36" ht="15" customHeight="1" x14ac:dyDescent="0.4">
      <c r="AH616" s="169"/>
      <c r="AI616" s="169"/>
      <c r="AJ616" s="169"/>
    </row>
    <row r="617" spans="34:36" ht="15" customHeight="1" x14ac:dyDescent="0.4">
      <c r="AH617" s="46"/>
      <c r="AI617" s="46"/>
      <c r="AJ617" s="46"/>
    </row>
    <row r="618" spans="34:36" ht="15" customHeight="1" x14ac:dyDescent="0.4">
      <c r="AH618" s="46"/>
      <c r="AI618" s="46"/>
      <c r="AJ618" s="46"/>
    </row>
    <row r="619" spans="34:36" ht="15" customHeight="1" x14ac:dyDescent="0.4">
      <c r="AH619" s="166"/>
      <c r="AI619" s="166"/>
      <c r="AJ619" s="166"/>
    </row>
    <row r="620" spans="34:36" ht="15" customHeight="1" x14ac:dyDescent="0.4">
      <c r="AH620" s="172"/>
      <c r="AI620" s="172"/>
      <c r="AJ620" s="172"/>
    </row>
    <row r="621" spans="34:36" ht="15" customHeight="1" x14ac:dyDescent="0.4">
      <c r="AH621" s="93"/>
      <c r="AI621" s="93"/>
      <c r="AJ621" s="93"/>
    </row>
    <row r="630" spans="34:36" ht="15" customHeight="1" x14ac:dyDescent="0.4">
      <c r="AH630" s="93"/>
      <c r="AI630" s="93"/>
      <c r="AJ630" s="93"/>
    </row>
    <row r="652" spans="34:36" ht="15" customHeight="1" x14ac:dyDescent="0.4">
      <c r="AH652" s="54"/>
      <c r="AI652" s="54"/>
      <c r="AJ652" s="54"/>
    </row>
    <row r="653" spans="34:36" ht="15" customHeight="1" x14ac:dyDescent="0.4">
      <c r="AH653" s="48"/>
      <c r="AI653" s="48"/>
      <c r="AJ653" s="48"/>
    </row>
    <row r="661" spans="34:36" ht="15" customHeight="1" x14ac:dyDescent="0.4">
      <c r="AH661" s="70"/>
      <c r="AI661" s="70"/>
      <c r="AJ661" s="70"/>
    </row>
    <row r="668" spans="34:36" ht="15" customHeight="1" x14ac:dyDescent="0.4">
      <c r="AH668" s="70"/>
      <c r="AI668" s="70"/>
      <c r="AJ668" s="70"/>
    </row>
    <row r="715" spans="34:36" ht="15" customHeight="1" x14ac:dyDescent="0.4">
      <c r="AH715" s="5"/>
      <c r="AI715" s="5"/>
      <c r="AJ715" s="5"/>
    </row>
    <row r="716" spans="34:36" ht="15" customHeight="1" x14ac:dyDescent="0.4">
      <c r="AH716" s="5"/>
      <c r="AI716" s="5"/>
      <c r="AJ716" s="5"/>
    </row>
    <row r="717" spans="34:36" ht="15" customHeight="1" x14ac:dyDescent="0.4">
      <c r="AH717" s="5"/>
      <c r="AI717" s="5"/>
      <c r="AJ717" s="5"/>
    </row>
    <row r="718" spans="34:36" ht="15" customHeight="1" x14ac:dyDescent="0.4">
      <c r="AH718" s="5"/>
      <c r="AI718" s="5"/>
      <c r="AJ718" s="5"/>
    </row>
    <row r="719" spans="34:36" ht="15" customHeight="1" x14ac:dyDescent="0.4">
      <c r="AH719" s="5"/>
      <c r="AI719" s="5"/>
      <c r="AJ719" s="5"/>
    </row>
    <row r="720" spans="34:36" ht="15" customHeight="1" x14ac:dyDescent="0.4">
      <c r="AH720" s="5"/>
      <c r="AI720" s="5"/>
      <c r="AJ720" s="5"/>
    </row>
    <row r="721" spans="34:36" ht="15" customHeight="1" x14ac:dyDescent="0.4">
      <c r="AH721" s="5"/>
      <c r="AI721" s="5"/>
      <c r="AJ721" s="5"/>
    </row>
    <row r="722" spans="34:36" ht="15" customHeight="1" x14ac:dyDescent="0.4">
      <c r="AH722" s="5"/>
      <c r="AI722" s="5"/>
      <c r="AJ722" s="5"/>
    </row>
    <row r="723" spans="34:36" ht="15" customHeight="1" x14ac:dyDescent="0.4">
      <c r="AH723" s="5"/>
      <c r="AI723" s="5"/>
      <c r="AJ723" s="5"/>
    </row>
    <row r="724" spans="34:36" ht="15" customHeight="1" x14ac:dyDescent="0.4">
      <c r="AH724" s="5"/>
      <c r="AI724" s="5"/>
      <c r="AJ724" s="5"/>
    </row>
    <row r="725" spans="34:36" ht="15" customHeight="1" x14ac:dyDescent="0.4">
      <c r="AH725" s="5"/>
      <c r="AI725" s="5"/>
      <c r="AJ725" s="5"/>
    </row>
    <row r="726" spans="34:36" ht="15" customHeight="1" x14ac:dyDescent="0.4">
      <c r="AH726" s="5"/>
      <c r="AI726" s="5"/>
      <c r="AJ726" s="5"/>
    </row>
    <row r="727" spans="34:36" ht="15" customHeight="1" x14ac:dyDescent="0.4">
      <c r="AH727" s="5"/>
      <c r="AI727" s="5"/>
      <c r="AJ727" s="5"/>
    </row>
    <row r="728" spans="34:36" ht="15" customHeight="1" x14ac:dyDescent="0.4">
      <c r="AH728" s="5"/>
      <c r="AI728" s="5"/>
      <c r="AJ728" s="5"/>
    </row>
    <row r="729" spans="34:36" ht="15" customHeight="1" x14ac:dyDescent="0.4">
      <c r="AH729" s="5"/>
      <c r="AI729" s="5"/>
      <c r="AJ729" s="5"/>
    </row>
    <row r="730" spans="34:36" ht="15" customHeight="1" x14ac:dyDescent="0.4">
      <c r="AH730" s="5"/>
      <c r="AI730" s="5"/>
      <c r="AJ730" s="5"/>
    </row>
    <row r="731" spans="34:36" ht="15" customHeight="1" x14ac:dyDescent="0.4">
      <c r="AH731" s="5"/>
      <c r="AI731" s="5"/>
      <c r="AJ731" s="5"/>
    </row>
    <row r="732" spans="34:36" ht="15" customHeight="1" x14ac:dyDescent="0.4">
      <c r="AH732" s="5"/>
      <c r="AI732" s="5"/>
      <c r="AJ732" s="5"/>
    </row>
    <row r="733" spans="34:36" ht="15" customHeight="1" x14ac:dyDescent="0.4">
      <c r="AH733" s="5"/>
      <c r="AI733" s="5"/>
      <c r="AJ733" s="5"/>
    </row>
    <row r="734" spans="34:36" ht="15" customHeight="1" x14ac:dyDescent="0.4">
      <c r="AH734" s="5"/>
      <c r="AI734" s="5"/>
      <c r="AJ734" s="5"/>
    </row>
    <row r="798" spans="3:33" ht="15" customHeight="1" x14ac:dyDescent="0.4">
      <c r="C798" s="8" t="s">
        <v>1429</v>
      </c>
    </row>
    <row r="799" spans="3:33" ht="15" customHeight="1" x14ac:dyDescent="0.4">
      <c r="C799" s="8" t="s">
        <v>1430</v>
      </c>
      <c r="AG799" s="353">
        <v>0.13539999999999999</v>
      </c>
    </row>
  </sheetData>
  <sheetProtection algorithmName="SHA-512" hashValue="fB1KqkOI81JEYTs3k8XhklVxgETXQnO4qYyW2Ro5aQTXt3apV5pr52wFyeqL6/UZtQGwgmjJUevRQEXguk845g==" saltValue="DjlRwhueZ/9Z1uxQHQv62Q==" spinCount="100000" sheet="1" objects="1" scenarios="1"/>
  <dataConsolidate/>
  <mergeCells count="25">
    <mergeCell ref="B2:G2"/>
    <mergeCell ref="B10:G10"/>
    <mergeCell ref="B4:D4"/>
    <mergeCell ref="AL8:AO8"/>
    <mergeCell ref="W8:X8"/>
    <mergeCell ref="V10:Y10"/>
    <mergeCell ref="B5:D5"/>
    <mergeCell ref="E3:G3"/>
    <mergeCell ref="W3:X3"/>
    <mergeCell ref="W4:X4"/>
    <mergeCell ref="AM7:AO7"/>
    <mergeCell ref="E4:F4"/>
    <mergeCell ref="I10:M10"/>
    <mergeCell ref="J7:M7"/>
    <mergeCell ref="J6:M6"/>
    <mergeCell ref="J4:M4"/>
    <mergeCell ref="AL10:AM10"/>
    <mergeCell ref="W5:X5"/>
    <mergeCell ref="W6:X6"/>
    <mergeCell ref="J3:M3"/>
    <mergeCell ref="N3:Q3"/>
    <mergeCell ref="N7:Q7"/>
    <mergeCell ref="N5:Q5"/>
    <mergeCell ref="N6:Q6"/>
    <mergeCell ref="N4:Q4"/>
  </mergeCells>
  <phoneticPr fontId="0" type="noConversion"/>
  <conditionalFormatting sqref="AA157 AA152 AA13:AA149">
    <cfRule type="cellIs" dxfId="1" priority="1" stopIfTrue="1" operator="lessThan">
      <formula>42</formula>
    </cfRule>
    <cfRule type="cellIs" dxfId="0" priority="2" stopIfTrue="1" operator="lessThan">
      <formula>45</formula>
    </cfRule>
  </conditionalFormatting>
  <dataValidations disablePrompts="1" count="3">
    <dataValidation showDropDown="1" showInputMessage="1" showErrorMessage="1" sqref="W8" xr:uid="{00000000-0002-0000-0D00-000000000000}"/>
    <dataValidation type="list" showInputMessage="1" showErrorMessage="1" sqref="E4:F4" xr:uid="{00000000-0002-0000-0D00-000001000000}">
      <formula1>$AM$3:$AM$6</formula1>
    </dataValidation>
    <dataValidation type="list" allowBlank="1" showInputMessage="1" showErrorMessage="1" sqref="E3" xr:uid="{00000000-0002-0000-0D00-000002000000}">
      <formula1>$AL$10:$BP$10</formula1>
    </dataValidation>
  </dataValidations>
  <printOptions gridLines="1"/>
  <pageMargins left="0.125" right="0.125" top="0.25" bottom="0.375" header="0" footer="0"/>
  <pageSetup scale="27" fitToHeight="10" orientation="landscape" horizontalDpi="4294967292" r:id="rId1"/>
  <headerFooter alignWithMargins="0">
    <oddFooter>&amp;L&amp;8&amp;Z&amp;F</oddFooter>
  </headerFooter>
  <rowBreaks count="1" manualBreakCount="1">
    <brk id="107" max="3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47e913b-425f-4632-84f8-97e3633f9f0b">
      <UserInfo>
        <DisplayName>Jaramillo, Sandra  (Silver Line)</DisplayName>
        <AccountId>332</AccountId>
        <AccountType/>
      </UserInfo>
      <UserInfo>
        <DisplayName>Pete Rickman</DisplayName>
        <AccountId>522</AccountId>
        <AccountType/>
      </UserInfo>
      <UserInfo>
        <DisplayName>Zhao, Alice  (Silver Line)</DisplayName>
        <AccountId>2074</AccountId>
        <AccountType/>
      </UserInfo>
      <UserInfo>
        <DisplayName>Marce, Shannon  (Silver Line)</DisplayName>
        <AccountId>344</AccountId>
        <AccountType/>
      </UserInfo>
      <UserInfo>
        <DisplayName>Cann, John  (Silver Line)</DisplayName>
        <AccountId>1085</AccountId>
        <AccountType/>
      </UserInfo>
      <UserInfo>
        <DisplayName>Ronald Hall</DisplayName>
        <AccountId>428</AccountId>
        <AccountType/>
      </UserInfo>
      <UserInfo>
        <DisplayName>Berrian, Jon  (Silver Line)</DisplayName>
        <AccountId>198</AccountId>
        <AccountType/>
      </UserInfo>
      <UserInfo>
        <DisplayName>James Bowling</DisplayName>
        <AccountId>424</AccountId>
        <AccountType/>
      </UserInfo>
    </SharedWithUsers>
    <Product xmlns="d48f3faf-9bd8-4b0f-8b87-57b82cc69d01">
      <Value>Fixed Window</Value>
      <Value>Geometrics (Shapes)</Value>
      <Value>Horizontal Slider</Value>
      <Value>Mulling</Value>
      <Value>Single Hung</Value>
    </Product>
    <pi6a xmlns="d48f3faf-9bd8-4b0f-8b87-57b82cc69d01">
      <UserInfo>
        <DisplayName/>
        <AccountId xsi:nil="true"/>
        <AccountType/>
      </UserInfo>
    </pi6a>
    <Plant xmlns="d48f3faf-9bd8-4b0f-8b87-57b82cc69d01">
      <Value>RM</Value>
      <Value>PTC</Value>
      <Value>PAR</Value>
      <Value>LIT</Value>
      <Value>NB</Value>
    </Plant>
    <Rev_x002e_ xmlns="d48f3faf-9bd8-4b0f-8b87-57b82cc69d01">T</Rev_x002e_>
    <Sash_x002f_Frame_x0020_Codes xmlns="d48f3faf-9bd8-4b0f-8b87-57b82cc69d01" xsi:nil="true"/>
    <Document_x0020_Status xmlns="d48f3faf-9bd8-4b0f-8b87-57b82cc69d01" xsi:nil="true"/>
    <Series xmlns="d48f3faf-9bd8-4b0f-8b87-57b82cc69d01">
      <Value>1500 Vinyl</Value>
    </Series>
    <Document_x0020_Type xmlns="d48f3faf-9bd8-4b0f-8b87-57b82cc69d01">BOM</Document_x0020_Type>
    <Material xmlns="d48f3faf-9bd8-4b0f-8b87-57b82cc69d01">
      <Value>Vinyl</Value>
    </Material>
    <Brand xmlns="d48f3faf-9bd8-4b0f-8b87-57b82cc69d01">PlyGem</Brand>
    <_x0061_631 xmlns="d48f3faf-9bd8-4b0f-8b87-57b82cc69d01">2025-05-06T04:00:00+00:00</_x0061_631>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22D41E2269E0A4C899E17FCA2AB8874" ma:contentTypeVersion="36" ma:contentTypeDescription="Create a new document." ma:contentTypeScope="" ma:versionID="a0936d13e69ca8fc9edb106765e3d0f5">
  <xsd:schema xmlns:xsd="http://www.w3.org/2001/XMLSchema" xmlns:xs="http://www.w3.org/2001/XMLSchema" xmlns:p="http://schemas.microsoft.com/office/2006/metadata/properties" xmlns:ns1="d48f3faf-9bd8-4b0f-8b87-57b82cc69d01" xmlns:ns3="c47e913b-425f-4632-84f8-97e3633f9f0b" targetNamespace="http://schemas.microsoft.com/office/2006/metadata/properties" ma:root="true" ma:fieldsID="6527adc2ba8e92ae406bc1a250daa5ed" ns1:_="" ns3:_="">
    <xsd:import namespace="d48f3faf-9bd8-4b0f-8b87-57b82cc69d01"/>
    <xsd:import namespace="c47e913b-425f-4632-84f8-97e3633f9f0b"/>
    <xsd:element name="properties">
      <xsd:complexType>
        <xsd:sequence>
          <xsd:element name="documentManagement">
            <xsd:complexType>
              <xsd:all>
                <xsd:element ref="ns1:Document_x0020_Type" minOccurs="0"/>
                <xsd:element ref="ns1:Plant" minOccurs="0"/>
                <xsd:element ref="ns1:Series" minOccurs="0"/>
                <xsd:element ref="ns1:Rev_x002e_" minOccurs="0"/>
                <xsd:element ref="ns1:Product" minOccurs="0"/>
                <xsd:element ref="ns1:Sash_x002f_Frame_x0020_Codes" minOccurs="0"/>
                <xsd:element ref="ns1:Material" minOccurs="0"/>
                <xsd:element ref="ns1:Brand" minOccurs="0"/>
                <xsd:element ref="ns1:_x0061_631" minOccurs="0"/>
                <xsd:element ref="ns1:Document_x0020_Status" minOccurs="0"/>
                <xsd:element ref="ns1:MediaServiceMetadata" minOccurs="0"/>
                <xsd:element ref="ns1:MediaServiceFastMetadata" minOccurs="0"/>
                <xsd:element ref="ns1:MediaServiceDateTaken" minOccurs="0"/>
                <xsd:element ref="ns1:MediaServiceAutoTags" minOccurs="0"/>
                <xsd:element ref="ns1:MediaServiceOCR" minOccurs="0"/>
                <xsd:element ref="ns1:MediaServiceGenerationTime" minOccurs="0"/>
                <xsd:element ref="ns1:MediaServiceEventHashCode" minOccurs="0"/>
                <xsd:element ref="ns1:MediaServiceLocation" minOccurs="0"/>
                <xsd:element ref="ns1:pi6a" minOccurs="0"/>
                <xsd:element ref="ns3:SharedWithUsers" minOccurs="0"/>
                <xsd:element ref="ns3:SharedWithDetails" minOccurs="0"/>
                <xsd:element ref="ns1:MediaServiceObjectDetectorVersions" minOccurs="0"/>
                <xsd:element ref="ns1: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8f3faf-9bd8-4b0f-8b87-57b82cc69d01" elementFormDefault="qualified">
    <xsd:import namespace="http://schemas.microsoft.com/office/2006/documentManagement/types"/>
    <xsd:import namespace="http://schemas.microsoft.com/office/infopath/2007/PartnerControls"/>
    <xsd:element name="Document_x0020_Type" ma:index="0" nillable="true" ma:displayName="Document Type" ma:format="Dropdown" ma:indexed="true" ma:internalName="Document_x0020_Type" ma:readOnly="false">
      <xsd:simpleType>
        <xsd:restriction base="dms:Choice">
          <xsd:enumeration value="BOM"/>
          <xsd:enumeration value="Technical Document"/>
          <xsd:enumeration value="Exploded"/>
          <xsd:enumeration value="Section"/>
          <xsd:enumeration value="Fabrication / Assembly Specification"/>
          <xsd:enumeration value="IGU / Glass / Grid"/>
          <xsd:enumeration value="Paint / Laminate / Surface"/>
          <xsd:enumeration value="Reinforcement"/>
          <xsd:enumeration value="Screen"/>
          <xsd:enumeration value="Super Service Drawings"/>
          <xsd:enumeration value="Installation Section Drawings"/>
          <xsd:enumeration value="Weld Cleaning Drawings"/>
          <xsd:enumeration value="Weatherstripping"/>
        </xsd:restriction>
      </xsd:simpleType>
    </xsd:element>
    <xsd:element name="Plant" ma:index="1" nillable="true" ma:displayName="Plant" ma:internalName="Plant" ma:readOnly="false">
      <xsd:complexType>
        <xsd:complexContent>
          <xsd:extension base="dms:MultiChoice">
            <xsd:sequence>
              <xsd:element name="Value" maxOccurs="unbounded" minOccurs="0" nillable="true">
                <xsd:simpleType>
                  <xsd:restriction base="dms:Choice">
                    <xsd:enumeration value="RM"/>
                    <xsd:enumeration value="PTC"/>
                    <xsd:enumeration value="BTX"/>
                    <xsd:enumeration value="DAL"/>
                    <xsd:enumeration value="TOH"/>
                    <xsd:enumeration value="AUB"/>
                    <xsd:enumeration value="SAC"/>
                    <xsd:enumeration value="WV"/>
                    <xsd:enumeration value="PAR"/>
                    <xsd:enumeration value="VAC"/>
                    <xsd:enumeration value="LIT"/>
                    <xsd:enumeration value="NB"/>
                    <xsd:enumeration value="MAR"/>
                    <xsd:enumeration value="LAN"/>
                    <xsd:enumeration value="ATR DAL"/>
                    <xsd:enumeration value="ATR WEL"/>
                    <xsd:enumeration value="ALL PLANTS"/>
                    <xsd:enumeration value="N/A"/>
                  </xsd:restriction>
                </xsd:simpleType>
              </xsd:element>
            </xsd:sequence>
          </xsd:extension>
        </xsd:complexContent>
      </xsd:complexType>
    </xsd:element>
    <xsd:element name="Series" ma:index="2" nillable="true" ma:displayName="Series" ma:internalName="Series" ma:readOnly="false">
      <xsd:complexType>
        <xsd:complexContent>
          <xsd:extension base="dms:MultiChoice">
            <xsd:sequence>
              <xsd:element name="Value" maxOccurs="unbounded" minOccurs="0" nillable="true">
                <xsd:simpleType>
                  <xsd:restriction base="dms:Choice">
                    <xsd:enumeration value="1500 Vinyl"/>
                    <xsd:enumeration value="6100 Homecraftsman"/>
                    <xsd:enumeration value="8100 Homecraftsman"/>
                    <xsd:enumeration value="9100 Homecraftsman"/>
                    <xsd:enumeration value="All Series"/>
                    <xsd:enumeration value="Builder 100"/>
                    <xsd:enumeration value="Builder 1100"/>
                    <xsd:enumeration value="Builder 3700"/>
                    <xsd:enumeration value="Builder 4700"/>
                    <xsd:enumeration value="Builder 4800"/>
                    <xsd:enumeration value="Builder 5000"/>
                    <xsd:enumeration value="Builder 5700"/>
                    <xsd:enumeration value="Builder 600"/>
                    <xsd:enumeration value="Builder/Contractor 400"/>
                    <xsd:enumeration value="Builder/Contractor 460"/>
                    <xsd:enumeration value="Builder/Contractor 550"/>
                    <xsd:enumeration value="Contractor 5000"/>
                    <xsd:enumeration value="MaxView"/>
                    <xsd:enumeration value="Mira Premium"/>
                    <xsd:enumeration value="Perspective Multi-Slide"/>
                    <xsd:enumeration value="Premium 1000"/>
                    <xsd:enumeration value="Pro 200 East"/>
                    <xsd:enumeration value="Pro 200 West"/>
                    <xsd:enumeration value="Pro 300"/>
                    <xsd:enumeration value="Pro 400 East"/>
                    <xsd:enumeration value="Pro 700"/>
                    <xsd:enumeration value="Pro 800"/>
                    <xsd:enumeration value="Pro 960"/>
                    <xsd:enumeration value="Pro 970"/>
                    <xsd:enumeration value="Pro Classic"/>
                    <xsd:enumeration value="ComfortSmart"/>
                    <xsd:enumeration value="Contractor 2000"/>
                    <xsd:enumeration value="Contractor 5100"/>
                    <xsd:enumeration value="Contractor 5800"/>
                    <xsd:enumeration value="ecoSmart"/>
                    <xsd:enumeration value="ecoSmart w/ecoCore"/>
                    <xsd:enumeration value="Harbor Light"/>
                    <xsd:enumeration value="Premium Replacement"/>
                    <xsd:enumeration value="Pro Replacement"/>
                    <xsd:enumeration value="5050 Reflections"/>
                    <xsd:enumeration value="5300 Reflections"/>
                    <xsd:enumeration value="5500 Reflections"/>
                    <xsd:enumeration value="6500"/>
                    <xsd:enumeration value="9800 Impressions"/>
                    <xsd:enumeration value="Asure"/>
                    <xsd:enumeration value="Daylight Max"/>
                    <xsd:enumeration value="Hinged Doors"/>
                    <xsd:enumeration value="Impact Patio Door"/>
                    <xsd:enumeration value="INOVo Patio Door"/>
                    <xsd:enumeration value="INOVo Patio Door Sidelite"/>
                    <xsd:enumeration value="INOVo Patio Door Transom"/>
                    <xsd:enumeration value="Madeira"/>
                    <xsd:enumeration value="Madeira Contemporary Door Sidelite"/>
                    <xsd:enumeration value="Madeira Contemporary Door Transom"/>
                    <xsd:enumeration value="Madeira Contemporary Doors"/>
                    <xsd:enumeration value="Madeira French Rail Doors"/>
                    <xsd:enumeration value="MaxView Multi-Slide"/>
                    <xsd:enumeration value="Missile C 5500 Reflections"/>
                    <xsd:enumeration value="Missile C INOVo Patio Door"/>
                    <xsd:enumeration value="Missile C INOVo Patio Door Sidelite"/>
                    <xsd:enumeration value="Missile C INOVo Patio Door Transom"/>
                    <xsd:enumeration value="Narrow Patio Door"/>
                    <xsd:enumeration value="Narrow Patio Door Sidelite"/>
                    <xsd:enumeration value="Narrow Patio Door Transom"/>
                    <xsd:enumeration value="ProFinish Brickmould 300"/>
                    <xsd:enumeration value="ProFinish Brickmould 600"/>
                    <xsd:enumeration value="ProFinish Builder"/>
                    <xsd:enumeration value="ProFinish Contractor"/>
                    <xsd:enumeration value="Simonton 500"/>
                    <xsd:enumeration value="Stormbreaker Plus"/>
                    <xsd:enumeration value="Verona"/>
                    <xsd:enumeration value="2800 Series"/>
                    <xsd:enumeration value="3000 Series"/>
                    <xsd:enumeration value="8600 Series"/>
                    <xsd:enumeration value="2127 Series"/>
                    <xsd:enumeration value="1200 Series"/>
                    <xsd:enumeration value="2900 Series"/>
                    <xsd:enumeration value="70 Series"/>
                    <xsd:enumeration value="3601 Series"/>
                    <xsd:enumeration value="2100 Series"/>
                    <xsd:enumeration value="2200 Series"/>
                    <xsd:enumeration value="2300 Series"/>
                    <xsd:enumeration value="5500-5700 Series"/>
                    <xsd:enumeration value="5800 Series"/>
                    <xsd:enumeration value="2130 Series"/>
                  </xsd:restriction>
                </xsd:simpleType>
              </xsd:element>
            </xsd:sequence>
          </xsd:extension>
        </xsd:complexContent>
      </xsd:complexType>
    </xsd:element>
    <xsd:element name="Rev_x002e_" ma:index="4" nillable="true" ma:displayName="Rev" ma:description="Revision to Document" ma:internalName="Rev_x002e_" ma:readOnly="false">
      <xsd:simpleType>
        <xsd:restriction base="dms:Text">
          <xsd:maxLength value="30"/>
        </xsd:restriction>
      </xsd:simpleType>
    </xsd:element>
    <xsd:element name="Product" ma:index="6" nillable="true" ma:displayName="Product Type" ma:description="Window or door type" ma:internalName="Product" ma:readOnly="false">
      <xsd:complexType>
        <xsd:complexContent>
          <xsd:extension base="dms:MultiChoice">
            <xsd:sequence>
              <xsd:element name="Value" maxOccurs="unbounded" minOccurs="0" nillable="true">
                <xsd:simpleType>
                  <xsd:restriction base="dms:Choice">
                    <xsd:enumeration value="All Product"/>
                    <xsd:enumeration value="Awning/Top Hinge"/>
                    <xsd:enumeration value="Bay &amp; Bow"/>
                    <xsd:enumeration value="Casement"/>
                    <xsd:enumeration value="Door Side Lite"/>
                    <xsd:enumeration value="Door Transom"/>
                    <xsd:enumeration value="Double Hung"/>
                    <xsd:enumeration value="Fixed Window"/>
                    <xsd:enumeration value="Garden Window"/>
                    <xsd:enumeration value="Geometrics (Shapes)"/>
                    <xsd:enumeration value="Hinged Door"/>
                    <xsd:enumeration value="Hopper/Bottom Hinge"/>
                    <xsd:enumeration value="Horizontal Slider"/>
                    <xsd:enumeration value="Jalousie"/>
                    <xsd:enumeration value="Mulling"/>
                    <xsd:enumeration value="Single Hung"/>
                    <xsd:enumeration value="Sky Wall"/>
                    <xsd:enumeration value="Sliding Door"/>
                    <xsd:enumeration value="Welded Deadlite"/>
                  </xsd:restriction>
                </xsd:simpleType>
              </xsd:element>
            </xsd:sequence>
          </xsd:extension>
        </xsd:complexContent>
      </xsd:complexType>
    </xsd:element>
    <xsd:element name="Sash_x002f_Frame_x0020_Codes" ma:index="7" nillable="true" ma:displayName="Sash/Frame Codes" ma:default="N/A" ma:description="Codes to pull like products together." ma:format="Dropdown" ma:indexed="true" ma:internalName="Sash_x002f_Frame_x0020_Codes" ma:readOnly="false">
      <xsd:simpleType>
        <xsd:union memberTypes="dms:Text">
          <xsd:simpleType>
            <xsd:restriction base="dms:Choice">
              <xsd:enumeration value="N/A"/>
            </xsd:restriction>
          </xsd:simpleType>
        </xsd:union>
      </xsd:simpleType>
    </xsd:element>
    <xsd:element name="Material" ma:index="8" nillable="true" ma:displayName="Product Material" ma:description="Material Window or door is constructed of" ma:internalName="Material" ma:readOnly="false">
      <xsd:complexType>
        <xsd:complexContent>
          <xsd:extension base="dms:MultiChoice">
            <xsd:sequence>
              <xsd:element name="Value" maxOccurs="unbounded" minOccurs="0" nillable="true">
                <xsd:simpleType>
                  <xsd:restriction base="dms:Choice">
                    <xsd:enumeration value="Aluminum"/>
                    <xsd:enumeration value="Aluminum Clad"/>
                    <xsd:enumeration value="Vinyl"/>
                    <xsd:enumeration value="Vinyl Clad"/>
                    <xsd:enumeration value="Wood"/>
                    <xsd:enumeration value="Cellular PVC"/>
                    <xsd:enumeration value="Wood Composite"/>
                    <xsd:enumeration value="Glass"/>
                    <xsd:enumeration value="Paint"/>
                  </xsd:restriction>
                </xsd:simpleType>
              </xsd:element>
            </xsd:sequence>
          </xsd:extension>
        </xsd:complexContent>
      </xsd:complexType>
    </xsd:element>
    <xsd:element name="Brand" ma:index="9" nillable="true" ma:displayName="Brand" ma:description="Grouping Series by Brand" ma:format="Dropdown" ma:indexed="true" ma:internalName="Brand" ma:readOnly="false">
      <xsd:simpleType>
        <xsd:restriction base="dms:Choice">
          <xsd:enumeration value="EAS"/>
          <xsd:enumeration value="Great Lakes"/>
          <xsd:enumeration value="PlyGem"/>
          <xsd:enumeration value="Simonton"/>
          <xsd:enumeration value="Silver Line"/>
          <xsd:enumeration value="All Brands"/>
        </xsd:restriction>
      </xsd:simpleType>
    </xsd:element>
    <xsd:element name="_x0061_631" ma:index="10" nillable="true" ma:displayName="Date and Time" ma:format="DateTime" ma:internalName="_x0061_631" ma:readOnly="false">
      <xsd:simpleType>
        <xsd:restriction base="dms:DateTime"/>
      </xsd:simpleType>
    </xsd:element>
    <xsd:element name="Document_x0020_Status" ma:index="11" nillable="true" ma:displayName="Document Status" ma:format="Dropdown" ma:indexed="true" ma:internalName="Document_x0020_Status" ma:readOnly="false">
      <xsd:simpleType>
        <xsd:restriction base="dms:Choice">
          <xsd:enumeration value="Obsolete"/>
          <xsd:enumeration value="Service Only"/>
        </xsd:restriction>
      </xsd:simpleType>
    </xsd:element>
    <xsd:element name="MediaServiceMetadata" ma:index="18" nillable="true" ma:displayName="MediaServiceMetadata" ma:hidden="true" ma:internalName="MediaServiceMetadata" ma:readOnly="true">
      <xsd:simpleType>
        <xsd:restriction base="dms:Note"/>
      </xsd:simpleType>
    </xsd:element>
    <xsd:element name="MediaServiceFastMetadata" ma:index="19" nillable="true" ma:displayName="MediaServiceFastMetadata" ma:hidden="true" ma:internalName="MediaServiceFastMetadata" ma:readOnly="true">
      <xsd:simpleType>
        <xsd:restriction base="dms:Note"/>
      </xsd:simpleType>
    </xsd:element>
    <xsd:element name="MediaServiceDateTaken" ma:index="20" nillable="true" ma:displayName="MediaServiceDateTaken" ma:hidden="true" ma:internalName="MediaServiceDateTaken" ma:readOnly="true">
      <xsd:simpleType>
        <xsd:restriction base="dms:Text"/>
      </xsd:simpleType>
    </xsd:element>
    <xsd:element name="MediaServiceAutoTags" ma:index="21" nillable="true" ma:displayName="Tags" ma:internalName="MediaServiceAutoTags"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EventHashCode" ma:index="24" nillable="true" ma:displayName="MediaServiceEventHashCode" ma:hidden="true" ma:internalName="MediaServiceEventHashCode" ma:readOnly="true">
      <xsd:simpleType>
        <xsd:restriction base="dms:Text"/>
      </xsd:simpleType>
    </xsd:element>
    <xsd:element name="MediaServiceLocation" ma:index="25" nillable="true" ma:displayName="Location" ma:internalName="MediaServiceLocation" ma:readOnly="true">
      <xsd:simpleType>
        <xsd:restriction base="dms:Text"/>
      </xsd:simpleType>
    </xsd:element>
    <xsd:element name="pi6a" ma:index="26" nillable="true" ma:displayName="Person or Group" ma:list="UserInfo" ma:SearchPeopleOnly="false" ma:SharePointGroup="0" ma:internalName="pi6a"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9" nillable="true" ma:displayName="MediaServiceObjectDetectorVersions" ma:hidden="true" ma:indexed="true" ma:internalName="MediaServiceObjectDetectorVersions" ma:readOnly="true">
      <xsd:simpleType>
        <xsd:restriction base="dms:Text"/>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47e913b-425f-4632-84f8-97e3633f9f0b" elementFormDefault="qualified">
    <xsd:import namespace="http://schemas.microsoft.com/office/2006/documentManagement/types"/>
    <xsd:import namespace="http://schemas.microsoft.com/office/infopath/2007/PartnerControls"/>
    <xsd:element name="SharedWithUsers" ma:index="27"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5"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E18E0A3-9B98-480F-B994-27CD0142A1FC}">
  <ds:schemaRefs>
    <ds:schemaRef ds:uri="6fa7a2e5-e249-4c41-8516-b7d0b68676df"/>
    <ds:schemaRef ds:uri="http://schemas.microsoft.com/office/2006/documentManagement/types"/>
    <ds:schemaRef ds:uri="http://www.w3.org/XML/1998/namespace"/>
    <ds:schemaRef ds:uri="http://purl.org/dc/terms/"/>
    <ds:schemaRef ds:uri="http://schemas.openxmlformats.org/package/2006/metadata/core-properties"/>
    <ds:schemaRef ds:uri="90d9cb9f-a67c-41d9-8bf2-27fa99e5f7cb"/>
    <ds:schemaRef ds:uri="http://purl.org/dc/dcmitype/"/>
    <ds:schemaRef ds:uri="http://schemas.microsoft.com/office/infopath/2007/PartnerControls"/>
    <ds:schemaRef ds:uri="http://schemas.microsoft.com/office/2006/metadata/properties"/>
    <ds:schemaRef ds:uri="http://purl.org/dc/elements/1.1/"/>
    <ds:schemaRef ds:uri="c47e913b-425f-4632-84f8-97e3633f9f0b"/>
    <ds:schemaRef ds:uri="d48f3faf-9bd8-4b0f-8b87-57b82cc69d01"/>
  </ds:schemaRefs>
</ds:datastoreItem>
</file>

<file path=customXml/itemProps2.xml><?xml version="1.0" encoding="utf-8"?>
<ds:datastoreItem xmlns:ds="http://schemas.openxmlformats.org/officeDocument/2006/customXml" ds:itemID="{D4EC04D0-EF73-48FF-95D8-AE0C0FE9A1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8f3faf-9bd8-4b0f-8b87-57b82cc69d01"/>
    <ds:schemaRef ds:uri="c47e913b-425f-4632-84f8-97e3633f9f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8C73818-492D-4C8A-AE42-B3702C3AD4C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13</vt:i4>
      </vt:variant>
      <vt:variant>
        <vt:lpstr>Named Ranges</vt:lpstr>
      </vt:variant>
      <vt:variant>
        <vt:i4>133</vt:i4>
      </vt:variant>
    </vt:vector>
  </HeadingPairs>
  <TitlesOfParts>
    <vt:vector size="146" baseType="lpstr">
      <vt:lpstr>Revisions</vt:lpstr>
      <vt:lpstr>Single Hung</vt:lpstr>
      <vt:lpstr>Fixed Window</vt:lpstr>
      <vt:lpstr>2SL Slider</vt:lpstr>
      <vt:lpstr>3SL Even &amp; Custom Slider </vt:lpstr>
      <vt:lpstr>3SL QHQ Slider</vt:lpstr>
      <vt:lpstr>Integral Mull</vt:lpstr>
      <vt:lpstr>All Screens</vt:lpstr>
      <vt:lpstr>Screen assys</vt:lpstr>
      <vt:lpstr>Kits</vt:lpstr>
      <vt:lpstr>Accessories</vt:lpstr>
      <vt:lpstr>SH Sash &amp; unit Weight</vt:lpstr>
      <vt:lpstr>OBSOLETE Bendable Fixed</vt:lpstr>
      <vt:lpstr>_1mmPVB</vt:lpstr>
      <vt:lpstr>_2.3mm</vt:lpstr>
      <vt:lpstr>_2.5mm</vt:lpstr>
      <vt:lpstr>_3mm</vt:lpstr>
      <vt:lpstr>_4mm</vt:lpstr>
      <vt:lpstr>_5mm</vt:lpstr>
      <vt:lpstr>_6mm</vt:lpstr>
      <vt:lpstr>_6mmLami</vt:lpstr>
      <vt:lpstr>_6mmOffsetLami</vt:lpstr>
      <vt:lpstr>_8.5mmLami</vt:lpstr>
      <vt:lpstr>_BT_HtOffset</vt:lpstr>
      <vt:lpstr>_BT_WtOffset</vt:lpstr>
      <vt:lpstr>_BT_WtScalar</vt:lpstr>
      <vt:lpstr>_Coil_WtAdder</vt:lpstr>
      <vt:lpstr>_Coil_WtScalar</vt:lpstr>
      <vt:lpstr>_SHSashRailDensity</vt:lpstr>
      <vt:lpstr>_SHSashStileDensity</vt:lpstr>
      <vt:lpstr>_SHSGlbpersqin</vt:lpstr>
      <vt:lpstr>_Small_Sash_BT_HtOffset</vt:lpstr>
      <vt:lpstr>_VConv</vt:lpstr>
      <vt:lpstr>AccSScostperlb</vt:lpstr>
      <vt:lpstr>AtolbperftAccy</vt:lpstr>
      <vt:lpstr>'3SL Even &amp; Custom Slider '!AtolbperftEQ</vt:lpstr>
      <vt:lpstr>AtolbperftFixed</vt:lpstr>
      <vt:lpstr>AtolbperftINT</vt:lpstr>
      <vt:lpstr>AtolbperftKit</vt:lpstr>
      <vt:lpstr>'3SL QHQ Slider'!AtolbperftQHQ</vt:lpstr>
      <vt:lpstr>'Single Hung'!AtolbperftSH</vt:lpstr>
      <vt:lpstr>'2SL Slider'!AtolbperftSL2</vt:lpstr>
      <vt:lpstr>FWConfigData</vt:lpstr>
      <vt:lpstr>FWConfigOpt</vt:lpstr>
      <vt:lpstr>FWDayHeight</vt:lpstr>
      <vt:lpstr>FWDayWidth</vt:lpstr>
      <vt:lpstr>FWDLHtInput</vt:lpstr>
      <vt:lpstr>FWDLWidInput</vt:lpstr>
      <vt:lpstr>FWGlassArea</vt:lpstr>
      <vt:lpstr>FWGlassHeight</vt:lpstr>
      <vt:lpstr>FWGlassWidth</vt:lpstr>
      <vt:lpstr>FWHeight</vt:lpstr>
      <vt:lpstr>FWSelectedConfig</vt:lpstr>
      <vt:lpstr>FWSingleCost</vt:lpstr>
      <vt:lpstr>FWTwinCost</vt:lpstr>
      <vt:lpstr>FWWidth</vt:lpstr>
      <vt:lpstr>INT2width</vt:lpstr>
      <vt:lpstr>INTheight</vt:lpstr>
      <vt:lpstr>INTNW</vt:lpstr>
      <vt:lpstr>INTSideliteW</vt:lpstr>
      <vt:lpstr>KitSHheight</vt:lpstr>
      <vt:lpstr>KitSHwidth</vt:lpstr>
      <vt:lpstr>'2SL Slider'!Print_Area</vt:lpstr>
      <vt:lpstr>'3SL Even &amp; Custom Slider '!Print_Area</vt:lpstr>
      <vt:lpstr>'3SL QHQ Slider'!Print_Area</vt:lpstr>
      <vt:lpstr>Accessories!Print_Area</vt:lpstr>
      <vt:lpstr>'All Screens'!Print_Area</vt:lpstr>
      <vt:lpstr>'Fixed Window'!Print_Area</vt:lpstr>
      <vt:lpstr>'Integral Mull'!Print_Area</vt:lpstr>
      <vt:lpstr>'OBSOLETE Bendable Fixed'!Print_Area</vt:lpstr>
      <vt:lpstr>'Screen assys'!Print_Area</vt:lpstr>
      <vt:lpstr>'2SL Slider'!Print_Titles</vt:lpstr>
      <vt:lpstr>'3SL Even &amp; Custom Slider '!Print_Titles</vt:lpstr>
      <vt:lpstr>'3SL QHQ Slider'!Print_Titles</vt:lpstr>
      <vt:lpstr>Accessories!Print_Titles</vt:lpstr>
      <vt:lpstr>'All Screens'!Print_Titles</vt:lpstr>
      <vt:lpstr>'Fixed Window'!Print_Titles</vt:lpstr>
      <vt:lpstr>Kits!Print_Titles</vt:lpstr>
      <vt:lpstr>'OBSOLETE Bendable Fixed'!Print_Titles</vt:lpstr>
      <vt:lpstr>'Single Hung'!Print_Titles</vt:lpstr>
      <vt:lpstr>SHBGdayheight</vt:lpstr>
      <vt:lpstr>SHBGdaywidth</vt:lpstr>
      <vt:lpstr>SHBTAdjSashWeight</vt:lpstr>
      <vt:lpstr>'Single Hung'!SHCO</vt:lpstr>
      <vt:lpstr>SHCoilAdjSashWeight</vt:lpstr>
      <vt:lpstr>SHConfigData</vt:lpstr>
      <vt:lpstr>SHConfigOpt</vt:lpstr>
      <vt:lpstr>'Single Hung'!SHCORnd</vt:lpstr>
      <vt:lpstr>SHDIM_A</vt:lpstr>
      <vt:lpstr>SHGlassTable</vt:lpstr>
      <vt:lpstr>'Single Hung'!SHHeight</vt:lpstr>
      <vt:lpstr>SHImpactBox</vt:lpstr>
      <vt:lpstr>SHPerformanceDataDP</vt:lpstr>
      <vt:lpstr>'Single Hung'!SHRSashH</vt:lpstr>
      <vt:lpstr>SHSashGH</vt:lpstr>
      <vt:lpstr>SHSashGW</vt:lpstr>
      <vt:lpstr>SHSashH</vt:lpstr>
      <vt:lpstr>SHSashW</vt:lpstr>
      <vt:lpstr>SHSashWeight</vt:lpstr>
      <vt:lpstr>SHSDLbox</vt:lpstr>
      <vt:lpstr>SHSelectedConfig</vt:lpstr>
      <vt:lpstr>SHTGdayheight</vt:lpstr>
      <vt:lpstr>SHTGdaywidth</vt:lpstr>
      <vt:lpstr>SHTGH</vt:lpstr>
      <vt:lpstr>SHTGW</vt:lpstr>
      <vt:lpstr>SHTwoLockCutoff</vt:lpstr>
      <vt:lpstr>'Single Hung'!SHWidth</vt:lpstr>
      <vt:lpstr>'2SL Slider'!SL2ConfigData</vt:lpstr>
      <vt:lpstr>'2SL Slider'!SL2ConfigOpt</vt:lpstr>
      <vt:lpstr>SL2FGH</vt:lpstr>
      <vt:lpstr>SL2FGW</vt:lpstr>
      <vt:lpstr>'2SL Slider'!SL2Height</vt:lpstr>
      <vt:lpstr>SL2HSHeight</vt:lpstr>
      <vt:lpstr>SL2HSWidth</vt:lpstr>
      <vt:lpstr>SL2RSashW</vt:lpstr>
      <vt:lpstr>'2SL Slider'!SL2SelectedConfig</vt:lpstr>
      <vt:lpstr>'2SL Slider'!SL2SGH</vt:lpstr>
      <vt:lpstr>'2SL Slider'!SL2SGW</vt:lpstr>
      <vt:lpstr>'2SL Slider'!SL2SH</vt:lpstr>
      <vt:lpstr>'2SL Slider'!SL2SO</vt:lpstr>
      <vt:lpstr>'2SL Slider'!SL2SORnd</vt:lpstr>
      <vt:lpstr>'2SL Slider'!SL2SW</vt:lpstr>
      <vt:lpstr>SL2TwoLockCutoff</vt:lpstr>
      <vt:lpstr>'2SL Slider'!SL2Width</vt:lpstr>
      <vt:lpstr>SLEQFGH</vt:lpstr>
      <vt:lpstr>SLEQFGW</vt:lpstr>
      <vt:lpstr>SLEQheight</vt:lpstr>
      <vt:lpstr>SLEQRSashW</vt:lpstr>
      <vt:lpstr>'3SL Even &amp; Custom Slider '!SLEQSelectedConfig</vt:lpstr>
      <vt:lpstr>SLEQSGH</vt:lpstr>
      <vt:lpstr>SLEQSGW</vt:lpstr>
      <vt:lpstr>SLEQSH</vt:lpstr>
      <vt:lpstr>'3SL Even &amp; Custom Slider '!SLEQSO</vt:lpstr>
      <vt:lpstr>'3SL Even &amp; Custom Slider '!SLEQSORnd</vt:lpstr>
      <vt:lpstr>'3SL QHQ Slider'!SLEQSORnd</vt:lpstr>
      <vt:lpstr>SLEQSW</vt:lpstr>
      <vt:lpstr>SLEQwidth</vt:lpstr>
      <vt:lpstr>SLQHQFGH</vt:lpstr>
      <vt:lpstr>SLQHQFGW</vt:lpstr>
      <vt:lpstr>SLQHQheight</vt:lpstr>
      <vt:lpstr>'3SL QHQ Slider'!SLQHQSelectedConfig</vt:lpstr>
      <vt:lpstr>SLQHQSGH</vt:lpstr>
      <vt:lpstr>SLQHQSGW</vt:lpstr>
      <vt:lpstr>SLQHQSH</vt:lpstr>
      <vt:lpstr>SLQHQSW</vt:lpstr>
      <vt:lpstr>SLQHQwidth</vt:lpstr>
    </vt:vector>
  </TitlesOfParts>
  <Manager/>
  <Company>Ply Gem Windows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Single Hung, Horizontal Slider, Stationary, Shapes, Mulls, and Accessory BOM</dc:title>
  <dc:subject/>
  <dc:creator>CCampbell</dc:creator>
  <cp:keywords/>
  <dc:description/>
  <cp:lastModifiedBy>Joseph W Amaya</cp:lastModifiedBy>
  <cp:revision/>
  <cp:lastPrinted>2022-01-04T19:20:06Z</cp:lastPrinted>
  <dcterms:created xsi:type="dcterms:W3CDTF">2007-05-29T20:24:13Z</dcterms:created>
  <dcterms:modified xsi:type="dcterms:W3CDTF">2025-09-08T15:25:47Z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0x010100A22D41E2269E0A4C899E17FCA2AB8874</vt:lpwstr>
  </property>
  <property fmtid="{D5CDD505-2E9C-101B-9397-08002B2CF9AE}" pid="3" name="MediaServiceImageTags">
    <vt:lpwstr/>
  </property>
</Properties>
</file>